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pivotCache/pivotCacheDefinition3.xml" ContentType="application/vnd.openxmlformats-officedocument.spreadsheetml.pivotCacheDefinition+xml"/>
  <Override PartName="/xl/pivotCache/pivotCacheRecords3.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pivotTables/pivotTable4.xml" ContentType="application/vnd.openxmlformats-officedocument.spreadsheetml.pivotTable+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Z:\WPCS\BASINS\Lake_Okeechobee\Draft BMAP\Tables\"/>
    </mc:Choice>
  </mc:AlternateContent>
  <bookViews>
    <workbookView xWindow="0" yWindow="0" windowWidth="17925" windowHeight="11685" tabRatio="830" firstSheet="1" activeTab="12"/>
  </bookViews>
  <sheets>
    <sheet name="Lake O projects" sheetId="1" r:id="rId1"/>
    <sheet name="Project List" sheetId="49" r:id="rId2"/>
    <sheet name="Costs Pivot" sheetId="52" r:id="rId3"/>
    <sheet name="Project Completion Dates" sheetId="55" r:id="rId4"/>
    <sheet name="Removed projects" sheetId="53" r:id="rId5"/>
    <sheet name="ES-1" sheetId="2" r:id="rId6"/>
    <sheet name="ES-2" sheetId="3" r:id="rId7"/>
    <sheet name="ES-3" sheetId="4" r:id="rId8"/>
    <sheet name="ES-4" sheetId="5" r:id="rId9"/>
    <sheet name="ES-5" sheetId="6" r:id="rId10"/>
    <sheet name="ES-6" sheetId="7" r:id="rId11"/>
    <sheet name="ES-7" sheetId="8" r:id="rId12"/>
    <sheet name="ES-8" sheetId="9" r:id="rId13"/>
    <sheet name="ES-9" sheetId="10" r:id="rId14"/>
    <sheet name="ES-10" sheetId="51" r:id="rId15"/>
    <sheet name="1" sheetId="11" r:id="rId16"/>
    <sheet name="2" sheetId="12" r:id="rId17"/>
    <sheet name="3" sheetId="13" r:id="rId18"/>
    <sheet name="4" sheetId="14" r:id="rId19"/>
    <sheet name="5" sheetId="15" r:id="rId20"/>
    <sheet name="6" sheetId="16" r:id="rId21"/>
    <sheet name="7" sheetId="17" r:id="rId22"/>
    <sheet name="8" sheetId="18" r:id="rId23"/>
    <sheet name="9" sheetId="19" r:id="rId24"/>
    <sheet name="10" sheetId="20" r:id="rId25"/>
    <sheet name="11" sheetId="21" r:id="rId26"/>
    <sheet name="12" sheetId="22" r:id="rId27"/>
    <sheet name="13" sheetId="23" r:id="rId28"/>
    <sheet name="14" sheetId="24" r:id="rId29"/>
    <sheet name="15" sheetId="25" r:id="rId30"/>
    <sheet name="16 - Fisheating Creek" sheetId="26" r:id="rId31"/>
    <sheet name="17 - Indian Prairie" sheetId="27" r:id="rId32"/>
    <sheet name="18 - Lake Istokpoga" sheetId="28" r:id="rId33"/>
    <sheet name="19 - Lower Kissimmee" sheetId="29" r:id="rId34"/>
    <sheet name="20 - Taylor Creek_Nubbin Slough" sheetId="30" r:id="rId35"/>
    <sheet name="21 - Upper Kissimmee" sheetId="31" r:id="rId36"/>
    <sheet name="22" sheetId="32" r:id="rId37"/>
    <sheet name="23" sheetId="33" r:id="rId38"/>
    <sheet name="24" sheetId="34" r:id="rId39"/>
    <sheet name="25" sheetId="35" r:id="rId40"/>
    <sheet name="26" sheetId="36" r:id="rId41"/>
    <sheet name="27" sheetId="38" r:id="rId42"/>
    <sheet name="A-1" sheetId="46" r:id="rId43"/>
    <sheet name="A-2" sheetId="47" r:id="rId44"/>
    <sheet name="A-3" sheetId="39" r:id="rId45"/>
    <sheet name="A-4" sheetId="40" r:id="rId46"/>
    <sheet name="A-5" sheetId="41" r:id="rId47"/>
    <sheet name="A-6" sheetId="42" r:id="rId48"/>
    <sheet name="A-7" sheetId="43" r:id="rId49"/>
    <sheet name="A-8" sheetId="44" r:id="rId50"/>
    <sheet name="A-9" sheetId="45" r:id="rId51"/>
    <sheet name="A-10" sheetId="48" r:id="rId52"/>
    <sheet name="B-1" sheetId="54" r:id="rId53"/>
    <sheet name="B-2" sheetId="50" r:id="rId54"/>
  </sheets>
  <definedNames>
    <definedName name="_xlnm._FilterDatabase" localSheetId="0" hidden="1">'Lake O projects'!$A$1:$R$169</definedName>
    <definedName name="_xlnm.Print_Area" localSheetId="12">'ES-8'!$A$1:$B$7</definedName>
    <definedName name="_xlnm.Print_Area" localSheetId="3">'Project Completion Dates'!$A$3:$B$91</definedName>
  </definedNames>
  <calcPr calcId="152511"/>
  <pivotCaches>
    <pivotCache cacheId="0" r:id="rId55"/>
    <pivotCache cacheId="1" r:id="rId56"/>
    <pivotCache cacheId="2" r:id="rId57"/>
  </pivotCaches>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20" i="9" l="1"/>
  <c r="C20" i="9"/>
  <c r="E19" i="9"/>
  <c r="C19" i="9"/>
  <c r="E18" i="9"/>
  <c r="C18" i="9"/>
  <c r="B17" i="9"/>
  <c r="B16" i="9"/>
  <c r="B15" i="9"/>
  <c r="F11" i="26" l="1"/>
  <c r="F12" i="27"/>
  <c r="F12" i="28"/>
  <c r="F11" i="29"/>
  <c r="F13" i="30"/>
  <c r="F13" i="31"/>
  <c r="D10" i="9" l="1"/>
  <c r="D9" i="9"/>
  <c r="E10" i="9" l="1"/>
  <c r="E9" i="9"/>
  <c r="C10" i="9"/>
  <c r="D11" i="9" s="1"/>
  <c r="C9" i="9"/>
  <c r="E11" i="9" l="1"/>
  <c r="F14" i="7"/>
  <c r="M3" i="34" l="1"/>
  <c r="M6" i="34"/>
  <c r="M2" i="34"/>
  <c r="I6" i="34"/>
  <c r="I3" i="34"/>
  <c r="I2" i="34"/>
  <c r="L2" i="34" s="1"/>
  <c r="C8" i="34"/>
  <c r="D8" i="34"/>
  <c r="E8" i="34"/>
  <c r="F8" i="34"/>
  <c r="G8" i="34"/>
  <c r="H8" i="34"/>
  <c r="J8" i="34"/>
  <c r="K8" i="34"/>
  <c r="B8" i="34"/>
  <c r="L3" i="34"/>
  <c r="L6" i="34"/>
  <c r="F13" i="7" l="1"/>
  <c r="I7" i="34" s="1"/>
  <c r="L7" i="34" s="1"/>
  <c r="M7" i="34" s="1"/>
  <c r="F9" i="5" l="1"/>
  <c r="I5" i="34" s="1"/>
  <c r="L5" i="34" s="1"/>
  <c r="M5" i="34" s="1"/>
  <c r="F6" i="3" l="1"/>
  <c r="B12" i="27" l="1"/>
  <c r="F13" i="6" l="1"/>
  <c r="F5" i="4" l="1"/>
  <c r="I4" i="34" s="1"/>
  <c r="L4" i="34" l="1"/>
  <c r="I8" i="34"/>
  <c r="B13" i="31"/>
  <c r="B13" i="30"/>
  <c r="M4" i="34" l="1"/>
  <c r="M8" i="34" s="1"/>
  <c r="L8" i="34"/>
  <c r="E13" i="31"/>
  <c r="D13" i="31" l="1"/>
  <c r="E13" i="30"/>
  <c r="D13" i="30"/>
  <c r="E11" i="29"/>
  <c r="B11" i="29"/>
  <c r="B12" i="28"/>
  <c r="B11" i="26"/>
  <c r="E12" i="28"/>
  <c r="E12" i="27"/>
  <c r="D11" i="29" l="1"/>
  <c r="E11" i="26" l="1"/>
  <c r="D12" i="28"/>
  <c r="D12" i="27"/>
  <c r="D11" i="26"/>
  <c r="J23" i="51" l="1"/>
  <c r="J24" i="51" s="1"/>
  <c r="G3" i="51" s="1"/>
  <c r="J22" i="51"/>
  <c r="C8" i="51"/>
  <c r="B4" i="51" s="1"/>
  <c r="G8" i="51"/>
  <c r="H9" i="51"/>
  <c r="C12" i="51"/>
  <c r="G12" i="51"/>
  <c r="H12" i="51" s="1"/>
  <c r="C18" i="51"/>
  <c r="G18" i="51"/>
  <c r="H18" i="51"/>
  <c r="C3" i="51" s="1"/>
  <c r="C29" i="51"/>
  <c r="C32" i="51"/>
  <c r="C38" i="51"/>
  <c r="C45" i="51"/>
  <c r="C48" i="51"/>
  <c r="C53" i="51"/>
  <c r="C4" i="51"/>
  <c r="B3" i="51"/>
  <c r="E4" i="51" l="1"/>
  <c r="P3" i="44" l="1"/>
  <c r="P4" i="44"/>
  <c r="P5" i="44"/>
  <c r="P6" i="44"/>
  <c r="P7" i="44"/>
  <c r="P8" i="44"/>
  <c r="M9" i="44"/>
  <c r="N9" i="44"/>
  <c r="M26" i="44" s="1"/>
  <c r="O9" i="44"/>
  <c r="P9" i="44"/>
  <c r="O26" i="44" s="1"/>
  <c r="M10" i="44"/>
  <c r="N10" i="44"/>
  <c r="M43" i="44" s="1"/>
  <c r="O10" i="44"/>
  <c r="P10" i="44"/>
  <c r="O43" i="44" s="1"/>
  <c r="M11" i="44"/>
  <c r="N11" i="44"/>
  <c r="M44" i="44" s="1"/>
  <c r="O11" i="44"/>
  <c r="P11" i="44"/>
  <c r="O44" i="44" s="1"/>
  <c r="M12" i="44"/>
  <c r="N12" i="44"/>
  <c r="M27" i="44" s="1"/>
  <c r="O12" i="44"/>
  <c r="P12" i="44"/>
  <c r="O27" i="44" s="1"/>
  <c r="M13" i="44"/>
  <c r="N13" i="44"/>
  <c r="M45" i="44" s="1"/>
  <c r="O13" i="44"/>
  <c r="P13" i="44"/>
  <c r="O45" i="44" s="1"/>
  <c r="M14" i="44"/>
  <c r="N14" i="44"/>
  <c r="M46" i="44" s="1"/>
  <c r="O14" i="44"/>
  <c r="P14" i="44"/>
  <c r="O46" i="44" s="1"/>
  <c r="M15" i="44"/>
  <c r="N15" i="44"/>
  <c r="M47" i="44" s="1"/>
  <c r="O15" i="44"/>
  <c r="P15" i="44"/>
  <c r="O47" i="44" s="1"/>
  <c r="M16" i="44"/>
  <c r="N16" i="44"/>
  <c r="M48" i="44" s="1"/>
  <c r="O16" i="44"/>
  <c r="P16" i="44"/>
  <c r="O48" i="44" s="1"/>
  <c r="M17" i="44"/>
  <c r="N17" i="44"/>
  <c r="M49" i="44" s="1"/>
  <c r="O17" i="44"/>
  <c r="P17" i="44"/>
  <c r="O49" i="44" s="1"/>
  <c r="M18" i="44"/>
  <c r="N18" i="44"/>
  <c r="M35" i="44" s="1"/>
  <c r="O18" i="44"/>
  <c r="P18" i="44"/>
  <c r="O35" i="44" s="1"/>
  <c r="M19" i="44"/>
  <c r="N19" i="44"/>
  <c r="M36" i="44" s="1"/>
  <c r="O19" i="44"/>
  <c r="P19" i="44"/>
  <c r="O36" i="44" s="1"/>
  <c r="M20" i="44"/>
  <c r="N20" i="44"/>
  <c r="M37" i="44" s="1"/>
  <c r="O20" i="44"/>
  <c r="P20" i="44"/>
  <c r="O37" i="44" s="1"/>
  <c r="M21" i="44"/>
  <c r="N21" i="44"/>
  <c r="M38" i="44" s="1"/>
  <c r="O21" i="44"/>
  <c r="P21" i="44"/>
  <c r="O38" i="44" s="1"/>
  <c r="M22" i="44"/>
  <c r="N22" i="44"/>
  <c r="M39" i="44" s="1"/>
  <c r="O22" i="44"/>
  <c r="P22" i="44"/>
  <c r="O39" i="44" s="1"/>
  <c r="M23" i="44"/>
  <c r="N23" i="44"/>
  <c r="M40" i="44" s="1"/>
  <c r="O23" i="44"/>
  <c r="P23" i="44"/>
  <c r="O40" i="44" s="1"/>
  <c r="M24" i="44"/>
  <c r="N24" i="44"/>
  <c r="M41" i="44" s="1"/>
  <c r="O24" i="44"/>
  <c r="P24" i="44"/>
  <c r="O41" i="44" s="1"/>
  <c r="M25" i="44"/>
  <c r="N25" i="44"/>
  <c r="M42" i="44" s="1"/>
  <c r="O25" i="44"/>
  <c r="P25" i="44"/>
  <c r="O42" i="44" s="1"/>
  <c r="N26" i="44"/>
  <c r="P26" i="44"/>
  <c r="N27" i="44"/>
  <c r="P27" i="44"/>
  <c r="P28" i="44"/>
  <c r="P29" i="44"/>
  <c r="P30" i="44"/>
  <c r="P31" i="44"/>
  <c r="P32" i="44"/>
  <c r="P33" i="44"/>
  <c r="P34" i="44"/>
  <c r="N35" i="44"/>
  <c r="P35" i="44"/>
  <c r="N36" i="44"/>
  <c r="P36" i="44"/>
  <c r="N37" i="44"/>
  <c r="P37" i="44"/>
  <c r="N38" i="44"/>
  <c r="P38" i="44"/>
  <c r="N39" i="44"/>
  <c r="P39" i="44"/>
  <c r="N40" i="44"/>
  <c r="P40" i="44"/>
  <c r="N41" i="44"/>
  <c r="P41" i="44"/>
  <c r="N42" i="44"/>
  <c r="P42" i="44"/>
  <c r="N43" i="44"/>
  <c r="P43" i="44"/>
  <c r="N44" i="44"/>
  <c r="P44" i="44"/>
  <c r="N45" i="44"/>
  <c r="P45" i="44"/>
  <c r="N46" i="44"/>
  <c r="P46" i="44"/>
  <c r="N47" i="44"/>
  <c r="P47" i="44"/>
  <c r="N48" i="44"/>
  <c r="P48" i="44"/>
  <c r="N49" i="44"/>
  <c r="P49" i="44"/>
  <c r="P50" i="44"/>
  <c r="P51" i="44"/>
  <c r="P52" i="44"/>
  <c r="M53" i="44"/>
  <c r="N53" i="44"/>
  <c r="O53" i="44"/>
  <c r="P53" i="44"/>
  <c r="M54" i="44"/>
  <c r="N54" i="44"/>
  <c r="O54" i="44"/>
  <c r="P54" i="44"/>
  <c r="M55" i="44"/>
  <c r="N55" i="44"/>
  <c r="O55" i="44"/>
  <c r="P55" i="44"/>
  <c r="M56" i="44"/>
  <c r="N56" i="44"/>
  <c r="O56" i="44"/>
  <c r="P56" i="44"/>
  <c r="M57" i="44"/>
  <c r="N57" i="44"/>
  <c r="O57" i="44"/>
  <c r="P57" i="44"/>
  <c r="M58" i="44"/>
  <c r="N58" i="44"/>
  <c r="O58" i="44"/>
  <c r="P58" i="44"/>
  <c r="M59" i="44"/>
  <c r="N2" i="44" s="1"/>
  <c r="N59" i="44"/>
  <c r="O59" i="44"/>
  <c r="P59" i="44"/>
  <c r="P60" i="44"/>
  <c r="N61" i="44"/>
  <c r="P61" i="44"/>
  <c r="P62" i="44"/>
  <c r="P63" i="44"/>
  <c r="P64" i="44"/>
  <c r="N65" i="44"/>
  <c r="P65" i="44"/>
  <c r="P66" i="44"/>
  <c r="P67" i="44"/>
  <c r="P68" i="44"/>
  <c r="N69" i="44"/>
  <c r="P69" i="44"/>
  <c r="P70" i="44"/>
  <c r="P71" i="44"/>
  <c r="P72" i="44"/>
  <c r="N73" i="44"/>
  <c r="P73" i="44"/>
  <c r="P74" i="44"/>
  <c r="P75" i="44"/>
  <c r="P76" i="44"/>
  <c r="M77" i="44"/>
  <c r="N77" i="44"/>
  <c r="O77" i="44"/>
  <c r="P77" i="44"/>
  <c r="M78" i="44"/>
  <c r="N78" i="44"/>
  <c r="O78" i="44"/>
  <c r="P78" i="44"/>
  <c r="M79" i="44"/>
  <c r="N50" i="44" s="1"/>
  <c r="N79" i="44"/>
  <c r="M50" i="44" s="1"/>
  <c r="O79" i="44"/>
  <c r="P79" i="44"/>
  <c r="O50" i="44" s="1"/>
  <c r="M80" i="44"/>
  <c r="N5" i="44" s="1"/>
  <c r="N80" i="44"/>
  <c r="M5" i="44" s="1"/>
  <c r="O80" i="44"/>
  <c r="P80" i="44"/>
  <c r="O5" i="44" s="1"/>
  <c r="M81" i="44"/>
  <c r="N66" i="44" s="1"/>
  <c r="N81" i="44"/>
  <c r="M66" i="44" s="1"/>
  <c r="O81" i="44"/>
  <c r="P81" i="44"/>
  <c r="O66" i="44" s="1"/>
  <c r="M82" i="44"/>
  <c r="N52" i="44" s="1"/>
  <c r="N82" i="44"/>
  <c r="M52" i="44" s="1"/>
  <c r="O82" i="44"/>
  <c r="P82" i="44"/>
  <c r="O52" i="44" s="1"/>
  <c r="M83" i="44"/>
  <c r="N70" i="44" s="1"/>
  <c r="N83" i="44"/>
  <c r="M70" i="44" s="1"/>
  <c r="O83" i="44"/>
  <c r="P83" i="44"/>
  <c r="O70" i="44" s="1"/>
  <c r="M84" i="44"/>
  <c r="N71" i="44" s="1"/>
  <c r="N84" i="44"/>
  <c r="M71" i="44" s="1"/>
  <c r="O84" i="44"/>
  <c r="P84" i="44"/>
  <c r="O71" i="44" s="1"/>
  <c r="M85" i="44"/>
  <c r="N72" i="44" s="1"/>
  <c r="N85" i="44"/>
  <c r="M72" i="44" s="1"/>
  <c r="O85" i="44"/>
  <c r="P85" i="44"/>
  <c r="O72" i="44" s="1"/>
  <c r="M86" i="44"/>
  <c r="N86" i="44"/>
  <c r="M73" i="44" s="1"/>
  <c r="O86" i="44"/>
  <c r="P86" i="44"/>
  <c r="O73" i="44" s="1"/>
  <c r="M87" i="44"/>
  <c r="N74" i="44" s="1"/>
  <c r="N87" i="44"/>
  <c r="M74" i="44" s="1"/>
  <c r="O87" i="44"/>
  <c r="P87" i="44"/>
  <c r="O74" i="44" s="1"/>
  <c r="M88" i="44"/>
  <c r="N28" i="44" s="1"/>
  <c r="N88" i="44"/>
  <c r="M28" i="44" s="1"/>
  <c r="O88" i="44"/>
  <c r="P88" i="44"/>
  <c r="O28" i="44" s="1"/>
  <c r="M89" i="44"/>
  <c r="N29" i="44" s="1"/>
  <c r="N89" i="44"/>
  <c r="M29" i="44" s="1"/>
  <c r="O89" i="44"/>
  <c r="P89" i="44"/>
  <c r="O29" i="44" s="1"/>
  <c r="M90" i="44"/>
  <c r="N30" i="44" s="1"/>
  <c r="N90" i="44"/>
  <c r="M30" i="44" s="1"/>
  <c r="O90" i="44"/>
  <c r="P90" i="44"/>
  <c r="O30" i="44" s="1"/>
  <c r="M91" i="44"/>
  <c r="N31" i="44" s="1"/>
  <c r="N91" i="44"/>
  <c r="M31" i="44" s="1"/>
  <c r="O91" i="44"/>
  <c r="P91" i="44"/>
  <c r="O31" i="44" s="1"/>
  <c r="M92" i="44"/>
  <c r="N32" i="44" s="1"/>
  <c r="N92" i="44"/>
  <c r="M32" i="44" s="1"/>
  <c r="O92" i="44"/>
  <c r="P92" i="44"/>
  <c r="O32" i="44" s="1"/>
  <c r="M93" i="44"/>
  <c r="N33" i="44" s="1"/>
  <c r="N93" i="44"/>
  <c r="M33" i="44" s="1"/>
  <c r="O93" i="44"/>
  <c r="P93" i="44"/>
  <c r="O33" i="44" s="1"/>
  <c r="M94" i="44"/>
  <c r="N34" i="44" s="1"/>
  <c r="N94" i="44"/>
  <c r="M34" i="44" s="1"/>
  <c r="O94" i="44"/>
  <c r="P94" i="44"/>
  <c r="O34" i="44" s="1"/>
  <c r="M95" i="44"/>
  <c r="N3" i="44" s="1"/>
  <c r="N95" i="44"/>
  <c r="M3" i="44" s="1"/>
  <c r="O95" i="44"/>
  <c r="P95" i="44"/>
  <c r="O3" i="44" s="1"/>
  <c r="M96" i="44"/>
  <c r="N4" i="44" s="1"/>
  <c r="N96" i="44"/>
  <c r="M4" i="44" s="1"/>
  <c r="O96" i="44"/>
  <c r="P96" i="44"/>
  <c r="O4" i="44" s="1"/>
  <c r="M97" i="44"/>
  <c r="N6" i="44" s="1"/>
  <c r="N97" i="44"/>
  <c r="M6" i="44" s="1"/>
  <c r="O97" i="44"/>
  <c r="P97" i="44"/>
  <c r="O6" i="44" s="1"/>
  <c r="M98" i="44"/>
  <c r="N7" i="44" s="1"/>
  <c r="N98" i="44"/>
  <c r="M7" i="44" s="1"/>
  <c r="O98" i="44"/>
  <c r="P98" i="44"/>
  <c r="O7" i="44" s="1"/>
  <c r="M99" i="44"/>
  <c r="N8" i="44" s="1"/>
  <c r="N99" i="44"/>
  <c r="M8" i="44" s="1"/>
  <c r="O99" i="44"/>
  <c r="P99" i="44"/>
  <c r="O8" i="44" s="1"/>
  <c r="M100" i="44"/>
  <c r="N51" i="44" s="1"/>
  <c r="N100" i="44"/>
  <c r="M51" i="44" s="1"/>
  <c r="O100" i="44"/>
  <c r="P100" i="44"/>
  <c r="O51" i="44" s="1"/>
  <c r="M101" i="44"/>
  <c r="N60" i="44" s="1"/>
  <c r="N101" i="44"/>
  <c r="M60" i="44" s="1"/>
  <c r="O101" i="44"/>
  <c r="P101" i="44"/>
  <c r="O60" i="44" s="1"/>
  <c r="M102" i="44"/>
  <c r="N102" i="44"/>
  <c r="M61" i="44" s="1"/>
  <c r="O102" i="44"/>
  <c r="P102" i="44"/>
  <c r="O61" i="44" s="1"/>
  <c r="M103" i="44"/>
  <c r="N62" i="44" s="1"/>
  <c r="N103" i="44"/>
  <c r="M62" i="44" s="1"/>
  <c r="O103" i="44"/>
  <c r="P103" i="44"/>
  <c r="O62" i="44" s="1"/>
  <c r="M104" i="44"/>
  <c r="N63" i="44" s="1"/>
  <c r="N104" i="44"/>
  <c r="M63" i="44" s="1"/>
  <c r="O104" i="44"/>
  <c r="P104" i="44"/>
  <c r="O63" i="44" s="1"/>
  <c r="M105" i="44"/>
  <c r="N64" i="44" s="1"/>
  <c r="N105" i="44"/>
  <c r="M64" i="44" s="1"/>
  <c r="O105" i="44"/>
  <c r="P105" i="44"/>
  <c r="O64" i="44" s="1"/>
  <c r="M106" i="44"/>
  <c r="N106" i="44"/>
  <c r="M65" i="44" s="1"/>
  <c r="O106" i="44"/>
  <c r="P106" i="44"/>
  <c r="O65" i="44" s="1"/>
  <c r="M107" i="44"/>
  <c r="N67" i="44" s="1"/>
  <c r="N107" i="44"/>
  <c r="M67" i="44" s="1"/>
  <c r="O107" i="44"/>
  <c r="P107" i="44"/>
  <c r="O67" i="44" s="1"/>
  <c r="M108" i="44"/>
  <c r="N68" i="44" s="1"/>
  <c r="N108" i="44"/>
  <c r="M68" i="44" s="1"/>
  <c r="O108" i="44"/>
  <c r="P108" i="44"/>
  <c r="O68" i="44" s="1"/>
  <c r="M109" i="44"/>
  <c r="N109" i="44"/>
  <c r="M69" i="44" s="1"/>
  <c r="O109" i="44"/>
  <c r="P109" i="44"/>
  <c r="O69" i="44" s="1"/>
  <c r="M110" i="44"/>
  <c r="N75" i="44" s="1"/>
  <c r="N110" i="44"/>
  <c r="M75" i="44" s="1"/>
  <c r="O110" i="44"/>
  <c r="P110" i="44"/>
  <c r="O75" i="44" s="1"/>
  <c r="M111" i="44"/>
  <c r="N76" i="44" s="1"/>
  <c r="N111" i="44"/>
  <c r="M76" i="44" s="1"/>
  <c r="P111" i="44"/>
  <c r="O76" i="44" s="1"/>
  <c r="M112" i="44"/>
  <c r="N112" i="44"/>
  <c r="P112" i="44"/>
  <c r="O112" i="44" s="1"/>
  <c r="M113" i="44"/>
  <c r="N113" i="44"/>
  <c r="P113" i="44"/>
  <c r="O113" i="44" s="1"/>
  <c r="M114" i="44"/>
  <c r="N114" i="44"/>
  <c r="P114" i="44"/>
  <c r="O114" i="44" s="1"/>
  <c r="M115" i="44"/>
  <c r="N115" i="44"/>
  <c r="P115" i="44"/>
  <c r="O115" i="44" s="1"/>
  <c r="M116" i="44"/>
  <c r="N116" i="44"/>
  <c r="P116" i="44"/>
  <c r="O116" i="44" s="1"/>
  <c r="M117" i="44"/>
  <c r="N117" i="44"/>
  <c r="P117" i="44"/>
  <c r="O117" i="44" s="1"/>
  <c r="P2" i="44"/>
  <c r="O2" i="44"/>
  <c r="M2" i="44"/>
  <c r="O111" i="44" l="1"/>
  <c r="A9" i="44"/>
  <c r="B9" i="44"/>
  <c r="C9" i="44"/>
  <c r="D9" i="44"/>
  <c r="E9" i="44"/>
  <c r="F9" i="44"/>
  <c r="G9" i="44"/>
  <c r="H9" i="44"/>
  <c r="I9" i="44"/>
  <c r="J9" i="44"/>
  <c r="K9" i="44"/>
  <c r="L9" i="44"/>
  <c r="A10" i="44"/>
  <c r="B10" i="44"/>
  <c r="C10" i="44"/>
  <c r="D10" i="44"/>
  <c r="D43" i="44" s="1"/>
  <c r="E10" i="44"/>
  <c r="F10" i="44"/>
  <c r="G10" i="44"/>
  <c r="H10" i="44"/>
  <c r="H43" i="44" s="1"/>
  <c r="I10" i="44"/>
  <c r="J10" i="44"/>
  <c r="K10" i="44"/>
  <c r="L10" i="44"/>
  <c r="L43" i="44" s="1"/>
  <c r="A11" i="44"/>
  <c r="B11" i="44"/>
  <c r="C11" i="44"/>
  <c r="D11" i="44"/>
  <c r="D44" i="44" s="1"/>
  <c r="E11" i="44"/>
  <c r="F11" i="44"/>
  <c r="G11" i="44"/>
  <c r="H11" i="44"/>
  <c r="H44" i="44" s="1"/>
  <c r="I11" i="44"/>
  <c r="J11" i="44"/>
  <c r="K11" i="44"/>
  <c r="L11" i="44"/>
  <c r="L44" i="44" s="1"/>
  <c r="A12" i="44"/>
  <c r="B12" i="44"/>
  <c r="C12" i="44"/>
  <c r="D12" i="44"/>
  <c r="E12" i="44"/>
  <c r="F12" i="44"/>
  <c r="G12" i="44"/>
  <c r="H12" i="44"/>
  <c r="I12" i="44"/>
  <c r="J12" i="44"/>
  <c r="K12" i="44"/>
  <c r="L12" i="44"/>
  <c r="A13" i="44"/>
  <c r="B13" i="44"/>
  <c r="C13" i="44"/>
  <c r="D13" i="44"/>
  <c r="D45" i="44" s="1"/>
  <c r="E13" i="44"/>
  <c r="F13" i="44"/>
  <c r="G13" i="44"/>
  <c r="H13" i="44"/>
  <c r="H45" i="44" s="1"/>
  <c r="I13" i="44"/>
  <c r="I45" i="44" s="1"/>
  <c r="J13" i="44"/>
  <c r="K13" i="44"/>
  <c r="L13" i="44"/>
  <c r="L45" i="44" s="1"/>
  <c r="A14" i="44"/>
  <c r="A46" i="44" s="1"/>
  <c r="B14" i="44"/>
  <c r="C14" i="44"/>
  <c r="D14" i="44"/>
  <c r="D46" i="44" s="1"/>
  <c r="E14" i="44"/>
  <c r="E46" i="44" s="1"/>
  <c r="F14" i="44"/>
  <c r="G14" i="44"/>
  <c r="H14" i="44"/>
  <c r="H46" i="44" s="1"/>
  <c r="I14" i="44"/>
  <c r="I46" i="44" s="1"/>
  <c r="J14" i="44"/>
  <c r="K14" i="44"/>
  <c r="L14" i="44"/>
  <c r="L46" i="44" s="1"/>
  <c r="A15" i="44"/>
  <c r="A47" i="44" s="1"/>
  <c r="B15" i="44"/>
  <c r="C15" i="44"/>
  <c r="D15" i="44"/>
  <c r="D47" i="44" s="1"/>
  <c r="E15" i="44"/>
  <c r="E47" i="44" s="1"/>
  <c r="F15" i="44"/>
  <c r="G15" i="44"/>
  <c r="H15" i="44"/>
  <c r="H47" i="44" s="1"/>
  <c r="I15" i="44"/>
  <c r="I47" i="44" s="1"/>
  <c r="J15" i="44"/>
  <c r="K15" i="44"/>
  <c r="L15" i="44"/>
  <c r="L47" i="44" s="1"/>
  <c r="A16" i="44"/>
  <c r="A48" i="44" s="1"/>
  <c r="B16" i="44"/>
  <c r="C16" i="44"/>
  <c r="D16" i="44"/>
  <c r="D48" i="44" s="1"/>
  <c r="E16" i="44"/>
  <c r="E48" i="44" s="1"/>
  <c r="F16" i="44"/>
  <c r="G16" i="44"/>
  <c r="H16" i="44"/>
  <c r="H48" i="44" s="1"/>
  <c r="I16" i="44"/>
  <c r="I48" i="44" s="1"/>
  <c r="J16" i="44"/>
  <c r="K16" i="44"/>
  <c r="L16" i="44"/>
  <c r="L48" i="44" s="1"/>
  <c r="A17" i="44"/>
  <c r="A49" i="44" s="1"/>
  <c r="B17" i="44"/>
  <c r="C17" i="44"/>
  <c r="D17" i="44"/>
  <c r="D49" i="44" s="1"/>
  <c r="E17" i="44"/>
  <c r="E49" i="44" s="1"/>
  <c r="F17" i="44"/>
  <c r="G17" i="44"/>
  <c r="H17" i="44"/>
  <c r="H49" i="44" s="1"/>
  <c r="I17" i="44"/>
  <c r="I49" i="44" s="1"/>
  <c r="J17" i="44"/>
  <c r="K17" i="44"/>
  <c r="L17" i="44"/>
  <c r="L49" i="44" s="1"/>
  <c r="A18" i="44"/>
  <c r="A35" i="44" s="1"/>
  <c r="B18" i="44"/>
  <c r="C18" i="44"/>
  <c r="D18" i="44"/>
  <c r="D35" i="44" s="1"/>
  <c r="E18" i="44"/>
  <c r="E35" i="44" s="1"/>
  <c r="F18" i="44"/>
  <c r="G18" i="44"/>
  <c r="H18" i="44"/>
  <c r="H35" i="44" s="1"/>
  <c r="I18" i="44"/>
  <c r="I35" i="44" s="1"/>
  <c r="J18" i="44"/>
  <c r="K18" i="44"/>
  <c r="L18" i="44"/>
  <c r="L35" i="44" s="1"/>
  <c r="A19" i="44"/>
  <c r="A36" i="44" s="1"/>
  <c r="B19" i="44"/>
  <c r="C19" i="44"/>
  <c r="D19" i="44"/>
  <c r="D36" i="44" s="1"/>
  <c r="E19" i="44"/>
  <c r="E36" i="44" s="1"/>
  <c r="F19" i="44"/>
  <c r="G19" i="44"/>
  <c r="H19" i="44"/>
  <c r="H36" i="44" s="1"/>
  <c r="I19" i="44"/>
  <c r="I36" i="44" s="1"/>
  <c r="J19" i="44"/>
  <c r="K19" i="44"/>
  <c r="L19" i="44"/>
  <c r="L36" i="44" s="1"/>
  <c r="A20" i="44"/>
  <c r="A37" i="44" s="1"/>
  <c r="B20" i="44"/>
  <c r="C20" i="44"/>
  <c r="D20" i="44"/>
  <c r="D37" i="44" s="1"/>
  <c r="E20" i="44"/>
  <c r="E37" i="44" s="1"/>
  <c r="F20" i="44"/>
  <c r="G20" i="44"/>
  <c r="H20" i="44"/>
  <c r="H37" i="44" s="1"/>
  <c r="I20" i="44"/>
  <c r="I37" i="44" s="1"/>
  <c r="J20" i="44"/>
  <c r="K20" i="44"/>
  <c r="L20" i="44"/>
  <c r="L37" i="44" s="1"/>
  <c r="A21" i="44"/>
  <c r="A38" i="44" s="1"/>
  <c r="B21" i="44"/>
  <c r="C21" i="44"/>
  <c r="D21" i="44"/>
  <c r="D38" i="44" s="1"/>
  <c r="E21" i="44"/>
  <c r="E38" i="44" s="1"/>
  <c r="F21" i="44"/>
  <c r="G21" i="44"/>
  <c r="H21" i="44"/>
  <c r="H38" i="44" s="1"/>
  <c r="I21" i="44"/>
  <c r="I38" i="44" s="1"/>
  <c r="J21" i="44"/>
  <c r="K21" i="44"/>
  <c r="L21" i="44"/>
  <c r="L38" i="44" s="1"/>
  <c r="A22" i="44"/>
  <c r="A39" i="44" s="1"/>
  <c r="B22" i="44"/>
  <c r="C22" i="44"/>
  <c r="D22" i="44"/>
  <c r="D39" i="44" s="1"/>
  <c r="E22" i="44"/>
  <c r="E39" i="44" s="1"/>
  <c r="F22" i="44"/>
  <c r="G22" i="44"/>
  <c r="H22" i="44"/>
  <c r="H39" i="44" s="1"/>
  <c r="I22" i="44"/>
  <c r="I39" i="44" s="1"/>
  <c r="J22" i="44"/>
  <c r="K22" i="44"/>
  <c r="L22" i="44"/>
  <c r="L39" i="44" s="1"/>
  <c r="A23" i="44"/>
  <c r="A40" i="44" s="1"/>
  <c r="B23" i="44"/>
  <c r="C23" i="44"/>
  <c r="D23" i="44"/>
  <c r="D40" i="44" s="1"/>
  <c r="E23" i="44"/>
  <c r="E40" i="44" s="1"/>
  <c r="F23" i="44"/>
  <c r="G23" i="44"/>
  <c r="H23" i="44"/>
  <c r="H40" i="44" s="1"/>
  <c r="I23" i="44"/>
  <c r="I40" i="44" s="1"/>
  <c r="J23" i="44"/>
  <c r="K23" i="44"/>
  <c r="L23" i="44"/>
  <c r="L40" i="44" s="1"/>
  <c r="A24" i="44"/>
  <c r="A41" i="44" s="1"/>
  <c r="B24" i="44"/>
  <c r="C24" i="44"/>
  <c r="D24" i="44"/>
  <c r="D41" i="44" s="1"/>
  <c r="E24" i="44"/>
  <c r="E41" i="44" s="1"/>
  <c r="F24" i="44"/>
  <c r="G24" i="44"/>
  <c r="H24" i="44"/>
  <c r="H41" i="44" s="1"/>
  <c r="I24" i="44"/>
  <c r="I41" i="44" s="1"/>
  <c r="J24" i="44"/>
  <c r="K24" i="44"/>
  <c r="L24" i="44"/>
  <c r="L41" i="44" s="1"/>
  <c r="A25" i="44"/>
  <c r="A42" i="44" s="1"/>
  <c r="B25" i="44"/>
  <c r="C25" i="44"/>
  <c r="D25" i="44"/>
  <c r="D42" i="44" s="1"/>
  <c r="E25" i="44"/>
  <c r="E42" i="44" s="1"/>
  <c r="F25" i="44"/>
  <c r="G25" i="44"/>
  <c r="H25" i="44"/>
  <c r="H42" i="44" s="1"/>
  <c r="I25" i="44"/>
  <c r="I42" i="44" s="1"/>
  <c r="J25" i="44"/>
  <c r="K25" i="44"/>
  <c r="L25" i="44"/>
  <c r="L42" i="44" s="1"/>
  <c r="A26" i="44"/>
  <c r="B26" i="44"/>
  <c r="C26" i="44"/>
  <c r="D26" i="44"/>
  <c r="E26" i="44"/>
  <c r="F26" i="44"/>
  <c r="G26" i="44"/>
  <c r="H26" i="44"/>
  <c r="I26" i="44"/>
  <c r="J26" i="44"/>
  <c r="K26" i="44"/>
  <c r="L26" i="44"/>
  <c r="A27" i="44"/>
  <c r="B27" i="44"/>
  <c r="C27" i="44"/>
  <c r="D27" i="44"/>
  <c r="E27" i="44"/>
  <c r="F27" i="44"/>
  <c r="G27" i="44"/>
  <c r="H27" i="44"/>
  <c r="I27" i="44"/>
  <c r="J27" i="44"/>
  <c r="K27" i="44"/>
  <c r="L27" i="44"/>
  <c r="B35" i="44"/>
  <c r="C35" i="44"/>
  <c r="F35" i="44"/>
  <c r="G35" i="44"/>
  <c r="J35" i="44"/>
  <c r="K35" i="44"/>
  <c r="B36" i="44"/>
  <c r="C36" i="44"/>
  <c r="F36" i="44"/>
  <c r="G36" i="44"/>
  <c r="J36" i="44"/>
  <c r="K36" i="44"/>
  <c r="B37" i="44"/>
  <c r="C37" i="44"/>
  <c r="F37" i="44"/>
  <c r="G37" i="44"/>
  <c r="J37" i="44"/>
  <c r="K37" i="44"/>
  <c r="B38" i="44"/>
  <c r="C38" i="44"/>
  <c r="F38" i="44"/>
  <c r="G38" i="44"/>
  <c r="J38" i="44"/>
  <c r="K38" i="44"/>
  <c r="B39" i="44"/>
  <c r="C39" i="44"/>
  <c r="F39" i="44"/>
  <c r="G39" i="44"/>
  <c r="J39" i="44"/>
  <c r="K39" i="44"/>
  <c r="B40" i="44"/>
  <c r="C40" i="44"/>
  <c r="F40" i="44"/>
  <c r="G40" i="44"/>
  <c r="J40" i="44"/>
  <c r="K40" i="44"/>
  <c r="B41" i="44"/>
  <c r="C41" i="44"/>
  <c r="F41" i="44"/>
  <c r="G41" i="44"/>
  <c r="J41" i="44"/>
  <c r="K41" i="44"/>
  <c r="B42" i="44"/>
  <c r="C42" i="44"/>
  <c r="F42" i="44"/>
  <c r="G42" i="44"/>
  <c r="J42" i="44"/>
  <c r="K42" i="44"/>
  <c r="A43" i="44"/>
  <c r="B43" i="44"/>
  <c r="C43" i="44"/>
  <c r="E43" i="44"/>
  <c r="F43" i="44"/>
  <c r="G43" i="44"/>
  <c r="I43" i="44"/>
  <c r="J43" i="44"/>
  <c r="K43" i="44"/>
  <c r="A44" i="44"/>
  <c r="B44" i="44"/>
  <c r="C44" i="44"/>
  <c r="E44" i="44"/>
  <c r="F44" i="44"/>
  <c r="G44" i="44"/>
  <c r="I44" i="44"/>
  <c r="J44" i="44"/>
  <c r="K44" i="44"/>
  <c r="A45" i="44"/>
  <c r="B45" i="44"/>
  <c r="C45" i="44"/>
  <c r="E45" i="44"/>
  <c r="F45" i="44"/>
  <c r="G45" i="44"/>
  <c r="J45" i="44"/>
  <c r="K45" i="44"/>
  <c r="B46" i="44"/>
  <c r="C46" i="44"/>
  <c r="F46" i="44"/>
  <c r="G46" i="44"/>
  <c r="J46" i="44"/>
  <c r="K46" i="44"/>
  <c r="B47" i="44"/>
  <c r="C47" i="44"/>
  <c r="F47" i="44"/>
  <c r="G47" i="44"/>
  <c r="J47" i="44"/>
  <c r="K47" i="44"/>
  <c r="B48" i="44"/>
  <c r="C48" i="44"/>
  <c r="F48" i="44"/>
  <c r="G48" i="44"/>
  <c r="J48" i="44"/>
  <c r="K48" i="44"/>
  <c r="B49" i="44"/>
  <c r="C49" i="44"/>
  <c r="F49" i="44"/>
  <c r="G49" i="44"/>
  <c r="J49" i="44"/>
  <c r="K49" i="44"/>
  <c r="B50" i="44"/>
  <c r="F50" i="44"/>
  <c r="I50" i="44"/>
  <c r="B51" i="44"/>
  <c r="E51" i="44"/>
  <c r="F51" i="44"/>
  <c r="J51" i="44"/>
  <c r="F52" i="44"/>
  <c r="J52" i="44"/>
  <c r="A53" i="44"/>
  <c r="B53" i="44"/>
  <c r="C53" i="44"/>
  <c r="D53" i="44"/>
  <c r="E53" i="44"/>
  <c r="F53" i="44"/>
  <c r="G53" i="44"/>
  <c r="H53" i="44"/>
  <c r="I53" i="44"/>
  <c r="J53" i="44"/>
  <c r="K53" i="44"/>
  <c r="L53" i="44"/>
  <c r="A54" i="44"/>
  <c r="B54" i="44"/>
  <c r="C54" i="44"/>
  <c r="D54" i="44"/>
  <c r="E54" i="44"/>
  <c r="F54" i="44"/>
  <c r="G54" i="44"/>
  <c r="H54" i="44"/>
  <c r="I54" i="44"/>
  <c r="J54" i="44"/>
  <c r="K54" i="44"/>
  <c r="L54" i="44"/>
  <c r="A55" i="44"/>
  <c r="B55" i="44"/>
  <c r="C55" i="44"/>
  <c r="D55" i="44"/>
  <c r="E55" i="44"/>
  <c r="F55" i="44"/>
  <c r="G55" i="44"/>
  <c r="H55" i="44"/>
  <c r="I55" i="44"/>
  <c r="J55" i="44"/>
  <c r="K55" i="44"/>
  <c r="L55" i="44"/>
  <c r="A56" i="44"/>
  <c r="B56" i="44"/>
  <c r="C56" i="44"/>
  <c r="D56" i="44"/>
  <c r="E56" i="44"/>
  <c r="F56" i="44"/>
  <c r="G56" i="44"/>
  <c r="H56" i="44"/>
  <c r="I56" i="44"/>
  <c r="J56" i="44"/>
  <c r="K56" i="44"/>
  <c r="L56" i="44"/>
  <c r="A57" i="44"/>
  <c r="B57" i="44"/>
  <c r="C57" i="44"/>
  <c r="D57" i="44"/>
  <c r="E57" i="44"/>
  <c r="F57" i="44"/>
  <c r="G57" i="44"/>
  <c r="H57" i="44"/>
  <c r="I57" i="44"/>
  <c r="J57" i="44"/>
  <c r="K57" i="44"/>
  <c r="L57" i="44"/>
  <c r="A58" i="44"/>
  <c r="B58" i="44"/>
  <c r="C58" i="44"/>
  <c r="D58" i="44"/>
  <c r="E58" i="44"/>
  <c r="F58" i="44"/>
  <c r="G58" i="44"/>
  <c r="H58" i="44"/>
  <c r="I58" i="44"/>
  <c r="J58" i="44"/>
  <c r="K58" i="44"/>
  <c r="L58" i="44"/>
  <c r="A59" i="44"/>
  <c r="B59" i="44"/>
  <c r="C59" i="44"/>
  <c r="D59" i="44"/>
  <c r="E59" i="44"/>
  <c r="F59" i="44"/>
  <c r="G59" i="44"/>
  <c r="H59" i="44"/>
  <c r="I59" i="44"/>
  <c r="J59" i="44"/>
  <c r="K59" i="44"/>
  <c r="L59" i="44"/>
  <c r="B60" i="44"/>
  <c r="I60" i="44"/>
  <c r="J60" i="44"/>
  <c r="B61" i="44"/>
  <c r="F61" i="44"/>
  <c r="B62" i="44"/>
  <c r="F62" i="44"/>
  <c r="J62" i="44"/>
  <c r="A63" i="44"/>
  <c r="F63" i="44"/>
  <c r="I63" i="44"/>
  <c r="J63" i="44"/>
  <c r="B64" i="44"/>
  <c r="J64" i="44"/>
  <c r="B65" i="44"/>
  <c r="F65" i="44"/>
  <c r="A66" i="44"/>
  <c r="B66" i="44"/>
  <c r="F66" i="44"/>
  <c r="J66" i="44"/>
  <c r="F67" i="44"/>
  <c r="J67" i="44"/>
  <c r="B68" i="44"/>
  <c r="E68" i="44"/>
  <c r="J68" i="44"/>
  <c r="A69" i="44"/>
  <c r="B69" i="44"/>
  <c r="F69" i="44"/>
  <c r="B70" i="44"/>
  <c r="F70" i="44"/>
  <c r="J70" i="44"/>
  <c r="E71" i="44"/>
  <c r="F71" i="44"/>
  <c r="J71" i="44"/>
  <c r="B72" i="44"/>
  <c r="G72" i="44"/>
  <c r="E73" i="44"/>
  <c r="G73" i="44"/>
  <c r="K73" i="44"/>
  <c r="I74" i="44"/>
  <c r="K74" i="44"/>
  <c r="C75" i="44"/>
  <c r="A76" i="44"/>
  <c r="G76" i="44"/>
  <c r="A77" i="44"/>
  <c r="B77" i="44"/>
  <c r="C77" i="44"/>
  <c r="D77" i="44"/>
  <c r="E77" i="44"/>
  <c r="F77" i="44"/>
  <c r="G77" i="44"/>
  <c r="H77" i="44"/>
  <c r="I77" i="44"/>
  <c r="J77" i="44"/>
  <c r="K77" i="44"/>
  <c r="L77" i="44"/>
  <c r="A78" i="44"/>
  <c r="B78" i="44"/>
  <c r="C78" i="44"/>
  <c r="D78" i="44"/>
  <c r="E78" i="44"/>
  <c r="F78" i="44"/>
  <c r="G78" i="44"/>
  <c r="H78" i="44"/>
  <c r="I78" i="44"/>
  <c r="J78" i="44"/>
  <c r="K78" i="44"/>
  <c r="L78" i="44"/>
  <c r="A79" i="44"/>
  <c r="A50" i="44" s="1"/>
  <c r="B79" i="44"/>
  <c r="C79" i="44"/>
  <c r="C50" i="44" s="1"/>
  <c r="D79" i="44"/>
  <c r="D50" i="44" s="1"/>
  <c r="E79" i="44"/>
  <c r="E50" i="44" s="1"/>
  <c r="F79" i="44"/>
  <c r="G79" i="44"/>
  <c r="G50" i="44" s="1"/>
  <c r="H79" i="44"/>
  <c r="H50" i="44" s="1"/>
  <c r="I79" i="44"/>
  <c r="J79" i="44"/>
  <c r="J50" i="44" s="1"/>
  <c r="K79" i="44"/>
  <c r="K50" i="44" s="1"/>
  <c r="L79" i="44"/>
  <c r="L50" i="44" s="1"/>
  <c r="A80" i="44"/>
  <c r="A5" i="44" s="1"/>
  <c r="B80" i="44"/>
  <c r="B5" i="44" s="1"/>
  <c r="C80" i="44"/>
  <c r="C5" i="44" s="1"/>
  <c r="D80" i="44"/>
  <c r="D5" i="44" s="1"/>
  <c r="E80" i="44"/>
  <c r="E5" i="44" s="1"/>
  <c r="F80" i="44"/>
  <c r="F5" i="44" s="1"/>
  <c r="G80" i="44"/>
  <c r="G5" i="44" s="1"/>
  <c r="H80" i="44"/>
  <c r="H5" i="44" s="1"/>
  <c r="I80" i="44"/>
  <c r="I5" i="44" s="1"/>
  <c r="J80" i="44"/>
  <c r="J5" i="44" s="1"/>
  <c r="K80" i="44"/>
  <c r="K5" i="44" s="1"/>
  <c r="L80" i="44"/>
  <c r="L5" i="44" s="1"/>
  <c r="A81" i="44"/>
  <c r="B81" i="44"/>
  <c r="C81" i="44"/>
  <c r="C66" i="44" s="1"/>
  <c r="D81" i="44"/>
  <c r="D66" i="44" s="1"/>
  <c r="E81" i="44"/>
  <c r="E66" i="44" s="1"/>
  <c r="F81" i="44"/>
  <c r="G81" i="44"/>
  <c r="G66" i="44" s="1"/>
  <c r="H81" i="44"/>
  <c r="H66" i="44" s="1"/>
  <c r="I81" i="44"/>
  <c r="I66" i="44" s="1"/>
  <c r="J81" i="44"/>
  <c r="K81" i="44"/>
  <c r="K66" i="44" s="1"/>
  <c r="L81" i="44"/>
  <c r="L66" i="44" s="1"/>
  <c r="A82" i="44"/>
  <c r="A52" i="44" s="1"/>
  <c r="B82" i="44"/>
  <c r="B52" i="44" s="1"/>
  <c r="C82" i="44"/>
  <c r="C52" i="44" s="1"/>
  <c r="D82" i="44"/>
  <c r="D52" i="44" s="1"/>
  <c r="E82" i="44"/>
  <c r="E52" i="44" s="1"/>
  <c r="F82" i="44"/>
  <c r="G82" i="44"/>
  <c r="G52" i="44" s="1"/>
  <c r="H82" i="44"/>
  <c r="H52" i="44" s="1"/>
  <c r="I82" i="44"/>
  <c r="I52" i="44" s="1"/>
  <c r="J82" i="44"/>
  <c r="K82" i="44"/>
  <c r="K52" i="44" s="1"/>
  <c r="L82" i="44"/>
  <c r="L52" i="44" s="1"/>
  <c r="A83" i="44"/>
  <c r="A70" i="44" s="1"/>
  <c r="B83" i="44"/>
  <c r="C83" i="44"/>
  <c r="C70" i="44" s="1"/>
  <c r="D83" i="44"/>
  <c r="D70" i="44" s="1"/>
  <c r="E83" i="44"/>
  <c r="E70" i="44" s="1"/>
  <c r="F83" i="44"/>
  <c r="G83" i="44"/>
  <c r="G70" i="44" s="1"/>
  <c r="H83" i="44"/>
  <c r="H70" i="44" s="1"/>
  <c r="I83" i="44"/>
  <c r="I70" i="44" s="1"/>
  <c r="J83" i="44"/>
  <c r="K83" i="44"/>
  <c r="K70" i="44" s="1"/>
  <c r="L83" i="44"/>
  <c r="L70" i="44" s="1"/>
  <c r="A84" i="44"/>
  <c r="A71" i="44" s="1"/>
  <c r="B84" i="44"/>
  <c r="B71" i="44" s="1"/>
  <c r="C84" i="44"/>
  <c r="C71" i="44" s="1"/>
  <c r="D84" i="44"/>
  <c r="D71" i="44" s="1"/>
  <c r="E84" i="44"/>
  <c r="F84" i="44"/>
  <c r="G84" i="44"/>
  <c r="G71" i="44" s="1"/>
  <c r="H84" i="44"/>
  <c r="H71" i="44" s="1"/>
  <c r="I84" i="44"/>
  <c r="I71" i="44" s="1"/>
  <c r="J84" i="44"/>
  <c r="K84" i="44"/>
  <c r="K71" i="44" s="1"/>
  <c r="L84" i="44"/>
  <c r="L71" i="44" s="1"/>
  <c r="A85" i="44"/>
  <c r="A72" i="44" s="1"/>
  <c r="B85" i="44"/>
  <c r="C85" i="44"/>
  <c r="C72" i="44" s="1"/>
  <c r="D85" i="44"/>
  <c r="D72" i="44" s="1"/>
  <c r="E85" i="44"/>
  <c r="E72" i="44" s="1"/>
  <c r="F85" i="44"/>
  <c r="F72" i="44" s="1"/>
  <c r="G85" i="44"/>
  <c r="H85" i="44"/>
  <c r="H72" i="44" s="1"/>
  <c r="I85" i="44"/>
  <c r="I72" i="44" s="1"/>
  <c r="J85" i="44"/>
  <c r="J72" i="44" s="1"/>
  <c r="K85" i="44"/>
  <c r="K72" i="44" s="1"/>
  <c r="L85" i="44"/>
  <c r="L72" i="44" s="1"/>
  <c r="A86" i="44"/>
  <c r="A73" i="44" s="1"/>
  <c r="B86" i="44"/>
  <c r="B73" i="44" s="1"/>
  <c r="C86" i="44"/>
  <c r="C73" i="44" s="1"/>
  <c r="D86" i="44"/>
  <c r="D73" i="44" s="1"/>
  <c r="E86" i="44"/>
  <c r="F86" i="44"/>
  <c r="F73" i="44" s="1"/>
  <c r="G86" i="44"/>
  <c r="H86" i="44"/>
  <c r="H73" i="44" s="1"/>
  <c r="I86" i="44"/>
  <c r="I73" i="44" s="1"/>
  <c r="J86" i="44"/>
  <c r="J73" i="44" s="1"/>
  <c r="K86" i="44"/>
  <c r="L86" i="44"/>
  <c r="L73" i="44" s="1"/>
  <c r="A87" i="44"/>
  <c r="A74" i="44" s="1"/>
  <c r="B87" i="44"/>
  <c r="B74" i="44" s="1"/>
  <c r="C87" i="44"/>
  <c r="C74" i="44" s="1"/>
  <c r="D87" i="44"/>
  <c r="D74" i="44" s="1"/>
  <c r="E87" i="44"/>
  <c r="E74" i="44" s="1"/>
  <c r="F87" i="44"/>
  <c r="F74" i="44" s="1"/>
  <c r="G87" i="44"/>
  <c r="G74" i="44" s="1"/>
  <c r="H87" i="44"/>
  <c r="H74" i="44" s="1"/>
  <c r="I87" i="44"/>
  <c r="J87" i="44"/>
  <c r="J74" i="44" s="1"/>
  <c r="K87" i="44"/>
  <c r="L87" i="44"/>
  <c r="L74" i="44" s="1"/>
  <c r="A88" i="44"/>
  <c r="A28" i="44" s="1"/>
  <c r="B88" i="44"/>
  <c r="B28" i="44" s="1"/>
  <c r="C88" i="44"/>
  <c r="C28" i="44" s="1"/>
  <c r="D88" i="44"/>
  <c r="D28" i="44" s="1"/>
  <c r="E88" i="44"/>
  <c r="E28" i="44" s="1"/>
  <c r="F88" i="44"/>
  <c r="F28" i="44" s="1"/>
  <c r="G88" i="44"/>
  <c r="G28" i="44" s="1"/>
  <c r="H88" i="44"/>
  <c r="H28" i="44" s="1"/>
  <c r="I88" i="44"/>
  <c r="I28" i="44" s="1"/>
  <c r="J88" i="44"/>
  <c r="J28" i="44" s="1"/>
  <c r="K88" i="44"/>
  <c r="K28" i="44" s="1"/>
  <c r="L88" i="44"/>
  <c r="L28" i="44" s="1"/>
  <c r="A89" i="44"/>
  <c r="A29" i="44" s="1"/>
  <c r="B89" i="44"/>
  <c r="B29" i="44" s="1"/>
  <c r="C89" i="44"/>
  <c r="C29" i="44" s="1"/>
  <c r="D89" i="44"/>
  <c r="D29" i="44" s="1"/>
  <c r="E89" i="44"/>
  <c r="E29" i="44" s="1"/>
  <c r="F89" i="44"/>
  <c r="F29" i="44" s="1"/>
  <c r="G89" i="44"/>
  <c r="G29" i="44" s="1"/>
  <c r="H89" i="44"/>
  <c r="H29" i="44" s="1"/>
  <c r="I89" i="44"/>
  <c r="I29" i="44" s="1"/>
  <c r="J89" i="44"/>
  <c r="J29" i="44" s="1"/>
  <c r="K89" i="44"/>
  <c r="K29" i="44" s="1"/>
  <c r="L89" i="44"/>
  <c r="L29" i="44" s="1"/>
  <c r="A90" i="44"/>
  <c r="A30" i="44" s="1"/>
  <c r="B90" i="44"/>
  <c r="B30" i="44" s="1"/>
  <c r="C90" i="44"/>
  <c r="C30" i="44" s="1"/>
  <c r="D90" i="44"/>
  <c r="D30" i="44" s="1"/>
  <c r="E90" i="44"/>
  <c r="E30" i="44" s="1"/>
  <c r="F90" i="44"/>
  <c r="F30" i="44" s="1"/>
  <c r="G90" i="44"/>
  <c r="G30" i="44" s="1"/>
  <c r="H90" i="44"/>
  <c r="H30" i="44" s="1"/>
  <c r="I90" i="44"/>
  <c r="I30" i="44" s="1"/>
  <c r="J90" i="44"/>
  <c r="J30" i="44" s="1"/>
  <c r="K90" i="44"/>
  <c r="K30" i="44" s="1"/>
  <c r="L90" i="44"/>
  <c r="L30" i="44" s="1"/>
  <c r="A91" i="44"/>
  <c r="A31" i="44" s="1"/>
  <c r="B91" i="44"/>
  <c r="B31" i="44" s="1"/>
  <c r="C91" i="44"/>
  <c r="C31" i="44" s="1"/>
  <c r="D91" i="44"/>
  <c r="D31" i="44" s="1"/>
  <c r="E91" i="44"/>
  <c r="E31" i="44" s="1"/>
  <c r="F91" i="44"/>
  <c r="F31" i="44" s="1"/>
  <c r="G91" i="44"/>
  <c r="G31" i="44" s="1"/>
  <c r="H91" i="44"/>
  <c r="H31" i="44" s="1"/>
  <c r="I91" i="44"/>
  <c r="I31" i="44" s="1"/>
  <c r="J91" i="44"/>
  <c r="J31" i="44" s="1"/>
  <c r="K91" i="44"/>
  <c r="K31" i="44" s="1"/>
  <c r="L91" i="44"/>
  <c r="L31" i="44" s="1"/>
  <c r="A92" i="44"/>
  <c r="A32" i="44" s="1"/>
  <c r="B92" i="44"/>
  <c r="B32" i="44" s="1"/>
  <c r="C92" i="44"/>
  <c r="C32" i="44" s="1"/>
  <c r="D92" i="44"/>
  <c r="D32" i="44" s="1"/>
  <c r="E92" i="44"/>
  <c r="E32" i="44" s="1"/>
  <c r="F92" i="44"/>
  <c r="F32" i="44" s="1"/>
  <c r="G92" i="44"/>
  <c r="G32" i="44" s="1"/>
  <c r="H92" i="44"/>
  <c r="H32" i="44" s="1"/>
  <c r="I92" i="44"/>
  <c r="I32" i="44" s="1"/>
  <c r="J92" i="44"/>
  <c r="J32" i="44" s="1"/>
  <c r="K92" i="44"/>
  <c r="K32" i="44" s="1"/>
  <c r="L92" i="44"/>
  <c r="L32" i="44" s="1"/>
  <c r="A93" i="44"/>
  <c r="A33" i="44" s="1"/>
  <c r="B93" i="44"/>
  <c r="B33" i="44" s="1"/>
  <c r="C93" i="44"/>
  <c r="C33" i="44" s="1"/>
  <c r="D93" i="44"/>
  <c r="D33" i="44" s="1"/>
  <c r="E93" i="44"/>
  <c r="E33" i="44" s="1"/>
  <c r="F93" i="44"/>
  <c r="F33" i="44" s="1"/>
  <c r="G93" i="44"/>
  <c r="G33" i="44" s="1"/>
  <c r="H93" i="44"/>
  <c r="H33" i="44" s="1"/>
  <c r="I93" i="44"/>
  <c r="I33" i="44" s="1"/>
  <c r="J93" i="44"/>
  <c r="J33" i="44" s="1"/>
  <c r="K93" i="44"/>
  <c r="K33" i="44" s="1"/>
  <c r="L93" i="44"/>
  <c r="L33" i="44" s="1"/>
  <c r="A94" i="44"/>
  <c r="A34" i="44" s="1"/>
  <c r="B94" i="44"/>
  <c r="B34" i="44" s="1"/>
  <c r="C94" i="44"/>
  <c r="C34" i="44" s="1"/>
  <c r="D94" i="44"/>
  <c r="D34" i="44" s="1"/>
  <c r="E94" i="44"/>
  <c r="E34" i="44" s="1"/>
  <c r="F94" i="44"/>
  <c r="F34" i="44" s="1"/>
  <c r="G94" i="44"/>
  <c r="G34" i="44" s="1"/>
  <c r="H94" i="44"/>
  <c r="H34" i="44" s="1"/>
  <c r="I94" i="44"/>
  <c r="I34" i="44" s="1"/>
  <c r="J94" i="44"/>
  <c r="J34" i="44" s="1"/>
  <c r="K94" i="44"/>
  <c r="K34" i="44" s="1"/>
  <c r="L94" i="44"/>
  <c r="L34" i="44" s="1"/>
  <c r="A95" i="44"/>
  <c r="A3" i="44" s="1"/>
  <c r="B95" i="44"/>
  <c r="B3" i="44" s="1"/>
  <c r="C95" i="44"/>
  <c r="C3" i="44" s="1"/>
  <c r="D95" i="44"/>
  <c r="D3" i="44" s="1"/>
  <c r="E95" i="44"/>
  <c r="E3" i="44" s="1"/>
  <c r="F95" i="44"/>
  <c r="F3" i="44" s="1"/>
  <c r="G95" i="44"/>
  <c r="G3" i="44" s="1"/>
  <c r="H95" i="44"/>
  <c r="H3" i="44" s="1"/>
  <c r="I95" i="44"/>
  <c r="I3" i="44" s="1"/>
  <c r="J95" i="44"/>
  <c r="J3" i="44" s="1"/>
  <c r="K95" i="44"/>
  <c r="K3" i="44" s="1"/>
  <c r="L95" i="44"/>
  <c r="L3" i="44" s="1"/>
  <c r="A96" i="44"/>
  <c r="A4" i="44" s="1"/>
  <c r="B96" i="44"/>
  <c r="B4" i="44" s="1"/>
  <c r="C96" i="44"/>
  <c r="C4" i="44" s="1"/>
  <c r="D96" i="44"/>
  <c r="D4" i="44" s="1"/>
  <c r="E96" i="44"/>
  <c r="E4" i="44" s="1"/>
  <c r="F96" i="44"/>
  <c r="F4" i="44" s="1"/>
  <c r="G96" i="44"/>
  <c r="G4" i="44" s="1"/>
  <c r="H96" i="44"/>
  <c r="H4" i="44" s="1"/>
  <c r="I96" i="44"/>
  <c r="I4" i="44" s="1"/>
  <c r="J96" i="44"/>
  <c r="J4" i="44" s="1"/>
  <c r="K96" i="44"/>
  <c r="K4" i="44" s="1"/>
  <c r="L96" i="44"/>
  <c r="L4" i="44" s="1"/>
  <c r="A97" i="44"/>
  <c r="A6" i="44" s="1"/>
  <c r="B97" i="44"/>
  <c r="B6" i="44" s="1"/>
  <c r="C97" i="44"/>
  <c r="C6" i="44" s="1"/>
  <c r="D97" i="44"/>
  <c r="D6" i="44" s="1"/>
  <c r="E97" i="44"/>
  <c r="E6" i="44" s="1"/>
  <c r="F97" i="44"/>
  <c r="F6" i="44" s="1"/>
  <c r="G97" i="44"/>
  <c r="G6" i="44" s="1"/>
  <c r="H97" i="44"/>
  <c r="H6" i="44" s="1"/>
  <c r="I97" i="44"/>
  <c r="I6" i="44" s="1"/>
  <c r="J97" i="44"/>
  <c r="J6" i="44" s="1"/>
  <c r="K97" i="44"/>
  <c r="K6" i="44" s="1"/>
  <c r="L97" i="44"/>
  <c r="L6" i="44" s="1"/>
  <c r="A98" i="44"/>
  <c r="A7" i="44" s="1"/>
  <c r="B98" i="44"/>
  <c r="B7" i="44" s="1"/>
  <c r="C98" i="44"/>
  <c r="C7" i="44" s="1"/>
  <c r="D98" i="44"/>
  <c r="D7" i="44" s="1"/>
  <c r="E98" i="44"/>
  <c r="E7" i="44" s="1"/>
  <c r="F98" i="44"/>
  <c r="F7" i="44" s="1"/>
  <c r="G98" i="44"/>
  <c r="G7" i="44" s="1"/>
  <c r="H98" i="44"/>
  <c r="H7" i="44" s="1"/>
  <c r="I98" i="44"/>
  <c r="I7" i="44" s="1"/>
  <c r="J98" i="44"/>
  <c r="J7" i="44" s="1"/>
  <c r="K98" i="44"/>
  <c r="K7" i="44" s="1"/>
  <c r="L98" i="44"/>
  <c r="L7" i="44" s="1"/>
  <c r="A99" i="44"/>
  <c r="A8" i="44" s="1"/>
  <c r="B99" i="44"/>
  <c r="B8" i="44" s="1"/>
  <c r="C99" i="44"/>
  <c r="C8" i="44" s="1"/>
  <c r="D99" i="44"/>
  <c r="D8" i="44" s="1"/>
  <c r="E99" i="44"/>
  <c r="E8" i="44" s="1"/>
  <c r="F99" i="44"/>
  <c r="F8" i="44" s="1"/>
  <c r="G99" i="44"/>
  <c r="G8" i="44" s="1"/>
  <c r="H99" i="44"/>
  <c r="H8" i="44" s="1"/>
  <c r="I99" i="44"/>
  <c r="I8" i="44" s="1"/>
  <c r="J99" i="44"/>
  <c r="J8" i="44" s="1"/>
  <c r="K99" i="44"/>
  <c r="K8" i="44" s="1"/>
  <c r="L99" i="44"/>
  <c r="L8" i="44" s="1"/>
  <c r="A100" i="44"/>
  <c r="A51" i="44" s="1"/>
  <c r="B100" i="44"/>
  <c r="C100" i="44"/>
  <c r="C51" i="44" s="1"/>
  <c r="D100" i="44"/>
  <c r="D51" i="44" s="1"/>
  <c r="E100" i="44"/>
  <c r="F100" i="44"/>
  <c r="G100" i="44"/>
  <c r="G51" i="44" s="1"/>
  <c r="H100" i="44"/>
  <c r="H51" i="44" s="1"/>
  <c r="I100" i="44"/>
  <c r="I51" i="44" s="1"/>
  <c r="J100" i="44"/>
  <c r="K100" i="44"/>
  <c r="K51" i="44" s="1"/>
  <c r="L100" i="44"/>
  <c r="L51" i="44" s="1"/>
  <c r="A101" i="44"/>
  <c r="A60" i="44" s="1"/>
  <c r="B101" i="44"/>
  <c r="C101" i="44"/>
  <c r="C60" i="44" s="1"/>
  <c r="D101" i="44"/>
  <c r="D60" i="44" s="1"/>
  <c r="E101" i="44"/>
  <c r="E60" i="44" s="1"/>
  <c r="F101" i="44"/>
  <c r="F60" i="44" s="1"/>
  <c r="G101" i="44"/>
  <c r="G60" i="44" s="1"/>
  <c r="H101" i="44"/>
  <c r="H60" i="44" s="1"/>
  <c r="I101" i="44"/>
  <c r="J101" i="44"/>
  <c r="K101" i="44"/>
  <c r="K60" i="44" s="1"/>
  <c r="L101" i="44"/>
  <c r="L60" i="44" s="1"/>
  <c r="A102" i="44"/>
  <c r="A61" i="44" s="1"/>
  <c r="B102" i="44"/>
  <c r="C102" i="44"/>
  <c r="C61" i="44" s="1"/>
  <c r="D102" i="44"/>
  <c r="D61" i="44" s="1"/>
  <c r="E102" i="44"/>
  <c r="E61" i="44" s="1"/>
  <c r="F102" i="44"/>
  <c r="G102" i="44"/>
  <c r="G61" i="44" s="1"/>
  <c r="H102" i="44"/>
  <c r="H61" i="44" s="1"/>
  <c r="I102" i="44"/>
  <c r="I61" i="44" s="1"/>
  <c r="J102" i="44"/>
  <c r="J61" i="44" s="1"/>
  <c r="K102" i="44"/>
  <c r="K61" i="44" s="1"/>
  <c r="L102" i="44"/>
  <c r="L61" i="44" s="1"/>
  <c r="A103" i="44"/>
  <c r="A62" i="44" s="1"/>
  <c r="B103" i="44"/>
  <c r="C103" i="44"/>
  <c r="C62" i="44" s="1"/>
  <c r="D103" i="44"/>
  <c r="D62" i="44" s="1"/>
  <c r="E103" i="44"/>
  <c r="E62" i="44" s="1"/>
  <c r="F103" i="44"/>
  <c r="G103" i="44"/>
  <c r="G62" i="44" s="1"/>
  <c r="H103" i="44"/>
  <c r="H62" i="44" s="1"/>
  <c r="I103" i="44"/>
  <c r="I62" i="44" s="1"/>
  <c r="J103" i="44"/>
  <c r="K103" i="44"/>
  <c r="K62" i="44" s="1"/>
  <c r="L103" i="44"/>
  <c r="L62" i="44" s="1"/>
  <c r="A104" i="44"/>
  <c r="B104" i="44"/>
  <c r="B63" i="44" s="1"/>
  <c r="C104" i="44"/>
  <c r="C63" i="44" s="1"/>
  <c r="D104" i="44"/>
  <c r="D63" i="44" s="1"/>
  <c r="E104" i="44"/>
  <c r="E63" i="44" s="1"/>
  <c r="F104" i="44"/>
  <c r="G104" i="44"/>
  <c r="G63" i="44" s="1"/>
  <c r="H104" i="44"/>
  <c r="H63" i="44" s="1"/>
  <c r="I104" i="44"/>
  <c r="J104" i="44"/>
  <c r="K104" i="44"/>
  <c r="K63" i="44" s="1"/>
  <c r="L104" i="44"/>
  <c r="L63" i="44" s="1"/>
  <c r="A105" i="44"/>
  <c r="A64" i="44" s="1"/>
  <c r="B105" i="44"/>
  <c r="C105" i="44"/>
  <c r="C64" i="44" s="1"/>
  <c r="D105" i="44"/>
  <c r="D64" i="44" s="1"/>
  <c r="E105" i="44"/>
  <c r="E64" i="44" s="1"/>
  <c r="F105" i="44"/>
  <c r="F64" i="44" s="1"/>
  <c r="G105" i="44"/>
  <c r="G64" i="44" s="1"/>
  <c r="H105" i="44"/>
  <c r="H64" i="44" s="1"/>
  <c r="I105" i="44"/>
  <c r="I64" i="44" s="1"/>
  <c r="J105" i="44"/>
  <c r="K105" i="44"/>
  <c r="K64" i="44" s="1"/>
  <c r="L105" i="44"/>
  <c r="L64" i="44" s="1"/>
  <c r="A106" i="44"/>
  <c r="A65" i="44" s="1"/>
  <c r="B106" i="44"/>
  <c r="C106" i="44"/>
  <c r="C65" i="44" s="1"/>
  <c r="D106" i="44"/>
  <c r="D65" i="44" s="1"/>
  <c r="E106" i="44"/>
  <c r="E65" i="44" s="1"/>
  <c r="F106" i="44"/>
  <c r="G106" i="44"/>
  <c r="G65" i="44" s="1"/>
  <c r="H106" i="44"/>
  <c r="H65" i="44" s="1"/>
  <c r="I106" i="44"/>
  <c r="I65" i="44" s="1"/>
  <c r="J106" i="44"/>
  <c r="J65" i="44" s="1"/>
  <c r="K106" i="44"/>
  <c r="K65" i="44" s="1"/>
  <c r="L106" i="44"/>
  <c r="L65" i="44" s="1"/>
  <c r="A107" i="44"/>
  <c r="A67" i="44" s="1"/>
  <c r="B107" i="44"/>
  <c r="B67" i="44" s="1"/>
  <c r="C107" i="44"/>
  <c r="C67" i="44" s="1"/>
  <c r="D107" i="44"/>
  <c r="D67" i="44" s="1"/>
  <c r="E107" i="44"/>
  <c r="E67" i="44" s="1"/>
  <c r="F107" i="44"/>
  <c r="G107" i="44"/>
  <c r="G67" i="44" s="1"/>
  <c r="H107" i="44"/>
  <c r="H67" i="44" s="1"/>
  <c r="I107" i="44"/>
  <c r="I67" i="44" s="1"/>
  <c r="J107" i="44"/>
  <c r="K107" i="44"/>
  <c r="K67" i="44" s="1"/>
  <c r="L107" i="44"/>
  <c r="L67" i="44" s="1"/>
  <c r="A108" i="44"/>
  <c r="A68" i="44" s="1"/>
  <c r="B108" i="44"/>
  <c r="C108" i="44"/>
  <c r="C68" i="44" s="1"/>
  <c r="D108" i="44"/>
  <c r="D68" i="44" s="1"/>
  <c r="E108" i="44"/>
  <c r="F108" i="44"/>
  <c r="F68" i="44" s="1"/>
  <c r="G108" i="44"/>
  <c r="G68" i="44" s="1"/>
  <c r="H108" i="44"/>
  <c r="H68" i="44" s="1"/>
  <c r="I108" i="44"/>
  <c r="I68" i="44" s="1"/>
  <c r="J108" i="44"/>
  <c r="K108" i="44"/>
  <c r="K68" i="44" s="1"/>
  <c r="L108" i="44"/>
  <c r="L68" i="44" s="1"/>
  <c r="A109" i="44"/>
  <c r="B109" i="44"/>
  <c r="C109" i="44"/>
  <c r="C69" i="44" s="1"/>
  <c r="D109" i="44"/>
  <c r="D69" i="44" s="1"/>
  <c r="E109" i="44"/>
  <c r="E69" i="44" s="1"/>
  <c r="F109" i="44"/>
  <c r="G109" i="44"/>
  <c r="G69" i="44" s="1"/>
  <c r="H109" i="44"/>
  <c r="H69" i="44" s="1"/>
  <c r="I109" i="44"/>
  <c r="I69" i="44" s="1"/>
  <c r="J109" i="44"/>
  <c r="J69" i="44" s="1"/>
  <c r="K109" i="44"/>
  <c r="K69" i="44" s="1"/>
  <c r="L109" i="44"/>
  <c r="L69" i="44" s="1"/>
  <c r="A110" i="44"/>
  <c r="A75" i="44" s="1"/>
  <c r="B110" i="44"/>
  <c r="B75" i="44" s="1"/>
  <c r="C110" i="44"/>
  <c r="D110" i="44"/>
  <c r="D75" i="44" s="1"/>
  <c r="E110" i="44"/>
  <c r="E75" i="44" s="1"/>
  <c r="F110" i="44"/>
  <c r="F75" i="44" s="1"/>
  <c r="G110" i="44"/>
  <c r="G75" i="44" s="1"/>
  <c r="H110" i="44"/>
  <c r="H75" i="44" s="1"/>
  <c r="I110" i="44"/>
  <c r="I75" i="44" s="1"/>
  <c r="J110" i="44"/>
  <c r="J75" i="44" s="1"/>
  <c r="K110" i="44"/>
  <c r="K75" i="44" s="1"/>
  <c r="L110" i="44"/>
  <c r="L75" i="44" s="1"/>
  <c r="A111" i="44"/>
  <c r="B111" i="44"/>
  <c r="B76" i="44" s="1"/>
  <c r="C111" i="44"/>
  <c r="C76" i="44" s="1"/>
  <c r="D111" i="44"/>
  <c r="D76" i="44" s="1"/>
  <c r="E111" i="44"/>
  <c r="E76" i="44" s="1"/>
  <c r="F111" i="44"/>
  <c r="F76" i="44" s="1"/>
  <c r="G111" i="44"/>
  <c r="H111" i="44"/>
  <c r="H76" i="44" s="1"/>
  <c r="I111" i="44"/>
  <c r="I76" i="44" s="1"/>
  <c r="J111" i="44"/>
  <c r="J76" i="44" s="1"/>
  <c r="K111" i="44"/>
  <c r="K76" i="44" s="1"/>
  <c r="L111" i="44"/>
  <c r="L76" i="44" s="1"/>
  <c r="A112" i="44"/>
  <c r="B112" i="44"/>
  <c r="C112" i="44"/>
  <c r="D112" i="44"/>
  <c r="E112" i="44"/>
  <c r="F112" i="44"/>
  <c r="G112" i="44"/>
  <c r="H112" i="44"/>
  <c r="I112" i="44"/>
  <c r="J112" i="44"/>
  <c r="K112" i="44"/>
  <c r="L112" i="44"/>
  <c r="A113" i="44"/>
  <c r="B113" i="44"/>
  <c r="C113" i="44"/>
  <c r="D113" i="44"/>
  <c r="E113" i="44"/>
  <c r="F113" i="44"/>
  <c r="G113" i="44"/>
  <c r="H113" i="44"/>
  <c r="I113" i="44"/>
  <c r="J113" i="44"/>
  <c r="K113" i="44"/>
  <c r="L113" i="44"/>
  <c r="A114" i="44"/>
  <c r="B114" i="44"/>
  <c r="C114" i="44"/>
  <c r="D114" i="44"/>
  <c r="E114" i="44"/>
  <c r="F114" i="44"/>
  <c r="G114" i="44"/>
  <c r="H114" i="44"/>
  <c r="I114" i="44"/>
  <c r="J114" i="44"/>
  <c r="K114" i="44"/>
  <c r="L114" i="44"/>
  <c r="A115" i="44"/>
  <c r="B115" i="44"/>
  <c r="C115" i="44"/>
  <c r="D115" i="44"/>
  <c r="E115" i="44"/>
  <c r="F115" i="44"/>
  <c r="G115" i="44"/>
  <c r="H115" i="44"/>
  <c r="I115" i="44"/>
  <c r="J115" i="44"/>
  <c r="K115" i="44"/>
  <c r="L115" i="44"/>
  <c r="A116" i="44"/>
  <c r="B116" i="44"/>
  <c r="C116" i="44"/>
  <c r="D116" i="44"/>
  <c r="E116" i="44"/>
  <c r="F116" i="44"/>
  <c r="G116" i="44"/>
  <c r="H116" i="44"/>
  <c r="I116" i="44"/>
  <c r="J116" i="44"/>
  <c r="K116" i="44"/>
  <c r="L116" i="44"/>
  <c r="A117" i="44"/>
  <c r="B117" i="44"/>
  <c r="C117" i="44"/>
  <c r="D117" i="44"/>
  <c r="E117" i="44"/>
  <c r="F117" i="44"/>
  <c r="G117" i="44"/>
  <c r="H117" i="44"/>
  <c r="I117" i="44"/>
  <c r="J117" i="44"/>
  <c r="K117" i="44"/>
  <c r="L117" i="44"/>
  <c r="B2" i="44"/>
  <c r="C2" i="44"/>
  <c r="D2" i="44"/>
  <c r="E2" i="44"/>
  <c r="F2" i="44"/>
  <c r="G2" i="44"/>
  <c r="H2" i="44"/>
  <c r="I2" i="44"/>
  <c r="J2" i="44"/>
  <c r="K2" i="44"/>
  <c r="L2" i="44"/>
  <c r="A2" i="44"/>
  <c r="M15" i="43"/>
  <c r="N15" i="43"/>
  <c r="M16" i="43"/>
  <c r="N16" i="43"/>
  <c r="M17" i="43"/>
  <c r="N17" i="43"/>
  <c r="M18" i="43"/>
  <c r="N18" i="43"/>
  <c r="M3" i="43"/>
  <c r="N3" i="43"/>
  <c r="O3" i="43"/>
  <c r="P3" i="43"/>
  <c r="M4" i="43"/>
  <c r="N4" i="43"/>
  <c r="O4" i="43"/>
  <c r="P4" i="43"/>
  <c r="M5" i="43"/>
  <c r="N5" i="43"/>
  <c r="O5" i="43"/>
  <c r="P5" i="43"/>
  <c r="M6" i="43"/>
  <c r="N6" i="43"/>
  <c r="O6" i="43"/>
  <c r="P6" i="43"/>
  <c r="M7" i="43"/>
  <c r="N7" i="43"/>
  <c r="O7" i="43"/>
  <c r="P7" i="43"/>
  <c r="M8" i="43"/>
  <c r="N8" i="43"/>
  <c r="O8" i="43"/>
  <c r="P8" i="43"/>
  <c r="M9" i="43"/>
  <c r="N9" i="43"/>
  <c r="O9" i="43"/>
  <c r="P9" i="43"/>
  <c r="M10" i="43"/>
  <c r="N10" i="43"/>
  <c r="O10" i="43"/>
  <c r="P10" i="43"/>
  <c r="M11" i="43"/>
  <c r="N11" i="43"/>
  <c r="O11" i="43"/>
  <c r="P11" i="43"/>
  <c r="M12" i="43"/>
  <c r="N12" i="43"/>
  <c r="O12" i="43"/>
  <c r="P12" i="43"/>
  <c r="M13" i="43"/>
  <c r="N13" i="43"/>
  <c r="O13" i="43"/>
  <c r="P13" i="43"/>
  <c r="M14" i="43"/>
  <c r="N14" i="43"/>
  <c r="O14" i="43"/>
  <c r="P14" i="43"/>
  <c r="P2" i="43"/>
  <c r="O2" i="43"/>
  <c r="N2" i="43"/>
  <c r="M2" i="43"/>
  <c r="E16" i="43"/>
  <c r="E17" i="43"/>
  <c r="E18" i="43"/>
  <c r="G3" i="43"/>
  <c r="H3" i="43"/>
  <c r="G4" i="43"/>
  <c r="H4" i="43"/>
  <c r="G5" i="43"/>
  <c r="H5" i="43"/>
  <c r="G6" i="43"/>
  <c r="H6" i="43"/>
  <c r="G7" i="43"/>
  <c r="H7" i="43"/>
  <c r="G8" i="43"/>
  <c r="H8" i="43"/>
  <c r="G9" i="43"/>
  <c r="H9" i="43"/>
  <c r="G10" i="43"/>
  <c r="H10" i="43"/>
  <c r="G11" i="43"/>
  <c r="H11" i="43"/>
  <c r="G12" i="43"/>
  <c r="H12" i="43"/>
  <c r="G13" i="43"/>
  <c r="H13" i="43"/>
  <c r="G14" i="43"/>
  <c r="H14" i="43"/>
  <c r="G15" i="43"/>
  <c r="H15" i="43"/>
  <c r="G16" i="43"/>
  <c r="H16" i="43"/>
  <c r="G17" i="43"/>
  <c r="H17" i="43"/>
  <c r="G18" i="43"/>
  <c r="H18" i="43"/>
  <c r="A16" i="43"/>
  <c r="B16" i="43"/>
  <c r="C16" i="43"/>
  <c r="D16" i="43"/>
  <c r="A17" i="43"/>
  <c r="B17" i="43"/>
  <c r="C17" i="43"/>
  <c r="D17" i="43"/>
  <c r="A18" i="43"/>
  <c r="B18" i="43"/>
  <c r="C18" i="43"/>
  <c r="D18" i="43"/>
  <c r="F16" i="43"/>
  <c r="I16" i="43"/>
  <c r="J16" i="43"/>
  <c r="K16" i="43"/>
  <c r="L16" i="43"/>
  <c r="F17" i="43"/>
  <c r="I17" i="43"/>
  <c r="J17" i="43"/>
  <c r="K17" i="43"/>
  <c r="L17" i="43"/>
  <c r="F18" i="43"/>
  <c r="I18" i="43"/>
  <c r="J18" i="43"/>
  <c r="K18" i="43"/>
  <c r="L18" i="43"/>
  <c r="A3" i="43"/>
  <c r="B3" i="43"/>
  <c r="C3" i="43"/>
  <c r="D3" i="43"/>
  <c r="E3" i="43"/>
  <c r="F3" i="43"/>
  <c r="I3" i="43"/>
  <c r="J3" i="43"/>
  <c r="K3" i="43"/>
  <c r="L3" i="43"/>
  <c r="A4" i="43"/>
  <c r="B4" i="43"/>
  <c r="C4" i="43"/>
  <c r="D4" i="43"/>
  <c r="E4" i="43"/>
  <c r="F4" i="43"/>
  <c r="I4" i="43"/>
  <c r="J4" i="43"/>
  <c r="K4" i="43"/>
  <c r="L4" i="43"/>
  <c r="A5" i="43"/>
  <c r="B5" i="43"/>
  <c r="C5" i="43"/>
  <c r="D5" i="43"/>
  <c r="E5" i="43"/>
  <c r="F5" i="43"/>
  <c r="I5" i="43"/>
  <c r="J5" i="43"/>
  <c r="K5" i="43"/>
  <c r="L5" i="43"/>
  <c r="A6" i="43"/>
  <c r="B6" i="43"/>
  <c r="C6" i="43"/>
  <c r="D6" i="43"/>
  <c r="E6" i="43"/>
  <c r="F6" i="43"/>
  <c r="I6" i="43"/>
  <c r="J6" i="43"/>
  <c r="K6" i="43"/>
  <c r="L6" i="43"/>
  <c r="A7" i="43"/>
  <c r="B7" i="43"/>
  <c r="C7" i="43"/>
  <c r="D7" i="43"/>
  <c r="E7" i="43"/>
  <c r="F7" i="43"/>
  <c r="I7" i="43"/>
  <c r="J7" i="43"/>
  <c r="K7" i="43"/>
  <c r="L7" i="43"/>
  <c r="A8" i="43"/>
  <c r="B8" i="43"/>
  <c r="C8" i="43"/>
  <c r="D8" i="43"/>
  <c r="E8" i="43"/>
  <c r="F8" i="43"/>
  <c r="I8" i="43"/>
  <c r="J8" i="43"/>
  <c r="K8" i="43"/>
  <c r="L8" i="43"/>
  <c r="A9" i="43"/>
  <c r="B9" i="43"/>
  <c r="C9" i="43"/>
  <c r="D9" i="43"/>
  <c r="E9" i="43"/>
  <c r="F9" i="43"/>
  <c r="I9" i="43"/>
  <c r="J9" i="43"/>
  <c r="K9" i="43"/>
  <c r="L9" i="43"/>
  <c r="A10" i="43"/>
  <c r="B10" i="43"/>
  <c r="C10" i="43"/>
  <c r="D10" i="43"/>
  <c r="E10" i="43"/>
  <c r="F10" i="43"/>
  <c r="I10" i="43"/>
  <c r="J10" i="43"/>
  <c r="K10" i="43"/>
  <c r="L10" i="43"/>
  <c r="A11" i="43"/>
  <c r="B11" i="43"/>
  <c r="C11" i="43"/>
  <c r="D11" i="43"/>
  <c r="E11" i="43"/>
  <c r="F11" i="43"/>
  <c r="I11" i="43"/>
  <c r="J11" i="43"/>
  <c r="K11" i="43"/>
  <c r="L11" i="43"/>
  <c r="A12" i="43"/>
  <c r="B12" i="43"/>
  <c r="C12" i="43"/>
  <c r="D12" i="43"/>
  <c r="E12" i="43"/>
  <c r="F12" i="43"/>
  <c r="I12" i="43"/>
  <c r="J12" i="43"/>
  <c r="K12" i="43"/>
  <c r="L12" i="43"/>
  <c r="A13" i="43"/>
  <c r="B13" i="43"/>
  <c r="C13" i="43"/>
  <c r="D13" i="43"/>
  <c r="E13" i="43"/>
  <c r="F13" i="43"/>
  <c r="I13" i="43"/>
  <c r="J13" i="43"/>
  <c r="K13" i="43"/>
  <c r="L13" i="43"/>
  <c r="A14" i="43"/>
  <c r="B14" i="43"/>
  <c r="C14" i="43"/>
  <c r="D14" i="43"/>
  <c r="E14" i="43"/>
  <c r="F14" i="43"/>
  <c r="I14" i="43"/>
  <c r="J14" i="43"/>
  <c r="K14" i="43"/>
  <c r="L14" i="43"/>
  <c r="A15" i="43"/>
  <c r="B15" i="43"/>
  <c r="C15" i="43"/>
  <c r="D15" i="43"/>
  <c r="E15" i="43"/>
  <c r="F15" i="43"/>
  <c r="I15" i="43"/>
  <c r="J15" i="43"/>
  <c r="K15" i="43"/>
  <c r="L15" i="43"/>
  <c r="B2" i="43"/>
  <c r="C2" i="43"/>
  <c r="D2" i="43"/>
  <c r="E2" i="43"/>
  <c r="F2" i="43"/>
  <c r="G2" i="43"/>
  <c r="H2" i="43"/>
  <c r="I2" i="43"/>
  <c r="J2" i="43"/>
  <c r="K2" i="43"/>
  <c r="L2" i="43"/>
  <c r="A2" i="43"/>
  <c r="M5" i="42"/>
  <c r="N5" i="42"/>
  <c r="M6" i="42"/>
  <c r="N6" i="42"/>
  <c r="M7" i="42"/>
  <c r="N7" i="42"/>
  <c r="M8" i="42"/>
  <c r="N8" i="42"/>
  <c r="M9" i="42"/>
  <c r="N9" i="42"/>
  <c r="M10" i="42"/>
  <c r="N10" i="42"/>
  <c r="M3" i="42"/>
  <c r="N3" i="42"/>
  <c r="O3" i="42"/>
  <c r="P3" i="42"/>
  <c r="M4" i="42"/>
  <c r="N4" i="42"/>
  <c r="O4" i="42"/>
  <c r="P4" i="42"/>
  <c r="P2" i="42"/>
  <c r="O2" i="42"/>
  <c r="N2" i="42"/>
  <c r="M2" i="42"/>
  <c r="A3" i="42"/>
  <c r="B3" i="42"/>
  <c r="C3" i="42"/>
  <c r="D3" i="42"/>
  <c r="E3" i="42"/>
  <c r="F3" i="42"/>
  <c r="G3" i="42"/>
  <c r="H3" i="42"/>
  <c r="I3" i="42"/>
  <c r="J3" i="42"/>
  <c r="K3" i="42"/>
  <c r="L3" i="42"/>
  <c r="A4" i="42"/>
  <c r="B4" i="42"/>
  <c r="C4" i="42"/>
  <c r="D4" i="42"/>
  <c r="E4" i="42"/>
  <c r="F4" i="42"/>
  <c r="G4" i="42"/>
  <c r="H4" i="42"/>
  <c r="I4" i="42"/>
  <c r="J4" i="42"/>
  <c r="K4" i="42"/>
  <c r="L4" i="42"/>
  <c r="A5" i="42"/>
  <c r="B5" i="42"/>
  <c r="C5" i="42"/>
  <c r="D5" i="42"/>
  <c r="E5" i="42"/>
  <c r="F5" i="42"/>
  <c r="G5" i="42"/>
  <c r="H5" i="42"/>
  <c r="I5" i="42"/>
  <c r="J5" i="42"/>
  <c r="K5" i="42"/>
  <c r="L5" i="42"/>
  <c r="A6" i="42"/>
  <c r="B6" i="42"/>
  <c r="C6" i="42"/>
  <c r="D6" i="42"/>
  <c r="E6" i="42"/>
  <c r="F6" i="42"/>
  <c r="G6" i="42"/>
  <c r="H6" i="42"/>
  <c r="I6" i="42"/>
  <c r="J6" i="42"/>
  <c r="K6" i="42"/>
  <c r="L6" i="42"/>
  <c r="A7" i="42"/>
  <c r="B7" i="42"/>
  <c r="C7" i="42"/>
  <c r="D7" i="42"/>
  <c r="E7" i="42"/>
  <c r="F7" i="42"/>
  <c r="G7" i="42"/>
  <c r="H7" i="42"/>
  <c r="I7" i="42"/>
  <c r="J7" i="42"/>
  <c r="K7" i="42"/>
  <c r="L7" i="42"/>
  <c r="A8" i="42"/>
  <c r="B8" i="42"/>
  <c r="C8" i="42"/>
  <c r="D8" i="42"/>
  <c r="E8" i="42"/>
  <c r="F8" i="42"/>
  <c r="G8" i="42"/>
  <c r="H8" i="42"/>
  <c r="I8" i="42"/>
  <c r="J8" i="42"/>
  <c r="K8" i="42"/>
  <c r="L8" i="42"/>
  <c r="A9" i="42"/>
  <c r="B9" i="42"/>
  <c r="C9" i="42"/>
  <c r="D9" i="42"/>
  <c r="E9" i="42"/>
  <c r="F9" i="42"/>
  <c r="G9" i="42"/>
  <c r="H9" i="42"/>
  <c r="I9" i="42"/>
  <c r="J9" i="42"/>
  <c r="K9" i="42"/>
  <c r="L9" i="42"/>
  <c r="A10" i="42"/>
  <c r="B10" i="42"/>
  <c r="C10" i="42"/>
  <c r="D10" i="42"/>
  <c r="E10" i="42"/>
  <c r="F10" i="42"/>
  <c r="G10" i="42"/>
  <c r="H10" i="42"/>
  <c r="I10" i="42"/>
  <c r="J10" i="42"/>
  <c r="K10" i="42"/>
  <c r="L10" i="42"/>
  <c r="B2" i="42"/>
  <c r="C2" i="42"/>
  <c r="D2" i="42"/>
  <c r="E2" i="42"/>
  <c r="F2" i="42"/>
  <c r="G2" i="42"/>
  <c r="H2" i="42"/>
  <c r="I2" i="42"/>
  <c r="J2" i="42"/>
  <c r="K2" i="42"/>
  <c r="L2" i="42"/>
  <c r="A2" i="42"/>
  <c r="E10" i="45" l="1"/>
  <c r="E5" i="45"/>
  <c r="E3" i="45"/>
  <c r="E2" i="45"/>
  <c r="G7" i="35"/>
  <c r="G6" i="35"/>
  <c r="G5" i="35"/>
  <c r="F15" i="6"/>
  <c r="F11" i="5"/>
  <c r="F7" i="4"/>
  <c r="F8" i="3"/>
  <c r="F9" i="2"/>
  <c r="E10" i="32"/>
  <c r="E5" i="32"/>
  <c r="E3" i="32"/>
  <c r="E2" i="32"/>
  <c r="B5" i="9"/>
  <c r="G5" i="9"/>
  <c r="E15" i="8"/>
  <c r="E14" i="8"/>
  <c r="P12" i="41"/>
  <c r="O12" i="41"/>
  <c r="N12" i="41"/>
  <c r="M12" i="41"/>
  <c r="M11" i="41"/>
  <c r="N11" i="41"/>
  <c r="M10" i="41"/>
  <c r="N10" i="41"/>
  <c r="O10" i="41"/>
  <c r="P10" i="41"/>
  <c r="P9" i="41"/>
  <c r="O9" i="41"/>
  <c r="N9" i="41"/>
  <c r="M9" i="41"/>
  <c r="M7" i="41"/>
  <c r="N7" i="41"/>
  <c r="O7" i="41"/>
  <c r="P7" i="41"/>
  <c r="P6" i="41"/>
  <c r="O6" i="41"/>
  <c r="N6" i="41"/>
  <c r="M6" i="41"/>
  <c r="M3" i="41"/>
  <c r="N3" i="41"/>
  <c r="O3" i="41"/>
  <c r="P3" i="41"/>
  <c r="M4" i="41"/>
  <c r="N4" i="41"/>
  <c r="O4" i="41"/>
  <c r="P4" i="41"/>
  <c r="P2" i="41"/>
  <c r="O2" i="41"/>
  <c r="N2" i="41"/>
  <c r="M2" i="41"/>
  <c r="B3" i="41"/>
  <c r="C3" i="41"/>
  <c r="D3" i="41"/>
  <c r="E3" i="41"/>
  <c r="F3" i="41"/>
  <c r="G3" i="41"/>
  <c r="H3" i="41"/>
  <c r="I3" i="41"/>
  <c r="J3" i="41"/>
  <c r="K3" i="41"/>
  <c r="L3" i="41"/>
  <c r="B4" i="41"/>
  <c r="C4" i="41"/>
  <c r="D4" i="41"/>
  <c r="E4" i="41"/>
  <c r="F4" i="41"/>
  <c r="G4" i="41"/>
  <c r="H4" i="41"/>
  <c r="I4" i="41"/>
  <c r="J4" i="41"/>
  <c r="K4" i="41"/>
  <c r="L4" i="41"/>
  <c r="B5" i="41"/>
  <c r="C5" i="41"/>
  <c r="D5" i="41"/>
  <c r="E5" i="41"/>
  <c r="F5" i="41"/>
  <c r="G5" i="41"/>
  <c r="H5" i="41"/>
  <c r="I5" i="41"/>
  <c r="J5" i="41"/>
  <c r="K5" i="41"/>
  <c r="L5" i="41"/>
  <c r="B6" i="41"/>
  <c r="C6" i="41"/>
  <c r="D6" i="41"/>
  <c r="E6" i="41"/>
  <c r="F6" i="41"/>
  <c r="G6" i="41"/>
  <c r="H6" i="41"/>
  <c r="I6" i="41"/>
  <c r="J6" i="41"/>
  <c r="K6" i="41"/>
  <c r="L6" i="41"/>
  <c r="B7" i="41"/>
  <c r="C7" i="41"/>
  <c r="D7" i="41"/>
  <c r="E7" i="41"/>
  <c r="F7" i="41"/>
  <c r="G7" i="41"/>
  <c r="H7" i="41"/>
  <c r="I7" i="41"/>
  <c r="J7" i="41"/>
  <c r="K7" i="41"/>
  <c r="L7" i="41"/>
  <c r="B8" i="41"/>
  <c r="C8" i="41"/>
  <c r="D8" i="41"/>
  <c r="E8" i="41"/>
  <c r="F8" i="41"/>
  <c r="G8" i="41"/>
  <c r="H8" i="41"/>
  <c r="I8" i="41"/>
  <c r="J8" i="41"/>
  <c r="K8" i="41"/>
  <c r="L8" i="41"/>
  <c r="B9" i="41"/>
  <c r="C9" i="41"/>
  <c r="D9" i="41"/>
  <c r="E9" i="41"/>
  <c r="F9" i="41"/>
  <c r="G9" i="41"/>
  <c r="H9" i="41"/>
  <c r="I9" i="41"/>
  <c r="J9" i="41"/>
  <c r="K9" i="41"/>
  <c r="L9" i="41"/>
  <c r="B10" i="41"/>
  <c r="C10" i="41"/>
  <c r="D10" i="41"/>
  <c r="E10" i="41"/>
  <c r="F10" i="41"/>
  <c r="G10" i="41"/>
  <c r="H10" i="41"/>
  <c r="I10" i="41"/>
  <c r="J10" i="41"/>
  <c r="K10" i="41"/>
  <c r="L10" i="41"/>
  <c r="B11" i="41"/>
  <c r="C11" i="41"/>
  <c r="D11" i="41"/>
  <c r="E11" i="41"/>
  <c r="F11" i="41"/>
  <c r="G11" i="41"/>
  <c r="H11" i="41"/>
  <c r="I11" i="41"/>
  <c r="J11" i="41"/>
  <c r="K11" i="41"/>
  <c r="L11" i="41"/>
  <c r="B12" i="41"/>
  <c r="C12" i="41"/>
  <c r="D12" i="41"/>
  <c r="E12" i="41"/>
  <c r="F12" i="41"/>
  <c r="G12" i="41"/>
  <c r="H12" i="41"/>
  <c r="I12" i="41"/>
  <c r="J12" i="41"/>
  <c r="K12" i="41"/>
  <c r="L12" i="41"/>
  <c r="C2" i="41"/>
  <c r="D2" i="41"/>
  <c r="E2" i="41"/>
  <c r="F2" i="41"/>
  <c r="G2" i="41"/>
  <c r="H2" i="41"/>
  <c r="I2" i="41"/>
  <c r="J2" i="41"/>
  <c r="K2" i="41"/>
  <c r="L2" i="41"/>
  <c r="B2" i="41"/>
  <c r="M3" i="40"/>
  <c r="N3" i="40"/>
  <c r="M4" i="40"/>
  <c r="N4" i="40"/>
  <c r="M5" i="40"/>
  <c r="N5" i="40"/>
  <c r="M6" i="40"/>
  <c r="N6" i="40"/>
  <c r="P5" i="40"/>
  <c r="O5" i="40"/>
  <c r="O3" i="40"/>
  <c r="P3" i="40"/>
  <c r="P2" i="40"/>
  <c r="O2" i="40"/>
  <c r="N2" i="40"/>
  <c r="M2" i="40"/>
  <c r="B3" i="40"/>
  <c r="C3" i="40"/>
  <c r="D3" i="40"/>
  <c r="E3" i="40"/>
  <c r="F3" i="40"/>
  <c r="G3" i="40"/>
  <c r="H3" i="40"/>
  <c r="I3" i="40"/>
  <c r="J3" i="40"/>
  <c r="K3" i="40"/>
  <c r="L3" i="40"/>
  <c r="B4" i="40"/>
  <c r="C4" i="40"/>
  <c r="D4" i="40"/>
  <c r="E4" i="40"/>
  <c r="F4" i="40"/>
  <c r="G4" i="40"/>
  <c r="H4" i="40"/>
  <c r="I4" i="40"/>
  <c r="J4" i="40"/>
  <c r="K4" i="40"/>
  <c r="L4" i="40"/>
  <c r="B5" i="40"/>
  <c r="C5" i="40"/>
  <c r="D5" i="40"/>
  <c r="E5" i="40"/>
  <c r="F5" i="40"/>
  <c r="G5" i="40"/>
  <c r="H5" i="40"/>
  <c r="I5" i="40"/>
  <c r="J5" i="40"/>
  <c r="K5" i="40"/>
  <c r="L5" i="40"/>
  <c r="B6" i="40"/>
  <c r="C6" i="40"/>
  <c r="D6" i="40"/>
  <c r="E6" i="40"/>
  <c r="F6" i="40"/>
  <c r="G6" i="40"/>
  <c r="H6" i="40"/>
  <c r="I6" i="40"/>
  <c r="J6" i="40"/>
  <c r="K6" i="40"/>
  <c r="L6" i="40"/>
  <c r="C2" i="40"/>
  <c r="D2" i="40"/>
  <c r="E2" i="40"/>
  <c r="F2" i="40"/>
  <c r="G2" i="40"/>
  <c r="H2" i="40"/>
  <c r="I2" i="40"/>
  <c r="J2" i="40"/>
  <c r="K2" i="40"/>
  <c r="L2" i="40"/>
  <c r="B2" i="40"/>
  <c r="B5" i="39"/>
  <c r="C5" i="39"/>
  <c r="D5" i="39"/>
  <c r="E5" i="39"/>
  <c r="F5" i="39"/>
  <c r="G5" i="39"/>
  <c r="H5" i="39"/>
  <c r="I5" i="39"/>
  <c r="J5" i="39"/>
  <c r="K5" i="39"/>
  <c r="L5" i="39"/>
  <c r="M5" i="39"/>
  <c r="N5" i="39"/>
  <c r="B6" i="39"/>
  <c r="C6" i="39"/>
  <c r="D6" i="39"/>
  <c r="E6" i="39"/>
  <c r="F6" i="39"/>
  <c r="G6" i="39"/>
  <c r="H6" i="39"/>
  <c r="I6" i="39"/>
  <c r="J6" i="39"/>
  <c r="K6" i="39"/>
  <c r="L6" i="39"/>
  <c r="M6" i="39"/>
  <c r="N6" i="39"/>
  <c r="B7" i="39"/>
  <c r="C7" i="39"/>
  <c r="D7" i="39"/>
  <c r="E7" i="39"/>
  <c r="F7" i="39"/>
  <c r="G7" i="39"/>
  <c r="H7" i="39"/>
  <c r="I7" i="39"/>
  <c r="J7" i="39"/>
  <c r="K7" i="39"/>
  <c r="L7" i="39"/>
  <c r="M7" i="39"/>
  <c r="N7" i="39"/>
  <c r="B3" i="39"/>
  <c r="C3" i="39"/>
  <c r="D3" i="39"/>
  <c r="E3" i="39"/>
  <c r="F3" i="39"/>
  <c r="G3" i="39"/>
  <c r="H3" i="39"/>
  <c r="I3" i="39"/>
  <c r="J3" i="39"/>
  <c r="K3" i="39"/>
  <c r="L3" i="39"/>
  <c r="M3" i="39"/>
  <c r="N3" i="39"/>
  <c r="O3" i="39"/>
  <c r="P3" i="39"/>
  <c r="B4" i="39"/>
  <c r="C4" i="39"/>
  <c r="D4" i="39"/>
  <c r="E4" i="39"/>
  <c r="F4" i="39"/>
  <c r="G4" i="39"/>
  <c r="H4" i="39"/>
  <c r="I4" i="39"/>
  <c r="J4" i="39"/>
  <c r="K4" i="39"/>
  <c r="L4" i="39"/>
  <c r="M4" i="39"/>
  <c r="N4" i="39"/>
  <c r="O4" i="39"/>
  <c r="P4" i="39"/>
  <c r="P2" i="39"/>
  <c r="O2" i="39"/>
  <c r="N2" i="39"/>
  <c r="M2" i="39"/>
  <c r="C2" i="39"/>
  <c r="D2" i="39"/>
  <c r="E2" i="39"/>
  <c r="F2" i="39"/>
  <c r="G2" i="39"/>
  <c r="H2" i="39"/>
  <c r="I2" i="39"/>
  <c r="J2" i="39"/>
  <c r="K2" i="39"/>
  <c r="L2" i="39"/>
  <c r="B2" i="39"/>
  <c r="G10" i="7" l="1"/>
  <c r="P66" i="1"/>
  <c r="N66" i="1"/>
  <c r="P12" i="53" l="1"/>
  <c r="N12" i="53"/>
  <c r="P11" i="53"/>
  <c r="N11" i="53"/>
  <c r="P10" i="53"/>
  <c r="N10" i="53"/>
  <c r="P9" i="53"/>
  <c r="N9" i="53"/>
  <c r="P8" i="53"/>
  <c r="N8" i="53"/>
  <c r="P7" i="53"/>
  <c r="N7" i="53"/>
  <c r="P6" i="53"/>
  <c r="N6" i="53"/>
  <c r="P5" i="53"/>
  <c r="N5" i="53"/>
  <c r="P4" i="53"/>
  <c r="N4" i="53"/>
  <c r="P3" i="53"/>
  <c r="N3" i="53"/>
  <c r="P2" i="53"/>
  <c r="N2" i="53"/>
  <c r="E13" i="8" l="1"/>
  <c r="D16" i="8"/>
  <c r="D15" i="8"/>
  <c r="D14" i="8"/>
  <c r="D13" i="8"/>
  <c r="E16" i="8" l="1"/>
  <c r="G11" i="7"/>
  <c r="G9" i="7"/>
  <c r="C3" i="35" l="1"/>
  <c r="C4" i="35"/>
  <c r="C2" i="35"/>
  <c r="G12" i="7" l="1"/>
  <c r="F12" i="7" s="1"/>
  <c r="G3" i="7"/>
  <c r="F3" i="7" s="1"/>
  <c r="G4" i="7"/>
  <c r="F4" i="7" s="1"/>
  <c r="G5" i="7"/>
  <c r="F5" i="7" s="1"/>
  <c r="G6" i="7"/>
  <c r="F6" i="7" s="1"/>
  <c r="G2" i="7"/>
  <c r="F2" i="7" s="1"/>
  <c r="G3" i="6"/>
  <c r="G5" i="6"/>
  <c r="G6" i="6"/>
  <c r="G7" i="6"/>
  <c r="G8" i="6"/>
  <c r="G9" i="6"/>
  <c r="G10" i="6"/>
  <c r="G2" i="6"/>
  <c r="G3" i="5"/>
  <c r="G4" i="5"/>
  <c r="G5" i="5"/>
  <c r="G6" i="5"/>
  <c r="G7" i="5"/>
  <c r="G2" i="5"/>
  <c r="G4" i="4"/>
  <c r="G2" i="4"/>
  <c r="G3" i="3"/>
  <c r="G4" i="3"/>
  <c r="G2" i="3"/>
  <c r="G3" i="2"/>
  <c r="G4" i="2"/>
  <c r="G5" i="2"/>
  <c r="G6" i="2"/>
  <c r="G2" i="2"/>
  <c r="D8" i="23"/>
  <c r="D3" i="23"/>
  <c r="D4" i="23"/>
  <c r="D5" i="23"/>
  <c r="D6" i="23"/>
  <c r="D7" i="23"/>
  <c r="D2" i="23"/>
  <c r="F3" i="15"/>
  <c r="F4" i="15"/>
  <c r="F5" i="15"/>
  <c r="F6" i="15"/>
  <c r="F7" i="15"/>
  <c r="F8" i="15"/>
  <c r="F9" i="15"/>
  <c r="F10" i="15"/>
  <c r="F11" i="15"/>
  <c r="F2" i="15"/>
  <c r="C3" i="15"/>
  <c r="C4" i="15"/>
  <c r="C5" i="15"/>
  <c r="C6" i="15"/>
  <c r="C7" i="15"/>
  <c r="C8" i="15"/>
  <c r="C9" i="15"/>
  <c r="C10" i="15"/>
  <c r="C11" i="15"/>
  <c r="C2" i="15"/>
  <c r="G3" i="9"/>
  <c r="G2" i="9"/>
  <c r="E3" i="8"/>
  <c r="E5" i="8"/>
  <c r="E10" i="8"/>
  <c r="E2" i="8"/>
  <c r="G8" i="7"/>
  <c r="G12" i="6"/>
  <c r="G8" i="5"/>
  <c r="G3" i="4"/>
  <c r="G5" i="3"/>
  <c r="M168" i="1" l="1"/>
  <c r="P3" i="1" l="1"/>
  <c r="P4" i="1"/>
  <c r="P5" i="1"/>
  <c r="P6" i="1"/>
  <c r="P7" i="1"/>
  <c r="P8" i="1"/>
  <c r="P9" i="1"/>
  <c r="P10" i="1"/>
  <c r="P11" i="1"/>
  <c r="P12" i="1"/>
  <c r="P13" i="1"/>
  <c r="P14" i="1"/>
  <c r="P15" i="1"/>
  <c r="P16" i="1"/>
  <c r="P17" i="1"/>
  <c r="P18" i="1"/>
  <c r="P19" i="1"/>
  <c r="P20" i="1"/>
  <c r="P21" i="1"/>
  <c r="P22" i="1"/>
  <c r="P23" i="1"/>
  <c r="P24" i="1"/>
  <c r="P25" i="1"/>
  <c r="P26" i="1"/>
  <c r="P27" i="1"/>
  <c r="P28" i="1"/>
  <c r="P29" i="1"/>
  <c r="P30" i="1"/>
  <c r="P31" i="1"/>
  <c r="P32" i="1"/>
  <c r="P33" i="1"/>
  <c r="P36" i="1"/>
  <c r="P37" i="1"/>
  <c r="P38" i="1"/>
  <c r="P39" i="1"/>
  <c r="P40" i="1"/>
  <c r="P42" i="1"/>
  <c r="P43" i="1"/>
  <c r="P44" i="1"/>
  <c r="P45" i="1"/>
  <c r="P46" i="1"/>
  <c r="P47" i="1"/>
  <c r="P48" i="1"/>
  <c r="P49" i="1"/>
  <c r="P50" i="1"/>
  <c r="P51" i="1"/>
  <c r="P52" i="1"/>
  <c r="P53" i="1"/>
  <c r="P54" i="1"/>
  <c r="P55" i="1"/>
  <c r="P56" i="1"/>
  <c r="P57" i="1"/>
  <c r="P58" i="1"/>
  <c r="P59" i="1"/>
  <c r="P60" i="1"/>
  <c r="P61" i="1"/>
  <c r="P62" i="1"/>
  <c r="P63" i="1"/>
  <c r="P64" i="1"/>
  <c r="P65" i="1"/>
  <c r="P67" i="1"/>
  <c r="P68" i="1"/>
  <c r="P69" i="1"/>
  <c r="P70" i="1"/>
  <c r="P71" i="1"/>
  <c r="P72" i="1"/>
  <c r="P73" i="1"/>
  <c r="P74" i="1"/>
  <c r="P75" i="1"/>
  <c r="P76" i="1"/>
  <c r="P77" i="1"/>
  <c r="P78" i="1"/>
  <c r="P79" i="1"/>
  <c r="P80" i="1"/>
  <c r="P81" i="1"/>
  <c r="P82" i="1"/>
  <c r="P83" i="1"/>
  <c r="P84" i="1"/>
  <c r="P85" i="1"/>
  <c r="P86" i="1"/>
  <c r="P87" i="1"/>
  <c r="P88" i="1"/>
  <c r="P89" i="1"/>
  <c r="P90" i="1"/>
  <c r="P91" i="1"/>
  <c r="P92" i="1"/>
  <c r="P93" i="1"/>
  <c r="P94" i="1"/>
  <c r="P95" i="1"/>
  <c r="P96" i="1"/>
  <c r="P97" i="1"/>
  <c r="P98" i="1"/>
  <c r="P99" i="1"/>
  <c r="P100" i="1"/>
  <c r="P101" i="1"/>
  <c r="P102" i="1"/>
  <c r="P103" i="1"/>
  <c r="P104" i="1"/>
  <c r="P105" i="1"/>
  <c r="P106" i="1"/>
  <c r="P107" i="1"/>
  <c r="P108" i="1"/>
  <c r="P109" i="1"/>
  <c r="P110" i="1"/>
  <c r="P111" i="1"/>
  <c r="P112" i="1"/>
  <c r="P113" i="1"/>
  <c r="P114" i="1"/>
  <c r="P115" i="1"/>
  <c r="P116" i="1"/>
  <c r="P117" i="1"/>
  <c r="P118" i="1"/>
  <c r="P119" i="1"/>
  <c r="P120" i="1"/>
  <c r="P121" i="1"/>
  <c r="P122" i="1"/>
  <c r="P123" i="1"/>
  <c r="P124" i="1"/>
  <c r="P125" i="1"/>
  <c r="P126" i="1"/>
  <c r="P127" i="1"/>
  <c r="P128" i="1"/>
  <c r="P129" i="1"/>
  <c r="P130" i="1"/>
  <c r="P131" i="1"/>
  <c r="P132" i="1"/>
  <c r="P133" i="1"/>
  <c r="P134" i="1"/>
  <c r="P135" i="1"/>
  <c r="P136" i="1"/>
  <c r="P137" i="1"/>
  <c r="P138" i="1"/>
  <c r="P139" i="1"/>
  <c r="P140" i="1"/>
  <c r="P141" i="1"/>
  <c r="P142" i="1"/>
  <c r="P143" i="1"/>
  <c r="P144" i="1"/>
  <c r="P145" i="1"/>
  <c r="P146" i="1"/>
  <c r="P147" i="1"/>
  <c r="P148" i="1"/>
  <c r="P149" i="1"/>
  <c r="P150" i="1"/>
  <c r="P151" i="1"/>
  <c r="P152" i="1"/>
  <c r="P153" i="1"/>
  <c r="P154" i="1"/>
  <c r="P155" i="1"/>
  <c r="P156" i="1"/>
  <c r="P157" i="1"/>
  <c r="P158" i="1"/>
  <c r="P159" i="1"/>
  <c r="P160" i="1"/>
  <c r="P161" i="1"/>
  <c r="P162" i="1"/>
  <c r="P163" i="1"/>
  <c r="P164" i="1"/>
  <c r="P165" i="1"/>
  <c r="P2" i="1"/>
  <c r="N3" i="1"/>
  <c r="N4" i="1"/>
  <c r="N5" i="1"/>
  <c r="N6" i="1"/>
  <c r="N7" i="1"/>
  <c r="N8" i="1"/>
  <c r="N9" i="1"/>
  <c r="N10" i="1"/>
  <c r="N11" i="1"/>
  <c r="N12" i="1"/>
  <c r="N13" i="1"/>
  <c r="N14" i="1"/>
  <c r="N15" i="1"/>
  <c r="N16" i="1"/>
  <c r="N17" i="1"/>
  <c r="N18" i="1"/>
  <c r="N19" i="1"/>
  <c r="N20" i="1"/>
  <c r="N21" i="1"/>
  <c r="N22" i="1"/>
  <c r="N23" i="1"/>
  <c r="N24" i="1"/>
  <c r="N25" i="1"/>
  <c r="N26" i="1"/>
  <c r="N27" i="1"/>
  <c r="N28" i="1"/>
  <c r="N29" i="1"/>
  <c r="N30" i="1"/>
  <c r="N31" i="1"/>
  <c r="N32" i="1"/>
  <c r="N33" i="1"/>
  <c r="N34" i="1"/>
  <c r="N36" i="1"/>
  <c r="N37" i="1"/>
  <c r="N38" i="1"/>
  <c r="N40" i="1"/>
  <c r="N42" i="1"/>
  <c r="N43" i="1"/>
  <c r="N44" i="1"/>
  <c r="N45" i="1"/>
  <c r="N46" i="1"/>
  <c r="N47" i="1"/>
  <c r="N48" i="1"/>
  <c r="N49" i="1"/>
  <c r="N50" i="1"/>
  <c r="N51" i="1"/>
  <c r="N52" i="1"/>
  <c r="N53" i="1"/>
  <c r="N54" i="1"/>
  <c r="N55" i="1"/>
  <c r="N56" i="1"/>
  <c r="N57" i="1"/>
  <c r="N58" i="1"/>
  <c r="N59" i="1"/>
  <c r="N60" i="1"/>
  <c r="N61" i="1"/>
  <c r="N62" i="1"/>
  <c r="N63" i="1"/>
  <c r="N64" i="1"/>
  <c r="N65" i="1"/>
  <c r="N67" i="1"/>
  <c r="N68" i="1"/>
  <c r="N69" i="1"/>
  <c r="N70" i="1"/>
  <c r="N71" i="1"/>
  <c r="N72" i="1"/>
  <c r="N73" i="1"/>
  <c r="N74" i="1"/>
  <c r="N75" i="1"/>
  <c r="N76" i="1"/>
  <c r="N77" i="1"/>
  <c r="N78" i="1"/>
  <c r="N79" i="1"/>
  <c r="N80" i="1"/>
  <c r="N81" i="1"/>
  <c r="N82" i="1"/>
  <c r="N83" i="1"/>
  <c r="N84" i="1"/>
  <c r="N85" i="1"/>
  <c r="N86" i="1"/>
  <c r="N87" i="1"/>
  <c r="N88" i="1"/>
  <c r="N89" i="1"/>
  <c r="N90" i="1"/>
  <c r="N91" i="1"/>
  <c r="N92" i="1"/>
  <c r="N93" i="1"/>
  <c r="N94" i="1"/>
  <c r="N95" i="1"/>
  <c r="N96" i="1"/>
  <c r="N97" i="1"/>
  <c r="N98" i="1"/>
  <c r="N99" i="1"/>
  <c r="N100" i="1"/>
  <c r="N101" i="1"/>
  <c r="N102" i="1"/>
  <c r="N103" i="1"/>
  <c r="N104" i="1"/>
  <c r="N105" i="1"/>
  <c r="N106" i="1"/>
  <c r="N107" i="1"/>
  <c r="N108" i="1"/>
  <c r="N109" i="1"/>
  <c r="N110" i="1"/>
  <c r="N111" i="1"/>
  <c r="N112" i="1"/>
  <c r="N113" i="1"/>
  <c r="N114" i="1"/>
  <c r="N115" i="1"/>
  <c r="N116" i="1"/>
  <c r="N117" i="1"/>
  <c r="N118" i="1"/>
  <c r="N119" i="1"/>
  <c r="N120" i="1"/>
  <c r="N121" i="1"/>
  <c r="N122" i="1"/>
  <c r="N123" i="1"/>
  <c r="N124" i="1"/>
  <c r="N125" i="1"/>
  <c r="N126" i="1"/>
  <c r="N127" i="1"/>
  <c r="N128" i="1"/>
  <c r="N129" i="1"/>
  <c r="N130" i="1"/>
  <c r="N131" i="1"/>
  <c r="N132" i="1"/>
  <c r="N133" i="1"/>
  <c r="N134" i="1"/>
  <c r="N135" i="1"/>
  <c r="N136" i="1"/>
  <c r="N137" i="1"/>
  <c r="N138" i="1"/>
  <c r="N139" i="1"/>
  <c r="N140" i="1"/>
  <c r="N141" i="1"/>
  <c r="N142" i="1"/>
  <c r="N143" i="1"/>
  <c r="N144" i="1"/>
  <c r="N145" i="1"/>
  <c r="N146" i="1"/>
  <c r="N147" i="1"/>
  <c r="N148" i="1"/>
  <c r="N149" i="1"/>
  <c r="N150" i="1"/>
  <c r="N151" i="1"/>
  <c r="N152" i="1"/>
  <c r="N153" i="1"/>
  <c r="N154" i="1"/>
  <c r="N155" i="1"/>
  <c r="N156" i="1"/>
  <c r="N157" i="1"/>
  <c r="N158" i="1"/>
  <c r="N159" i="1"/>
  <c r="N160" i="1"/>
  <c r="N161" i="1"/>
  <c r="N162" i="1"/>
  <c r="N163" i="1"/>
  <c r="N165" i="1"/>
  <c r="N2" i="1"/>
  <c r="M164" i="1"/>
  <c r="F10" i="7" l="1"/>
  <c r="N164" i="1"/>
  <c r="G7" i="7"/>
  <c r="F7" i="7" s="1"/>
  <c r="G11" i="5"/>
  <c r="G7" i="4"/>
  <c r="G8" i="3"/>
  <c r="G9" i="2"/>
  <c r="F15" i="7" l="1"/>
  <c r="C4" i="9" s="1"/>
  <c r="E4" i="9" s="1"/>
  <c r="I4" i="9"/>
  <c r="G15" i="7"/>
  <c r="O35" i="1"/>
  <c r="P35" i="1" s="1"/>
  <c r="M35" i="1"/>
  <c r="G4" i="6" s="1"/>
  <c r="O34" i="1"/>
  <c r="P34" i="1" s="1"/>
  <c r="E6" i="9" l="1"/>
  <c r="G4" i="35"/>
  <c r="C6" i="9"/>
  <c r="N35" i="1"/>
  <c r="O41" i="1"/>
  <c r="P41" i="1" s="1"/>
  <c r="M41" i="1"/>
  <c r="M39" i="1"/>
  <c r="C7" i="9" l="1"/>
  <c r="D6" i="9"/>
  <c r="E7" i="9"/>
  <c r="F6" i="9"/>
  <c r="M167" i="1"/>
  <c r="M169" i="1" s="1"/>
  <c r="G11" i="6"/>
  <c r="G15" i="6" s="1"/>
  <c r="N39" i="1"/>
  <c r="N41" i="1"/>
  <c r="J4" i="9" l="1"/>
  <c r="G4" i="9"/>
  <c r="N166" i="1"/>
  <c r="D3" i="51"/>
  <c r="E3" i="51"/>
  <c r="E5" i="51" s="1"/>
  <c r="J6" i="9" l="1"/>
  <c r="J7" i="9" s="1"/>
  <c r="I6" i="9"/>
  <c r="I7" i="9" s="1"/>
</calcChain>
</file>

<file path=xl/comments1.xml><?xml version="1.0" encoding="utf-8"?>
<comments xmlns="http://schemas.openxmlformats.org/spreadsheetml/2006/main">
  <authors>
    <author>Marcy</author>
    <author>Davis, Sara</author>
  </authors>
  <commentList>
    <comment ref="J3" authorId="0" shapeId="0">
      <text>
        <r>
          <rPr>
            <b/>
            <sz val="9"/>
            <color indexed="81"/>
            <rFont val="Tahoma"/>
            <family val="2"/>
          </rPr>
          <t>Marcy:</t>
        </r>
        <r>
          <rPr>
            <sz val="9"/>
            <color indexed="81"/>
            <rFont val="Tahoma"/>
            <family val="2"/>
          </rPr>
          <t xml:space="preserve">
Status OK, added to ES table</t>
        </r>
      </text>
    </comment>
    <comment ref="J4" authorId="0" shapeId="0">
      <text>
        <r>
          <rPr>
            <b/>
            <sz val="9"/>
            <color indexed="81"/>
            <rFont val="Tahoma"/>
            <family val="2"/>
          </rPr>
          <t>Marcy:</t>
        </r>
        <r>
          <rPr>
            <sz val="9"/>
            <color indexed="81"/>
            <rFont val="Tahoma"/>
            <family val="2"/>
          </rPr>
          <t xml:space="preserve">
Status OK, added to ES table</t>
        </r>
      </text>
    </comment>
    <comment ref="G5" authorId="0" shapeId="0">
      <text>
        <r>
          <rPr>
            <b/>
            <sz val="9"/>
            <color indexed="81"/>
            <rFont val="Tahoma"/>
            <family val="2"/>
          </rPr>
          <t>Marcy:</t>
        </r>
        <r>
          <rPr>
            <sz val="9"/>
            <color indexed="81"/>
            <rFont val="Tahoma"/>
            <family val="2"/>
          </rPr>
          <t xml:space="preserve">
changed from N/A</t>
        </r>
      </text>
    </comment>
    <comment ref="H8" authorId="0" shapeId="0">
      <text>
        <r>
          <rPr>
            <b/>
            <sz val="9"/>
            <color indexed="81"/>
            <rFont val="Tahoma"/>
            <family val="2"/>
          </rPr>
          <t>Marcy:</t>
        </r>
        <r>
          <rPr>
            <sz val="9"/>
            <color indexed="81"/>
            <rFont val="Tahoma"/>
            <family val="2"/>
          </rPr>
          <t xml:space="preserve">
changed from N/A</t>
        </r>
      </text>
    </comment>
    <comment ref="J10" authorId="1" shapeId="0">
      <text>
        <r>
          <rPr>
            <b/>
            <sz val="9"/>
            <color indexed="81"/>
            <rFont val="Tahoma"/>
            <family val="2"/>
          </rPr>
          <t>Davis, Sara:</t>
        </r>
        <r>
          <rPr>
            <sz val="9"/>
            <color indexed="81"/>
            <rFont val="Tahoma"/>
            <family val="2"/>
          </rPr>
          <t xml:space="preserve">
In report: Started, Completed, Ongoing</t>
        </r>
      </text>
    </comment>
    <comment ref="D12" authorId="0" shapeId="0">
      <text>
        <r>
          <rPr>
            <b/>
            <sz val="9"/>
            <color indexed="81"/>
            <rFont val="Tahoma"/>
            <family val="2"/>
          </rPr>
          <t>Marcy:</t>
        </r>
        <r>
          <rPr>
            <sz val="9"/>
            <color indexed="81"/>
            <rFont val="Tahoma"/>
            <family val="2"/>
          </rPr>
          <t xml:space="preserve">
Type OK, added to ES table</t>
        </r>
      </text>
    </comment>
    <comment ref="D17" authorId="0" shapeId="0">
      <text>
        <r>
          <rPr>
            <b/>
            <sz val="9"/>
            <color indexed="81"/>
            <rFont val="Tahoma"/>
            <family val="2"/>
          </rPr>
          <t>Marcy:</t>
        </r>
        <r>
          <rPr>
            <sz val="9"/>
            <color indexed="81"/>
            <rFont val="Tahoma"/>
            <family val="2"/>
          </rPr>
          <t xml:space="preserve">
added to ES table
</t>
        </r>
      </text>
    </comment>
    <comment ref="D19" authorId="0" shapeId="0">
      <text>
        <r>
          <rPr>
            <b/>
            <sz val="9"/>
            <color indexed="81"/>
            <rFont val="Tahoma"/>
            <family val="2"/>
          </rPr>
          <t>Marcy:</t>
        </r>
        <r>
          <rPr>
            <sz val="9"/>
            <color indexed="81"/>
            <rFont val="Tahoma"/>
            <family val="2"/>
          </rPr>
          <t xml:space="preserve">
added to ES table
</t>
        </r>
      </text>
    </comment>
    <comment ref="J19" authorId="0" shapeId="0">
      <text>
        <r>
          <rPr>
            <b/>
            <sz val="9"/>
            <color indexed="81"/>
            <rFont val="Tahoma"/>
            <family val="2"/>
          </rPr>
          <t>Marcy:</t>
        </r>
        <r>
          <rPr>
            <sz val="9"/>
            <color indexed="81"/>
            <rFont val="Tahoma"/>
            <family val="2"/>
          </rPr>
          <t xml:space="preserve">
added to ES table</t>
        </r>
      </text>
    </comment>
    <comment ref="J20" authorId="0" shapeId="0">
      <text>
        <r>
          <rPr>
            <b/>
            <sz val="9"/>
            <color indexed="81"/>
            <rFont val="Tahoma"/>
            <family val="2"/>
          </rPr>
          <t>Marcy:</t>
        </r>
        <r>
          <rPr>
            <sz val="9"/>
            <color indexed="81"/>
            <rFont val="Tahoma"/>
            <family val="2"/>
          </rPr>
          <t xml:space="preserve">
added to ES table
</t>
        </r>
      </text>
    </comment>
    <comment ref="D29" authorId="0" shapeId="0">
      <text>
        <r>
          <rPr>
            <b/>
            <sz val="9"/>
            <color indexed="81"/>
            <rFont val="Tahoma"/>
            <family val="2"/>
          </rPr>
          <t>Marcy:</t>
        </r>
        <r>
          <rPr>
            <sz val="9"/>
            <color indexed="81"/>
            <rFont val="Tahoma"/>
            <family val="2"/>
          </rPr>
          <t xml:space="preserve">
added to ES table</t>
        </r>
      </text>
    </comment>
    <comment ref="G29" authorId="0" shapeId="0">
      <text>
        <r>
          <rPr>
            <b/>
            <sz val="9"/>
            <color indexed="81"/>
            <rFont val="Tahoma"/>
            <family val="2"/>
          </rPr>
          <t>Marcy:</t>
        </r>
        <r>
          <rPr>
            <sz val="9"/>
            <color indexed="81"/>
            <rFont val="Tahoma"/>
            <family val="2"/>
          </rPr>
          <t xml:space="preserve">
changed from N/A</t>
        </r>
      </text>
    </comment>
    <comment ref="G30" authorId="0" shapeId="0">
      <text>
        <r>
          <rPr>
            <b/>
            <sz val="9"/>
            <color indexed="81"/>
            <rFont val="Tahoma"/>
            <family val="2"/>
          </rPr>
          <t>Marcy:</t>
        </r>
        <r>
          <rPr>
            <sz val="9"/>
            <color indexed="81"/>
            <rFont val="Tahoma"/>
            <family val="2"/>
          </rPr>
          <t xml:space="preserve">
changed from N/A</t>
        </r>
      </text>
    </comment>
    <comment ref="G32" authorId="0" shapeId="0">
      <text>
        <r>
          <rPr>
            <b/>
            <sz val="9"/>
            <color indexed="81"/>
            <rFont val="Tahoma"/>
            <family val="2"/>
          </rPr>
          <t>Marcy:</t>
        </r>
        <r>
          <rPr>
            <sz val="9"/>
            <color indexed="81"/>
            <rFont val="Tahoma"/>
            <family val="2"/>
          </rPr>
          <t xml:space="preserve">
changed from N/A</t>
        </r>
      </text>
    </comment>
    <comment ref="A33" authorId="0" shapeId="0">
      <text>
        <r>
          <rPr>
            <b/>
            <sz val="9"/>
            <color indexed="81"/>
            <rFont val="Tahoma"/>
            <family val="2"/>
          </rPr>
          <t>Marcy:</t>
        </r>
        <r>
          <rPr>
            <sz val="9"/>
            <color indexed="81"/>
            <rFont val="Tahoma"/>
            <family val="2"/>
          </rPr>
          <t xml:space="preserve">
Reverted back to old numbering</t>
        </r>
      </text>
    </comment>
    <comment ref="J33" authorId="0" shapeId="0">
      <text>
        <r>
          <rPr>
            <b/>
            <sz val="9"/>
            <color indexed="81"/>
            <rFont val="Tahoma"/>
            <family val="2"/>
          </rPr>
          <t>Marcy:</t>
        </r>
        <r>
          <rPr>
            <sz val="9"/>
            <color indexed="81"/>
            <rFont val="Tahoma"/>
            <family val="2"/>
          </rPr>
          <t xml:space="preserve">
changed to say operational</t>
        </r>
      </text>
    </comment>
    <comment ref="A34" authorId="0" shapeId="0">
      <text>
        <r>
          <rPr>
            <b/>
            <sz val="9"/>
            <color indexed="81"/>
            <rFont val="Tahoma"/>
            <family val="2"/>
          </rPr>
          <t>Marcy:</t>
        </r>
        <r>
          <rPr>
            <sz val="9"/>
            <color indexed="81"/>
            <rFont val="Tahoma"/>
            <family val="2"/>
          </rPr>
          <t xml:space="preserve">
Reverted back to old numbering</t>
        </r>
      </text>
    </comment>
    <comment ref="J34" authorId="0" shapeId="0">
      <text>
        <r>
          <rPr>
            <b/>
            <sz val="9"/>
            <color indexed="81"/>
            <rFont val="Tahoma"/>
            <family val="2"/>
          </rPr>
          <t>Marcy:</t>
        </r>
        <r>
          <rPr>
            <sz val="9"/>
            <color indexed="81"/>
            <rFont val="Tahoma"/>
            <family val="2"/>
          </rPr>
          <t xml:space="preserve">
changed to say operational</t>
        </r>
      </text>
    </comment>
    <comment ref="A35" authorId="0" shapeId="0">
      <text>
        <r>
          <rPr>
            <b/>
            <sz val="9"/>
            <color indexed="81"/>
            <rFont val="Tahoma"/>
            <family val="2"/>
          </rPr>
          <t>Marcy:</t>
        </r>
        <r>
          <rPr>
            <sz val="9"/>
            <color indexed="81"/>
            <rFont val="Tahoma"/>
            <family val="2"/>
          </rPr>
          <t xml:space="preserve">
Reverted back to old numbering</t>
        </r>
      </text>
    </comment>
    <comment ref="A37" authorId="0" shapeId="0">
      <text>
        <r>
          <rPr>
            <b/>
            <sz val="9"/>
            <color indexed="81"/>
            <rFont val="Tahoma"/>
            <family val="2"/>
          </rPr>
          <t>Marcy:</t>
        </r>
        <r>
          <rPr>
            <sz val="9"/>
            <color indexed="81"/>
            <rFont val="Tahoma"/>
            <family val="2"/>
          </rPr>
          <t xml:space="preserve">
Reverted back to old numbering</t>
        </r>
      </text>
    </comment>
    <comment ref="A38" authorId="0" shapeId="0">
      <text>
        <r>
          <rPr>
            <b/>
            <sz val="9"/>
            <color indexed="81"/>
            <rFont val="Tahoma"/>
            <family val="2"/>
          </rPr>
          <t>Marcy:</t>
        </r>
        <r>
          <rPr>
            <sz val="9"/>
            <color indexed="81"/>
            <rFont val="Tahoma"/>
            <family val="2"/>
          </rPr>
          <t xml:space="preserve">
Reverted back to old numbering
</t>
        </r>
      </text>
    </comment>
    <comment ref="J42" authorId="0" shapeId="0">
      <text>
        <r>
          <rPr>
            <b/>
            <sz val="9"/>
            <color indexed="81"/>
            <rFont val="Tahoma"/>
            <family val="2"/>
          </rPr>
          <t>Marcy:</t>
        </r>
        <r>
          <rPr>
            <sz val="9"/>
            <color indexed="81"/>
            <rFont val="Tahoma"/>
            <family val="2"/>
          </rPr>
          <t xml:space="preserve">
added to ES table</t>
        </r>
      </text>
    </comment>
    <comment ref="J43" authorId="0" shapeId="0">
      <text>
        <r>
          <rPr>
            <b/>
            <sz val="9"/>
            <color indexed="81"/>
            <rFont val="Tahoma"/>
            <family val="2"/>
          </rPr>
          <t>Marcy:</t>
        </r>
        <r>
          <rPr>
            <sz val="9"/>
            <color indexed="81"/>
            <rFont val="Tahoma"/>
            <family val="2"/>
          </rPr>
          <t xml:space="preserve">
added to ES table</t>
        </r>
      </text>
    </comment>
    <comment ref="J44" authorId="0" shapeId="0">
      <text>
        <r>
          <rPr>
            <b/>
            <sz val="9"/>
            <color indexed="81"/>
            <rFont val="Tahoma"/>
            <family val="2"/>
          </rPr>
          <t>Marcy:</t>
        </r>
        <r>
          <rPr>
            <sz val="9"/>
            <color indexed="81"/>
            <rFont val="Tahoma"/>
            <family val="2"/>
          </rPr>
          <t xml:space="preserve">
added to ES table</t>
        </r>
      </text>
    </comment>
    <comment ref="J45" authorId="0" shapeId="0">
      <text>
        <r>
          <rPr>
            <b/>
            <sz val="9"/>
            <color indexed="81"/>
            <rFont val="Tahoma"/>
            <family val="2"/>
          </rPr>
          <t>Marcy:</t>
        </r>
        <r>
          <rPr>
            <sz val="9"/>
            <color indexed="81"/>
            <rFont val="Tahoma"/>
            <family val="2"/>
          </rPr>
          <t xml:space="preserve">
added to ES table</t>
        </r>
      </text>
    </comment>
    <comment ref="D46" authorId="0" shapeId="0">
      <text>
        <r>
          <rPr>
            <b/>
            <sz val="9"/>
            <color indexed="81"/>
            <rFont val="Tahoma"/>
            <family val="2"/>
          </rPr>
          <t>Marcy:</t>
        </r>
        <r>
          <rPr>
            <sz val="9"/>
            <color indexed="81"/>
            <rFont val="Tahoma"/>
            <family val="2"/>
          </rPr>
          <t xml:space="preserve">
added to ES table</t>
        </r>
      </text>
    </comment>
    <comment ref="J49" authorId="0" shapeId="0">
      <text>
        <r>
          <rPr>
            <b/>
            <sz val="9"/>
            <color indexed="81"/>
            <rFont val="Tahoma"/>
            <family val="2"/>
          </rPr>
          <t>Marcy:</t>
        </r>
        <r>
          <rPr>
            <sz val="9"/>
            <color indexed="81"/>
            <rFont val="Tahoma"/>
            <family val="2"/>
          </rPr>
          <t xml:space="preserve">
added to ES table</t>
        </r>
      </text>
    </comment>
    <comment ref="J50" authorId="0" shapeId="0">
      <text>
        <r>
          <rPr>
            <b/>
            <sz val="9"/>
            <color indexed="81"/>
            <rFont val="Tahoma"/>
            <family val="2"/>
          </rPr>
          <t>Marcy:</t>
        </r>
        <r>
          <rPr>
            <sz val="9"/>
            <color indexed="81"/>
            <rFont val="Tahoma"/>
            <family val="2"/>
          </rPr>
          <t xml:space="preserve">
added to ES table</t>
        </r>
      </text>
    </comment>
    <comment ref="J51" authorId="0" shapeId="0">
      <text>
        <r>
          <rPr>
            <b/>
            <sz val="9"/>
            <color indexed="81"/>
            <rFont val="Tahoma"/>
            <family val="2"/>
          </rPr>
          <t>Marcy:</t>
        </r>
        <r>
          <rPr>
            <sz val="9"/>
            <color indexed="81"/>
            <rFont val="Tahoma"/>
            <family val="2"/>
          </rPr>
          <t xml:space="preserve">
added to ES table</t>
        </r>
      </text>
    </comment>
    <comment ref="J52" authorId="0" shapeId="0">
      <text>
        <r>
          <rPr>
            <b/>
            <sz val="9"/>
            <color indexed="81"/>
            <rFont val="Tahoma"/>
            <family val="2"/>
          </rPr>
          <t>Marcy:</t>
        </r>
        <r>
          <rPr>
            <sz val="9"/>
            <color indexed="81"/>
            <rFont val="Tahoma"/>
            <family val="2"/>
          </rPr>
          <t xml:space="preserve">
added to ES table</t>
        </r>
      </text>
    </comment>
    <comment ref="J53" authorId="0" shapeId="0">
      <text>
        <r>
          <rPr>
            <b/>
            <sz val="9"/>
            <color indexed="81"/>
            <rFont val="Tahoma"/>
            <family val="2"/>
          </rPr>
          <t>Marcy:</t>
        </r>
        <r>
          <rPr>
            <sz val="9"/>
            <color indexed="81"/>
            <rFont val="Tahoma"/>
            <family val="2"/>
          </rPr>
          <t xml:space="preserve">
added to ES table</t>
        </r>
      </text>
    </comment>
    <comment ref="D55" authorId="0" shapeId="0">
      <text>
        <r>
          <rPr>
            <b/>
            <sz val="9"/>
            <color indexed="81"/>
            <rFont val="Tahoma"/>
            <family val="2"/>
          </rPr>
          <t>Marcy:</t>
        </r>
        <r>
          <rPr>
            <sz val="9"/>
            <color indexed="81"/>
            <rFont val="Tahoma"/>
            <family val="2"/>
          </rPr>
          <t xml:space="preserve">
added to ES table</t>
        </r>
      </text>
    </comment>
    <comment ref="D61" authorId="0" shapeId="0">
      <text>
        <r>
          <rPr>
            <b/>
            <sz val="9"/>
            <color indexed="81"/>
            <rFont val="Tahoma"/>
            <family val="2"/>
          </rPr>
          <t>Marcy:</t>
        </r>
        <r>
          <rPr>
            <sz val="9"/>
            <color indexed="81"/>
            <rFont val="Tahoma"/>
            <family val="2"/>
          </rPr>
          <t xml:space="preserve">
added to ES table</t>
        </r>
      </text>
    </comment>
    <comment ref="D63" authorId="0" shapeId="0">
      <text>
        <r>
          <rPr>
            <b/>
            <sz val="9"/>
            <color indexed="81"/>
            <rFont val="Tahoma"/>
            <family val="2"/>
          </rPr>
          <t>Marcy:</t>
        </r>
        <r>
          <rPr>
            <sz val="9"/>
            <color indexed="81"/>
            <rFont val="Tahoma"/>
            <family val="2"/>
          </rPr>
          <t xml:space="preserve">
added to ES table</t>
        </r>
      </text>
    </comment>
    <comment ref="G65" authorId="0" shapeId="0">
      <text>
        <r>
          <rPr>
            <b/>
            <sz val="9"/>
            <color indexed="81"/>
            <rFont val="Tahoma"/>
            <family val="2"/>
          </rPr>
          <t>Marcy:</t>
        </r>
        <r>
          <rPr>
            <sz val="9"/>
            <color indexed="81"/>
            <rFont val="Tahoma"/>
            <family val="2"/>
          </rPr>
          <t xml:space="preserve">
changed from N/A</t>
        </r>
      </text>
    </comment>
    <comment ref="J71" authorId="0" shapeId="0">
      <text>
        <r>
          <rPr>
            <b/>
            <sz val="9"/>
            <color indexed="81"/>
            <rFont val="Tahoma"/>
            <family val="2"/>
          </rPr>
          <t>Marcy:</t>
        </r>
        <r>
          <rPr>
            <sz val="9"/>
            <color indexed="81"/>
            <rFont val="Tahoma"/>
            <family val="2"/>
          </rPr>
          <t xml:space="preserve">
added to ES table</t>
        </r>
      </text>
    </comment>
    <comment ref="C73" authorId="0" shapeId="0">
      <text>
        <r>
          <rPr>
            <b/>
            <sz val="9"/>
            <color indexed="81"/>
            <rFont val="Tahoma"/>
            <family val="2"/>
          </rPr>
          <t>Marcy:</t>
        </r>
        <r>
          <rPr>
            <sz val="9"/>
            <color indexed="81"/>
            <rFont val="Tahoma"/>
            <family val="2"/>
          </rPr>
          <t xml:space="preserve">
added missing partners</t>
        </r>
      </text>
    </comment>
    <comment ref="D73" authorId="0" shapeId="0">
      <text>
        <r>
          <rPr>
            <b/>
            <sz val="9"/>
            <color indexed="81"/>
            <rFont val="Tahoma"/>
            <family val="2"/>
          </rPr>
          <t>Marcy:</t>
        </r>
        <r>
          <rPr>
            <sz val="9"/>
            <color indexed="81"/>
            <rFont val="Tahoma"/>
            <family val="2"/>
          </rPr>
          <t xml:space="preserve">
project type correct</t>
        </r>
      </text>
    </comment>
    <comment ref="M73" authorId="0" shapeId="0">
      <text>
        <r>
          <rPr>
            <b/>
            <sz val="9"/>
            <color indexed="81"/>
            <rFont val="Tahoma"/>
            <family val="2"/>
          </rPr>
          <t>Marcy:</t>
        </r>
        <r>
          <rPr>
            <sz val="9"/>
            <color indexed="81"/>
            <rFont val="Tahoma"/>
            <family val="2"/>
          </rPr>
          <t xml:space="preserve">
reductions correct</t>
        </r>
      </text>
    </comment>
    <comment ref="J74" authorId="0" shapeId="0">
      <text>
        <r>
          <rPr>
            <b/>
            <sz val="9"/>
            <color indexed="81"/>
            <rFont val="Tahoma"/>
            <family val="2"/>
          </rPr>
          <t>Marcy:</t>
        </r>
        <r>
          <rPr>
            <sz val="9"/>
            <color indexed="81"/>
            <rFont val="Tahoma"/>
            <family val="2"/>
          </rPr>
          <t xml:space="preserve">
added to ES table</t>
        </r>
      </text>
    </comment>
    <comment ref="J75" authorId="0" shapeId="0">
      <text>
        <r>
          <rPr>
            <b/>
            <sz val="9"/>
            <color indexed="81"/>
            <rFont val="Tahoma"/>
            <family val="2"/>
          </rPr>
          <t>Marcy:</t>
        </r>
        <r>
          <rPr>
            <sz val="9"/>
            <color indexed="81"/>
            <rFont val="Tahoma"/>
            <family val="2"/>
          </rPr>
          <t xml:space="preserve">
added to ES table</t>
        </r>
      </text>
    </comment>
    <comment ref="J76" authorId="0" shapeId="0">
      <text>
        <r>
          <rPr>
            <b/>
            <sz val="9"/>
            <color indexed="81"/>
            <rFont val="Tahoma"/>
            <family val="2"/>
          </rPr>
          <t>Marcy:</t>
        </r>
        <r>
          <rPr>
            <sz val="9"/>
            <color indexed="81"/>
            <rFont val="Tahoma"/>
            <family val="2"/>
          </rPr>
          <t xml:space="preserve">
added to ES table</t>
        </r>
      </text>
    </comment>
    <comment ref="J77" authorId="0" shapeId="0">
      <text>
        <r>
          <rPr>
            <b/>
            <sz val="9"/>
            <color indexed="81"/>
            <rFont val="Tahoma"/>
            <family val="2"/>
          </rPr>
          <t>Marcy:</t>
        </r>
        <r>
          <rPr>
            <sz val="9"/>
            <color indexed="81"/>
            <rFont val="Tahoma"/>
            <family val="2"/>
          </rPr>
          <t xml:space="preserve">
added to ES table</t>
        </r>
      </text>
    </comment>
    <comment ref="J78" authorId="0" shapeId="0">
      <text>
        <r>
          <rPr>
            <b/>
            <sz val="9"/>
            <color indexed="81"/>
            <rFont val="Tahoma"/>
            <family val="2"/>
          </rPr>
          <t>Marcy:</t>
        </r>
        <r>
          <rPr>
            <sz val="9"/>
            <color indexed="81"/>
            <rFont val="Tahoma"/>
            <family val="2"/>
          </rPr>
          <t xml:space="preserve">
added to ES table</t>
        </r>
      </text>
    </comment>
    <comment ref="G80" authorId="0" shapeId="0">
      <text>
        <r>
          <rPr>
            <b/>
            <sz val="9"/>
            <color indexed="81"/>
            <rFont val="Tahoma"/>
            <family val="2"/>
          </rPr>
          <t>Marcy:</t>
        </r>
        <r>
          <rPr>
            <sz val="9"/>
            <color indexed="81"/>
            <rFont val="Tahoma"/>
            <family val="2"/>
          </rPr>
          <t xml:space="preserve">
changed from N/A</t>
        </r>
      </text>
    </comment>
    <comment ref="G81" authorId="0" shapeId="0">
      <text>
        <r>
          <rPr>
            <b/>
            <sz val="9"/>
            <color indexed="81"/>
            <rFont val="Tahoma"/>
            <family val="2"/>
          </rPr>
          <t>Marcy:</t>
        </r>
        <r>
          <rPr>
            <sz val="9"/>
            <color indexed="81"/>
            <rFont val="Tahoma"/>
            <family val="2"/>
          </rPr>
          <t xml:space="preserve">
changed from N/A</t>
        </r>
      </text>
    </comment>
    <comment ref="G82" authorId="0" shapeId="0">
      <text>
        <r>
          <rPr>
            <b/>
            <sz val="9"/>
            <color indexed="81"/>
            <rFont val="Tahoma"/>
            <family val="2"/>
          </rPr>
          <t>Marcy:</t>
        </r>
        <r>
          <rPr>
            <sz val="9"/>
            <color indexed="81"/>
            <rFont val="Tahoma"/>
            <family val="2"/>
          </rPr>
          <t xml:space="preserve">
changed from N/A</t>
        </r>
      </text>
    </comment>
    <comment ref="G83" authorId="0" shapeId="0">
      <text>
        <r>
          <rPr>
            <b/>
            <sz val="9"/>
            <color indexed="81"/>
            <rFont val="Tahoma"/>
            <family val="2"/>
          </rPr>
          <t>Marcy:</t>
        </r>
        <r>
          <rPr>
            <sz val="9"/>
            <color indexed="81"/>
            <rFont val="Tahoma"/>
            <family val="2"/>
          </rPr>
          <t xml:space="preserve">
changed from N/A</t>
        </r>
      </text>
    </comment>
    <comment ref="D84" authorId="0" shapeId="0">
      <text>
        <r>
          <rPr>
            <b/>
            <sz val="9"/>
            <color indexed="81"/>
            <rFont val="Tahoma"/>
            <family val="2"/>
          </rPr>
          <t>Marcy:</t>
        </r>
        <r>
          <rPr>
            <sz val="9"/>
            <color indexed="81"/>
            <rFont val="Tahoma"/>
            <family val="2"/>
          </rPr>
          <t xml:space="preserve">
added to ES table
</t>
        </r>
      </text>
    </comment>
    <comment ref="J86" authorId="0" shapeId="0">
      <text>
        <r>
          <rPr>
            <b/>
            <sz val="9"/>
            <color indexed="81"/>
            <rFont val="Tahoma"/>
            <family val="2"/>
          </rPr>
          <t>Marcy:</t>
        </r>
        <r>
          <rPr>
            <sz val="9"/>
            <color indexed="81"/>
            <rFont val="Tahoma"/>
            <family val="2"/>
          </rPr>
          <t xml:space="preserve">
added to ES table</t>
        </r>
      </text>
    </comment>
    <comment ref="J95" authorId="0" shapeId="0">
      <text>
        <r>
          <rPr>
            <b/>
            <sz val="9"/>
            <color indexed="81"/>
            <rFont val="Tahoma"/>
            <family val="2"/>
          </rPr>
          <t>Marcy:</t>
        </r>
        <r>
          <rPr>
            <sz val="9"/>
            <color indexed="81"/>
            <rFont val="Tahoma"/>
            <family val="2"/>
          </rPr>
          <t xml:space="preserve">
added to ES table</t>
        </r>
      </text>
    </comment>
    <comment ref="D99" authorId="0" shapeId="0">
      <text>
        <r>
          <rPr>
            <b/>
            <sz val="9"/>
            <color indexed="81"/>
            <rFont val="Tahoma"/>
            <family val="2"/>
          </rPr>
          <t>Marcy:</t>
        </r>
        <r>
          <rPr>
            <sz val="9"/>
            <color indexed="81"/>
            <rFont val="Tahoma"/>
            <family val="2"/>
          </rPr>
          <t xml:space="preserve">
added to ES table</t>
        </r>
      </text>
    </comment>
    <comment ref="C101" authorId="0" shapeId="0">
      <text>
        <r>
          <rPr>
            <b/>
            <sz val="9"/>
            <color indexed="81"/>
            <rFont val="Tahoma"/>
            <family val="2"/>
          </rPr>
          <t>Marcy:</t>
        </r>
        <r>
          <rPr>
            <sz val="9"/>
            <color indexed="81"/>
            <rFont val="Tahoma"/>
            <family val="2"/>
          </rPr>
          <t xml:space="preserve">
I think it's OK that the ES table doesn't mention the partners</t>
        </r>
      </text>
    </comment>
    <comment ref="D102" authorId="0" shapeId="0">
      <text>
        <r>
          <rPr>
            <b/>
            <sz val="9"/>
            <color indexed="81"/>
            <rFont val="Tahoma"/>
            <family val="2"/>
          </rPr>
          <t>Marcy:</t>
        </r>
        <r>
          <rPr>
            <sz val="9"/>
            <color indexed="81"/>
            <rFont val="Tahoma"/>
            <family val="2"/>
          </rPr>
          <t xml:space="preserve">
added to ES table</t>
        </r>
      </text>
    </comment>
    <comment ref="J102" authorId="0" shapeId="0">
      <text>
        <r>
          <rPr>
            <b/>
            <sz val="9"/>
            <color indexed="81"/>
            <rFont val="Tahoma"/>
            <family val="2"/>
          </rPr>
          <t>Marcy:</t>
        </r>
        <r>
          <rPr>
            <sz val="9"/>
            <color indexed="81"/>
            <rFont val="Tahoma"/>
            <family val="2"/>
          </rPr>
          <t xml:space="preserve">
added to ES table</t>
        </r>
      </text>
    </comment>
    <comment ref="D112" authorId="0" shapeId="0">
      <text>
        <r>
          <rPr>
            <b/>
            <sz val="9"/>
            <color indexed="81"/>
            <rFont val="Tahoma"/>
            <family val="2"/>
          </rPr>
          <t>Marcy:</t>
        </r>
        <r>
          <rPr>
            <sz val="9"/>
            <color indexed="81"/>
            <rFont val="Tahoma"/>
            <family val="2"/>
          </rPr>
          <t xml:space="preserve">
added to ES table</t>
        </r>
      </text>
    </comment>
    <comment ref="D118" authorId="0" shapeId="0">
      <text>
        <r>
          <rPr>
            <b/>
            <sz val="9"/>
            <color indexed="81"/>
            <rFont val="Tahoma"/>
            <family val="2"/>
          </rPr>
          <t xml:space="preserve">Marcy:
</t>
        </r>
        <r>
          <rPr>
            <sz val="9"/>
            <color indexed="81"/>
            <rFont val="Tahoma"/>
            <family val="2"/>
          </rPr>
          <t>Added to ES table</t>
        </r>
      </text>
    </comment>
    <comment ref="G118" authorId="0" shapeId="0">
      <text>
        <r>
          <rPr>
            <b/>
            <sz val="9"/>
            <color indexed="81"/>
            <rFont val="Tahoma"/>
            <family val="2"/>
          </rPr>
          <t>Marcy:</t>
        </r>
        <r>
          <rPr>
            <sz val="9"/>
            <color indexed="81"/>
            <rFont val="Tahoma"/>
            <family val="2"/>
          </rPr>
          <t xml:space="preserve">
changed from N/A</t>
        </r>
      </text>
    </comment>
    <comment ref="L118" authorId="1" shapeId="0">
      <text>
        <r>
          <rPr>
            <b/>
            <sz val="9"/>
            <color indexed="81"/>
            <rFont val="Tahoma"/>
            <family val="2"/>
          </rPr>
          <t>Davis, Sara:</t>
        </r>
        <r>
          <rPr>
            <sz val="9"/>
            <color indexed="81"/>
            <rFont val="Tahoma"/>
            <family val="2"/>
          </rPr>
          <t xml:space="preserve">
Changed from December 2028 to Ongoing since that is simply the end date of the permit.</t>
        </r>
      </text>
    </comment>
    <comment ref="L119" authorId="1" shapeId="0">
      <text>
        <r>
          <rPr>
            <b/>
            <sz val="9"/>
            <color indexed="81"/>
            <rFont val="Tahoma"/>
            <family val="2"/>
          </rPr>
          <t>Davis, Sara:</t>
        </r>
        <r>
          <rPr>
            <sz val="9"/>
            <color indexed="81"/>
            <rFont val="Tahoma"/>
            <family val="2"/>
          </rPr>
          <t xml:space="preserve">
Changed from September 2027 to Ongoing since that is simply the end date of the permit.</t>
        </r>
      </text>
    </comment>
    <comment ref="G120" authorId="0" shapeId="0">
      <text>
        <r>
          <rPr>
            <b/>
            <sz val="9"/>
            <color indexed="81"/>
            <rFont val="Tahoma"/>
            <family val="2"/>
          </rPr>
          <t>Marcy:</t>
        </r>
        <r>
          <rPr>
            <sz val="9"/>
            <color indexed="81"/>
            <rFont val="Tahoma"/>
            <family val="2"/>
          </rPr>
          <t xml:space="preserve">
changed from N/A</t>
        </r>
      </text>
    </comment>
    <comment ref="L120" authorId="1" shapeId="0">
      <text>
        <r>
          <rPr>
            <b/>
            <sz val="9"/>
            <color indexed="81"/>
            <rFont val="Tahoma"/>
            <family val="2"/>
          </rPr>
          <t>Davis, Sara:</t>
        </r>
        <r>
          <rPr>
            <sz val="9"/>
            <color indexed="81"/>
            <rFont val="Tahoma"/>
            <family val="2"/>
          </rPr>
          <t xml:space="preserve">
Changed from May 2031 to Ongoing since that is simply the end date of the permit.</t>
        </r>
      </text>
    </comment>
    <comment ref="G121" authorId="0" shapeId="0">
      <text>
        <r>
          <rPr>
            <b/>
            <sz val="9"/>
            <color indexed="81"/>
            <rFont val="Tahoma"/>
            <family val="2"/>
          </rPr>
          <t>Marcy:</t>
        </r>
        <r>
          <rPr>
            <sz val="9"/>
            <color indexed="81"/>
            <rFont val="Tahoma"/>
            <family val="2"/>
          </rPr>
          <t xml:space="preserve">
changed from N/A</t>
        </r>
      </text>
    </comment>
    <comment ref="J121" authorId="0" shapeId="0">
      <text>
        <r>
          <rPr>
            <b/>
            <sz val="9"/>
            <color indexed="81"/>
            <rFont val="Tahoma"/>
            <family val="2"/>
          </rPr>
          <t>Marcy:</t>
        </r>
        <r>
          <rPr>
            <sz val="9"/>
            <color indexed="81"/>
            <rFont val="Tahoma"/>
            <family val="2"/>
          </rPr>
          <t xml:space="preserve">
added to ES table
Based on comment from county, changed to Started, Partially funded.</t>
        </r>
      </text>
    </comment>
    <comment ref="G122" authorId="0" shapeId="0">
      <text>
        <r>
          <rPr>
            <b/>
            <sz val="9"/>
            <color indexed="81"/>
            <rFont val="Tahoma"/>
            <family val="2"/>
          </rPr>
          <t>Marcy:</t>
        </r>
        <r>
          <rPr>
            <sz val="9"/>
            <color indexed="81"/>
            <rFont val="Tahoma"/>
            <family val="2"/>
          </rPr>
          <t xml:space="preserve">
changed from N/A</t>
        </r>
      </text>
    </comment>
    <comment ref="L122" authorId="1" shapeId="0">
      <text>
        <r>
          <rPr>
            <b/>
            <sz val="9"/>
            <color indexed="81"/>
            <rFont val="Tahoma"/>
            <family val="2"/>
          </rPr>
          <t>Davis, Sara:</t>
        </r>
        <r>
          <rPr>
            <sz val="9"/>
            <color indexed="81"/>
            <rFont val="Tahoma"/>
            <family val="2"/>
          </rPr>
          <t xml:space="preserve">
Changed from October 2030 to Ongoing since that is simply the end date of the permit.</t>
        </r>
      </text>
    </comment>
    <comment ref="G123" authorId="0" shapeId="0">
      <text>
        <r>
          <rPr>
            <b/>
            <sz val="9"/>
            <color indexed="81"/>
            <rFont val="Tahoma"/>
            <family val="2"/>
          </rPr>
          <t>Marcy:</t>
        </r>
        <r>
          <rPr>
            <sz val="9"/>
            <color indexed="81"/>
            <rFont val="Tahoma"/>
            <family val="2"/>
          </rPr>
          <t xml:space="preserve">
changed from N/A</t>
        </r>
      </text>
    </comment>
    <comment ref="G124" authorId="0" shapeId="0">
      <text>
        <r>
          <rPr>
            <b/>
            <sz val="9"/>
            <color indexed="81"/>
            <rFont val="Tahoma"/>
            <family val="2"/>
          </rPr>
          <t>Marcy:</t>
        </r>
        <r>
          <rPr>
            <sz val="9"/>
            <color indexed="81"/>
            <rFont val="Tahoma"/>
            <family val="2"/>
          </rPr>
          <t xml:space="preserve">
changed from N/A</t>
        </r>
      </text>
    </comment>
    <comment ref="L124" authorId="1" shapeId="0">
      <text>
        <r>
          <rPr>
            <b/>
            <sz val="9"/>
            <color indexed="81"/>
            <rFont val="Tahoma"/>
            <family val="2"/>
          </rPr>
          <t>Davis, Sara:</t>
        </r>
        <r>
          <rPr>
            <sz val="9"/>
            <color indexed="81"/>
            <rFont val="Tahoma"/>
            <family val="2"/>
          </rPr>
          <t xml:space="preserve">
Changed from July 2023 to Ongoing since that is simply the end date of the permit.</t>
        </r>
      </text>
    </comment>
    <comment ref="G125" authorId="0" shapeId="0">
      <text>
        <r>
          <rPr>
            <b/>
            <sz val="9"/>
            <color indexed="81"/>
            <rFont val="Tahoma"/>
            <family val="2"/>
          </rPr>
          <t>Marcy:</t>
        </r>
        <r>
          <rPr>
            <sz val="9"/>
            <color indexed="81"/>
            <rFont val="Tahoma"/>
            <family val="2"/>
          </rPr>
          <t xml:space="preserve">
changed from N/A</t>
        </r>
      </text>
    </comment>
    <comment ref="L125" authorId="1" shapeId="0">
      <text>
        <r>
          <rPr>
            <b/>
            <sz val="9"/>
            <color indexed="81"/>
            <rFont val="Tahoma"/>
            <family val="2"/>
          </rPr>
          <t>Davis, Sara:</t>
        </r>
        <r>
          <rPr>
            <sz val="9"/>
            <color indexed="81"/>
            <rFont val="Tahoma"/>
            <family val="2"/>
          </rPr>
          <t xml:space="preserve">
Changed from October 2022 to Ongoing since that is simply the end date of the permit.</t>
        </r>
      </text>
    </comment>
    <comment ref="C126" authorId="0" shapeId="0">
      <text>
        <r>
          <rPr>
            <b/>
            <sz val="9"/>
            <color indexed="81"/>
            <rFont val="Tahoma"/>
            <family val="2"/>
          </rPr>
          <t>Marcy:</t>
        </r>
        <r>
          <rPr>
            <sz val="9"/>
            <color indexed="81"/>
            <rFont val="Tahoma"/>
            <family val="2"/>
          </rPr>
          <t xml:space="preserve">
I think it's OK to not include the partner in the ES table</t>
        </r>
      </text>
    </comment>
    <comment ref="G126" authorId="0" shapeId="0">
      <text>
        <r>
          <rPr>
            <b/>
            <sz val="9"/>
            <color indexed="81"/>
            <rFont val="Tahoma"/>
            <family val="2"/>
          </rPr>
          <t>Marcy:</t>
        </r>
        <r>
          <rPr>
            <sz val="9"/>
            <color indexed="81"/>
            <rFont val="Tahoma"/>
            <family val="2"/>
          </rPr>
          <t xml:space="preserve">
changed from N/A</t>
        </r>
      </text>
    </comment>
    <comment ref="J126" authorId="0" shapeId="0">
      <text>
        <r>
          <rPr>
            <b/>
            <sz val="9"/>
            <color indexed="81"/>
            <rFont val="Tahoma"/>
            <family val="2"/>
          </rPr>
          <t>Marcy:</t>
        </r>
        <r>
          <rPr>
            <sz val="9"/>
            <color indexed="81"/>
            <rFont val="Tahoma"/>
            <family val="2"/>
          </rPr>
          <t xml:space="preserve">
added to ES table</t>
        </r>
      </text>
    </comment>
    <comment ref="G127" authorId="0" shapeId="0">
      <text>
        <r>
          <rPr>
            <b/>
            <sz val="9"/>
            <color indexed="81"/>
            <rFont val="Tahoma"/>
            <family val="2"/>
          </rPr>
          <t>Marcy:</t>
        </r>
        <r>
          <rPr>
            <sz val="9"/>
            <color indexed="81"/>
            <rFont val="Tahoma"/>
            <family val="2"/>
          </rPr>
          <t xml:space="preserve">
changed from N/A</t>
        </r>
      </text>
    </comment>
    <comment ref="H127" authorId="1" shapeId="0">
      <text>
        <r>
          <rPr>
            <b/>
            <sz val="9"/>
            <color indexed="81"/>
            <rFont val="Tahoma"/>
            <family val="2"/>
          </rPr>
          <t>Davis, Sara:</t>
        </r>
        <r>
          <rPr>
            <sz val="9"/>
            <color indexed="81"/>
            <rFont val="Tahoma"/>
            <family val="2"/>
          </rPr>
          <t xml:space="preserve">
Added based on comment from County.</t>
        </r>
      </text>
    </comment>
    <comment ref="G128" authorId="0" shapeId="0">
      <text>
        <r>
          <rPr>
            <b/>
            <sz val="9"/>
            <color indexed="81"/>
            <rFont val="Tahoma"/>
            <family val="2"/>
          </rPr>
          <t>Marcy:</t>
        </r>
        <r>
          <rPr>
            <sz val="9"/>
            <color indexed="81"/>
            <rFont val="Tahoma"/>
            <family val="2"/>
          </rPr>
          <t xml:space="preserve">
changed from N/A</t>
        </r>
      </text>
    </comment>
    <comment ref="J128" authorId="1" shapeId="0">
      <text>
        <r>
          <rPr>
            <b/>
            <sz val="9"/>
            <color indexed="81"/>
            <rFont val="Tahoma"/>
            <family val="2"/>
          </rPr>
          <t>Davis, Sara:</t>
        </r>
        <r>
          <rPr>
            <sz val="9"/>
            <color indexed="81"/>
            <rFont val="Tahoma"/>
            <family val="2"/>
          </rPr>
          <t xml:space="preserve">
Changed based on comment from County.</t>
        </r>
      </text>
    </comment>
    <comment ref="K128" authorId="1" shapeId="0">
      <text>
        <r>
          <rPr>
            <b/>
            <sz val="9"/>
            <color indexed="81"/>
            <rFont val="Tahoma"/>
            <family val="2"/>
          </rPr>
          <t>Davis, Sara:</t>
        </r>
        <r>
          <rPr>
            <sz val="9"/>
            <color indexed="81"/>
            <rFont val="Tahoma"/>
            <family val="2"/>
          </rPr>
          <t xml:space="preserve">
Changed based on comment from County.</t>
        </r>
      </text>
    </comment>
    <comment ref="L128" authorId="1" shapeId="0">
      <text>
        <r>
          <rPr>
            <b/>
            <sz val="9"/>
            <color indexed="81"/>
            <rFont val="Tahoma"/>
            <family val="2"/>
          </rPr>
          <t>Davis, Sara:</t>
        </r>
        <r>
          <rPr>
            <sz val="9"/>
            <color indexed="81"/>
            <rFont val="Tahoma"/>
            <family val="2"/>
          </rPr>
          <t xml:space="preserve">
Changed based on comment from County.</t>
        </r>
      </text>
    </comment>
    <comment ref="D129" authorId="0" shapeId="0">
      <text>
        <r>
          <rPr>
            <b/>
            <sz val="9"/>
            <color indexed="81"/>
            <rFont val="Tahoma"/>
            <family val="2"/>
          </rPr>
          <t>Marcy:</t>
        </r>
        <r>
          <rPr>
            <sz val="9"/>
            <color indexed="81"/>
            <rFont val="Tahoma"/>
            <family val="2"/>
          </rPr>
          <t xml:space="preserve">
added to ES table</t>
        </r>
      </text>
    </comment>
    <comment ref="G129" authorId="0" shapeId="0">
      <text>
        <r>
          <rPr>
            <b/>
            <sz val="9"/>
            <color indexed="81"/>
            <rFont val="Tahoma"/>
            <family val="2"/>
          </rPr>
          <t>Marcy:</t>
        </r>
        <r>
          <rPr>
            <sz val="9"/>
            <color indexed="81"/>
            <rFont val="Tahoma"/>
            <family val="2"/>
          </rPr>
          <t xml:space="preserve">
changed from N/A</t>
        </r>
      </text>
    </comment>
    <comment ref="G130" authorId="0" shapeId="0">
      <text>
        <r>
          <rPr>
            <b/>
            <sz val="9"/>
            <color indexed="81"/>
            <rFont val="Tahoma"/>
            <family val="2"/>
          </rPr>
          <t>Marcy:</t>
        </r>
        <r>
          <rPr>
            <sz val="9"/>
            <color indexed="81"/>
            <rFont val="Tahoma"/>
            <family val="2"/>
          </rPr>
          <t xml:space="preserve">
changed from N/A</t>
        </r>
      </text>
    </comment>
    <comment ref="G131" authorId="0" shapeId="0">
      <text>
        <r>
          <rPr>
            <b/>
            <sz val="9"/>
            <color indexed="81"/>
            <rFont val="Tahoma"/>
            <family val="2"/>
          </rPr>
          <t>Marcy:</t>
        </r>
        <r>
          <rPr>
            <sz val="9"/>
            <color indexed="81"/>
            <rFont val="Tahoma"/>
            <family val="2"/>
          </rPr>
          <t xml:space="preserve">
changed from N/A</t>
        </r>
      </text>
    </comment>
    <comment ref="G132" authorId="0" shapeId="0">
      <text>
        <r>
          <rPr>
            <b/>
            <sz val="9"/>
            <color indexed="81"/>
            <rFont val="Tahoma"/>
            <family val="2"/>
          </rPr>
          <t>Marcy:</t>
        </r>
        <r>
          <rPr>
            <sz val="9"/>
            <color indexed="81"/>
            <rFont val="Tahoma"/>
            <family val="2"/>
          </rPr>
          <t xml:space="preserve">
changed from N/A</t>
        </r>
      </text>
    </comment>
    <comment ref="G133" authorId="0" shapeId="0">
      <text>
        <r>
          <rPr>
            <b/>
            <sz val="9"/>
            <color indexed="81"/>
            <rFont val="Tahoma"/>
            <family val="2"/>
          </rPr>
          <t>Marcy:</t>
        </r>
        <r>
          <rPr>
            <sz val="9"/>
            <color indexed="81"/>
            <rFont val="Tahoma"/>
            <family val="2"/>
          </rPr>
          <t xml:space="preserve">
changed from N/A</t>
        </r>
      </text>
    </comment>
    <comment ref="G134" authorId="0" shapeId="0">
      <text>
        <r>
          <rPr>
            <b/>
            <sz val="9"/>
            <color indexed="81"/>
            <rFont val="Tahoma"/>
            <family val="2"/>
          </rPr>
          <t>Marcy:</t>
        </r>
        <r>
          <rPr>
            <sz val="9"/>
            <color indexed="81"/>
            <rFont val="Tahoma"/>
            <family val="2"/>
          </rPr>
          <t xml:space="preserve">
changed from N/A</t>
        </r>
      </text>
    </comment>
    <comment ref="G135" authorId="0" shapeId="0">
      <text>
        <r>
          <rPr>
            <b/>
            <sz val="9"/>
            <color indexed="81"/>
            <rFont val="Tahoma"/>
            <family val="2"/>
          </rPr>
          <t>Marcy:</t>
        </r>
        <r>
          <rPr>
            <sz val="9"/>
            <color indexed="81"/>
            <rFont val="Tahoma"/>
            <family val="2"/>
          </rPr>
          <t xml:space="preserve">
changed from N/A</t>
        </r>
      </text>
    </comment>
    <comment ref="L135" authorId="1" shapeId="0">
      <text>
        <r>
          <rPr>
            <b/>
            <sz val="9"/>
            <color indexed="81"/>
            <rFont val="Tahoma"/>
            <family val="2"/>
          </rPr>
          <t>Davis, Sara:</t>
        </r>
        <r>
          <rPr>
            <sz val="9"/>
            <color indexed="81"/>
            <rFont val="Tahoma"/>
            <family val="2"/>
          </rPr>
          <t xml:space="preserve">
If this project is still ongoing, what is the completion date?</t>
        </r>
      </text>
    </comment>
    <comment ref="G136" authorId="0" shapeId="0">
      <text>
        <r>
          <rPr>
            <b/>
            <sz val="9"/>
            <color indexed="81"/>
            <rFont val="Tahoma"/>
            <family val="2"/>
          </rPr>
          <t>Marcy:</t>
        </r>
        <r>
          <rPr>
            <sz val="9"/>
            <color indexed="81"/>
            <rFont val="Tahoma"/>
            <family val="2"/>
          </rPr>
          <t xml:space="preserve">
changed from N/A</t>
        </r>
      </text>
    </comment>
    <comment ref="J136" authorId="0" shapeId="0">
      <text>
        <r>
          <rPr>
            <b/>
            <sz val="9"/>
            <color indexed="81"/>
            <rFont val="Tahoma"/>
            <family val="2"/>
          </rPr>
          <t>Marcy:</t>
        </r>
        <r>
          <rPr>
            <sz val="9"/>
            <color indexed="81"/>
            <rFont val="Tahoma"/>
            <family val="2"/>
          </rPr>
          <t xml:space="preserve">
added to ES table</t>
        </r>
      </text>
    </comment>
    <comment ref="G137" authorId="0" shapeId="0">
      <text>
        <r>
          <rPr>
            <b/>
            <sz val="9"/>
            <color indexed="81"/>
            <rFont val="Tahoma"/>
            <family val="2"/>
          </rPr>
          <t>Marcy:</t>
        </r>
        <r>
          <rPr>
            <sz val="9"/>
            <color indexed="81"/>
            <rFont val="Tahoma"/>
            <family val="2"/>
          </rPr>
          <t xml:space="preserve">
changed from N/A</t>
        </r>
      </text>
    </comment>
    <comment ref="G138" authorId="0" shapeId="0">
      <text>
        <r>
          <rPr>
            <b/>
            <sz val="9"/>
            <color indexed="81"/>
            <rFont val="Tahoma"/>
            <family val="2"/>
          </rPr>
          <t>Marcy:</t>
        </r>
        <r>
          <rPr>
            <sz val="9"/>
            <color indexed="81"/>
            <rFont val="Tahoma"/>
            <family val="2"/>
          </rPr>
          <t xml:space="preserve">
changed from N/A</t>
        </r>
      </text>
    </comment>
    <comment ref="J142" authorId="0" shapeId="0">
      <text>
        <r>
          <rPr>
            <b/>
            <sz val="9"/>
            <color indexed="81"/>
            <rFont val="Tahoma"/>
            <family val="2"/>
          </rPr>
          <t>Marcy:</t>
        </r>
        <r>
          <rPr>
            <sz val="9"/>
            <color indexed="81"/>
            <rFont val="Tahoma"/>
            <family val="2"/>
          </rPr>
          <t xml:space="preserve">
changed to operational</t>
        </r>
      </text>
    </comment>
    <comment ref="A143" authorId="0" shapeId="0">
      <text>
        <r>
          <rPr>
            <b/>
            <sz val="9"/>
            <color indexed="81"/>
            <rFont val="Tahoma"/>
            <family val="2"/>
          </rPr>
          <t>Marcy:</t>
        </r>
        <r>
          <rPr>
            <sz val="9"/>
            <color indexed="81"/>
            <rFont val="Tahoma"/>
            <family val="2"/>
          </rPr>
          <t xml:space="preserve">
reverted to previous project number</t>
        </r>
      </text>
    </comment>
    <comment ref="A144" authorId="0" shapeId="0">
      <text>
        <r>
          <rPr>
            <b/>
            <sz val="9"/>
            <color indexed="81"/>
            <rFont val="Tahoma"/>
            <family val="2"/>
          </rPr>
          <t>Marcy:</t>
        </r>
        <r>
          <rPr>
            <sz val="9"/>
            <color indexed="81"/>
            <rFont val="Tahoma"/>
            <family val="2"/>
          </rPr>
          <t xml:space="preserve">
reverted to previous project number</t>
        </r>
      </text>
    </comment>
    <comment ref="J144" authorId="0" shapeId="0">
      <text>
        <r>
          <rPr>
            <b/>
            <sz val="9"/>
            <color indexed="81"/>
            <rFont val="Tahoma"/>
            <family val="2"/>
          </rPr>
          <t>Marcy:</t>
        </r>
        <r>
          <rPr>
            <sz val="9"/>
            <color indexed="81"/>
            <rFont val="Tahoma"/>
            <family val="2"/>
          </rPr>
          <t xml:space="preserve">
updated status</t>
        </r>
      </text>
    </comment>
    <comment ref="A145" authorId="0" shapeId="0">
      <text>
        <r>
          <rPr>
            <b/>
            <sz val="9"/>
            <color indexed="81"/>
            <rFont val="Tahoma"/>
            <family val="2"/>
          </rPr>
          <t>Marcy:</t>
        </r>
        <r>
          <rPr>
            <sz val="9"/>
            <color indexed="81"/>
            <rFont val="Tahoma"/>
            <family val="2"/>
          </rPr>
          <t xml:space="preserve">
reverted to previous project number</t>
        </r>
      </text>
    </comment>
    <comment ref="J152" authorId="0" shapeId="0">
      <text>
        <r>
          <rPr>
            <b/>
            <sz val="9"/>
            <color indexed="81"/>
            <rFont val="Tahoma"/>
            <family val="2"/>
          </rPr>
          <t>Marcy:</t>
        </r>
        <r>
          <rPr>
            <sz val="9"/>
            <color indexed="81"/>
            <rFont val="Tahoma"/>
            <family val="2"/>
          </rPr>
          <t xml:space="preserve">
updated status</t>
        </r>
      </text>
    </comment>
    <comment ref="A157" authorId="0" shapeId="0">
      <text>
        <r>
          <rPr>
            <b/>
            <sz val="9"/>
            <color indexed="81"/>
            <rFont val="Tahoma"/>
            <family val="2"/>
          </rPr>
          <t>Marcy:</t>
        </r>
        <r>
          <rPr>
            <sz val="9"/>
            <color indexed="81"/>
            <rFont val="Tahoma"/>
            <family val="2"/>
          </rPr>
          <t xml:space="preserve">
reverted to previous project number</t>
        </r>
      </text>
    </comment>
    <comment ref="D158" authorId="0" shapeId="0">
      <text>
        <r>
          <rPr>
            <b/>
            <sz val="9"/>
            <color indexed="81"/>
            <rFont val="Tahoma"/>
            <family val="2"/>
          </rPr>
          <t>Marcy:</t>
        </r>
        <r>
          <rPr>
            <sz val="9"/>
            <color indexed="81"/>
            <rFont val="Tahoma"/>
            <family val="2"/>
          </rPr>
          <t xml:space="preserve">
project type correct</t>
        </r>
      </text>
    </comment>
    <comment ref="J158" authorId="0" shapeId="0">
      <text>
        <r>
          <rPr>
            <b/>
            <sz val="9"/>
            <color indexed="81"/>
            <rFont val="Tahoma"/>
            <family val="2"/>
          </rPr>
          <t>Marcy:</t>
        </r>
        <r>
          <rPr>
            <sz val="9"/>
            <color indexed="81"/>
            <rFont val="Tahoma"/>
            <family val="2"/>
          </rPr>
          <t xml:space="preserve">
changed status</t>
        </r>
      </text>
    </comment>
    <comment ref="J160" authorId="0" shapeId="0">
      <text>
        <r>
          <rPr>
            <b/>
            <sz val="9"/>
            <color indexed="81"/>
            <rFont val="Tahoma"/>
            <family val="2"/>
          </rPr>
          <t>Marcy:</t>
        </r>
        <r>
          <rPr>
            <sz val="9"/>
            <color indexed="81"/>
            <rFont val="Tahoma"/>
            <family val="2"/>
          </rPr>
          <t xml:space="preserve">
changed status
</t>
        </r>
      </text>
    </comment>
    <comment ref="J164" authorId="0" shapeId="0">
      <text>
        <r>
          <rPr>
            <b/>
            <sz val="9"/>
            <color indexed="81"/>
            <rFont val="Tahoma"/>
            <family val="2"/>
          </rPr>
          <t>Marcy:</t>
        </r>
        <r>
          <rPr>
            <sz val="9"/>
            <color indexed="81"/>
            <rFont val="Tahoma"/>
            <family val="2"/>
          </rPr>
          <t xml:space="preserve">
changed status</t>
        </r>
      </text>
    </comment>
  </commentList>
</comments>
</file>

<file path=xl/comments10.xml><?xml version="1.0" encoding="utf-8"?>
<comments xmlns="http://schemas.openxmlformats.org/spreadsheetml/2006/main">
  <authors>
    <author>Marcy</author>
  </authors>
  <commentList>
    <comment ref="J16" authorId="0" shapeId="0">
      <text>
        <r>
          <rPr>
            <b/>
            <sz val="9"/>
            <color indexed="81"/>
            <rFont val="Tahoma"/>
            <family val="2"/>
          </rPr>
          <t>Marcy:</t>
        </r>
        <r>
          <rPr>
            <sz val="9"/>
            <color indexed="81"/>
            <rFont val="Tahoma"/>
            <family val="2"/>
          </rPr>
          <t xml:space="preserve">
Status OK, added to ES table</t>
        </r>
      </text>
    </comment>
    <comment ref="J17" authorId="0" shapeId="0">
      <text>
        <r>
          <rPr>
            <b/>
            <sz val="9"/>
            <color indexed="81"/>
            <rFont val="Tahoma"/>
            <family val="2"/>
          </rPr>
          <t>Marcy:</t>
        </r>
        <r>
          <rPr>
            <sz val="9"/>
            <color indexed="81"/>
            <rFont val="Tahoma"/>
            <family val="2"/>
          </rPr>
          <t xml:space="preserve">
Status OK, added to ES table</t>
        </r>
      </text>
    </comment>
    <comment ref="G19" authorId="0" shapeId="0">
      <text>
        <r>
          <rPr>
            <b/>
            <sz val="9"/>
            <color indexed="81"/>
            <rFont val="Tahoma"/>
            <family val="2"/>
          </rPr>
          <t>Marcy:</t>
        </r>
        <r>
          <rPr>
            <sz val="9"/>
            <color indexed="81"/>
            <rFont val="Tahoma"/>
            <family val="2"/>
          </rPr>
          <t xml:space="preserve">
changed from N/A</t>
        </r>
      </text>
    </comment>
    <comment ref="J21" authorId="0" shapeId="0">
      <text>
        <r>
          <rPr>
            <b/>
            <sz val="9"/>
            <color indexed="81"/>
            <rFont val="Tahoma"/>
            <family val="2"/>
          </rPr>
          <t>Marcy:</t>
        </r>
        <r>
          <rPr>
            <sz val="9"/>
            <color indexed="81"/>
            <rFont val="Tahoma"/>
            <family val="2"/>
          </rPr>
          <t xml:space="preserve">
added to ES table</t>
        </r>
      </text>
    </comment>
  </commentList>
</comments>
</file>

<file path=xl/comments11.xml><?xml version="1.0" encoding="utf-8"?>
<comments xmlns="http://schemas.openxmlformats.org/spreadsheetml/2006/main">
  <authors>
    <author>Marcy</author>
  </authors>
  <commentList>
    <comment ref="A21" authorId="0" shapeId="0">
      <text>
        <r>
          <rPr>
            <b/>
            <sz val="9"/>
            <color indexed="81"/>
            <rFont val="Tahoma"/>
            <family val="2"/>
          </rPr>
          <t>Marcy:</t>
        </r>
        <r>
          <rPr>
            <sz val="9"/>
            <color indexed="81"/>
            <rFont val="Tahoma"/>
            <family val="2"/>
          </rPr>
          <t xml:space="preserve">
Reverted back to old numbering</t>
        </r>
      </text>
    </comment>
    <comment ref="J21" authorId="0" shapeId="0">
      <text>
        <r>
          <rPr>
            <b/>
            <sz val="9"/>
            <color indexed="81"/>
            <rFont val="Tahoma"/>
            <family val="2"/>
          </rPr>
          <t>Marcy:</t>
        </r>
        <r>
          <rPr>
            <sz val="9"/>
            <color indexed="81"/>
            <rFont val="Tahoma"/>
            <family val="2"/>
          </rPr>
          <t xml:space="preserve">
changed to say operational</t>
        </r>
      </text>
    </comment>
    <comment ref="A22" authorId="0" shapeId="0">
      <text>
        <r>
          <rPr>
            <b/>
            <sz val="9"/>
            <color indexed="81"/>
            <rFont val="Tahoma"/>
            <family val="2"/>
          </rPr>
          <t>Marcy:</t>
        </r>
        <r>
          <rPr>
            <sz val="9"/>
            <color indexed="81"/>
            <rFont val="Tahoma"/>
            <family val="2"/>
          </rPr>
          <t xml:space="preserve">
Reverted back to old numbering</t>
        </r>
      </text>
    </comment>
    <comment ref="J22" authorId="0" shapeId="0">
      <text>
        <r>
          <rPr>
            <b/>
            <sz val="9"/>
            <color indexed="81"/>
            <rFont val="Tahoma"/>
            <family val="2"/>
          </rPr>
          <t>Marcy:</t>
        </r>
        <r>
          <rPr>
            <sz val="9"/>
            <color indexed="81"/>
            <rFont val="Tahoma"/>
            <family val="2"/>
          </rPr>
          <t xml:space="preserve">
changed to say operational</t>
        </r>
      </text>
    </comment>
    <comment ref="A23" authorId="0" shapeId="0">
      <text>
        <r>
          <rPr>
            <b/>
            <sz val="9"/>
            <color indexed="81"/>
            <rFont val="Tahoma"/>
            <family val="2"/>
          </rPr>
          <t>Marcy:</t>
        </r>
        <r>
          <rPr>
            <sz val="9"/>
            <color indexed="81"/>
            <rFont val="Tahoma"/>
            <family val="2"/>
          </rPr>
          <t xml:space="preserve">
Reverted back to old numbering</t>
        </r>
      </text>
    </comment>
    <comment ref="A24" authorId="0" shapeId="0">
      <text>
        <r>
          <rPr>
            <b/>
            <sz val="9"/>
            <color indexed="81"/>
            <rFont val="Tahoma"/>
            <family val="2"/>
          </rPr>
          <t>Marcy:</t>
        </r>
        <r>
          <rPr>
            <sz val="9"/>
            <color indexed="81"/>
            <rFont val="Tahoma"/>
            <family val="2"/>
          </rPr>
          <t xml:space="preserve">
Reverted back to old numbering</t>
        </r>
      </text>
    </comment>
    <comment ref="A25" authorId="0" shapeId="0">
      <text>
        <r>
          <rPr>
            <b/>
            <sz val="9"/>
            <color indexed="81"/>
            <rFont val="Tahoma"/>
            <family val="2"/>
          </rPr>
          <t>Marcy:</t>
        </r>
        <r>
          <rPr>
            <sz val="9"/>
            <color indexed="81"/>
            <rFont val="Tahoma"/>
            <family val="2"/>
          </rPr>
          <t xml:space="preserve">
Reverted back to old numbering
</t>
        </r>
      </text>
    </comment>
    <comment ref="J29" authorId="0" shapeId="0">
      <text>
        <r>
          <rPr>
            <b/>
            <sz val="9"/>
            <color indexed="81"/>
            <rFont val="Tahoma"/>
            <family val="2"/>
          </rPr>
          <t>Marcy:</t>
        </r>
        <r>
          <rPr>
            <sz val="9"/>
            <color indexed="81"/>
            <rFont val="Tahoma"/>
            <family val="2"/>
          </rPr>
          <t xml:space="preserve">
added to ES table</t>
        </r>
      </text>
    </comment>
    <comment ref="J30" authorId="0" shapeId="0">
      <text>
        <r>
          <rPr>
            <b/>
            <sz val="9"/>
            <color indexed="81"/>
            <rFont val="Tahoma"/>
            <family val="2"/>
          </rPr>
          <t>Marcy:</t>
        </r>
        <r>
          <rPr>
            <sz val="9"/>
            <color indexed="81"/>
            <rFont val="Tahoma"/>
            <family val="2"/>
          </rPr>
          <t xml:space="preserve">
added to ES table</t>
        </r>
      </text>
    </comment>
    <comment ref="J31" authorId="0" shapeId="0">
      <text>
        <r>
          <rPr>
            <b/>
            <sz val="9"/>
            <color indexed="81"/>
            <rFont val="Tahoma"/>
            <family val="2"/>
          </rPr>
          <t>Marcy:</t>
        </r>
        <r>
          <rPr>
            <sz val="9"/>
            <color indexed="81"/>
            <rFont val="Tahoma"/>
            <family val="2"/>
          </rPr>
          <t xml:space="preserve">
added to ES table</t>
        </r>
      </text>
    </comment>
    <comment ref="J32" authorId="0" shapeId="0">
      <text>
        <r>
          <rPr>
            <b/>
            <sz val="9"/>
            <color indexed="81"/>
            <rFont val="Tahoma"/>
            <family val="2"/>
          </rPr>
          <t>Marcy:</t>
        </r>
        <r>
          <rPr>
            <sz val="9"/>
            <color indexed="81"/>
            <rFont val="Tahoma"/>
            <family val="2"/>
          </rPr>
          <t xml:space="preserve">
added to ES table</t>
        </r>
      </text>
    </comment>
    <comment ref="J33" authorId="0" shapeId="0">
      <text>
        <r>
          <rPr>
            <b/>
            <sz val="9"/>
            <color indexed="81"/>
            <rFont val="Tahoma"/>
            <family val="2"/>
          </rPr>
          <t>Marcy:</t>
        </r>
        <r>
          <rPr>
            <sz val="9"/>
            <color indexed="81"/>
            <rFont val="Tahoma"/>
            <family val="2"/>
          </rPr>
          <t xml:space="preserve">
added to ES table</t>
        </r>
      </text>
    </comment>
    <comment ref="A34" authorId="0" shapeId="0">
      <text>
        <r>
          <rPr>
            <b/>
            <sz val="9"/>
            <color indexed="81"/>
            <rFont val="Tahoma"/>
            <family val="2"/>
          </rPr>
          <t>Marcy:</t>
        </r>
        <r>
          <rPr>
            <sz val="9"/>
            <color indexed="81"/>
            <rFont val="Tahoma"/>
            <family val="2"/>
          </rPr>
          <t xml:space="preserve">
reverted to previous project number</t>
        </r>
      </text>
    </comment>
    <comment ref="A35" authorId="0" shapeId="0">
      <text>
        <r>
          <rPr>
            <b/>
            <sz val="9"/>
            <color indexed="81"/>
            <rFont val="Tahoma"/>
            <family val="2"/>
          </rPr>
          <t>Marcy:</t>
        </r>
        <r>
          <rPr>
            <sz val="9"/>
            <color indexed="81"/>
            <rFont val="Tahoma"/>
            <family val="2"/>
          </rPr>
          <t xml:space="preserve">
reverted to previous project number</t>
        </r>
      </text>
    </comment>
    <comment ref="J35" authorId="0" shapeId="0">
      <text>
        <r>
          <rPr>
            <b/>
            <sz val="9"/>
            <color indexed="81"/>
            <rFont val="Tahoma"/>
            <family val="2"/>
          </rPr>
          <t>Marcy:</t>
        </r>
        <r>
          <rPr>
            <sz val="9"/>
            <color indexed="81"/>
            <rFont val="Tahoma"/>
            <family val="2"/>
          </rPr>
          <t xml:space="preserve">
updated status</t>
        </r>
      </text>
    </comment>
    <comment ref="A36" authorId="0" shapeId="0">
      <text>
        <r>
          <rPr>
            <b/>
            <sz val="9"/>
            <color indexed="81"/>
            <rFont val="Tahoma"/>
            <family val="2"/>
          </rPr>
          <t>Marcy:</t>
        </r>
        <r>
          <rPr>
            <sz val="9"/>
            <color indexed="81"/>
            <rFont val="Tahoma"/>
            <family val="2"/>
          </rPr>
          <t xml:space="preserve">
reverted to previous project number</t>
        </r>
      </text>
    </comment>
    <comment ref="A37" authorId="0" shapeId="0">
      <text>
        <r>
          <rPr>
            <b/>
            <sz val="9"/>
            <color indexed="81"/>
            <rFont val="Tahoma"/>
            <family val="2"/>
          </rPr>
          <t>Marcy:</t>
        </r>
        <r>
          <rPr>
            <sz val="9"/>
            <color indexed="81"/>
            <rFont val="Tahoma"/>
            <family val="2"/>
          </rPr>
          <t xml:space="preserve">
reverted to previous project number</t>
        </r>
      </text>
    </comment>
  </commentList>
</comments>
</file>

<file path=xl/comments12.xml><?xml version="1.0" encoding="utf-8"?>
<comments xmlns="http://schemas.openxmlformats.org/spreadsheetml/2006/main">
  <authors>
    <author>Marcy</author>
    <author>Davis, Sara</author>
  </authors>
  <commentList>
    <comment ref="G120" authorId="0" shapeId="0">
      <text>
        <r>
          <rPr>
            <b/>
            <sz val="9"/>
            <color indexed="81"/>
            <rFont val="Tahoma"/>
            <family val="2"/>
          </rPr>
          <t>Marcy:</t>
        </r>
        <r>
          <rPr>
            <sz val="9"/>
            <color indexed="81"/>
            <rFont val="Tahoma"/>
            <family val="2"/>
          </rPr>
          <t xml:space="preserve">
changed from N/A</t>
        </r>
      </text>
    </comment>
    <comment ref="H121" authorId="0" shapeId="0">
      <text>
        <r>
          <rPr>
            <b/>
            <sz val="9"/>
            <color indexed="81"/>
            <rFont val="Tahoma"/>
            <family val="2"/>
          </rPr>
          <t>Marcy:</t>
        </r>
        <r>
          <rPr>
            <sz val="9"/>
            <color indexed="81"/>
            <rFont val="Tahoma"/>
            <family val="2"/>
          </rPr>
          <t xml:space="preserve">
changed from N/A</t>
        </r>
      </text>
    </comment>
    <comment ref="J123" authorId="1" shapeId="0">
      <text>
        <r>
          <rPr>
            <b/>
            <sz val="9"/>
            <color indexed="81"/>
            <rFont val="Tahoma"/>
            <family val="2"/>
          </rPr>
          <t>Davis, Sara:</t>
        </r>
        <r>
          <rPr>
            <sz val="9"/>
            <color indexed="81"/>
            <rFont val="Tahoma"/>
            <family val="2"/>
          </rPr>
          <t xml:space="preserve">
In report: Started, Completed, Ongoing</t>
        </r>
      </text>
    </comment>
    <comment ref="D125" authorId="0" shapeId="0">
      <text>
        <r>
          <rPr>
            <b/>
            <sz val="9"/>
            <color indexed="81"/>
            <rFont val="Tahoma"/>
            <family val="2"/>
          </rPr>
          <t>Marcy:</t>
        </r>
        <r>
          <rPr>
            <sz val="9"/>
            <color indexed="81"/>
            <rFont val="Tahoma"/>
            <family val="2"/>
          </rPr>
          <t xml:space="preserve">
Type OK, added to ES table</t>
        </r>
      </text>
    </comment>
    <comment ref="D130" authorId="0" shapeId="0">
      <text>
        <r>
          <rPr>
            <b/>
            <sz val="9"/>
            <color indexed="81"/>
            <rFont val="Tahoma"/>
            <family val="2"/>
          </rPr>
          <t>Marcy:</t>
        </r>
        <r>
          <rPr>
            <sz val="9"/>
            <color indexed="81"/>
            <rFont val="Tahoma"/>
            <family val="2"/>
          </rPr>
          <t xml:space="preserve">
added to ES table
</t>
        </r>
      </text>
    </comment>
    <comment ref="D132" authorId="0" shapeId="0">
      <text>
        <r>
          <rPr>
            <b/>
            <sz val="9"/>
            <color indexed="81"/>
            <rFont val="Tahoma"/>
            <family val="2"/>
          </rPr>
          <t>Marcy:</t>
        </r>
        <r>
          <rPr>
            <sz val="9"/>
            <color indexed="81"/>
            <rFont val="Tahoma"/>
            <family val="2"/>
          </rPr>
          <t xml:space="preserve">
added to ES table
</t>
        </r>
      </text>
    </comment>
    <comment ref="J132" authorId="0" shapeId="0">
      <text>
        <r>
          <rPr>
            <b/>
            <sz val="9"/>
            <color indexed="81"/>
            <rFont val="Tahoma"/>
            <family val="2"/>
          </rPr>
          <t>Marcy:</t>
        </r>
        <r>
          <rPr>
            <sz val="9"/>
            <color indexed="81"/>
            <rFont val="Tahoma"/>
            <family val="2"/>
          </rPr>
          <t xml:space="preserve">
added to ES table</t>
        </r>
      </text>
    </comment>
    <comment ref="J133" authorId="0" shapeId="0">
      <text>
        <r>
          <rPr>
            <b/>
            <sz val="9"/>
            <color indexed="81"/>
            <rFont val="Tahoma"/>
            <family val="2"/>
          </rPr>
          <t>Marcy:</t>
        </r>
        <r>
          <rPr>
            <sz val="9"/>
            <color indexed="81"/>
            <rFont val="Tahoma"/>
            <family val="2"/>
          </rPr>
          <t xml:space="preserve">
added to ES table
</t>
        </r>
      </text>
    </comment>
    <comment ref="D142" authorId="0" shapeId="0">
      <text>
        <r>
          <rPr>
            <b/>
            <sz val="9"/>
            <color indexed="81"/>
            <rFont val="Tahoma"/>
            <family val="2"/>
          </rPr>
          <t>Marcy:</t>
        </r>
        <r>
          <rPr>
            <sz val="9"/>
            <color indexed="81"/>
            <rFont val="Tahoma"/>
            <family val="2"/>
          </rPr>
          <t xml:space="preserve">
added to ES table</t>
        </r>
      </text>
    </comment>
    <comment ref="G142" authorId="0" shapeId="0">
      <text>
        <r>
          <rPr>
            <b/>
            <sz val="9"/>
            <color indexed="81"/>
            <rFont val="Tahoma"/>
            <family val="2"/>
          </rPr>
          <t>Marcy:</t>
        </r>
        <r>
          <rPr>
            <sz val="9"/>
            <color indexed="81"/>
            <rFont val="Tahoma"/>
            <family val="2"/>
          </rPr>
          <t xml:space="preserve">
changed from N/A</t>
        </r>
      </text>
    </comment>
    <comment ref="G143" authorId="0" shapeId="0">
      <text>
        <r>
          <rPr>
            <b/>
            <sz val="9"/>
            <color indexed="81"/>
            <rFont val="Tahoma"/>
            <family val="2"/>
          </rPr>
          <t>Marcy:</t>
        </r>
        <r>
          <rPr>
            <sz val="9"/>
            <color indexed="81"/>
            <rFont val="Tahoma"/>
            <family val="2"/>
          </rPr>
          <t xml:space="preserve">
changed from N/A</t>
        </r>
      </text>
    </comment>
    <comment ref="J144" authorId="0" shapeId="0">
      <text>
        <r>
          <rPr>
            <b/>
            <sz val="9"/>
            <color indexed="81"/>
            <rFont val="Tahoma"/>
            <family val="2"/>
          </rPr>
          <t>Marcy:</t>
        </r>
        <r>
          <rPr>
            <sz val="9"/>
            <color indexed="81"/>
            <rFont val="Tahoma"/>
            <family val="2"/>
          </rPr>
          <t xml:space="preserve">
added to ES table</t>
        </r>
      </text>
    </comment>
    <comment ref="J145" authorId="0" shapeId="0">
      <text>
        <r>
          <rPr>
            <b/>
            <sz val="9"/>
            <color indexed="81"/>
            <rFont val="Tahoma"/>
            <family val="2"/>
          </rPr>
          <t>Marcy:</t>
        </r>
        <r>
          <rPr>
            <sz val="9"/>
            <color indexed="81"/>
            <rFont val="Tahoma"/>
            <family val="2"/>
          </rPr>
          <t xml:space="preserve">
added to ES table</t>
        </r>
      </text>
    </comment>
    <comment ref="J146" authorId="0" shapeId="0">
      <text>
        <r>
          <rPr>
            <b/>
            <sz val="9"/>
            <color indexed="81"/>
            <rFont val="Tahoma"/>
            <family val="2"/>
          </rPr>
          <t>Marcy:</t>
        </r>
        <r>
          <rPr>
            <sz val="9"/>
            <color indexed="81"/>
            <rFont val="Tahoma"/>
            <family val="2"/>
          </rPr>
          <t xml:space="preserve">
added to ES table</t>
        </r>
      </text>
    </comment>
    <comment ref="J147" authorId="0" shapeId="0">
      <text>
        <r>
          <rPr>
            <b/>
            <sz val="9"/>
            <color indexed="81"/>
            <rFont val="Tahoma"/>
            <family val="2"/>
          </rPr>
          <t>Marcy:</t>
        </r>
        <r>
          <rPr>
            <sz val="9"/>
            <color indexed="81"/>
            <rFont val="Tahoma"/>
            <family val="2"/>
          </rPr>
          <t xml:space="preserve">
added to ES table</t>
        </r>
      </text>
    </comment>
    <comment ref="D148" authorId="0" shapeId="0">
      <text>
        <r>
          <rPr>
            <b/>
            <sz val="9"/>
            <color indexed="81"/>
            <rFont val="Tahoma"/>
            <family val="2"/>
          </rPr>
          <t>Marcy:</t>
        </r>
        <r>
          <rPr>
            <sz val="9"/>
            <color indexed="81"/>
            <rFont val="Tahoma"/>
            <family val="2"/>
          </rPr>
          <t xml:space="preserve">
added to ES table</t>
        </r>
      </text>
    </comment>
    <comment ref="J151" authorId="0" shapeId="0">
      <text>
        <r>
          <rPr>
            <b/>
            <sz val="9"/>
            <color indexed="81"/>
            <rFont val="Tahoma"/>
            <family val="2"/>
          </rPr>
          <t>Marcy:</t>
        </r>
        <r>
          <rPr>
            <sz val="9"/>
            <color indexed="81"/>
            <rFont val="Tahoma"/>
            <family val="2"/>
          </rPr>
          <t xml:space="preserve">
added to ES table</t>
        </r>
      </text>
    </comment>
    <comment ref="J152" authorId="0" shapeId="0">
      <text>
        <r>
          <rPr>
            <b/>
            <sz val="9"/>
            <color indexed="81"/>
            <rFont val="Tahoma"/>
            <family val="2"/>
          </rPr>
          <t>Marcy:</t>
        </r>
        <r>
          <rPr>
            <sz val="9"/>
            <color indexed="81"/>
            <rFont val="Tahoma"/>
            <family val="2"/>
          </rPr>
          <t xml:space="preserve">
added to ES table</t>
        </r>
      </text>
    </comment>
    <comment ref="J153" authorId="0" shapeId="0">
      <text>
        <r>
          <rPr>
            <b/>
            <sz val="9"/>
            <color indexed="81"/>
            <rFont val="Tahoma"/>
            <family val="2"/>
          </rPr>
          <t>Marcy:</t>
        </r>
        <r>
          <rPr>
            <sz val="9"/>
            <color indexed="81"/>
            <rFont val="Tahoma"/>
            <family val="2"/>
          </rPr>
          <t xml:space="preserve">
added to ES table</t>
        </r>
      </text>
    </comment>
    <comment ref="J154" authorId="0" shapeId="0">
      <text>
        <r>
          <rPr>
            <b/>
            <sz val="9"/>
            <color indexed="81"/>
            <rFont val="Tahoma"/>
            <family val="2"/>
          </rPr>
          <t>Marcy:</t>
        </r>
        <r>
          <rPr>
            <sz val="9"/>
            <color indexed="81"/>
            <rFont val="Tahoma"/>
            <family val="2"/>
          </rPr>
          <t xml:space="preserve">
added to ES table</t>
        </r>
      </text>
    </comment>
    <comment ref="J155" authorId="0" shapeId="0">
      <text>
        <r>
          <rPr>
            <b/>
            <sz val="9"/>
            <color indexed="81"/>
            <rFont val="Tahoma"/>
            <family val="2"/>
          </rPr>
          <t>Marcy:</t>
        </r>
        <r>
          <rPr>
            <sz val="9"/>
            <color indexed="81"/>
            <rFont val="Tahoma"/>
            <family val="2"/>
          </rPr>
          <t xml:space="preserve">
added to ES table</t>
        </r>
      </text>
    </comment>
    <comment ref="D157" authorId="0" shapeId="0">
      <text>
        <r>
          <rPr>
            <b/>
            <sz val="9"/>
            <color indexed="81"/>
            <rFont val="Tahoma"/>
            <family val="2"/>
          </rPr>
          <t>Marcy:</t>
        </r>
        <r>
          <rPr>
            <sz val="9"/>
            <color indexed="81"/>
            <rFont val="Tahoma"/>
            <family val="2"/>
          </rPr>
          <t xml:space="preserve">
added to ES table</t>
        </r>
      </text>
    </comment>
    <comment ref="D163" authorId="0" shapeId="0">
      <text>
        <r>
          <rPr>
            <b/>
            <sz val="9"/>
            <color indexed="81"/>
            <rFont val="Tahoma"/>
            <family val="2"/>
          </rPr>
          <t>Marcy:</t>
        </r>
        <r>
          <rPr>
            <sz val="9"/>
            <color indexed="81"/>
            <rFont val="Tahoma"/>
            <family val="2"/>
          </rPr>
          <t xml:space="preserve">
added to ES table</t>
        </r>
      </text>
    </comment>
    <comment ref="D165" authorId="0" shapeId="0">
      <text>
        <r>
          <rPr>
            <b/>
            <sz val="9"/>
            <color indexed="81"/>
            <rFont val="Tahoma"/>
            <family val="2"/>
          </rPr>
          <t>Marcy:</t>
        </r>
        <r>
          <rPr>
            <sz val="9"/>
            <color indexed="81"/>
            <rFont val="Tahoma"/>
            <family val="2"/>
          </rPr>
          <t xml:space="preserve">
added to ES table</t>
        </r>
      </text>
    </comment>
    <comment ref="G167" authorId="0" shapeId="0">
      <text>
        <r>
          <rPr>
            <b/>
            <sz val="9"/>
            <color indexed="81"/>
            <rFont val="Tahoma"/>
            <family val="2"/>
          </rPr>
          <t>Marcy:</t>
        </r>
        <r>
          <rPr>
            <sz val="9"/>
            <color indexed="81"/>
            <rFont val="Tahoma"/>
            <family val="2"/>
          </rPr>
          <t xml:space="preserve">
changed from N/A</t>
        </r>
      </text>
    </comment>
    <comment ref="G170" authorId="0" shapeId="0">
      <text>
        <r>
          <rPr>
            <b/>
            <sz val="9"/>
            <color indexed="81"/>
            <rFont val="Tahoma"/>
            <family val="2"/>
          </rPr>
          <t>Marcy:</t>
        </r>
        <r>
          <rPr>
            <sz val="9"/>
            <color indexed="81"/>
            <rFont val="Tahoma"/>
            <family val="2"/>
          </rPr>
          <t xml:space="preserve">
changed from N/A</t>
        </r>
      </text>
    </comment>
    <comment ref="G171" authorId="0" shapeId="0">
      <text>
        <r>
          <rPr>
            <b/>
            <sz val="9"/>
            <color indexed="81"/>
            <rFont val="Tahoma"/>
            <family val="2"/>
          </rPr>
          <t>Marcy:</t>
        </r>
        <r>
          <rPr>
            <sz val="9"/>
            <color indexed="81"/>
            <rFont val="Tahoma"/>
            <family val="2"/>
          </rPr>
          <t xml:space="preserve">
changed from N/A</t>
        </r>
      </text>
    </comment>
    <comment ref="G172" authorId="0" shapeId="0">
      <text>
        <r>
          <rPr>
            <b/>
            <sz val="9"/>
            <color indexed="81"/>
            <rFont val="Tahoma"/>
            <family val="2"/>
          </rPr>
          <t>Marcy:</t>
        </r>
        <r>
          <rPr>
            <sz val="9"/>
            <color indexed="81"/>
            <rFont val="Tahoma"/>
            <family val="2"/>
          </rPr>
          <t xml:space="preserve">
changed from N/A</t>
        </r>
      </text>
    </comment>
    <comment ref="G173" authorId="0" shapeId="0">
      <text>
        <r>
          <rPr>
            <b/>
            <sz val="9"/>
            <color indexed="81"/>
            <rFont val="Tahoma"/>
            <family val="2"/>
          </rPr>
          <t>Marcy:</t>
        </r>
        <r>
          <rPr>
            <sz val="9"/>
            <color indexed="81"/>
            <rFont val="Tahoma"/>
            <family val="2"/>
          </rPr>
          <t xml:space="preserve">
changed from N/A</t>
        </r>
      </text>
    </comment>
    <comment ref="D174" authorId="0" shapeId="0">
      <text>
        <r>
          <rPr>
            <b/>
            <sz val="9"/>
            <color indexed="81"/>
            <rFont val="Tahoma"/>
            <family val="2"/>
          </rPr>
          <t>Marcy:</t>
        </r>
        <r>
          <rPr>
            <sz val="9"/>
            <color indexed="81"/>
            <rFont val="Tahoma"/>
            <family val="2"/>
          </rPr>
          <t xml:space="preserve">
added to ES table
</t>
        </r>
      </text>
    </comment>
    <comment ref="J176" authorId="0" shapeId="0">
      <text>
        <r>
          <rPr>
            <b/>
            <sz val="9"/>
            <color indexed="81"/>
            <rFont val="Tahoma"/>
            <family val="2"/>
          </rPr>
          <t>Marcy:</t>
        </r>
        <r>
          <rPr>
            <sz val="9"/>
            <color indexed="81"/>
            <rFont val="Tahoma"/>
            <family val="2"/>
          </rPr>
          <t xml:space="preserve">
added to ES table</t>
        </r>
      </text>
    </comment>
    <comment ref="J185" authorId="0" shapeId="0">
      <text>
        <r>
          <rPr>
            <b/>
            <sz val="9"/>
            <color indexed="81"/>
            <rFont val="Tahoma"/>
            <family val="2"/>
          </rPr>
          <t>Marcy:</t>
        </r>
        <r>
          <rPr>
            <sz val="9"/>
            <color indexed="81"/>
            <rFont val="Tahoma"/>
            <family val="2"/>
          </rPr>
          <t xml:space="preserve">
added to ES table</t>
        </r>
      </text>
    </comment>
    <comment ref="D189" authorId="0" shapeId="0">
      <text>
        <r>
          <rPr>
            <b/>
            <sz val="9"/>
            <color indexed="81"/>
            <rFont val="Tahoma"/>
            <family val="2"/>
          </rPr>
          <t>Marcy:</t>
        </r>
        <r>
          <rPr>
            <sz val="9"/>
            <color indexed="81"/>
            <rFont val="Tahoma"/>
            <family val="2"/>
          </rPr>
          <t xml:space="preserve">
added to ES table</t>
        </r>
      </text>
    </comment>
    <comment ref="C191" authorId="0" shapeId="0">
      <text>
        <r>
          <rPr>
            <b/>
            <sz val="9"/>
            <color indexed="81"/>
            <rFont val="Tahoma"/>
            <family val="2"/>
          </rPr>
          <t>Marcy:</t>
        </r>
        <r>
          <rPr>
            <sz val="9"/>
            <color indexed="81"/>
            <rFont val="Tahoma"/>
            <family val="2"/>
          </rPr>
          <t xml:space="preserve">
I think it's OK that the ES table doesn't mention the partners</t>
        </r>
      </text>
    </comment>
    <comment ref="D192" authorId="0" shapeId="0">
      <text>
        <r>
          <rPr>
            <b/>
            <sz val="9"/>
            <color indexed="81"/>
            <rFont val="Tahoma"/>
            <family val="2"/>
          </rPr>
          <t>Marcy:</t>
        </r>
        <r>
          <rPr>
            <sz val="9"/>
            <color indexed="81"/>
            <rFont val="Tahoma"/>
            <family val="2"/>
          </rPr>
          <t xml:space="preserve">
added to ES table</t>
        </r>
      </text>
    </comment>
    <comment ref="J192" authorId="0" shapeId="0">
      <text>
        <r>
          <rPr>
            <b/>
            <sz val="9"/>
            <color indexed="81"/>
            <rFont val="Tahoma"/>
            <family val="2"/>
          </rPr>
          <t>Marcy:</t>
        </r>
        <r>
          <rPr>
            <sz val="9"/>
            <color indexed="81"/>
            <rFont val="Tahoma"/>
            <family val="2"/>
          </rPr>
          <t xml:space="preserve">
added to ES table</t>
        </r>
      </text>
    </comment>
    <comment ref="D202" authorId="0" shapeId="0">
      <text>
        <r>
          <rPr>
            <b/>
            <sz val="9"/>
            <color indexed="81"/>
            <rFont val="Tahoma"/>
            <family val="2"/>
          </rPr>
          <t>Marcy:</t>
        </r>
        <r>
          <rPr>
            <sz val="9"/>
            <color indexed="81"/>
            <rFont val="Tahoma"/>
            <family val="2"/>
          </rPr>
          <t xml:space="preserve">
added to ES table</t>
        </r>
      </text>
    </comment>
    <comment ref="D207" authorId="0" shapeId="0">
      <text>
        <r>
          <rPr>
            <b/>
            <sz val="9"/>
            <color indexed="81"/>
            <rFont val="Tahoma"/>
            <family val="2"/>
          </rPr>
          <t xml:space="preserve">Marcy:
</t>
        </r>
        <r>
          <rPr>
            <sz val="9"/>
            <color indexed="81"/>
            <rFont val="Tahoma"/>
            <family val="2"/>
          </rPr>
          <t>Added to ES table</t>
        </r>
      </text>
    </comment>
    <comment ref="G207" authorId="0" shapeId="0">
      <text>
        <r>
          <rPr>
            <b/>
            <sz val="9"/>
            <color indexed="81"/>
            <rFont val="Tahoma"/>
            <family val="2"/>
          </rPr>
          <t>Marcy:</t>
        </r>
        <r>
          <rPr>
            <sz val="9"/>
            <color indexed="81"/>
            <rFont val="Tahoma"/>
            <family val="2"/>
          </rPr>
          <t xml:space="preserve">
changed from N/A</t>
        </r>
      </text>
    </comment>
    <comment ref="L207" authorId="1" shapeId="0">
      <text>
        <r>
          <rPr>
            <b/>
            <sz val="9"/>
            <color indexed="81"/>
            <rFont val="Tahoma"/>
            <family val="2"/>
          </rPr>
          <t>Davis, Sara:</t>
        </r>
        <r>
          <rPr>
            <sz val="9"/>
            <color indexed="81"/>
            <rFont val="Tahoma"/>
            <family val="2"/>
          </rPr>
          <t xml:space="preserve">
Changed from December 2028 to Ongoing since that is simply the end date of the permit.</t>
        </r>
      </text>
    </comment>
    <comment ref="L208" authorId="1" shapeId="0">
      <text>
        <r>
          <rPr>
            <b/>
            <sz val="9"/>
            <color indexed="81"/>
            <rFont val="Tahoma"/>
            <family val="2"/>
          </rPr>
          <t>Davis, Sara:</t>
        </r>
        <r>
          <rPr>
            <sz val="9"/>
            <color indexed="81"/>
            <rFont val="Tahoma"/>
            <family val="2"/>
          </rPr>
          <t xml:space="preserve">
Changed from September 2027 to Ongoing since that is simply the end date of the permit.</t>
        </r>
      </text>
    </comment>
    <comment ref="G209" authorId="0" shapeId="0">
      <text>
        <r>
          <rPr>
            <b/>
            <sz val="9"/>
            <color indexed="81"/>
            <rFont val="Tahoma"/>
            <family val="2"/>
          </rPr>
          <t>Marcy:</t>
        </r>
        <r>
          <rPr>
            <sz val="9"/>
            <color indexed="81"/>
            <rFont val="Tahoma"/>
            <family val="2"/>
          </rPr>
          <t xml:space="preserve">
changed from N/A</t>
        </r>
      </text>
    </comment>
    <comment ref="L209" authorId="1" shapeId="0">
      <text>
        <r>
          <rPr>
            <b/>
            <sz val="9"/>
            <color indexed="81"/>
            <rFont val="Tahoma"/>
            <family val="2"/>
          </rPr>
          <t>Davis, Sara:</t>
        </r>
        <r>
          <rPr>
            <sz val="9"/>
            <color indexed="81"/>
            <rFont val="Tahoma"/>
            <family val="2"/>
          </rPr>
          <t xml:space="preserve">
Changed from May 2031 to Ongoing since that is simply the end date of the permit.</t>
        </r>
      </text>
    </comment>
    <comment ref="G210" authorId="0" shapeId="0">
      <text>
        <r>
          <rPr>
            <b/>
            <sz val="9"/>
            <color indexed="81"/>
            <rFont val="Tahoma"/>
            <family val="2"/>
          </rPr>
          <t>Marcy:</t>
        </r>
        <r>
          <rPr>
            <sz val="9"/>
            <color indexed="81"/>
            <rFont val="Tahoma"/>
            <family val="2"/>
          </rPr>
          <t xml:space="preserve">
changed from N/A</t>
        </r>
      </text>
    </comment>
    <comment ref="J210" authorId="0" shapeId="0">
      <text>
        <r>
          <rPr>
            <b/>
            <sz val="9"/>
            <color indexed="81"/>
            <rFont val="Tahoma"/>
            <family val="2"/>
          </rPr>
          <t>Marcy:</t>
        </r>
        <r>
          <rPr>
            <sz val="9"/>
            <color indexed="81"/>
            <rFont val="Tahoma"/>
            <family val="2"/>
          </rPr>
          <t xml:space="preserve">
added to ES table
Based on comment from county, changed to Started, Partially funded.</t>
        </r>
      </text>
    </comment>
    <comment ref="G211" authorId="0" shapeId="0">
      <text>
        <r>
          <rPr>
            <b/>
            <sz val="9"/>
            <color indexed="81"/>
            <rFont val="Tahoma"/>
            <family val="2"/>
          </rPr>
          <t>Marcy:</t>
        </r>
        <r>
          <rPr>
            <sz val="9"/>
            <color indexed="81"/>
            <rFont val="Tahoma"/>
            <family val="2"/>
          </rPr>
          <t xml:space="preserve">
changed from N/A</t>
        </r>
      </text>
    </comment>
    <comment ref="L211" authorId="1" shapeId="0">
      <text>
        <r>
          <rPr>
            <b/>
            <sz val="9"/>
            <color indexed="81"/>
            <rFont val="Tahoma"/>
            <family val="2"/>
          </rPr>
          <t>Davis, Sara:</t>
        </r>
        <r>
          <rPr>
            <sz val="9"/>
            <color indexed="81"/>
            <rFont val="Tahoma"/>
            <family val="2"/>
          </rPr>
          <t xml:space="preserve">
Changed from October 2030 to Ongoing since that is simply the end date of the permit.</t>
        </r>
      </text>
    </comment>
    <comment ref="G212" authorId="0" shapeId="0">
      <text>
        <r>
          <rPr>
            <b/>
            <sz val="9"/>
            <color indexed="81"/>
            <rFont val="Tahoma"/>
            <family val="2"/>
          </rPr>
          <t>Marcy:</t>
        </r>
        <r>
          <rPr>
            <sz val="9"/>
            <color indexed="81"/>
            <rFont val="Tahoma"/>
            <family val="2"/>
          </rPr>
          <t xml:space="preserve">
changed from N/A</t>
        </r>
      </text>
    </comment>
    <comment ref="G213" authorId="0" shapeId="0">
      <text>
        <r>
          <rPr>
            <b/>
            <sz val="9"/>
            <color indexed="81"/>
            <rFont val="Tahoma"/>
            <family val="2"/>
          </rPr>
          <t>Marcy:</t>
        </r>
        <r>
          <rPr>
            <sz val="9"/>
            <color indexed="81"/>
            <rFont val="Tahoma"/>
            <family val="2"/>
          </rPr>
          <t xml:space="preserve">
changed from N/A</t>
        </r>
      </text>
    </comment>
    <comment ref="L213" authorId="1" shapeId="0">
      <text>
        <r>
          <rPr>
            <b/>
            <sz val="9"/>
            <color indexed="81"/>
            <rFont val="Tahoma"/>
            <family val="2"/>
          </rPr>
          <t>Davis, Sara:</t>
        </r>
        <r>
          <rPr>
            <sz val="9"/>
            <color indexed="81"/>
            <rFont val="Tahoma"/>
            <family val="2"/>
          </rPr>
          <t xml:space="preserve">
Changed from July 2023 to Ongoing since that is simply the end date of the permit.</t>
        </r>
      </text>
    </comment>
    <comment ref="G214" authorId="0" shapeId="0">
      <text>
        <r>
          <rPr>
            <b/>
            <sz val="9"/>
            <color indexed="81"/>
            <rFont val="Tahoma"/>
            <family val="2"/>
          </rPr>
          <t>Marcy:</t>
        </r>
        <r>
          <rPr>
            <sz val="9"/>
            <color indexed="81"/>
            <rFont val="Tahoma"/>
            <family val="2"/>
          </rPr>
          <t xml:space="preserve">
changed from N/A</t>
        </r>
      </text>
    </comment>
    <comment ref="L214" authorId="1" shapeId="0">
      <text>
        <r>
          <rPr>
            <b/>
            <sz val="9"/>
            <color indexed="81"/>
            <rFont val="Tahoma"/>
            <family val="2"/>
          </rPr>
          <t>Davis, Sara:</t>
        </r>
        <r>
          <rPr>
            <sz val="9"/>
            <color indexed="81"/>
            <rFont val="Tahoma"/>
            <family val="2"/>
          </rPr>
          <t xml:space="preserve">
Changed from October 2022 to Ongoing since that is simply the end date of the permit.</t>
        </r>
      </text>
    </comment>
    <comment ref="C215" authorId="0" shapeId="0">
      <text>
        <r>
          <rPr>
            <b/>
            <sz val="9"/>
            <color indexed="81"/>
            <rFont val="Tahoma"/>
            <family val="2"/>
          </rPr>
          <t>Marcy:</t>
        </r>
        <r>
          <rPr>
            <sz val="9"/>
            <color indexed="81"/>
            <rFont val="Tahoma"/>
            <family val="2"/>
          </rPr>
          <t xml:space="preserve">
I think it's OK to not include the partner in the ES table</t>
        </r>
      </text>
    </comment>
    <comment ref="G215" authorId="0" shapeId="0">
      <text>
        <r>
          <rPr>
            <b/>
            <sz val="9"/>
            <color indexed="81"/>
            <rFont val="Tahoma"/>
            <family val="2"/>
          </rPr>
          <t>Marcy:</t>
        </r>
        <r>
          <rPr>
            <sz val="9"/>
            <color indexed="81"/>
            <rFont val="Tahoma"/>
            <family val="2"/>
          </rPr>
          <t xml:space="preserve">
changed from N/A</t>
        </r>
      </text>
    </comment>
    <comment ref="J215" authorId="0" shapeId="0">
      <text>
        <r>
          <rPr>
            <b/>
            <sz val="9"/>
            <color indexed="81"/>
            <rFont val="Tahoma"/>
            <family val="2"/>
          </rPr>
          <t>Marcy:</t>
        </r>
        <r>
          <rPr>
            <sz val="9"/>
            <color indexed="81"/>
            <rFont val="Tahoma"/>
            <family val="2"/>
          </rPr>
          <t xml:space="preserve">
added to ES table</t>
        </r>
      </text>
    </comment>
    <comment ref="G216" authorId="0" shapeId="0">
      <text>
        <r>
          <rPr>
            <b/>
            <sz val="9"/>
            <color indexed="81"/>
            <rFont val="Tahoma"/>
            <family val="2"/>
          </rPr>
          <t>Marcy:</t>
        </r>
        <r>
          <rPr>
            <sz val="9"/>
            <color indexed="81"/>
            <rFont val="Tahoma"/>
            <family val="2"/>
          </rPr>
          <t xml:space="preserve">
changed from N/A</t>
        </r>
      </text>
    </comment>
    <comment ref="H216" authorId="1" shapeId="0">
      <text>
        <r>
          <rPr>
            <b/>
            <sz val="9"/>
            <color indexed="81"/>
            <rFont val="Tahoma"/>
            <family val="2"/>
          </rPr>
          <t>Davis, Sara:</t>
        </r>
        <r>
          <rPr>
            <sz val="9"/>
            <color indexed="81"/>
            <rFont val="Tahoma"/>
            <family val="2"/>
          </rPr>
          <t xml:space="preserve">
Added based on comment from County.</t>
        </r>
      </text>
    </comment>
    <comment ref="G217" authorId="0" shapeId="0">
      <text>
        <r>
          <rPr>
            <b/>
            <sz val="9"/>
            <color indexed="81"/>
            <rFont val="Tahoma"/>
            <family val="2"/>
          </rPr>
          <t>Marcy:</t>
        </r>
        <r>
          <rPr>
            <sz val="9"/>
            <color indexed="81"/>
            <rFont val="Tahoma"/>
            <family val="2"/>
          </rPr>
          <t xml:space="preserve">
changed from N/A</t>
        </r>
      </text>
    </comment>
    <comment ref="J217" authorId="1" shapeId="0">
      <text>
        <r>
          <rPr>
            <b/>
            <sz val="9"/>
            <color indexed="81"/>
            <rFont val="Tahoma"/>
            <family val="2"/>
          </rPr>
          <t>Davis, Sara:</t>
        </r>
        <r>
          <rPr>
            <sz val="9"/>
            <color indexed="81"/>
            <rFont val="Tahoma"/>
            <family val="2"/>
          </rPr>
          <t xml:space="preserve">
Changed based on comment from County.</t>
        </r>
      </text>
    </comment>
    <comment ref="K217" authorId="1" shapeId="0">
      <text>
        <r>
          <rPr>
            <b/>
            <sz val="9"/>
            <color indexed="81"/>
            <rFont val="Tahoma"/>
            <family val="2"/>
          </rPr>
          <t>Davis, Sara:</t>
        </r>
        <r>
          <rPr>
            <sz val="9"/>
            <color indexed="81"/>
            <rFont val="Tahoma"/>
            <family val="2"/>
          </rPr>
          <t xml:space="preserve">
Changed based on comment from County.</t>
        </r>
      </text>
    </comment>
    <comment ref="L217" authorId="1" shapeId="0">
      <text>
        <r>
          <rPr>
            <b/>
            <sz val="9"/>
            <color indexed="81"/>
            <rFont val="Tahoma"/>
            <family val="2"/>
          </rPr>
          <t>Davis, Sara:</t>
        </r>
        <r>
          <rPr>
            <sz val="9"/>
            <color indexed="81"/>
            <rFont val="Tahoma"/>
            <family val="2"/>
          </rPr>
          <t xml:space="preserve">
Changed based on comment from County.</t>
        </r>
      </text>
    </comment>
    <comment ref="D218" authorId="0" shapeId="0">
      <text>
        <r>
          <rPr>
            <b/>
            <sz val="9"/>
            <color indexed="81"/>
            <rFont val="Tahoma"/>
            <family val="2"/>
          </rPr>
          <t>Marcy:</t>
        </r>
        <r>
          <rPr>
            <sz val="9"/>
            <color indexed="81"/>
            <rFont val="Tahoma"/>
            <family val="2"/>
          </rPr>
          <t xml:space="preserve">
added to ES table</t>
        </r>
      </text>
    </comment>
    <comment ref="G218" authorId="0" shapeId="0">
      <text>
        <r>
          <rPr>
            <b/>
            <sz val="9"/>
            <color indexed="81"/>
            <rFont val="Tahoma"/>
            <family val="2"/>
          </rPr>
          <t>Marcy:</t>
        </r>
        <r>
          <rPr>
            <sz val="9"/>
            <color indexed="81"/>
            <rFont val="Tahoma"/>
            <family val="2"/>
          </rPr>
          <t xml:space="preserve">
changed from N/A</t>
        </r>
      </text>
    </comment>
    <comment ref="G219" authorId="0" shapeId="0">
      <text>
        <r>
          <rPr>
            <b/>
            <sz val="9"/>
            <color indexed="81"/>
            <rFont val="Tahoma"/>
            <family val="2"/>
          </rPr>
          <t>Marcy:</t>
        </r>
        <r>
          <rPr>
            <sz val="9"/>
            <color indexed="81"/>
            <rFont val="Tahoma"/>
            <family val="2"/>
          </rPr>
          <t xml:space="preserve">
changed from N/A</t>
        </r>
      </text>
    </comment>
    <comment ref="G220" authorId="0" shapeId="0">
      <text>
        <r>
          <rPr>
            <b/>
            <sz val="9"/>
            <color indexed="81"/>
            <rFont val="Tahoma"/>
            <family val="2"/>
          </rPr>
          <t>Marcy:</t>
        </r>
        <r>
          <rPr>
            <sz val="9"/>
            <color indexed="81"/>
            <rFont val="Tahoma"/>
            <family val="2"/>
          </rPr>
          <t xml:space="preserve">
changed from N/A</t>
        </r>
      </text>
    </comment>
    <comment ref="G221" authorId="0" shapeId="0">
      <text>
        <r>
          <rPr>
            <b/>
            <sz val="9"/>
            <color indexed="81"/>
            <rFont val="Tahoma"/>
            <family val="2"/>
          </rPr>
          <t>Marcy:</t>
        </r>
        <r>
          <rPr>
            <sz val="9"/>
            <color indexed="81"/>
            <rFont val="Tahoma"/>
            <family val="2"/>
          </rPr>
          <t xml:space="preserve">
changed from N/A</t>
        </r>
      </text>
    </comment>
    <comment ref="G222" authorId="0" shapeId="0">
      <text>
        <r>
          <rPr>
            <b/>
            <sz val="9"/>
            <color indexed="81"/>
            <rFont val="Tahoma"/>
            <family val="2"/>
          </rPr>
          <t>Marcy:</t>
        </r>
        <r>
          <rPr>
            <sz val="9"/>
            <color indexed="81"/>
            <rFont val="Tahoma"/>
            <family val="2"/>
          </rPr>
          <t xml:space="preserve">
changed from N/A</t>
        </r>
      </text>
    </comment>
    <comment ref="G223" authorId="0" shapeId="0">
      <text>
        <r>
          <rPr>
            <b/>
            <sz val="9"/>
            <color indexed="81"/>
            <rFont val="Tahoma"/>
            <family val="2"/>
          </rPr>
          <t>Marcy:</t>
        </r>
        <r>
          <rPr>
            <sz val="9"/>
            <color indexed="81"/>
            <rFont val="Tahoma"/>
            <family val="2"/>
          </rPr>
          <t xml:space="preserve">
changed from N/A</t>
        </r>
      </text>
    </comment>
    <comment ref="G224" authorId="0" shapeId="0">
      <text>
        <r>
          <rPr>
            <b/>
            <sz val="9"/>
            <color indexed="81"/>
            <rFont val="Tahoma"/>
            <family val="2"/>
          </rPr>
          <t>Marcy:</t>
        </r>
        <r>
          <rPr>
            <sz val="9"/>
            <color indexed="81"/>
            <rFont val="Tahoma"/>
            <family val="2"/>
          </rPr>
          <t xml:space="preserve">
changed from N/A</t>
        </r>
      </text>
    </comment>
    <comment ref="L224" authorId="1" shapeId="0">
      <text>
        <r>
          <rPr>
            <b/>
            <sz val="9"/>
            <color indexed="81"/>
            <rFont val="Tahoma"/>
            <family val="2"/>
          </rPr>
          <t>Davis, Sara:</t>
        </r>
        <r>
          <rPr>
            <sz val="9"/>
            <color indexed="81"/>
            <rFont val="Tahoma"/>
            <family val="2"/>
          </rPr>
          <t xml:space="preserve">
If this project is still ongoing, what is the completion date?</t>
        </r>
      </text>
    </comment>
    <comment ref="G225" authorId="0" shapeId="0">
      <text>
        <r>
          <rPr>
            <b/>
            <sz val="9"/>
            <color indexed="81"/>
            <rFont val="Tahoma"/>
            <family val="2"/>
          </rPr>
          <t>Marcy:</t>
        </r>
        <r>
          <rPr>
            <sz val="9"/>
            <color indexed="81"/>
            <rFont val="Tahoma"/>
            <family val="2"/>
          </rPr>
          <t xml:space="preserve">
changed from N/A</t>
        </r>
      </text>
    </comment>
    <comment ref="J225" authorId="0" shapeId="0">
      <text>
        <r>
          <rPr>
            <b/>
            <sz val="9"/>
            <color indexed="81"/>
            <rFont val="Tahoma"/>
            <family val="2"/>
          </rPr>
          <t>Marcy:</t>
        </r>
        <r>
          <rPr>
            <sz val="9"/>
            <color indexed="81"/>
            <rFont val="Tahoma"/>
            <family val="2"/>
          </rPr>
          <t xml:space="preserve">
added to ES table</t>
        </r>
      </text>
    </comment>
    <comment ref="G226" authorId="0" shapeId="0">
      <text>
        <r>
          <rPr>
            <b/>
            <sz val="9"/>
            <color indexed="81"/>
            <rFont val="Tahoma"/>
            <family val="2"/>
          </rPr>
          <t>Marcy:</t>
        </r>
        <r>
          <rPr>
            <sz val="9"/>
            <color indexed="81"/>
            <rFont val="Tahoma"/>
            <family val="2"/>
          </rPr>
          <t xml:space="preserve">
changed from N/A</t>
        </r>
      </text>
    </comment>
    <comment ref="G227" authorId="0" shapeId="0">
      <text>
        <r>
          <rPr>
            <b/>
            <sz val="9"/>
            <color indexed="81"/>
            <rFont val="Tahoma"/>
            <family val="2"/>
          </rPr>
          <t>Marcy:</t>
        </r>
        <r>
          <rPr>
            <sz val="9"/>
            <color indexed="81"/>
            <rFont val="Tahoma"/>
            <family val="2"/>
          </rPr>
          <t xml:space="preserve">
changed from N/A</t>
        </r>
      </text>
    </comment>
    <comment ref="J229" authorId="0" shapeId="0">
      <text>
        <r>
          <rPr>
            <b/>
            <sz val="9"/>
            <color indexed="81"/>
            <rFont val="Tahoma"/>
            <family val="2"/>
          </rPr>
          <t>Marcy:</t>
        </r>
        <r>
          <rPr>
            <sz val="9"/>
            <color indexed="81"/>
            <rFont val="Tahoma"/>
            <family val="2"/>
          </rPr>
          <t xml:space="preserve">
changed to operational</t>
        </r>
      </text>
    </comment>
    <comment ref="D234" authorId="0" shapeId="0">
      <text>
        <r>
          <rPr>
            <b/>
            <sz val="9"/>
            <color indexed="81"/>
            <rFont val="Tahoma"/>
            <family val="2"/>
          </rPr>
          <t>Marcy:</t>
        </r>
        <r>
          <rPr>
            <sz val="9"/>
            <color indexed="81"/>
            <rFont val="Tahoma"/>
            <family val="2"/>
          </rPr>
          <t xml:space="preserve">
project type correct</t>
        </r>
      </text>
    </comment>
    <comment ref="J234" authorId="0" shapeId="0">
      <text>
        <r>
          <rPr>
            <b/>
            <sz val="9"/>
            <color indexed="81"/>
            <rFont val="Tahoma"/>
            <family val="2"/>
          </rPr>
          <t>Marcy:</t>
        </r>
        <r>
          <rPr>
            <sz val="9"/>
            <color indexed="81"/>
            <rFont val="Tahoma"/>
            <family val="2"/>
          </rPr>
          <t xml:space="preserve">
changed status</t>
        </r>
      </text>
    </comment>
    <comment ref="J235" authorId="0" shapeId="0">
      <text>
        <r>
          <rPr>
            <b/>
            <sz val="9"/>
            <color indexed="81"/>
            <rFont val="Tahoma"/>
            <family val="2"/>
          </rPr>
          <t>Marcy:</t>
        </r>
        <r>
          <rPr>
            <sz val="9"/>
            <color indexed="81"/>
            <rFont val="Tahoma"/>
            <family val="2"/>
          </rPr>
          <t xml:space="preserve">
changed status</t>
        </r>
      </text>
    </comment>
  </commentList>
</comments>
</file>

<file path=xl/comments2.xml><?xml version="1.0" encoding="utf-8"?>
<comments xmlns="http://schemas.openxmlformats.org/spreadsheetml/2006/main">
  <authors>
    <author>Davis, Sara</author>
    <author>Marcy</author>
  </authors>
  <commentList>
    <comment ref="A7" authorId="0" shapeId="0">
      <text>
        <r>
          <rPr>
            <b/>
            <sz val="9"/>
            <color indexed="81"/>
            <rFont val="Tahoma"/>
            <family val="2"/>
          </rPr>
          <t>Davis, Sara:</t>
        </r>
        <r>
          <rPr>
            <sz val="9"/>
            <color indexed="81"/>
            <rFont val="Tahoma"/>
            <family val="2"/>
          </rPr>
          <t xml:space="preserve">
This was changed from FDACS-1 in order to match the report tables</t>
        </r>
      </text>
    </comment>
    <comment ref="B7" authorId="0" shapeId="0">
      <text>
        <r>
          <rPr>
            <b/>
            <sz val="9"/>
            <color indexed="81"/>
            <rFont val="Tahoma"/>
            <family val="2"/>
          </rPr>
          <t>Davis, Sara:</t>
        </r>
        <r>
          <rPr>
            <sz val="9"/>
            <color indexed="81"/>
            <rFont val="Tahoma"/>
            <family val="2"/>
          </rPr>
          <t xml:space="preserve">
This was changed from FDACS-1 in order to match the report tables</t>
        </r>
      </text>
    </comment>
    <comment ref="A8" authorId="0" shapeId="0">
      <text>
        <r>
          <rPr>
            <b/>
            <sz val="9"/>
            <color indexed="81"/>
            <rFont val="Tahoma"/>
            <family val="2"/>
          </rPr>
          <t>Davis, Sara:</t>
        </r>
        <r>
          <rPr>
            <sz val="9"/>
            <color indexed="81"/>
            <rFont val="Tahoma"/>
            <family val="2"/>
          </rPr>
          <t xml:space="preserve">
This was changed from FDACS-2 in order to match the report tables</t>
        </r>
      </text>
    </comment>
    <comment ref="B8" authorId="0" shapeId="0">
      <text>
        <r>
          <rPr>
            <b/>
            <sz val="9"/>
            <color indexed="81"/>
            <rFont val="Tahoma"/>
            <family val="2"/>
          </rPr>
          <t>Davis, Sara:</t>
        </r>
        <r>
          <rPr>
            <sz val="9"/>
            <color indexed="81"/>
            <rFont val="Tahoma"/>
            <family val="2"/>
          </rPr>
          <t xml:space="preserve">
This was changed from FDACS-2 in order to match the report tables</t>
        </r>
      </text>
    </comment>
    <comment ref="A9" authorId="1" shapeId="0">
      <text>
        <r>
          <rPr>
            <b/>
            <sz val="9"/>
            <color indexed="81"/>
            <rFont val="Tahoma"/>
            <family val="2"/>
          </rPr>
          <t>Marcy:</t>
        </r>
        <r>
          <rPr>
            <sz val="9"/>
            <color indexed="81"/>
            <rFont val="Tahoma"/>
            <family val="2"/>
          </rPr>
          <t xml:space="preserve">
reverted to previous project number</t>
        </r>
      </text>
    </comment>
    <comment ref="A11" authorId="1" shapeId="0">
      <text>
        <r>
          <rPr>
            <b/>
            <sz val="9"/>
            <color indexed="81"/>
            <rFont val="Tahoma"/>
            <family val="2"/>
          </rPr>
          <t>Marcy:</t>
        </r>
        <r>
          <rPr>
            <sz val="9"/>
            <color indexed="81"/>
            <rFont val="Tahoma"/>
            <family val="2"/>
          </rPr>
          <t xml:space="preserve">
reverted to previous project number</t>
        </r>
      </text>
    </comment>
    <comment ref="A12" authorId="1" shapeId="0">
      <text>
        <r>
          <rPr>
            <b/>
            <sz val="9"/>
            <color indexed="81"/>
            <rFont val="Tahoma"/>
            <family val="2"/>
          </rPr>
          <t>Marcy:</t>
        </r>
        <r>
          <rPr>
            <sz val="9"/>
            <color indexed="81"/>
            <rFont val="Tahoma"/>
            <family val="2"/>
          </rPr>
          <t xml:space="preserve">
reverted to previous project number</t>
        </r>
      </text>
    </comment>
    <comment ref="A141" authorId="1" shapeId="0">
      <text>
        <r>
          <rPr>
            <b/>
            <sz val="9"/>
            <color indexed="81"/>
            <rFont val="Tahoma"/>
            <family val="2"/>
          </rPr>
          <t>Marcy:</t>
        </r>
        <r>
          <rPr>
            <sz val="9"/>
            <color indexed="81"/>
            <rFont val="Tahoma"/>
            <family val="2"/>
          </rPr>
          <t xml:space="preserve">
reverted to previous project number</t>
        </r>
      </text>
    </comment>
    <comment ref="A142" authorId="1" shapeId="0">
      <text>
        <r>
          <rPr>
            <b/>
            <sz val="9"/>
            <color indexed="81"/>
            <rFont val="Tahoma"/>
            <family val="2"/>
          </rPr>
          <t>Marcy:</t>
        </r>
        <r>
          <rPr>
            <sz val="9"/>
            <color indexed="81"/>
            <rFont val="Tahoma"/>
            <family val="2"/>
          </rPr>
          <t xml:space="preserve">
reverted to previous project number</t>
        </r>
      </text>
    </comment>
    <comment ref="A143" authorId="1" shapeId="0">
      <text>
        <r>
          <rPr>
            <b/>
            <sz val="9"/>
            <color indexed="81"/>
            <rFont val="Tahoma"/>
            <family val="2"/>
          </rPr>
          <t>Marcy:</t>
        </r>
        <r>
          <rPr>
            <sz val="9"/>
            <color indexed="81"/>
            <rFont val="Tahoma"/>
            <family val="2"/>
          </rPr>
          <t xml:space="preserve">
reverted to previous project number</t>
        </r>
      </text>
    </comment>
    <comment ref="A146" authorId="1" shapeId="0">
      <text>
        <r>
          <rPr>
            <b/>
            <sz val="9"/>
            <color indexed="81"/>
            <rFont val="Tahoma"/>
            <family val="2"/>
          </rPr>
          <t>Marcy:</t>
        </r>
        <r>
          <rPr>
            <sz val="9"/>
            <color indexed="81"/>
            <rFont val="Tahoma"/>
            <family val="2"/>
          </rPr>
          <t xml:space="preserve">
reverted to previous project number </t>
        </r>
      </text>
    </comment>
    <comment ref="A147" authorId="1" shapeId="0">
      <text>
        <r>
          <rPr>
            <b/>
            <sz val="9"/>
            <color indexed="81"/>
            <rFont val="Tahoma"/>
            <family val="2"/>
          </rPr>
          <t>Marcy:</t>
        </r>
        <r>
          <rPr>
            <sz val="9"/>
            <color indexed="81"/>
            <rFont val="Tahoma"/>
            <family val="2"/>
          </rPr>
          <t xml:space="preserve">
reverted to previous project number</t>
        </r>
      </text>
    </comment>
    <comment ref="A155" authorId="1" shapeId="0">
      <text>
        <r>
          <rPr>
            <b/>
            <sz val="9"/>
            <color indexed="81"/>
            <rFont val="Tahoma"/>
            <family val="2"/>
          </rPr>
          <t>Marcy:</t>
        </r>
        <r>
          <rPr>
            <sz val="9"/>
            <color indexed="81"/>
            <rFont val="Tahoma"/>
            <family val="2"/>
          </rPr>
          <t xml:space="preserve">
reverted to previous project number</t>
        </r>
      </text>
    </comment>
  </commentList>
</comments>
</file>

<file path=xl/comments3.xml><?xml version="1.0" encoding="utf-8"?>
<comments xmlns="http://schemas.openxmlformats.org/spreadsheetml/2006/main">
  <authors>
    <author>Marcy</author>
  </authors>
  <commentList>
    <comment ref="D2" authorId="0" shapeId="0">
      <text>
        <r>
          <rPr>
            <b/>
            <sz val="9"/>
            <color indexed="81"/>
            <rFont val="Tahoma"/>
            <family val="2"/>
          </rPr>
          <t>Marcy:</t>
        </r>
        <r>
          <rPr>
            <sz val="9"/>
            <color indexed="81"/>
            <rFont val="Tahoma"/>
            <family val="2"/>
          </rPr>
          <t xml:space="preserve">
Changed to unknown because this is a future project and they don't know what type of treatment will be provided</t>
        </r>
      </text>
    </comment>
    <comment ref="J2" authorId="0" shapeId="0">
      <text>
        <r>
          <rPr>
            <b/>
            <sz val="9"/>
            <color indexed="81"/>
            <rFont val="Tahoma"/>
            <family val="2"/>
          </rPr>
          <t>Marcy:</t>
        </r>
        <r>
          <rPr>
            <sz val="9"/>
            <color indexed="81"/>
            <rFont val="Tahoma"/>
            <family val="2"/>
          </rPr>
          <t xml:space="preserve">
added to ES table
</t>
        </r>
      </text>
    </comment>
    <comment ref="J3" authorId="0" shapeId="0">
      <text>
        <r>
          <rPr>
            <b/>
            <sz val="9"/>
            <color indexed="81"/>
            <rFont val="Tahoma"/>
            <family val="2"/>
          </rPr>
          <t>Marcy:</t>
        </r>
        <r>
          <rPr>
            <sz val="9"/>
            <color indexed="81"/>
            <rFont val="Tahoma"/>
            <family val="2"/>
          </rPr>
          <t xml:space="preserve">
added to ES table</t>
        </r>
      </text>
    </comment>
    <comment ref="J4" authorId="0" shapeId="0">
      <text>
        <r>
          <rPr>
            <b/>
            <sz val="9"/>
            <color indexed="81"/>
            <rFont val="Tahoma"/>
            <family val="2"/>
          </rPr>
          <t>Marcy:</t>
        </r>
        <r>
          <rPr>
            <sz val="9"/>
            <color indexed="81"/>
            <rFont val="Tahoma"/>
            <family val="2"/>
          </rPr>
          <t xml:space="preserve">
added to ES table</t>
        </r>
      </text>
    </comment>
    <comment ref="J5" authorId="0" shapeId="0">
      <text>
        <r>
          <rPr>
            <b/>
            <sz val="9"/>
            <color indexed="81"/>
            <rFont val="Tahoma"/>
            <family val="2"/>
          </rPr>
          <t>Marcy:</t>
        </r>
        <r>
          <rPr>
            <sz val="9"/>
            <color indexed="81"/>
            <rFont val="Tahoma"/>
            <family val="2"/>
          </rPr>
          <t xml:space="preserve">
added to ES table</t>
        </r>
      </text>
    </comment>
    <comment ref="J6" authorId="0" shapeId="0">
      <text>
        <r>
          <rPr>
            <b/>
            <sz val="9"/>
            <color indexed="81"/>
            <rFont val="Tahoma"/>
            <family val="2"/>
          </rPr>
          <t>Marcy:</t>
        </r>
        <r>
          <rPr>
            <sz val="9"/>
            <color indexed="81"/>
            <rFont val="Tahoma"/>
            <family val="2"/>
          </rPr>
          <t xml:space="preserve">
added to ES table</t>
        </r>
      </text>
    </comment>
    <comment ref="D7" authorId="0" shapeId="0">
      <text>
        <r>
          <rPr>
            <b/>
            <sz val="9"/>
            <color indexed="81"/>
            <rFont val="Tahoma"/>
            <family val="2"/>
          </rPr>
          <t>Marcy:</t>
        </r>
        <r>
          <rPr>
            <sz val="9"/>
            <color indexed="81"/>
            <rFont val="Tahoma"/>
            <family val="2"/>
          </rPr>
          <t xml:space="preserve">
Changed to unknown because this is a future project and they don't know what type of treatment will be provided</t>
        </r>
      </text>
    </comment>
    <comment ref="J7" authorId="0" shapeId="0">
      <text>
        <r>
          <rPr>
            <b/>
            <sz val="9"/>
            <color indexed="81"/>
            <rFont val="Tahoma"/>
            <family val="2"/>
          </rPr>
          <t>Marcy:</t>
        </r>
        <r>
          <rPr>
            <sz val="9"/>
            <color indexed="81"/>
            <rFont val="Tahoma"/>
            <family val="2"/>
          </rPr>
          <t xml:space="preserve">
added to ES table</t>
        </r>
      </text>
    </comment>
  </commentList>
</comments>
</file>

<file path=xl/comments4.xml><?xml version="1.0" encoding="utf-8"?>
<comments xmlns="http://schemas.openxmlformats.org/spreadsheetml/2006/main">
  <authors>
    <author>Marcy</author>
  </authors>
  <commentList>
    <comment ref="F4" authorId="0" shapeId="0">
      <text>
        <r>
          <rPr>
            <b/>
            <sz val="9"/>
            <color indexed="81"/>
            <rFont val="Tahoma"/>
            <family val="2"/>
          </rPr>
          <t>Marcy:</t>
        </r>
        <r>
          <rPr>
            <sz val="9"/>
            <color indexed="81"/>
            <rFont val="Tahoma"/>
            <family val="2"/>
          </rPr>
          <t xml:space="preserve">
reductions are correct</t>
        </r>
      </text>
    </comment>
  </commentList>
</comments>
</file>

<file path=xl/comments5.xml><?xml version="1.0" encoding="utf-8"?>
<comments xmlns="http://schemas.openxmlformats.org/spreadsheetml/2006/main">
  <authors>
    <author>Marcy</author>
  </authors>
  <commentList>
    <comment ref="D3" authorId="0" shapeId="0">
      <text>
        <r>
          <rPr>
            <b/>
            <sz val="9"/>
            <color indexed="81"/>
            <rFont val="Tahoma"/>
            <family val="2"/>
          </rPr>
          <t>Marcy:</t>
        </r>
        <r>
          <rPr>
            <sz val="9"/>
            <color indexed="81"/>
            <rFont val="Tahoma"/>
            <family val="2"/>
          </rPr>
          <t xml:space="preserve">
added street sweeping</t>
        </r>
      </text>
    </comment>
    <comment ref="E3" authorId="0" shapeId="0">
      <text>
        <r>
          <rPr>
            <b/>
            <sz val="9"/>
            <color indexed="81"/>
            <rFont val="Tahoma"/>
            <family val="2"/>
          </rPr>
          <t>Marcy:</t>
        </r>
        <r>
          <rPr>
            <sz val="9"/>
            <color indexed="81"/>
            <rFont val="Tahoma"/>
            <family val="2"/>
          </rPr>
          <t xml:space="preserve">
added envisioned and planned</t>
        </r>
      </text>
    </comment>
  </commentList>
</comments>
</file>

<file path=xl/comments6.xml><?xml version="1.0" encoding="utf-8"?>
<comments xmlns="http://schemas.openxmlformats.org/spreadsheetml/2006/main">
  <authors>
    <author>Marcy</author>
  </authors>
  <commentList>
    <comment ref="E2" authorId="0" shapeId="0">
      <text>
        <r>
          <rPr>
            <b/>
            <sz val="9"/>
            <color indexed="81"/>
            <rFont val="Tahoma"/>
            <family val="2"/>
          </rPr>
          <t>Marcy:</t>
        </r>
        <r>
          <rPr>
            <sz val="9"/>
            <color indexed="81"/>
            <rFont val="Tahoma"/>
            <family val="2"/>
          </rPr>
          <t xml:space="preserve">
good as is</t>
        </r>
      </text>
    </comment>
    <comment ref="E3" authorId="0" shapeId="0">
      <text>
        <r>
          <rPr>
            <b/>
            <sz val="9"/>
            <color indexed="81"/>
            <rFont val="Tahoma"/>
            <family val="2"/>
          </rPr>
          <t>Marcy:</t>
        </r>
        <r>
          <rPr>
            <sz val="9"/>
            <color indexed="81"/>
            <rFont val="Tahoma"/>
            <family val="2"/>
          </rPr>
          <t xml:space="preserve">
good as is</t>
        </r>
      </text>
    </comment>
    <comment ref="E12" authorId="0" shapeId="0">
      <text>
        <r>
          <rPr>
            <b/>
            <sz val="9"/>
            <color indexed="81"/>
            <rFont val="Tahoma"/>
            <family val="2"/>
          </rPr>
          <t>Marcy:</t>
        </r>
        <r>
          <rPr>
            <sz val="9"/>
            <color indexed="81"/>
            <rFont val="Tahoma"/>
            <family val="2"/>
          </rPr>
          <t xml:space="preserve">
updated status</t>
        </r>
      </text>
    </comment>
  </commentList>
</comments>
</file>

<file path=xl/comments7.xml><?xml version="1.0" encoding="utf-8"?>
<comments xmlns="http://schemas.openxmlformats.org/spreadsheetml/2006/main">
  <authors>
    <author>Marcy</author>
  </authors>
  <commentList>
    <comment ref="D8" authorId="0" shapeId="0">
      <text>
        <r>
          <rPr>
            <b/>
            <sz val="9"/>
            <color indexed="81"/>
            <rFont val="Tahoma"/>
            <family val="2"/>
          </rPr>
          <t>Marcy:</t>
        </r>
        <r>
          <rPr>
            <sz val="9"/>
            <color indexed="81"/>
            <rFont val="Tahoma"/>
            <family val="2"/>
          </rPr>
          <t xml:space="preserve">
added baffle box
</t>
        </r>
      </text>
    </comment>
    <comment ref="D9" authorId="0" shapeId="0">
      <text>
        <r>
          <rPr>
            <b/>
            <sz val="9"/>
            <color indexed="81"/>
            <rFont val="Tahoma"/>
            <family val="2"/>
          </rPr>
          <t>Marcy:</t>
        </r>
        <r>
          <rPr>
            <sz val="9"/>
            <color indexed="81"/>
            <rFont val="Tahoma"/>
            <family val="2"/>
          </rPr>
          <t xml:space="preserve">
added wet detention,  septic tank phase out, street sweeping
</t>
        </r>
      </text>
    </comment>
    <comment ref="E9" authorId="0" shapeId="0">
      <text>
        <r>
          <rPr>
            <b/>
            <sz val="9"/>
            <color indexed="81"/>
            <rFont val="Tahoma"/>
            <family val="2"/>
          </rPr>
          <t>Marcy:</t>
        </r>
        <r>
          <rPr>
            <sz val="9"/>
            <color indexed="81"/>
            <rFont val="Tahoma"/>
            <family val="2"/>
          </rPr>
          <t xml:space="preserve">
added planned</t>
        </r>
      </text>
    </comment>
    <comment ref="D10" authorId="0" shapeId="0">
      <text>
        <r>
          <rPr>
            <b/>
            <sz val="9"/>
            <color indexed="81"/>
            <rFont val="Tahoma"/>
            <family val="2"/>
          </rPr>
          <t>Marcy:</t>
        </r>
        <r>
          <rPr>
            <sz val="9"/>
            <color indexed="81"/>
            <rFont val="Tahoma"/>
            <family val="2"/>
          </rPr>
          <t xml:space="preserve">
added dry retention and wet retention</t>
        </r>
      </text>
    </comment>
    <comment ref="E10" authorId="0" shapeId="0">
      <text>
        <r>
          <rPr>
            <b/>
            <sz val="9"/>
            <color indexed="81"/>
            <rFont val="Tahoma"/>
            <family val="2"/>
          </rPr>
          <t>Marcy:</t>
        </r>
        <r>
          <rPr>
            <sz val="9"/>
            <color indexed="81"/>
            <rFont val="Tahoma"/>
            <family val="2"/>
          </rPr>
          <t xml:space="preserve">
added planned</t>
        </r>
      </text>
    </comment>
    <comment ref="D11" authorId="0" shapeId="0">
      <text>
        <r>
          <rPr>
            <b/>
            <sz val="9"/>
            <color indexed="81"/>
            <rFont val="Tahoma"/>
            <family val="2"/>
          </rPr>
          <t>Marcy:</t>
        </r>
        <r>
          <rPr>
            <sz val="9"/>
            <color indexed="81"/>
            <rFont val="Tahoma"/>
            <family val="2"/>
          </rPr>
          <t xml:space="preserve">
added curb inlet basket, Stormceptor, retention, baffle box, alum injection, stormwater reuse, conservation area</t>
        </r>
      </text>
    </comment>
    <comment ref="E11" authorId="0" shapeId="0">
      <text>
        <r>
          <rPr>
            <b/>
            <sz val="9"/>
            <color indexed="81"/>
            <rFont val="Tahoma"/>
            <family val="2"/>
          </rPr>
          <t>Marcy:</t>
        </r>
        <r>
          <rPr>
            <sz val="9"/>
            <color indexed="81"/>
            <rFont val="Tahoma"/>
            <family val="2"/>
          </rPr>
          <t xml:space="preserve">
added planned and envisioned</t>
        </r>
      </text>
    </comment>
    <comment ref="D12" authorId="0" shapeId="0">
      <text>
        <r>
          <rPr>
            <b/>
            <sz val="9"/>
            <color indexed="81"/>
            <rFont val="Tahoma"/>
            <family val="2"/>
          </rPr>
          <t>Marcy:</t>
        </r>
        <r>
          <rPr>
            <sz val="9"/>
            <color indexed="81"/>
            <rFont val="Tahoma"/>
            <family val="2"/>
          </rPr>
          <t xml:space="preserve">
added catch inlet baskets, Stormceptor</t>
        </r>
      </text>
    </comment>
  </commentList>
</comments>
</file>

<file path=xl/comments8.xml><?xml version="1.0" encoding="utf-8"?>
<comments xmlns="http://schemas.openxmlformats.org/spreadsheetml/2006/main">
  <authors>
    <author>Marcy</author>
  </authors>
  <commentList>
    <comment ref="J14" authorId="0" shapeId="0">
      <text>
        <r>
          <rPr>
            <b/>
            <sz val="9"/>
            <color indexed="81"/>
            <rFont val="Tahoma"/>
            <family val="2"/>
          </rPr>
          <t>Marcy:</t>
        </r>
        <r>
          <rPr>
            <sz val="9"/>
            <color indexed="81"/>
            <rFont val="Tahoma"/>
            <family val="2"/>
          </rPr>
          <t xml:space="preserve">
changed status
</t>
        </r>
      </text>
    </comment>
  </commentList>
</comments>
</file>

<file path=xl/comments9.xml><?xml version="1.0" encoding="utf-8"?>
<comments xmlns="http://schemas.openxmlformats.org/spreadsheetml/2006/main">
  <authors>
    <author>Marcy</author>
  </authors>
  <commentList>
    <comment ref="C11" authorId="0" shapeId="0">
      <text>
        <r>
          <rPr>
            <b/>
            <sz val="9"/>
            <color indexed="81"/>
            <rFont val="Tahoma"/>
            <family val="2"/>
          </rPr>
          <t>Marcy:</t>
        </r>
        <r>
          <rPr>
            <sz val="9"/>
            <color indexed="81"/>
            <rFont val="Tahoma"/>
            <family val="2"/>
          </rPr>
          <t xml:space="preserve">
added missing partners</t>
        </r>
      </text>
    </comment>
    <comment ref="D11" authorId="0" shapeId="0">
      <text>
        <r>
          <rPr>
            <b/>
            <sz val="9"/>
            <color indexed="81"/>
            <rFont val="Tahoma"/>
            <family val="2"/>
          </rPr>
          <t>Marcy:</t>
        </r>
        <r>
          <rPr>
            <sz val="9"/>
            <color indexed="81"/>
            <rFont val="Tahoma"/>
            <family val="2"/>
          </rPr>
          <t xml:space="preserve">
project type correct</t>
        </r>
      </text>
    </comment>
    <comment ref="M11" authorId="0" shapeId="0">
      <text>
        <r>
          <rPr>
            <b/>
            <sz val="9"/>
            <color indexed="81"/>
            <rFont val="Tahoma"/>
            <family val="2"/>
          </rPr>
          <t>Marcy:</t>
        </r>
        <r>
          <rPr>
            <sz val="9"/>
            <color indexed="81"/>
            <rFont val="Tahoma"/>
            <family val="2"/>
          </rPr>
          <t xml:space="preserve">
reductions correct</t>
        </r>
      </text>
    </comment>
    <comment ref="J12" authorId="0" shapeId="0">
      <text>
        <r>
          <rPr>
            <b/>
            <sz val="9"/>
            <color indexed="81"/>
            <rFont val="Tahoma"/>
            <family val="2"/>
          </rPr>
          <t>Marcy:</t>
        </r>
        <r>
          <rPr>
            <sz val="9"/>
            <color indexed="81"/>
            <rFont val="Tahoma"/>
            <family val="2"/>
          </rPr>
          <t xml:space="preserve">
updated status</t>
        </r>
      </text>
    </comment>
  </commentList>
</comments>
</file>

<file path=xl/sharedStrings.xml><?xml version="1.0" encoding="utf-8"?>
<sst xmlns="http://schemas.openxmlformats.org/spreadsheetml/2006/main" count="7437" uniqueCount="1440">
  <si>
    <t>Project Number</t>
  </si>
  <si>
    <t>Project Name</t>
  </si>
  <si>
    <t>Acres Treated</t>
  </si>
  <si>
    <t>Sub-Watershed</t>
  </si>
  <si>
    <t>TP Reduction (kg/yr)</t>
  </si>
  <si>
    <t>TN Reduction (kg/yr)</t>
  </si>
  <si>
    <t>AP-1</t>
  </si>
  <si>
    <t>City of Avon Park</t>
  </si>
  <si>
    <t>Street sweeping</t>
  </si>
  <si>
    <t>Lake Istokpoga</t>
  </si>
  <si>
    <t>AP-2</t>
  </si>
  <si>
    <t>Lake Tulane Stormwater Improvement Project</t>
  </si>
  <si>
    <t>City of Avon Park/ SWFWMD</t>
  </si>
  <si>
    <t>Swales</t>
  </si>
  <si>
    <t>N/A</t>
  </si>
  <si>
    <t>AP-3</t>
  </si>
  <si>
    <t>Lake Isis Stormwater Improvement Project</t>
  </si>
  <si>
    <t>Wet detention pond</t>
  </si>
  <si>
    <t>Public education</t>
  </si>
  <si>
    <t>Upper Kissimmee</t>
  </si>
  <si>
    <t>EW-1</t>
  </si>
  <si>
    <t>City of Edgewood</t>
  </si>
  <si>
    <t>KS-1</t>
  </si>
  <si>
    <t>Education and Outreach</t>
  </si>
  <si>
    <t>KS-2</t>
  </si>
  <si>
    <t>KS-3</t>
  </si>
  <si>
    <t>KS-4</t>
  </si>
  <si>
    <t>Lakefront Park Redevelopment -Swales/Rain Gardens</t>
  </si>
  <si>
    <t>Dry detention</t>
  </si>
  <si>
    <t>KS-5</t>
  </si>
  <si>
    <t>Lakefront Park Redevelopment - Baffle Boxes</t>
  </si>
  <si>
    <t>2nd generation baffle box</t>
  </si>
  <si>
    <t>KS-6</t>
  </si>
  <si>
    <t>Martin Luther King Boulevard Phase III from Thacker Avenue to Dyer Boulevard</t>
  </si>
  <si>
    <t>City of Kissimmee</t>
  </si>
  <si>
    <t>ORL-1</t>
  </si>
  <si>
    <t>ORL-2</t>
  </si>
  <si>
    <t>ORL-3</t>
  </si>
  <si>
    <t>Pine Street/Orange Blossom Trail Corridor Stormwater Improvements</t>
  </si>
  <si>
    <t>ORL-4</t>
  </si>
  <si>
    <t>Septic tank phase out</t>
  </si>
  <si>
    <t>ORL-5</t>
  </si>
  <si>
    <t>ORL-6</t>
  </si>
  <si>
    <t>Lake Angel Drainage Improvements</t>
  </si>
  <si>
    <t>ORL-7</t>
  </si>
  <si>
    <t>ORL-8</t>
  </si>
  <si>
    <t>Catch basin inserts/inlet filters</t>
  </si>
  <si>
    <t>ORL-9</t>
  </si>
  <si>
    <t>ORL-10</t>
  </si>
  <si>
    <t>ORL-11</t>
  </si>
  <si>
    <t>ORL-12</t>
  </si>
  <si>
    <t>ORL-13</t>
  </si>
  <si>
    <t>ORL-14</t>
  </si>
  <si>
    <t>ORL-15</t>
  </si>
  <si>
    <t>ORL-16</t>
  </si>
  <si>
    <t>ORL-17</t>
  </si>
  <si>
    <t>Public Education</t>
  </si>
  <si>
    <t>City of Orlando</t>
  </si>
  <si>
    <t>SEB-1</t>
  </si>
  <si>
    <t>Little Lake Jackson Off-line Alum Injection Stormwater Treatment</t>
  </si>
  <si>
    <t>City of Sebring</t>
  </si>
  <si>
    <t>Alum injection</t>
  </si>
  <si>
    <t>SEB-2</t>
  </si>
  <si>
    <t>FDOT1-1</t>
  </si>
  <si>
    <t>Taylor Creek/ Nubbin Slough</t>
  </si>
  <si>
    <t>FDOT1-2</t>
  </si>
  <si>
    <t>FDOT1-3</t>
  </si>
  <si>
    <t>Street Sweeping</t>
  </si>
  <si>
    <t xml:space="preserve">Street sweeping </t>
  </si>
  <si>
    <t>FDOT District 1</t>
  </si>
  <si>
    <t>FDOT5-1</t>
  </si>
  <si>
    <t>FDOT5-2</t>
  </si>
  <si>
    <t>FDOT5-3</t>
  </si>
  <si>
    <t>FDOT5-4</t>
  </si>
  <si>
    <t>FDOT5-5</t>
  </si>
  <si>
    <t>FDOT5-6</t>
  </si>
  <si>
    <t>FDOT5-7</t>
  </si>
  <si>
    <t>FDOT5-8</t>
  </si>
  <si>
    <t>FDOT5-9</t>
  </si>
  <si>
    <t>FDOT5-10</t>
  </si>
  <si>
    <t>FDOT5-11</t>
  </si>
  <si>
    <t>FDOT5-12</t>
  </si>
  <si>
    <t>FDOT5-13</t>
  </si>
  <si>
    <t>FDOT5-14</t>
  </si>
  <si>
    <t>FDOT5-15</t>
  </si>
  <si>
    <t>FDOT5-16</t>
  </si>
  <si>
    <t>FDOT5-17</t>
  </si>
  <si>
    <t>FDOT5-18</t>
  </si>
  <si>
    <t>FDOT5-19</t>
  </si>
  <si>
    <t>FDOT5-20</t>
  </si>
  <si>
    <t>FDOT5-21</t>
  </si>
  <si>
    <t>FDOT5-22</t>
  </si>
  <si>
    <t>FDOT5-23</t>
  </si>
  <si>
    <t>FDOT5-24</t>
  </si>
  <si>
    <t>239454-A Widening of SR436 from SR528 to SR552 (Pond A)</t>
  </si>
  <si>
    <t>FDOT5-25</t>
  </si>
  <si>
    <t>Dry retention</t>
  </si>
  <si>
    <t>Online dry retention</t>
  </si>
  <si>
    <t>Wet retention</t>
  </si>
  <si>
    <t>FDOT District 5</t>
  </si>
  <si>
    <t>HC-1</t>
  </si>
  <si>
    <t>Highlands County</t>
  </si>
  <si>
    <t>Fisheating Creek</t>
  </si>
  <si>
    <t>HC-2</t>
  </si>
  <si>
    <t>Indian Prairie</t>
  </si>
  <si>
    <t>HC-3</t>
  </si>
  <si>
    <t>HC-4</t>
  </si>
  <si>
    <t>Lower Kissimmee</t>
  </si>
  <si>
    <t>HC-5</t>
  </si>
  <si>
    <t>Lake June Stormwater Project</t>
  </si>
  <si>
    <t>Highlands County/ SWFWMD</t>
  </si>
  <si>
    <t>HC-6</t>
  </si>
  <si>
    <t>Lake Clay Stormwater Project</t>
  </si>
  <si>
    <t>IMWID-1</t>
  </si>
  <si>
    <t>Istokpoga Marsh Watershed Improvement District</t>
  </si>
  <si>
    <t>OK-1</t>
  </si>
  <si>
    <t>Douglas Park North</t>
  </si>
  <si>
    <t>CDS unit</t>
  </si>
  <si>
    <t>OK-2</t>
  </si>
  <si>
    <t>OK-3</t>
  </si>
  <si>
    <t>Oak Park</t>
  </si>
  <si>
    <t>OK-4</t>
  </si>
  <si>
    <t>Southwest 21st Street</t>
  </si>
  <si>
    <t>OK-5</t>
  </si>
  <si>
    <t>Baffle box</t>
  </si>
  <si>
    <t>Okeechobee County</t>
  </si>
  <si>
    <t>OC-1</t>
  </si>
  <si>
    <t>Education</t>
  </si>
  <si>
    <t>OC-2</t>
  </si>
  <si>
    <t>OC-3</t>
  </si>
  <si>
    <t>OC-4</t>
  </si>
  <si>
    <t>OC-5</t>
  </si>
  <si>
    <t>OC-6</t>
  </si>
  <si>
    <t>OC-7</t>
  </si>
  <si>
    <t>OC-8</t>
  </si>
  <si>
    <t>OC-9</t>
  </si>
  <si>
    <t>OC-10</t>
  </si>
  <si>
    <t>OC-11</t>
  </si>
  <si>
    <t>OC-12</t>
  </si>
  <si>
    <t>OC-13</t>
  </si>
  <si>
    <t>OC-14</t>
  </si>
  <si>
    <t>OC-15</t>
  </si>
  <si>
    <t>OC-16</t>
  </si>
  <si>
    <t>Lake Tyler CIB</t>
  </si>
  <si>
    <t>OC-17</t>
  </si>
  <si>
    <t>OC-18</t>
  </si>
  <si>
    <t>OC-19</t>
  </si>
  <si>
    <t>OC-20</t>
  </si>
  <si>
    <t>OC-21</t>
  </si>
  <si>
    <t>Stormceptor</t>
  </si>
  <si>
    <t>OC-22</t>
  </si>
  <si>
    <t>OC-23</t>
  </si>
  <si>
    <t>Lake Mary Jess Pond</t>
  </si>
  <si>
    <t>OC-24</t>
  </si>
  <si>
    <t>Retention BMPs</t>
  </si>
  <si>
    <t>OC-25</t>
  </si>
  <si>
    <t>Lake Jennie Jewel Baffle Box</t>
  </si>
  <si>
    <t>OC-26</t>
  </si>
  <si>
    <t>Lake Anderson Mobile Alum Injection</t>
  </si>
  <si>
    <t>OC-27</t>
  </si>
  <si>
    <t xml:space="preserve">Lake Jessamine Surface Alum </t>
  </si>
  <si>
    <t>OC-28</t>
  </si>
  <si>
    <t>Lake Down Alum  Treatment Facility</t>
  </si>
  <si>
    <t>Orange County</t>
  </si>
  <si>
    <t>OSC-1</t>
  </si>
  <si>
    <t>OSC-2</t>
  </si>
  <si>
    <t>OSC-3</t>
  </si>
  <si>
    <t>OSC-4</t>
  </si>
  <si>
    <t>OSC-5</t>
  </si>
  <si>
    <t>OSC-6</t>
  </si>
  <si>
    <t>Neptune Road I - Ponds 100, 200, and 300</t>
  </si>
  <si>
    <t>OSC-7</t>
  </si>
  <si>
    <t>Old Wilson Road Pond D002-P</t>
  </si>
  <si>
    <t>Online retention</t>
  </si>
  <si>
    <t>OSC-8</t>
  </si>
  <si>
    <t>Old Wilson Road Pond D004-P</t>
  </si>
  <si>
    <t>OSC-9</t>
  </si>
  <si>
    <t>Old Wilson Road Pond E002-P</t>
  </si>
  <si>
    <t>OSC-10</t>
  </si>
  <si>
    <t>Stewart Street Regional Pond Retrofit</t>
  </si>
  <si>
    <t>OSC-11</t>
  </si>
  <si>
    <t>OSC-12</t>
  </si>
  <si>
    <t>OSC-13</t>
  </si>
  <si>
    <t>East Lake Reserve Stormwater Reuse</t>
  </si>
  <si>
    <t>Stormwater reuse</t>
  </si>
  <si>
    <t>OSC-14</t>
  </si>
  <si>
    <t>Neptune Road Stormwater Reuse</t>
  </si>
  <si>
    <t>OSC-15</t>
  </si>
  <si>
    <t>OSC-16</t>
  </si>
  <si>
    <t>Poinciana Commerce Center Reuse</t>
  </si>
  <si>
    <t>OSC-17</t>
  </si>
  <si>
    <t>Kissimmee Bay Reuse</t>
  </si>
  <si>
    <t>OSC-18</t>
  </si>
  <si>
    <t>Remington</t>
  </si>
  <si>
    <t>OSC-19</t>
  </si>
  <si>
    <t>Eagle Lake</t>
  </si>
  <si>
    <t>OSC-20</t>
  </si>
  <si>
    <t>La Quinta Inn</t>
  </si>
  <si>
    <t>OSC-21</t>
  </si>
  <si>
    <t>OSC-22</t>
  </si>
  <si>
    <t>OSC-23</t>
  </si>
  <si>
    <t>Buenaventura Lakes Golf Course Ponds</t>
  </si>
  <si>
    <t>OSC-24</t>
  </si>
  <si>
    <t>Slaman</t>
  </si>
  <si>
    <t>OSC-25</t>
  </si>
  <si>
    <t>Jim Yates</t>
  </si>
  <si>
    <t>OSC-26</t>
  </si>
  <si>
    <t>Udstad</t>
  </si>
  <si>
    <t>OSC-27</t>
  </si>
  <si>
    <t>Proctor</t>
  </si>
  <si>
    <t>OSC-28</t>
  </si>
  <si>
    <t>Twin Oaks</t>
  </si>
  <si>
    <t>OSC-29</t>
  </si>
  <si>
    <t>Cherokee Point</t>
  </si>
  <si>
    <t>OSC-30</t>
  </si>
  <si>
    <t>Encatada Resort</t>
  </si>
  <si>
    <t>OSC-31</t>
  </si>
  <si>
    <t>Cypress Palms Condos</t>
  </si>
  <si>
    <t>OSC-32</t>
  </si>
  <si>
    <t>Lake Pointe</t>
  </si>
  <si>
    <t>Traditions at Westside</t>
  </si>
  <si>
    <t>Osceola County</t>
  </si>
  <si>
    <t>Osceola County/ City of Kissimmee</t>
  </si>
  <si>
    <t>PC-1</t>
  </si>
  <si>
    <t>PC-2</t>
  </si>
  <si>
    <t>PC-3</t>
  </si>
  <si>
    <t>PC-4</t>
  </si>
  <si>
    <t>Sumica Preserve Water Storage/ Hydrologic Restoration</t>
  </si>
  <si>
    <t>Polk County</t>
  </si>
  <si>
    <t>SFWMD-1</t>
  </si>
  <si>
    <t>Taylor Creek</t>
  </si>
  <si>
    <t>STA</t>
  </si>
  <si>
    <t>Not quantified</t>
  </si>
  <si>
    <t>SFWMD-2</t>
  </si>
  <si>
    <t xml:space="preserve">Nubbin Slough </t>
  </si>
  <si>
    <t>SFWMD-3</t>
  </si>
  <si>
    <t>Lakeside Ranch Phase I</t>
  </si>
  <si>
    <t>SFWMD-4</t>
  </si>
  <si>
    <t>Otter Slough Restoration</t>
  </si>
  <si>
    <t>Restoration</t>
  </si>
  <si>
    <t>SFWMD-5</t>
  </si>
  <si>
    <t>SFWMD-6</t>
  </si>
  <si>
    <t>Kissimmee River Restoration</t>
  </si>
  <si>
    <t>SFWMD-7</t>
  </si>
  <si>
    <t>Lemkin Creek</t>
  </si>
  <si>
    <t>HWTT</t>
  </si>
  <si>
    <t>SFWMD-8</t>
  </si>
  <si>
    <t>Wolff Ditch</t>
  </si>
  <si>
    <t>SFWMD-9</t>
  </si>
  <si>
    <t>Grassy Island</t>
  </si>
  <si>
    <t>SFWMD-10</t>
  </si>
  <si>
    <t>SFWMD-11</t>
  </si>
  <si>
    <t>West Waterhole Marsh</t>
  </si>
  <si>
    <t>DWM</t>
  </si>
  <si>
    <t>SFWMD-12</t>
  </si>
  <si>
    <t>Rafter T Ranch</t>
  </si>
  <si>
    <t>SFWMD-13</t>
  </si>
  <si>
    <t>Buck Island Ranch</t>
  </si>
  <si>
    <t>SFWMD-14</t>
  </si>
  <si>
    <t>Dixie West</t>
  </si>
  <si>
    <t>SFWMD-15</t>
  </si>
  <si>
    <t>Dixie Ranch</t>
  </si>
  <si>
    <t>SFWMD-16</t>
  </si>
  <si>
    <t>Lost Oak Ranch</t>
  </si>
  <si>
    <t>SFWMD-17</t>
  </si>
  <si>
    <t>Willaway Cattle &amp; Sod</t>
  </si>
  <si>
    <t>SFWMD-18</t>
  </si>
  <si>
    <t>XL Ranch (Lightsey)</t>
  </si>
  <si>
    <t>SFWMD-19</t>
  </si>
  <si>
    <t>Triple A Ranch</t>
  </si>
  <si>
    <t>SFWMD-20</t>
  </si>
  <si>
    <t>Blue Head Ranch</t>
  </si>
  <si>
    <t>SFWMD-21</t>
  </si>
  <si>
    <t>Nicodemus Slough</t>
  </si>
  <si>
    <t>SFWMD</t>
  </si>
  <si>
    <t>SLID-1</t>
  </si>
  <si>
    <t>Spring Lake Improvement District</t>
  </si>
  <si>
    <t>Lead Entity/ Partners</t>
  </si>
  <si>
    <t>Description</t>
  </si>
  <si>
    <t>Cost</t>
  </si>
  <si>
    <t>Annual O&amp;M Cost</t>
  </si>
  <si>
    <t>Funding Sources</t>
  </si>
  <si>
    <t>Status</t>
  </si>
  <si>
    <t>Completion Date</t>
  </si>
  <si>
    <t>Type</t>
  </si>
  <si>
    <t>Ongoing</t>
  </si>
  <si>
    <t>Envisioned, Not Funded</t>
  </si>
  <si>
    <t>Unknown</t>
  </si>
  <si>
    <t>The runoff will be captured in a series of swales that will allow the runoff to percolate into the sandy soils, preventing further degradation of Lake Tulane.</t>
  </si>
  <si>
    <t>City of Sebring/ Highlands County</t>
  </si>
  <si>
    <t>Stormwater is diverted through underground culvert, alum is injected and the water settles for 7 days in a detention pond. Treated water is released to Little Lake Jackson.</t>
  </si>
  <si>
    <t>July 2011</t>
  </si>
  <si>
    <t>Street sweeping to collect 602,940 lbs/yr of material.</t>
  </si>
  <si>
    <t>Avon Park Street Sweeping</t>
  </si>
  <si>
    <t>SWFWMD and Highlands County</t>
  </si>
  <si>
    <t>Planned and Funded</t>
  </si>
  <si>
    <t>Completed</t>
  </si>
  <si>
    <t>January 2013</t>
  </si>
  <si>
    <t>FYN, landscaping and irrigation ordinances, PSAs, and pamphlets.</t>
  </si>
  <si>
    <t>Water Quality Awareness Program</t>
  </si>
  <si>
    <t xml:space="preserve">City of Edgewood </t>
  </si>
  <si>
    <t>City of Kissimmee Stormwater Utility Fund</t>
  </si>
  <si>
    <t>Swale/rain garden system with 2.07 acres of dry detention.</t>
  </si>
  <si>
    <t>Construction of dry detention with particular standards (side slopes, littoral zones) per the Federal Aviation Administration for reduction of bird strikes.</t>
  </si>
  <si>
    <t xml:space="preserve">City of Kissimmee General Fund </t>
  </si>
  <si>
    <t>Started</t>
  </si>
  <si>
    <t>$394,267 completed; additional $50,000 for future boxes</t>
  </si>
  <si>
    <t>Baffle box installed to remove gross pollutants, including organic debris, sediment and litter.</t>
  </si>
  <si>
    <t>Installation of 1,800 feet of stormwater pipe from Pine Street to Lake Lorna Doone, which includes a baffle box.</t>
  </si>
  <si>
    <t>Two baffle boxes and one Storm Flo unit installed within stormwater infrastructure for capturing organic debris, sediment and litter; stormwater infrastructure added to alleviate flooding.</t>
  </si>
  <si>
    <t>Expand the permanent pool volume of Lake Angel and install three baffle boxes in the main inflow pipes.</t>
  </si>
  <si>
    <t>Pave unimproved access road to industrial park and install baffle box to capture sediment; install curbing along additional areas of Division Avenue to allow street sweepers to effectively capture more sediment in the Lake Holden basin.</t>
  </si>
  <si>
    <t>32 inlet baskets installed to remove gross pollutants, including organic debris, sediment and litter.  27.7 cubic yards/yr of material collected.</t>
  </si>
  <si>
    <t>Lake Pineloch Basin Inlet Baskets</t>
  </si>
  <si>
    <t>City of Orlando Stormwater Utility + 50% cost funded from SFWMD Grant</t>
  </si>
  <si>
    <t>City of Orlando Stormwater Utility + 50% cost funded by CBIR Grant</t>
  </si>
  <si>
    <t>City of Orlando Stormwater Utility + EPA Grant</t>
  </si>
  <si>
    <t>City of Orlando Stormwater Utility</t>
  </si>
  <si>
    <t>Part of project ORL-1</t>
  </si>
  <si>
    <t>Part of ORL-4</t>
  </si>
  <si>
    <t>August 2009</t>
  </si>
  <si>
    <t>May 2010</t>
  </si>
  <si>
    <t>February 2012</t>
  </si>
  <si>
    <t>December 2014</t>
  </si>
  <si>
    <t>April 2015</t>
  </si>
  <si>
    <t>Clear Lake Basin Inlet Baskets</t>
  </si>
  <si>
    <t>16 inlet baskets installed to remove gross pollutants, including organic debris, sediment and litter.  31.53 cubic yards/yr of material collected.</t>
  </si>
  <si>
    <t>Lake Lorna Doone Basin Inlet Baskets</t>
  </si>
  <si>
    <t>44 inlet baskets installed to remove gross pollutants, including organic debris, sediment and litter.  53.29 cubic yards/yr of material collected.</t>
  </si>
  <si>
    <t>Lake Mann Basin Inlet Baskets</t>
  </si>
  <si>
    <t>16 inlet baskets installed to remove gross pollutants, including organic debris, sediment and litter.  24.5cubic yards/yr of material collected.</t>
  </si>
  <si>
    <t>Lake Rabama Basin Inlet Baskets</t>
  </si>
  <si>
    <t>Rock Lake Basin Inlet Baskets</t>
  </si>
  <si>
    <t>8 inlet baskets installed to remove gross pollutants, including organic debris, sediment and litter.  36.45 cubic yards/yr of material collected.</t>
  </si>
  <si>
    <t>Lake Sunset Basin Inlet Baskets</t>
  </si>
  <si>
    <t>16 inlet baskets installed to remove gross pollutants, including organic debris, sediment and litter.  31.9 cubic yards/yr of material collected.</t>
  </si>
  <si>
    <t xml:space="preserve">Walker Lagoon Basin Inlet Baskets </t>
  </si>
  <si>
    <t>Street sweeping within all public roads in city limits.  2,682,8967 lbs/yr of material collected.</t>
  </si>
  <si>
    <t>FYN; landscaping, irrigation, and pet waste management ordinances; PSAs; pamphlets; website; and illicit discharge program.</t>
  </si>
  <si>
    <t>City Orlando</t>
  </si>
  <si>
    <t>Six wet detention ponds.</t>
  </si>
  <si>
    <t>Three wet detention ponds and three dry retention swales.</t>
  </si>
  <si>
    <t>Street sweeping.</t>
  </si>
  <si>
    <t>FDOT</t>
  </si>
  <si>
    <t>Add lanes and reconstruct.</t>
  </si>
  <si>
    <t>New road construction.</t>
  </si>
  <si>
    <t>Add lanes and rehabilitate pavement.</t>
  </si>
  <si>
    <t>Florida Legislative</t>
  </si>
  <si>
    <t>New bridge.</t>
  </si>
  <si>
    <t>Ramps.</t>
  </si>
  <si>
    <t>October 2009</t>
  </si>
  <si>
    <t>July 2010</t>
  </si>
  <si>
    <t>June 2010</t>
  </si>
  <si>
    <t>May 2011</t>
  </si>
  <si>
    <t>June 2011</t>
  </si>
  <si>
    <t>November 2010</t>
  </si>
  <si>
    <t>FYN; landscaping, irrigation, fertilizer, and pet waste management ordinances; PSAs; pamphlets; website; and illicit discharge program.</t>
  </si>
  <si>
    <t>FYN; landscaping, irrigation, fertilizer, and pet waste management ordinances; PSAs; pamphlets; Water Atlas website; and illicit discharge program.</t>
  </si>
  <si>
    <t>Orange County/ FDOT District 5, City of Edgewood, Department</t>
  </si>
  <si>
    <t>Street sweeping of 3,827 curb miles annually.</t>
  </si>
  <si>
    <t>Street sweeping of 942 curb miles annually.</t>
  </si>
  <si>
    <t>Street sweeping of 692 curb miles annually.</t>
  </si>
  <si>
    <t>County-wide street sweeping.</t>
  </si>
  <si>
    <t xml:space="preserve">Lake Conway Street Sweeping </t>
  </si>
  <si>
    <t>Lake Holden Street Sweeping</t>
  </si>
  <si>
    <t>Lake Jessamine Street Sweeping</t>
  </si>
  <si>
    <t>Shingle/Boggy/Hart Basin Street Sweeping</t>
  </si>
  <si>
    <t>Lake Conway Taxing District (MSTU)</t>
  </si>
  <si>
    <t>Lake Holden Taxing District (MSTU)</t>
  </si>
  <si>
    <t>Lake Jessamine Taxing District (MSTU)</t>
  </si>
  <si>
    <t>Lake Odell Curb Inlet Basket (CIB)</t>
  </si>
  <si>
    <t xml:space="preserve">Lake Conway CIB Existing </t>
  </si>
  <si>
    <t>Lake Conway CIB New</t>
  </si>
  <si>
    <t>Curb or grate inlet filter baskets to collect 16,169 lbs/yr of material.</t>
  </si>
  <si>
    <t>Curb or grate inlet filter baskets to collect 902 lbs/yr of material.</t>
  </si>
  <si>
    <t>Curb or grate inlet filter baskets to collect 16,872 lbs/yr of material.</t>
  </si>
  <si>
    <t>Curb or grate inlet filter baskets to collect 4,158 lbs/yr of material.</t>
  </si>
  <si>
    <t xml:space="preserve">Lake Pineloch CIB </t>
  </si>
  <si>
    <t>Curb or grate inlet filter baskets to collect 3,364 lbs/yr of material.</t>
  </si>
  <si>
    <t>Curb or grate inlet filter baskets to collect 27,602 lbs/yr of material.</t>
  </si>
  <si>
    <t>Curb or grate inlet filter baskets to collect 13,025 lbs/yr of material.</t>
  </si>
  <si>
    <t>Curb or grate inlet filter baskets to collect 4,835 lbs/yr of material.</t>
  </si>
  <si>
    <t>Curb or grate inlet filter baskets to collect 3,845 lbs/yr of material.</t>
  </si>
  <si>
    <t>Curb or grate inlet filter baskets to collect 904 lbs/yr of material.</t>
  </si>
  <si>
    <t>Lake Anderson CIB</t>
  </si>
  <si>
    <t>Lake Holden CIB</t>
  </si>
  <si>
    <t>Lake Jessamine CIB</t>
  </si>
  <si>
    <t>Lake Floy CIB</t>
  </si>
  <si>
    <t xml:space="preserve">Lake Cane CIB </t>
  </si>
  <si>
    <t>Lake Odell CIB</t>
  </si>
  <si>
    <t>Curb or grate inlet filter baskets.</t>
  </si>
  <si>
    <t>Curb or grate inlet filter baskets to collect 16,934 lbs/yr of material.</t>
  </si>
  <si>
    <t>Curb or grate inlet filter baskets to collect 13,494 lbs/yr of material.</t>
  </si>
  <si>
    <t>Lake Down CIB</t>
  </si>
  <si>
    <t>Lake Tibet CIB</t>
  </si>
  <si>
    <t>Treats runoff from Orange Avenue.</t>
  </si>
  <si>
    <t>Lisa Waterway CDS</t>
  </si>
  <si>
    <t>Treats runoff from Randolph Avenue.</t>
  </si>
  <si>
    <t xml:space="preserve">Orange County </t>
  </si>
  <si>
    <t>Lake Anderson MSTU</t>
  </si>
  <si>
    <t>Lake Floy MSTU</t>
  </si>
  <si>
    <t>Orange County General Fund</t>
  </si>
  <si>
    <t>Windermere Water and Navigation Control District (MSTU)</t>
  </si>
  <si>
    <t>Dry detention pond.</t>
  </si>
  <si>
    <t>FDOT District 5, City of Edgewood</t>
  </si>
  <si>
    <t>June 2013</t>
  </si>
  <si>
    <t>2nd generation baffle box.</t>
  </si>
  <si>
    <t>Storm pond enhancement with alum.</t>
  </si>
  <si>
    <t>Whole-lake alum treatment.</t>
  </si>
  <si>
    <t>Off-line pond and alum injection system.</t>
  </si>
  <si>
    <t>October 2014</t>
  </si>
  <si>
    <t>Stormwater reuse.</t>
  </si>
  <si>
    <t>Roadway widening.</t>
  </si>
  <si>
    <t>Road improvement.</t>
  </si>
  <si>
    <t>Regional pond retrofit.</t>
  </si>
  <si>
    <t>September 2011</t>
  </si>
  <si>
    <t>October 2010</t>
  </si>
  <si>
    <t>Stormwater reuse for landscape irrigation from pond A1 (9.1A).</t>
  </si>
  <si>
    <t>Stormwater reuse for landscape irrigation (197A).</t>
  </si>
  <si>
    <t>Stormwater reuse for landscape irrigation from Pond 1.</t>
  </si>
  <si>
    <t>Stormwater reuse for turf irrigation.</t>
  </si>
  <si>
    <t>Monthly street sweeping.</t>
  </si>
  <si>
    <t>Conservation areas.</t>
  </si>
  <si>
    <t>Operations</t>
  </si>
  <si>
    <t>Private</t>
  </si>
  <si>
    <t>Homeowners Association</t>
  </si>
  <si>
    <t>November 2015</t>
  </si>
  <si>
    <t>June 2016</t>
  </si>
  <si>
    <t>Roadside swales with raised inlets and two vortex separators.</t>
  </si>
  <si>
    <t>Dry detention roadside swales with raised inlets.</t>
  </si>
  <si>
    <t>Installation of sediment control boxes.</t>
  </si>
  <si>
    <t>Dry detention area to improve water quality and alleviate flooding.</t>
  </si>
  <si>
    <t>FYN, fertilizer ordinance, PSAs, pamphlets, website, and illicit discharge inspection program.</t>
  </si>
  <si>
    <t>Polk County/ SFWMD</t>
  </si>
  <si>
    <t>Construction of a gravel berm to store water on-site for wetland restoration.</t>
  </si>
  <si>
    <t>Treatment of runoff through a stormwater treatment area.</t>
  </si>
  <si>
    <t>SLID and Department Section 319 Grant</t>
  </si>
  <si>
    <t>Restore ecological integrity by restoring 40 miles of meandering river and more than 12,000 miles of wetlands through the design and construction of physical project features coupled with application of optimized hydrologic conditions.</t>
  </si>
  <si>
    <t>SFWMD and USACE</t>
  </si>
  <si>
    <t>Under Construction</t>
  </si>
  <si>
    <t>2017-2020</t>
  </si>
  <si>
    <t xml:space="preserve">Phase I included construction of a 1,200-acre STA, canal improvements, and the installation of the S-650 pump station. </t>
  </si>
  <si>
    <t xml:space="preserve">Completed </t>
  </si>
  <si>
    <t>Included in SFWMD-1</t>
  </si>
  <si>
    <t xml:space="preserve">The Taylor Creek STA is a two-celled STA. </t>
  </si>
  <si>
    <t>The Nubbin Slough STA is the larger of the two pilot STAs constructed north of the lake. It is a two-celled enclosure.</t>
  </si>
  <si>
    <t>Includes five ditch plugs and removal of two berms. It helps attenuate regional stormwater runoff, as well as providing nutrient reductions due to plant uptake from overland flows.  In 2011 LOPP, it was estimated to create 71 acre-ft of storage.</t>
  </si>
  <si>
    <t>HWTT is a combination of wetland and chemical treatment technologies designed mainly to remove phosphorus at the sub-basin and parcel scales.</t>
  </si>
  <si>
    <t>FRESP</t>
  </si>
  <si>
    <t>Storage of 5,000 ac-ft of water through above ground impoundment.</t>
  </si>
  <si>
    <t>Storage of 1,145 ac-ft of water through above ground impoundment and pasture.</t>
  </si>
  <si>
    <t>Storage of 1,573 ac-ft of water through pasture.</t>
  </si>
  <si>
    <t>Storage of 315 ac-ft of water through pasture.</t>
  </si>
  <si>
    <t>Storage of 856 ac-ft of water through pasture.</t>
  </si>
  <si>
    <t>Storage of 374 ac-ft of water through pasture.</t>
  </si>
  <si>
    <t>Storage of 229 ac-ft of water through above ground impoundment.</t>
  </si>
  <si>
    <t>Storage of 887 ac-ft of water through above ground impoundment and pasture.</t>
  </si>
  <si>
    <t>Storage of 397 ac-ft of water through above ground impoundment.</t>
  </si>
  <si>
    <t>Storage of 3,462 ac-ft of water through pasture.</t>
  </si>
  <si>
    <t>Storage of 34,000 ac-ft of water through above ground impoundment and pasture.</t>
  </si>
  <si>
    <t>Design/ Permitting</t>
  </si>
  <si>
    <t>The runoff will be captured in a lakeside swale and a re-designed pond that will allow the runoff to percolate into the sandy soils, preventing further degradation of Lake Isis.</t>
  </si>
  <si>
    <t>PSAs, pamphlets, website, and illicit discharge inspection program.</t>
  </si>
  <si>
    <t>Lake Tivoli</t>
  </si>
  <si>
    <t>City of Orlando Wastewater Division, City of Orlando Stormwater Utility, Orlando Utility Commission</t>
  </si>
  <si>
    <t>The conceptual plan includes the installation of 450 feet of 24-inch French drain in four contributing basins.</t>
  </si>
  <si>
    <t>600 feet of 24-inch on-line French drain for parking lot subbasin; 300 feet of 24-inch on-line French drain will treat the street subbasin.</t>
  </si>
  <si>
    <t>Southwest Drainage Area Improvements</t>
  </si>
  <si>
    <t>Stormceptor.</t>
  </si>
  <si>
    <t>Windermere Water and Navigation Control District (MSTU) &amp; FDEP Grant</t>
  </si>
  <si>
    <t>Stormwater reuse 20-year duration for 84.5 acres of golf course and five-year duration for 45.5 acres of landscape irrigation.</t>
  </si>
  <si>
    <t>Start Date</t>
  </si>
  <si>
    <t>July 2014</t>
  </si>
  <si>
    <t>February 2014</t>
  </si>
  <si>
    <t>April 2014</t>
  </si>
  <si>
    <t>October 2013</t>
  </si>
  <si>
    <t>May 2014</t>
  </si>
  <si>
    <t>July 2008</t>
  </si>
  <si>
    <t>December 2015</t>
  </si>
  <si>
    <t>March 2012</t>
  </si>
  <si>
    <t>May 2012</t>
  </si>
  <si>
    <t>February 2011</t>
  </si>
  <si>
    <t>FDACS-1</t>
  </si>
  <si>
    <t>FDACS-2</t>
  </si>
  <si>
    <t>FDACS-3</t>
  </si>
  <si>
    <t>FDACS</t>
  </si>
  <si>
    <t>FDACS-4</t>
  </si>
  <si>
    <t>Phase I Rolling Meadows</t>
  </si>
  <si>
    <t>Gardner-Cobb Marsh</t>
  </si>
  <si>
    <t xml:space="preserve">Rough Island </t>
  </si>
  <si>
    <t>Oasis Marsh Restoration</t>
  </si>
  <si>
    <t xml:space="preserve">The goal of this project is to restore historic Lake Hatchineha floodplain wetlands and habitat within the Rolling Meadows property which was purchased jointly with the Department. </t>
  </si>
  <si>
    <t>SFWMD and Department</t>
  </si>
  <si>
    <t>Planned, Funded</t>
  </si>
  <si>
    <t>2015-2016</t>
  </si>
  <si>
    <t>Located south of Cypress Lake and includes 23 ditch plugs, berm removal, exotic treatment, and culvert replacement. It helps attenuate regional stormwater runoff and provide incidental nutrient reductions due to plant uptake from overland flows in the marsh.</t>
  </si>
  <si>
    <t>Located southwest of Cypress Lake and west of the C-36 Canal.  The project includes 31 ditch plugs and exotic removal. It helps attenuate regional stormwater runoff and provides incidental nutrient reductions due to plant uptake from overland flows.  Estimated to create 215 acre-ft of storage</t>
  </si>
  <si>
    <t>The Oasis wetlands are located in floodplain of the southwest corner of Lake Kissimmee and the site is a mosaic of dewatered wetlands and uplands. To restore the floodplain function, four ditches totaling 2.4 acres in size were filled with 3,144 cubic yards of sediment material from a levee adjacent to the site in spring 2010. The restoration of the topography of Oasis Marsh will restore approximately 77 acres of wetlands and reconnect them to the littoral zone of Lake Kissimmee.</t>
  </si>
  <si>
    <t>FDACS/ SFWMD</t>
  </si>
  <si>
    <t>Fully aquatic vegetation treatment.</t>
  </si>
  <si>
    <t>18th Street/ Parramore Ave Baffle Box</t>
  </si>
  <si>
    <t>19th Street/ Parramore Avenue Baffle Box</t>
  </si>
  <si>
    <t>Lake Holden Terrace/Albert Shores Sanitary Components</t>
  </si>
  <si>
    <t>Sanitary infrastructure installed for septic tank conversions.  11 of 77 homes converted.</t>
  </si>
  <si>
    <t>Lake Holden Terrace/Albert Shores Stormwater Components</t>
  </si>
  <si>
    <t>Cemex-South Division Avenue Roadway and Drainage Improvements</t>
  </si>
  <si>
    <t xml:space="preserve">Street Sweeping </t>
  </si>
  <si>
    <t>State Road 70 from 34th Avenue to 80th Avenue</t>
  </si>
  <si>
    <t>State Road 70 from 80th Avenue to St. Lucie County Line</t>
  </si>
  <si>
    <t>407143-6 John Young Parkway at State Road 482 Sand Lake Road Overpass</t>
  </si>
  <si>
    <t>239535-F State Road 50 From Good Homes Road to Pine Hills Road (Pond 4)</t>
  </si>
  <si>
    <t>416518-A Interstate-4 Braided Ramp from US 192 Interchange to Osceola Parkway Interchange (Pond SE-1)</t>
  </si>
  <si>
    <t>416518-B Interstate-4 Braided Ramp from US 192 Interchange to Osceola Parkway Interchange (Pond SE-2)</t>
  </si>
  <si>
    <t>239682-A State Road 500 (US 17-92) From Aeronautical Drive to Budinger Avenue (Pond 1)</t>
  </si>
  <si>
    <t>239682-B State Road 500 (US 17-92) From Aeronautical Drive to Budinger Avenue (Pond 2)</t>
  </si>
  <si>
    <t>239682-C State Road 500 (US 17-92) From Aeronautical Drive to Budinger Avenue (Pond 3)</t>
  </si>
  <si>
    <t>239682-D State Road 500 (US 17-92) From Aeronautical Drive to Budinger Avenue (Pond 4)</t>
  </si>
  <si>
    <t>418403-A, B State Road 600 (US 17/92) JYP From South of Portage Street to North of Vine Street (US192) (Ponds East and West)</t>
  </si>
  <si>
    <t>433722-1 State Funded Poinciana Parkway</t>
  </si>
  <si>
    <t>239416-F Widening of State Road 500 from Osceola County Line to Taft-Vineland (Pond 2)</t>
  </si>
  <si>
    <t>239266-B State Road 15 (Hoffner Road) From North of Lee Vista Boulevard to West of State Road 436 (Pond 2)</t>
  </si>
  <si>
    <t>239416-A Widening of State Road500 from Osceola County Line to Taft-Vineland (Pond 7)</t>
  </si>
  <si>
    <t>239416-B and C Widening of State Road 500 from Osceola County Line to Taft-Vineland (Pond 6A and 6B)</t>
  </si>
  <si>
    <t>239416-D Widening of State Road 500 from Osceola County Line to Taft-Vineland (Pond 4)</t>
  </si>
  <si>
    <t>239416-E Widening of State Road 500 from Osceola County Line to Taft-Vineland (Pond 3)</t>
  </si>
  <si>
    <t>239635-A New Bridge State Road 500 at Reedy Creek (Pond 1)</t>
  </si>
  <si>
    <t>239635-B New Bridge State Road 500 at Reedy Creek (Pond 2)</t>
  </si>
  <si>
    <t>239663-A Widening of State Road 530 from State Road 535 to Hoagland Boulevard (Pond 1)</t>
  </si>
  <si>
    <t>239663-B Widening of State Road 530 from State Road 535 to Hoagland Boulevard (Pond 2)</t>
  </si>
  <si>
    <t>239663-C Widening of State Road 530 from State Road 535 to Hoagland Boulevard (Pond 3)</t>
  </si>
  <si>
    <t>239266-A State Road 15 Hoffner Ave From West of State Road 436 to Conway Road (Pond 1)</t>
  </si>
  <si>
    <t>239663-D Widening of State Road 530 from State Road 535 to Hoagland Boulevard (Pond 4)</t>
  </si>
  <si>
    <t>242436-A State Road 400 Ramps at Gore Avenue Retention Pits (Pond 1 and 2)</t>
  </si>
  <si>
    <t>242484-A Widening of State Road 400 from Universal Boulevard to South Street (Pond 4)</t>
  </si>
  <si>
    <t>405515-A and B State Road 400 Wet Detention Pond (Pond 1 and 2)</t>
  </si>
  <si>
    <t>410732-B State Road 400 Swales</t>
  </si>
  <si>
    <t>Street sweeping to collect 1,507,453 lbs/yr of material.</t>
  </si>
  <si>
    <t>239266-C State Road 15 Hoffner Avenue From West of State 436 to Conway Road (Pond 3)</t>
  </si>
  <si>
    <t>239266-D State Road 15 Hoffner Avenue From West of State Road 436 to Conway Road (Pond 4)</t>
  </si>
  <si>
    <t>407143-C State Road 482 Sand Lake Road From Universal Boulevard to West of John Young Parkway (Pond 3)</t>
  </si>
  <si>
    <t>407143-D State Road 482 Sand Lake Road From Universal Boulevard to West of John Young Parkway (Pond 4)</t>
  </si>
  <si>
    <t>407143-A State Road 482 Sand Lake Road From West of Turkey Lake Road to Universal Boulevard (Pond 1)</t>
  </si>
  <si>
    <t>407143-B State Road 482 Sand Lake Rd From West of Turkey Lake Road to Universal Boulevard (Pond 2)</t>
  </si>
  <si>
    <t>Okeechobee County 2008 Disaster Recovery Community Development Block Grant</t>
  </si>
  <si>
    <t>Randolph Avenue Continuous Deflective Separation (CDS) Unit</t>
  </si>
  <si>
    <t>Randolph Avenue Stormceptor</t>
  </si>
  <si>
    <t>Randolph Avenue Pond</t>
  </si>
  <si>
    <t>Small sump that collects sediment from roadway, with an estimate of 12,000 lbs/yr of material.</t>
  </si>
  <si>
    <t>Lake Odell Sediment Sump</t>
  </si>
  <si>
    <t>Narcoossee Road IB Pond 2 and 3</t>
  </si>
  <si>
    <t>Narcoossee Rodd III Pond C3A &amp; C3B</t>
  </si>
  <si>
    <t>Narcoossee Road III Pond D3 Comp</t>
  </si>
  <si>
    <t>Narcoossee Road III Pond E1 Comp</t>
  </si>
  <si>
    <t>Bellalago and Isles of Bellalago Stormwater Reuse</t>
  </si>
  <si>
    <t>Lake Toho Regional Water Storage Facility (Judge Farms)</t>
  </si>
  <si>
    <t>Spring Lake Improvement District Improvements</t>
  </si>
  <si>
    <t>CIB</t>
  </si>
  <si>
    <t>Conservation area</t>
  </si>
  <si>
    <t>Water quality education and awareness articles in the city's quarterly newsletter. Various water quality related informational brochures, fliers and other publications displayed at city hall for the public.</t>
  </si>
  <si>
    <t>Sweeping over 8,500 miles per year.  Material is not currently weighed, but city is currently developing a program to weigh material.</t>
  </si>
  <si>
    <t>Treatment for older existing development as well as future on-line development; treatment  provides 2.5 times the proposed percent impervious area.</t>
  </si>
  <si>
    <t>Three nutrient separating baffle boxes and three filter boxes within the lakefront park area.  Intend to install up to and additional two baffle boxes in the next five years.</t>
  </si>
  <si>
    <t>29 inlet baskets installed to remove gross pollutants, including organic debris, sediment and litter.  32.39cubic yards/year of material collected.</t>
  </si>
  <si>
    <t>10 inlet baskets installed to remove gross pollutants, including organic debris, sediment and litter.  20.06 cubic yards/yr of material collected.</t>
  </si>
  <si>
    <t>Department 319 grant, SWFWMD, City of Sebring, and Highlands County Board of County Commissioners</t>
  </si>
  <si>
    <t>Hybrid wetland treatment technology (HWTT)</t>
  </si>
  <si>
    <t>Wet retention pond created from canal.</t>
  </si>
  <si>
    <t>Stormwater reuse for landscape irrigation from Ponds 100/101 and 300.</t>
  </si>
  <si>
    <t>Stormwater reuse for golf course irrigation from Ponds 12, 13, 14A, and 14B.</t>
  </si>
  <si>
    <t>Two new lakes at golf course.</t>
  </si>
  <si>
    <t>Entity Type</t>
  </si>
  <si>
    <t>Urban</t>
  </si>
  <si>
    <t>Agriculture</t>
  </si>
  <si>
    <t>Special District</t>
  </si>
  <si>
    <t>Public/Private</t>
  </si>
  <si>
    <t>FDACS-5</t>
  </si>
  <si>
    <t>FDACS-6</t>
  </si>
  <si>
    <t>Mosquito Creek</t>
  </si>
  <si>
    <t>Stormwater treatment area.</t>
  </si>
  <si>
    <t>Floating aquatic vegetation treatment (FAVT)</t>
  </si>
  <si>
    <t>GC-1</t>
  </si>
  <si>
    <t>GC-2</t>
  </si>
  <si>
    <t>Glades County</t>
  </si>
  <si>
    <t>FYN; landscaping, irrigation, and fertilizer ordinances; PSAs, pamphlets, website, and illicit discharge program</t>
  </si>
  <si>
    <t>Dry detention and CDS unit</t>
  </si>
  <si>
    <t>New roadside swales and addition of three vortex separators to the existing swales for water quality improvement.</t>
  </si>
  <si>
    <t>Total Urban and Regional Projects (kg/yr)</t>
  </si>
  <si>
    <t>Agricultural BMPs (kg/yr)</t>
  </si>
  <si>
    <t>Total Estimated TP Reductions (kg/yr)</t>
  </si>
  <si>
    <t>SFWMD-22</t>
  </si>
  <si>
    <t>Kissimmee River Headwaters Restoration</t>
  </si>
  <si>
    <t>Land use change to wetlands in the project area.</t>
  </si>
  <si>
    <t>TP Reduction (MT/yr)</t>
  </si>
  <si>
    <t>TN Reduction (MT/yr)</t>
  </si>
  <si>
    <t>In Progress</t>
  </si>
  <si>
    <t>Dispersed water management (DWM)</t>
  </si>
  <si>
    <t>Operational</t>
  </si>
  <si>
    <t>GC-1, HC-1</t>
  </si>
  <si>
    <t>Urban and Municipal Best Management Practices (BMPs)</t>
  </si>
  <si>
    <t>Glades County, Highlands County</t>
  </si>
  <si>
    <t>Public education/ outreach</t>
  </si>
  <si>
    <t>Not applicable</t>
  </si>
  <si>
    <t>100% BMP Implementation</t>
  </si>
  <si>
    <t>Implementation of BMPs on all agricultural lands without current notices of intent (NOIs).</t>
  </si>
  <si>
    <t>Started, Completed, Ongoing</t>
  </si>
  <si>
    <t>Cost-Share BMP Implementation</t>
  </si>
  <si>
    <t>Implementation of cost-share BMPs.</t>
  </si>
  <si>
    <t>TOTAL</t>
  </si>
  <si>
    <t>Istokpoga Marsh Watershed Improvement District Stormwater Treatment Area (STA)</t>
  </si>
  <si>
    <t>GC-2, HC-2</t>
  </si>
  <si>
    <t>Urban and Municipal BMPs</t>
  </si>
  <si>
    <t>Implementation of BMPs on all agricultural lands without current NOIs.</t>
  </si>
  <si>
    <t>AP-1, AP-2, AP-3, SEB-1, SEB-2, HC-3, HC-5, HC-6, PC-1</t>
  </si>
  <si>
    <t>Avon Park, Sebring, Highlands County, Polk County</t>
  </si>
  <si>
    <t>Above ground impoundment</t>
  </si>
  <si>
    <t>HC-4, OSC-11, PC-2</t>
  </si>
  <si>
    <t>Highlands County, Osceola County, Polk County</t>
  </si>
  <si>
    <t>Public education/outreach</t>
  </si>
  <si>
    <t>Hybrid wetland treatment technologies (HWTT)</t>
  </si>
  <si>
    <t>Completed, Not Operational</t>
  </si>
  <si>
    <t>FDOT1-1, FDOT1-2, FDOT1-3</t>
  </si>
  <si>
    <t>Urban BMPs</t>
  </si>
  <si>
    <t>Florida Department of Transportation (FDOT) District 1</t>
  </si>
  <si>
    <t>Wet detention pond, street sweeping</t>
  </si>
  <si>
    <t>Planned and Funded, Ongoing</t>
  </si>
  <si>
    <t>OK-1, OK-2, OK-3, OK-4, OK-5</t>
  </si>
  <si>
    <t>Dry detention, continuous deflective separation (CDS) unit, baffle box</t>
  </si>
  <si>
    <t>Kissimmee Headwaters Restoration</t>
  </si>
  <si>
    <t>EW-1, KS-1, KS-2, KS-3, KS-4, KS-5, KS-6</t>
  </si>
  <si>
    <t>Edgewood, Kissimmee</t>
  </si>
  <si>
    <t>ORL-1--ORL-17</t>
  </si>
  <si>
    <t>Orlando</t>
  </si>
  <si>
    <t>OC-1--OC-28, OSC-1--OSC-32, PC-3</t>
  </si>
  <si>
    <t>Orange County, Osceola County, Polk County</t>
  </si>
  <si>
    <t>Sumica Preserve Water Storage/Hydrologic Restoration</t>
  </si>
  <si>
    <t>Polk County, SFWMD</t>
  </si>
  <si>
    <t>Estimated TP Reduction (MT/yr)</t>
  </si>
  <si>
    <t>Schedule</t>
  </si>
  <si>
    <t>Istokpoga Marsh Watershed Improvement District-Phase II</t>
  </si>
  <si>
    <t>The Coordinating Agencies are waiting on design and engineering information from Phase I.</t>
  </si>
  <si>
    <t>Work will begin in 2016.</t>
  </si>
  <si>
    <t xml:space="preserve">Lakeside Ranch STA Phase  II </t>
  </si>
  <si>
    <t>Taylor Creek/Nubbin Slough</t>
  </si>
  <si>
    <r>
      <t>Permit, funding, and construction are needed.  It is expected that the project could be fully operational within 6.5</t>
    </r>
    <r>
      <rPr>
        <sz val="10"/>
        <color theme="1"/>
        <rFont val="Symbol"/>
        <family val="1"/>
        <charset val="2"/>
      </rPr>
      <t>-</t>
    </r>
    <r>
      <rPr>
        <sz val="10"/>
        <color theme="1"/>
        <rFont val="Times New Roman"/>
        <family val="1"/>
      </rPr>
      <t>9 years if funding were available.</t>
    </r>
  </si>
  <si>
    <t>Project is estimated to be completed by 2023.</t>
  </si>
  <si>
    <t>MacArthur Agro-Ecology Research Center “Buck Island” Ranch/Rafter T Realty, Inc.</t>
  </si>
  <si>
    <t>Program implementation. SFWMD received $10 million for PES to continue program in 2015.  These two projects are currently in contract negotiations.</t>
  </si>
  <si>
    <t>Work will commence once contracts are in place.</t>
  </si>
  <si>
    <t xml:space="preserve">Brighton Valley - Lykes </t>
  </si>
  <si>
    <t xml:space="preserve">Land available.  Expected design, engineering, and SFWMD permitting complete by 2015 if funded to move forward. Note: the reduction values provided by proposer. Needs further development. </t>
  </si>
  <si>
    <t>Rolling Meadows Wetland Restoration - Phase II</t>
  </si>
  <si>
    <t>Land acquired and planning started.</t>
  </si>
  <si>
    <r>
      <t>Work will be completed 6.5</t>
    </r>
    <r>
      <rPr>
        <sz val="10"/>
        <color rgb="FF000000"/>
        <rFont val="Symbol"/>
        <family val="1"/>
        <charset val="2"/>
      </rPr>
      <t>-</t>
    </r>
    <r>
      <rPr>
        <sz val="10"/>
        <color rgb="FF000000"/>
        <rFont val="Times New Roman"/>
        <family val="1"/>
      </rPr>
      <t>9 years after commencement of planning activities.</t>
    </r>
  </si>
  <si>
    <t>Inactive Dairies- Lagoon Remediation</t>
  </si>
  <si>
    <t>Taylor Creek/Nubbin Slough and Indian Prairie</t>
  </si>
  <si>
    <t xml:space="preserve">Develop program to remediate wastewater lagoons on inactive dairies.  This is identified as a potentially significant legacy load and FDACS staff are working on identifying potential participants.  Prioritization expected in early summer. </t>
  </si>
  <si>
    <t>TBD</t>
  </si>
  <si>
    <t xml:space="preserve">Natural Resources Conservation Services (NRCS) and FDACS are working on this project with Highlands County.  </t>
  </si>
  <si>
    <r>
      <t>0.88</t>
    </r>
    <r>
      <rPr>
        <sz val="10"/>
        <color rgb="FF000000"/>
        <rFont val="Symbol"/>
        <family val="1"/>
        <charset val="2"/>
      </rPr>
      <t>-</t>
    </r>
    <r>
      <rPr>
        <sz val="10"/>
        <color rgb="FF000000"/>
        <rFont val="Times New Roman"/>
        <family val="1"/>
      </rPr>
      <t>2.65</t>
    </r>
  </si>
  <si>
    <t>S.R. 710 Regional Project</t>
  </si>
  <si>
    <t>Feasibility study underway and expected to be complete in October 2014.  Will likely require funding cooperation between the coordinating agencies.</t>
  </si>
  <si>
    <t>Legislative Cost-Share Appropriation Program ($10 million annually for seven years)</t>
  </si>
  <si>
    <t>All</t>
  </si>
  <si>
    <t>FDACS will identify cost-share projects and nutrient reductions.</t>
  </si>
  <si>
    <t>Category</t>
  </si>
  <si>
    <t>TP reduction (MT/yr)</t>
  </si>
  <si>
    <t>Existing Load for Entire Lake Okeechobee Watershed</t>
  </si>
  <si>
    <t>Reductions Needed to Achieve TMDL (105 MT)</t>
  </si>
  <si>
    <r>
      <t>Projects Under Development with Coordinating Agencies (</t>
    </r>
    <r>
      <rPr>
        <b/>
        <sz val="10"/>
        <color rgb="FF000000"/>
        <rFont val="Times New Roman"/>
        <family val="1"/>
      </rPr>
      <t>Table ES-7</t>
    </r>
    <r>
      <rPr>
        <sz val="10"/>
        <color rgb="FF000000"/>
        <rFont val="Times New Roman"/>
        <family val="1"/>
      </rPr>
      <t>)</t>
    </r>
  </si>
  <si>
    <r>
      <t>46.12</t>
    </r>
    <r>
      <rPr>
        <sz val="10"/>
        <color rgb="FF000000"/>
        <rFont val="Symbol"/>
        <family val="1"/>
        <charset val="2"/>
      </rPr>
      <t>-</t>
    </r>
    <r>
      <rPr>
        <sz val="10"/>
        <color rgb="FF000000"/>
        <rFont val="Times New Roman"/>
        <family val="1"/>
      </rPr>
      <t>49.14</t>
    </r>
  </si>
  <si>
    <r>
      <t>Total Reductions (</t>
    </r>
    <r>
      <rPr>
        <b/>
        <sz val="10"/>
        <color rgb="FF000000"/>
        <rFont val="Times New Roman"/>
        <family val="1"/>
      </rPr>
      <t>Table ES-1</t>
    </r>
    <r>
      <rPr>
        <sz val="10"/>
        <color rgb="FF000000"/>
        <rFont val="Times New Roman"/>
        <family val="1"/>
      </rPr>
      <t xml:space="preserve"> through </t>
    </r>
    <r>
      <rPr>
        <b/>
        <sz val="10"/>
        <color rgb="FF000000"/>
        <rFont val="Times New Roman"/>
        <family val="1"/>
      </rPr>
      <t>Table ES-7</t>
    </r>
    <r>
      <rPr>
        <sz val="10"/>
        <color rgb="FF000000"/>
        <rFont val="Times New Roman"/>
        <family val="1"/>
      </rPr>
      <t>)</t>
    </r>
  </si>
  <si>
    <r>
      <t>149.56</t>
    </r>
    <r>
      <rPr>
        <sz val="10"/>
        <color rgb="FF000000"/>
        <rFont val="Symbol"/>
        <family val="1"/>
        <charset val="2"/>
      </rPr>
      <t>-</t>
    </r>
    <r>
      <rPr>
        <sz val="10"/>
        <color rgb="FF000000"/>
        <rFont val="Times New Roman"/>
        <family val="1"/>
      </rPr>
      <t>152.58 (43.5%</t>
    </r>
    <r>
      <rPr>
        <sz val="10"/>
        <color rgb="FF000000"/>
        <rFont val="Symbol"/>
        <family val="1"/>
        <charset val="2"/>
      </rPr>
      <t>-</t>
    </r>
    <r>
      <rPr>
        <sz val="10"/>
        <color rgb="FF000000"/>
        <rFont val="Times New Roman"/>
        <family val="1"/>
      </rPr>
      <t>44.4%)</t>
    </r>
  </si>
  <si>
    <t>Total Reductions Remaining to Meet TMDL</t>
  </si>
  <si>
    <t>Initiative</t>
  </si>
  <si>
    <t>Explanation</t>
  </si>
  <si>
    <t>Comprehensive Everglades Restoration Plan (CERP) Planning</t>
  </si>
  <si>
    <t>SFWMD will consider reinitiating formulation of the storage components of the LOW project; however, this requires concurrence from the U.S. Army Corps of Engineers (USACE) (Federal Partner).</t>
  </si>
  <si>
    <t>1.  Approach Federal Partner on initiation of reformulation of the LOW project and to assess impacts on the overall CERP Integrated Delivery Schedule (IDS) and CERP cost-share crediting.  (Within two years of BMAP adoption).</t>
  </si>
  <si>
    <t>2.  If the USACE is amenable and impacts to the IDS and cost-share crediting are acceptable to the partners, SFWMD will initiate reformulation.  (Within five years of BMAP adoption).</t>
  </si>
  <si>
    <t>3.  Plan reformulation complete by 2024.</t>
  </si>
  <si>
    <t>Fall 2016</t>
  </si>
  <si>
    <t>Fall 2024</t>
  </si>
  <si>
    <t>Owner-implemented BMP verification</t>
  </si>
  <si>
    <t xml:space="preserve">FDACS and Department developing a plan for BMP verification.  </t>
  </si>
  <si>
    <t>1. Identify key BMPs for each commodity type in the basin.  (Spring 2015)</t>
  </si>
  <si>
    <t>2.  Identify locations of BMPs in basin.  (Fall 2015)</t>
  </si>
  <si>
    <t>4.  Identify willing owners.  (Spring 2016)</t>
  </si>
  <si>
    <t>5.  Begin data collection.  (Summer 2016)</t>
  </si>
  <si>
    <t>7.  Data evaluation.  (Annually)</t>
  </si>
  <si>
    <t>Spring 2015</t>
  </si>
  <si>
    <t>Cost-share BMP effectiveness verification</t>
  </si>
  <si>
    <t>FDACS and Department developing approach to evaluate effectiveness of various types of cost share project.</t>
  </si>
  <si>
    <t>1.   Identify key cost-share projects.  (Fall 2015)</t>
  </si>
  <si>
    <t>4.  Implement cost-share projects.  (Spring 2016)</t>
  </si>
  <si>
    <t>5.  Data evaluation.  (Annually)</t>
  </si>
  <si>
    <t>Fall 2015</t>
  </si>
  <si>
    <t>Spring 2016</t>
  </si>
  <si>
    <t>WAM revisions</t>
  </si>
  <si>
    <t xml:space="preserve">Coordinating Agencies developing contract to revise the WAM to complete the model domain set-up for the northern region and the 3 southern sub-watersheds of the LOW. Estimated completion date: a year after the adoption of the BMAP.   Department will work to develop targets based on this information. </t>
  </si>
  <si>
    <t>1. Develop scope of work for contract.  (Fall 2014)</t>
  </si>
  <si>
    <t>2.  Execute contract.  (Fall 2014)</t>
  </si>
  <si>
    <t>4.  Conduct sensitivity/uncertainty analyses and pre-drainage characterization.  (Spring 2016)</t>
  </si>
  <si>
    <t>Fall 2014</t>
  </si>
  <si>
    <t>Water quality monitoring</t>
  </si>
  <si>
    <t>As the Department develops the monitoring plan for the BMAP, consideration is being given to areas with on the ground projects/BMPs to evaluate water quality improvements.</t>
  </si>
  <si>
    <t>1. Identify areas with regional projects already in place.  (Complete)</t>
  </si>
  <si>
    <t>2.  Evaluate areas with needs for additional water quality data.  (Once WAM complete.)</t>
  </si>
  <si>
    <t>3.  Identify lead entity for monitoring efforts.  (Spring 2017-Summer 2017)</t>
  </si>
  <si>
    <t>4.  Finalize monitoring plan.  (Upon BMAP adoption)</t>
  </si>
  <si>
    <t>Fall 2018</t>
  </si>
  <si>
    <t xml:space="preserve">Alternative BMP nutrient reduction projects </t>
  </si>
  <si>
    <t>North of Lake Okeechobee</t>
  </si>
  <si>
    <t>2.  Conduct team meetings.  (Quarterly)</t>
  </si>
  <si>
    <t>In-lake strategies muck scraping and tilling-</t>
  </si>
  <si>
    <t>In Lake Okeechobee</t>
  </si>
  <si>
    <t>Potential for inclusion as a BMAP project if a drought year occurs and permitting and bidding are completed in time for work to be conducted.</t>
  </si>
  <si>
    <t>2015 (Development of draft plan)</t>
  </si>
  <si>
    <t>Class I*</t>
  </si>
  <si>
    <t>Potable water supplies</t>
  </si>
  <si>
    <t>Class II</t>
  </si>
  <si>
    <t>Shellfish propagation or harvesting</t>
  </si>
  <si>
    <t>Class III**</t>
  </si>
  <si>
    <t>Recreation, propagation and maintenance of a healthy, well-balanced population of fish and wildlife</t>
  </si>
  <si>
    <t>Class III-Limited</t>
  </si>
  <si>
    <t>Fish consumption, recreation or limited recreation, and/or propagation and maintenance of a limited population of fish and wildlife</t>
  </si>
  <si>
    <t>Class IV</t>
  </si>
  <si>
    <t>Agricultural water supplies</t>
  </si>
  <si>
    <t>Class V</t>
  </si>
  <si>
    <r>
      <t>Navigation, utility, and industrial use (</t>
    </r>
    <r>
      <rPr>
        <i/>
        <sz val="10"/>
        <color theme="1"/>
        <rFont val="Times New Roman"/>
        <family val="1"/>
      </rPr>
      <t>no current Class V designations</t>
    </r>
    <r>
      <rPr>
        <sz val="10"/>
        <color theme="1"/>
        <rFont val="Times New Roman"/>
        <family val="1"/>
      </rPr>
      <t>)</t>
    </r>
  </si>
  <si>
    <t>Department</t>
  </si>
  <si>
    <t>District</t>
  </si>
  <si>
    <t>Group 1</t>
  </si>
  <si>
    <t>Basins</t>
  </si>
  <si>
    <t>Group 2</t>
  </si>
  <si>
    <t>Group 3</t>
  </si>
  <si>
    <t>Group 4</t>
  </si>
  <si>
    <t>Group 5</t>
  </si>
  <si>
    <t>NW</t>
  </si>
  <si>
    <t>Pensacola Bay</t>
  </si>
  <si>
    <t>Perdido Bay</t>
  </si>
  <si>
    <t>NE</t>
  </si>
  <si>
    <t>Suwannee</t>
  </si>
  <si>
    <t>Lower St. Johns</t>
  </si>
  <si>
    <t>Nassau–St. Marys</t>
  </si>
  <si>
    <t>Upper East Coast</t>
  </si>
  <si>
    <t>Central</t>
  </si>
  <si>
    <t>Ocklawaha</t>
  </si>
  <si>
    <t>Middle St. Johns</t>
  </si>
  <si>
    <t>Upper St. Johns</t>
  </si>
  <si>
    <t>Kissimmee</t>
  </si>
  <si>
    <t>SW</t>
  </si>
  <si>
    <t>Tampa Bay</t>
  </si>
  <si>
    <t>Withlacoochee</t>
  </si>
  <si>
    <t>Springs Coast</t>
  </si>
  <si>
    <t>S</t>
  </si>
  <si>
    <t>Everglades</t>
  </si>
  <si>
    <t>Charlotte Harbor</t>
  </si>
  <si>
    <t>Caloosahatchee</t>
  </si>
  <si>
    <t>Florida Keys</t>
  </si>
  <si>
    <t>SE</t>
  </si>
  <si>
    <t>Southeast Coast–Biscayne Bay</t>
  </si>
  <si>
    <t>Indian River Lagoon</t>
  </si>
  <si>
    <t>Tampa Bay Tributaries</t>
  </si>
  <si>
    <t>Sarasota Bay– Peace–Myakka</t>
  </si>
  <si>
    <t>Everglades West Coast</t>
  </si>
  <si>
    <t>Lake Okeechobee</t>
  </si>
  <si>
    <t>St. Lucie– Loxahatchee</t>
  </si>
  <si>
    <t>Lake Worth Lagoon– 
Palm Beach Coast</t>
  </si>
  <si>
    <t>Ochlockonee– St. Marks</t>
  </si>
  <si>
    <t>Apalachicola– Chipola</t>
  </si>
  <si>
    <t>Choctawhatchee– St. Andrews Bay</t>
  </si>
  <si>
    <t>Level 1 Land Use Code</t>
  </si>
  <si>
    <t>Land Use</t>
  </si>
  <si>
    <t>Acres</t>
  </si>
  <si>
    <t>% Total</t>
  </si>
  <si>
    <t>Urban and Built-Up</t>
  </si>
  <si>
    <t>Upland Nonforested</t>
  </si>
  <si>
    <t>Upland Forests</t>
  </si>
  <si>
    <t>Water</t>
  </si>
  <si>
    <t>Wetlands</t>
  </si>
  <si>
    <t>Barren Land</t>
  </si>
  <si>
    <t>Transportation, Communication, and Utilities</t>
  </si>
  <si>
    <t>Inactive Dairy</t>
  </si>
  <si>
    <t>-</t>
  </si>
  <si>
    <t>Total</t>
  </si>
  <si>
    <t>Sub-watershed</t>
  </si>
  <si>
    <r>
      <t>2001</t>
    </r>
    <r>
      <rPr>
        <b/>
        <sz val="10"/>
        <color theme="1"/>
        <rFont val="Symbol"/>
        <family val="1"/>
        <charset val="2"/>
      </rPr>
      <t>-</t>
    </r>
    <r>
      <rPr>
        <b/>
        <sz val="10"/>
        <color theme="1"/>
        <rFont val="Times New Roman"/>
        <family val="1"/>
      </rPr>
      <t>2012 Discharge (Ac-ft)</t>
    </r>
  </si>
  <si>
    <t>Percent (%)</t>
  </si>
  <si>
    <t>2013 Discharge (Ac-ft)</t>
  </si>
  <si>
    <t>East Lake Okeechobee</t>
  </si>
  <si>
    <t>South Lake Okeechobee</t>
  </si>
  <si>
    <t>West Lake Okeechobee</t>
  </si>
  <si>
    <t>TP reduction (kg/yr)</t>
  </si>
  <si>
    <t>Istokpoga Marsh Water Improvement District /
Highlands County, SFWMD, Department, FDACS</t>
  </si>
  <si>
    <t>Estimated TP Reduction (kg/yr)</t>
  </si>
  <si>
    <t>Lake Istokpoga
Indian Prairie</t>
  </si>
  <si>
    <t>Start construction 2016.
Construction complete 2017.</t>
  </si>
  <si>
    <t>PL-566 Funded/
Fisheating Creek Structure</t>
  </si>
  <si>
    <t>1.  NRCS plans to reapply for different funding.  (Fall 2014)
2.  If funding obtained, work will be conducted.  (2015)
3.  Water quality benefit calculations will be done.  (Fall 2015)</t>
  </si>
  <si>
    <t>1. Final feasibility study due October 22, 2014.
2.  Work will be implemented.  (To be determined)</t>
  </si>
  <si>
    <t>1.  Develop plan and present to the Department by inter 2014.
2.  Implement projects by end of 2015.
3.  Conduct same exercise annually.</t>
  </si>
  <si>
    <r>
      <t>190.72</t>
    </r>
    <r>
      <rPr>
        <sz val="10"/>
        <color rgb="FF000000"/>
        <rFont val="Symbol"/>
        <family val="1"/>
        <charset val="2"/>
      </rPr>
      <t>-</t>
    </r>
    <r>
      <rPr>
        <sz val="10"/>
        <color rgb="FF000000"/>
        <rFont val="Times New Roman"/>
        <family val="1"/>
      </rPr>
      <t>193.74</t>
    </r>
  </si>
  <si>
    <t>2013 TP Load (MT)</t>
  </si>
  <si>
    <t>Permittee</t>
  </si>
  <si>
    <t>Permit Number</t>
  </si>
  <si>
    <t>Reedy Creek Improvement District</t>
  </si>
  <si>
    <t>FLS000010</t>
  </si>
  <si>
    <t>City of Belle Isle</t>
  </si>
  <si>
    <t>FLS000011</t>
  </si>
  <si>
    <t>Valencia Water Control District</t>
  </si>
  <si>
    <t>FDOT District 4</t>
  </si>
  <si>
    <t>FLS000011, FLS000038</t>
  </si>
  <si>
    <t>FLS000014</t>
  </si>
  <si>
    <t>City of Davenport</t>
  </si>
  <si>
    <t>FLS000015</t>
  </si>
  <si>
    <t>Town of Dundee</t>
  </si>
  <si>
    <t>City of Frostproof</t>
  </si>
  <si>
    <t>City of Haines City</t>
  </si>
  <si>
    <t>City of Lake Wales</t>
  </si>
  <si>
    <t>Village of Highland Park</t>
  </si>
  <si>
    <t>Town of Hillcrest Heights</t>
  </si>
  <si>
    <t>FLR04E064</t>
  </si>
  <si>
    <t>City of St. Cloud</t>
  </si>
  <si>
    <t>FLR04E112</t>
  </si>
  <si>
    <t>FLR04E083</t>
  </si>
  <si>
    <t>FLR04E024</t>
  </si>
  <si>
    <t>FDOT Florida’s Turnpike Enterprise</t>
  </si>
  <si>
    <t>FLR04E049</t>
  </si>
  <si>
    <t>FLR04E012</t>
  </si>
  <si>
    <t>Town of Windermere</t>
  </si>
  <si>
    <t>FL04E063</t>
  </si>
  <si>
    <t>FLR04E148</t>
  </si>
  <si>
    <t>FLR04E140</t>
  </si>
  <si>
    <t>Municipalities</t>
  </si>
  <si>
    <t>Special Districts</t>
  </si>
  <si>
    <t>City of Moore Haven</t>
  </si>
  <si>
    <t>Coquina Water Management District</t>
  </si>
  <si>
    <t>City of Ocoee</t>
  </si>
  <si>
    <t>Town of Lake Hamilton</t>
  </si>
  <si>
    <t>Town of Lake Placid</t>
  </si>
  <si>
    <t>Area (acres)</t>
  </si>
  <si>
    <t>Watershed TP Loads (MT/year)</t>
  </si>
  <si>
    <t>Percent Loads (%)</t>
  </si>
  <si>
    <t>Total TP Loads from Northern LOW</t>
  </si>
  <si>
    <t>Watershed TP Loads (kg/year)</t>
  </si>
  <si>
    <t>Program implementation. SFWMD received $10 million to continue program in 2015.  These two projects are currently in contract negotiations.</t>
  </si>
  <si>
    <t xml:space="preserve">Indian Prairie </t>
  </si>
  <si>
    <t>Action</t>
  </si>
  <si>
    <t>Timeframe</t>
  </si>
  <si>
    <t>Conduct planning activities.</t>
  </si>
  <si>
    <t>Two Years</t>
  </si>
  <si>
    <t>Conduct design and permitting work.</t>
  </si>
  <si>
    <t>Construct project.</t>
  </si>
  <si>
    <t>9 Months</t>
  </si>
  <si>
    <t>Structural Stormwater (MT/yr)</t>
  </si>
  <si>
    <t>Stormwater Reuse (MT/yr)</t>
  </si>
  <si>
    <t>Street Sweeping (MT/yr)</t>
  </si>
  <si>
    <t>Public Education (MT/yr)</t>
  </si>
  <si>
    <t>DWM (MT/yr)</t>
  </si>
  <si>
    <t>STA (MT/yr)</t>
  </si>
  <si>
    <t>Hydrologic Restoration (MT/yr)</t>
  </si>
  <si>
    <t>Agricultural BMPs (MT/yr)</t>
  </si>
  <si>
    <t>Cost-Share BMPs (MT/yr)</t>
  </si>
  <si>
    <t>HWTT/ FAVT (MT/yr)</t>
  </si>
  <si>
    <t>Total Load Reduction (MT/yr)</t>
  </si>
  <si>
    <t>Grand Total</t>
  </si>
  <si>
    <t>Total Load Reduction (kg/yr)</t>
  </si>
  <si>
    <r>
      <t>Total Reductions Achieved (</t>
    </r>
    <r>
      <rPr>
        <b/>
        <sz val="10"/>
        <color rgb="FF000000"/>
        <rFont val="Times New Roman"/>
        <family val="1"/>
      </rPr>
      <t>Table ES-1</t>
    </r>
    <r>
      <rPr>
        <sz val="10"/>
        <color rgb="FF000000"/>
        <rFont val="Times New Roman"/>
        <family val="1"/>
      </rPr>
      <t xml:space="preserve"> through </t>
    </r>
    <r>
      <rPr>
        <b/>
        <sz val="10"/>
        <color rgb="FF000000"/>
        <rFont val="Times New Roman"/>
        <family val="1"/>
      </rPr>
      <t>Table ES-6</t>
    </r>
    <r>
      <rPr>
        <sz val="10"/>
        <color rgb="FF000000"/>
        <rFont val="Times New Roman"/>
        <family val="1"/>
      </rPr>
      <t>)</t>
    </r>
  </si>
  <si>
    <t>Project Type</t>
  </si>
  <si>
    <t>Not quantified </t>
  </si>
  <si>
    <t>CERP Planning</t>
  </si>
  <si>
    <t>SFWMD will consider reinitiating formulation of the storage components of the LOW project; however, this requires concurrence from USACE (Federal Partner).</t>
  </si>
  <si>
    <t xml:space="preserve">Coordinating Agencies developing contract to revise the WAM to complete the model domain set-up for the northern region and the 3 southern sub-watersheds of the LOW. Estimated completion date: a year after the adoption of the BMAP.   Department will work to develop revised allocations and targets based on this information. </t>
  </si>
  <si>
    <t>5.  Use WAM results to update sub-watershed existing loads and project nutrient reduction benefits in the northern sub-watersheds and to develop existing loads in the southern sub-watersheds and calculate project nutrient reduction benefits.  (Fall 2016)</t>
  </si>
  <si>
    <r>
      <t>46,120</t>
    </r>
    <r>
      <rPr>
        <sz val="10"/>
        <color rgb="FF000000"/>
        <rFont val="Symbol"/>
        <family val="1"/>
        <charset val="2"/>
      </rPr>
      <t>-</t>
    </r>
    <r>
      <rPr>
        <sz val="10"/>
        <color rgb="FF000000"/>
        <rFont val="Times New Roman"/>
        <family val="1"/>
      </rPr>
      <t>49,140</t>
    </r>
  </si>
  <si>
    <r>
      <t>149,560</t>
    </r>
    <r>
      <rPr>
        <sz val="10"/>
        <color rgb="FF000000"/>
        <rFont val="Symbol"/>
        <family val="1"/>
        <charset val="2"/>
      </rPr>
      <t>-</t>
    </r>
    <r>
      <rPr>
        <sz val="10"/>
        <color rgb="FF000000"/>
        <rFont val="Times New Roman"/>
        <family val="1"/>
      </rPr>
      <t>152,580 (43.5%</t>
    </r>
    <r>
      <rPr>
        <sz val="10"/>
        <color rgb="FF000000"/>
        <rFont val="Symbol"/>
        <family val="1"/>
        <charset val="2"/>
      </rPr>
      <t>-</t>
    </r>
    <r>
      <rPr>
        <sz val="10"/>
        <color rgb="FF000000"/>
        <rFont val="Times New Roman"/>
        <family val="1"/>
      </rPr>
      <t>44.4%)</t>
    </r>
  </si>
  <si>
    <r>
      <t>190,720</t>
    </r>
    <r>
      <rPr>
        <sz val="10"/>
        <color rgb="FF000000"/>
        <rFont val="Symbol"/>
        <family val="1"/>
        <charset val="2"/>
      </rPr>
      <t>-</t>
    </r>
    <r>
      <rPr>
        <sz val="10"/>
        <color rgb="FF000000"/>
        <rFont val="Times New Roman"/>
        <family val="1"/>
      </rPr>
      <t>193,740</t>
    </r>
  </si>
  <si>
    <t>\Project Calculations\...\RollingM_Phase_II_102714.xlsx</t>
  </si>
  <si>
    <t>\Project Calculations\...\Buck Island_Rafter T_Phase II DWM Calculations</t>
  </si>
  <si>
    <t>\Project Calculations\...\S.R. 710_FDOT1_10272014</t>
  </si>
  <si>
    <t>0.121-0.663</t>
  </si>
  <si>
    <t>121-663</t>
  </si>
  <si>
    <t>Source</t>
  </si>
  <si>
    <t>\Project Calculations\...\IMWID_P2_BRIGHTON_VALLEY_LRSTA_P2_Reductions_from SFWMD
Numbers provided in MT/yr by SFWMD in Z:\WPCS\BASINS\Lake_Okeechobee\Projects\Stakeholders\SFWMD\Wish List\SFWMDWishList041014.xlsx and SFWMDWishList041014_rev042114.xlsx</t>
  </si>
  <si>
    <t>\Project Calculations\...\IMWID_P2_BRIGHTON_VALLEY_LRSTA_P2_Reductions_from SFWMD
Numbers provided in MT/yr by Lykes (not verified)</t>
  </si>
  <si>
    <t>Range</t>
  </si>
  <si>
    <r>
      <t>45.81</t>
    </r>
    <r>
      <rPr>
        <b/>
        <sz val="10"/>
        <color rgb="FF000000"/>
        <rFont val="Symbol"/>
        <family val="1"/>
        <charset val="2"/>
      </rPr>
      <t>-</t>
    </r>
    <r>
      <rPr>
        <b/>
        <sz val="10"/>
        <color rgb="FF000000"/>
        <rFont val="Times New Roman"/>
        <family val="1"/>
      </rPr>
      <t>48.13</t>
    </r>
  </si>
  <si>
    <t>Still need to locate source of information and/or numeric reduction</t>
  </si>
  <si>
    <t>5.  Use WAM results to update sub-watershed existing loads and project nutrient reduction benefits in the northern sub-watersheds and to develop existing loads in the southern sub-watersheds and calculate project nutrient reduction benefits..  (Fall 2016)</t>
  </si>
  <si>
    <r>
      <t>-</t>
    </r>
    <r>
      <rPr>
        <sz val="8"/>
        <color theme="1"/>
        <rFont val="Times New Roman"/>
        <family val="1"/>
      </rPr>
      <t> </t>
    </r>
  </si>
  <si>
    <t>Acre (acres)</t>
  </si>
  <si>
    <r>
      <t>2001</t>
    </r>
    <r>
      <rPr>
        <b/>
        <sz val="10"/>
        <color theme="1"/>
        <rFont val="Symbol"/>
        <family val="1"/>
        <charset val="2"/>
      </rPr>
      <t>-</t>
    </r>
    <r>
      <rPr>
        <b/>
        <sz val="10"/>
        <color theme="1"/>
        <rFont val="Times New Roman"/>
        <family val="1"/>
      </rPr>
      <t>2012 TP Concentration (ppb)</t>
    </r>
  </si>
  <si>
    <t>2013 TP Concentration (ppb)</t>
  </si>
  <si>
    <t>WAM Land Use Classification System</t>
  </si>
  <si>
    <t>WAM Land Use Description</t>
  </si>
  <si>
    <t>TP Load Adjustment Factor</t>
  </si>
  <si>
    <t>Dairies</t>
  </si>
  <si>
    <t>Citrus Groves</t>
  </si>
  <si>
    <t>Develop scope of work for contract.</t>
  </si>
  <si>
    <t>Execute contract.</t>
  </si>
  <si>
    <t>Complete WAM refinements.</t>
  </si>
  <si>
    <t>Conduct pre-drainage characterization and sensitivity/uncertainty analyses.</t>
  </si>
  <si>
    <t>Use WAM results to update sub-watershed existing loads and project nutrient reduction benefits in the northern sub-watersheds and to develop existing loads in the southern sub-watersheds and calculate project nutrient reduction benefits.</t>
  </si>
  <si>
    <t>Identify elevated TP areas for additional project locations and prioritization.</t>
  </si>
  <si>
    <t>Sub-watershed WAM Domain</t>
  </si>
  <si>
    <t>Attenuation Factor</t>
  </si>
  <si>
    <t>Fisheating Creek – FEC domain</t>
  </si>
  <si>
    <t>Fisheating Creek – L61W domain</t>
  </si>
  <si>
    <t>Fisheating Creek – Lower C38 domain</t>
  </si>
  <si>
    <t>Fisheating Creek – S131 domain</t>
  </si>
  <si>
    <t>Indian Prairie – L48 domain</t>
  </si>
  <si>
    <t>Indian Prairie – L49 domain</t>
  </si>
  <si>
    <t>Indian Prairie – L61W domain</t>
  </si>
  <si>
    <t>Indian Prairie – Lower C38 domain</t>
  </si>
  <si>
    <t>Indian Prairie – S131 domain</t>
  </si>
  <si>
    <t>Taylor Creek/Nubbin Slough – Lower C-38 domain</t>
  </si>
  <si>
    <t>Taylor Creek/Nubbin Slough – S133 domain</t>
  </si>
  <si>
    <t>Taylor Creek/Nubbin Slough – S135 domain</t>
  </si>
  <si>
    <t>Taylor Creek/Nubbin Slough – S191 domain</t>
  </si>
  <si>
    <t>Obtain USACE permit.</t>
  </si>
  <si>
    <t>One Year</t>
  </si>
  <si>
    <t>Procure contractor and, if necessary, perform any final design work.</t>
  </si>
  <si>
    <r>
      <t>6</t>
    </r>
    <r>
      <rPr>
        <sz val="10"/>
        <color rgb="FF000000"/>
        <rFont val="Symbol"/>
        <family val="1"/>
        <charset val="2"/>
      </rPr>
      <t>-</t>
    </r>
    <r>
      <rPr>
        <sz val="10"/>
        <color rgb="FF000000"/>
        <rFont val="Times New Roman"/>
        <family val="1"/>
      </rPr>
      <t>12 Months</t>
    </r>
  </si>
  <si>
    <t>Construct STA South and obtain certification.</t>
  </si>
  <si>
    <r>
      <t>24</t>
    </r>
    <r>
      <rPr>
        <sz val="10"/>
        <color rgb="FF000000"/>
        <rFont val="Symbol"/>
        <family val="1"/>
        <charset val="2"/>
      </rPr>
      <t>-</t>
    </r>
    <r>
      <rPr>
        <sz val="10"/>
        <color rgb="FF000000"/>
        <rFont val="Times New Roman"/>
        <family val="1"/>
      </rPr>
      <t>29 Months</t>
    </r>
  </si>
  <si>
    <t>Construct S-191A pump station construction and certification.</t>
  </si>
  <si>
    <r>
      <t>31</t>
    </r>
    <r>
      <rPr>
        <sz val="10"/>
        <color theme="1"/>
        <rFont val="Symbol"/>
        <family val="1"/>
        <charset val="2"/>
      </rPr>
      <t>-</t>
    </r>
    <r>
      <rPr>
        <sz val="10"/>
        <color theme="1"/>
        <rFont val="Times New Roman"/>
        <family val="1"/>
      </rPr>
      <t>40 Months</t>
    </r>
  </si>
  <si>
    <t>Conduct start-up operations.</t>
  </si>
  <si>
    <r>
      <t>6</t>
    </r>
    <r>
      <rPr>
        <sz val="10"/>
        <color theme="1"/>
        <rFont val="Symbol"/>
        <family val="1"/>
        <charset val="2"/>
      </rPr>
      <t>-</t>
    </r>
    <r>
      <rPr>
        <sz val="10"/>
        <color theme="1"/>
        <rFont val="Times New Roman"/>
        <family val="1"/>
      </rPr>
      <t>12 Months</t>
    </r>
  </si>
  <si>
    <t>Conduct full operations.</t>
  </si>
  <si>
    <r>
      <t>79</t>
    </r>
    <r>
      <rPr>
        <sz val="10"/>
        <color theme="1"/>
        <rFont val="Symbol"/>
        <family val="1"/>
        <charset val="2"/>
      </rPr>
      <t>-</t>
    </r>
    <r>
      <rPr>
        <sz val="10"/>
        <color theme="1"/>
        <rFont val="Times New Roman"/>
        <family val="1"/>
      </rPr>
      <t>105 Months (6.5-9 Years)</t>
    </r>
  </si>
  <si>
    <t>FDACS and Department will develop an approach to evaluate effectiveness of various types of cost share project.</t>
  </si>
  <si>
    <t xml:space="preserve">FDACS and Department will develop a plan for BMP verification.  </t>
  </si>
  <si>
    <t>2009 SFWMD Land Use</t>
  </si>
  <si>
    <t>2009 Acres</t>
  </si>
  <si>
    <t>Related FDACS BMP Programs</t>
  </si>
  <si>
    <r>
      <t>Acreage Enrolled as of December 31, 2008</t>
    </r>
    <r>
      <rPr>
        <b/>
        <vertAlign val="superscript"/>
        <sz val="9"/>
        <color theme="1"/>
        <rFont val="Times New Roman"/>
        <family val="1"/>
      </rPr>
      <t>1</t>
    </r>
  </si>
  <si>
    <t>Related NOIs</t>
  </si>
  <si>
    <t>Pasture and Mixed Rangeland</t>
  </si>
  <si>
    <t>Cow/Calf; Future (hay)</t>
  </si>
  <si>
    <t>Row/Field/Mixed Crops/Sugar Cane</t>
  </si>
  <si>
    <t>Vegetable/Agronomic Crops</t>
  </si>
  <si>
    <t>Sod Farms</t>
  </si>
  <si>
    <t>Statewide Sod</t>
  </si>
  <si>
    <t>Citrus</t>
  </si>
  <si>
    <t>Ridge Citrus; Flatwoods Citrus</t>
  </si>
  <si>
    <t>Fruit Orchards/Other Groves</t>
  </si>
  <si>
    <t>Specialty Fruit and Nut</t>
  </si>
  <si>
    <t>Tree Nurseries</t>
  </si>
  <si>
    <t>Future Nursery; Specialty Fruit and Nut</t>
  </si>
  <si>
    <t>Ornamentals</t>
  </si>
  <si>
    <t>Container Nursery</t>
  </si>
  <si>
    <t>Poultry Feeding Operations</t>
  </si>
  <si>
    <t>Conservation Plan Rule</t>
  </si>
  <si>
    <t>Horse Farm</t>
  </si>
  <si>
    <t>Equine</t>
  </si>
  <si>
    <t>Cattle Feeding Operations</t>
  </si>
  <si>
    <t>Row/Field/Mixed Crops</t>
  </si>
  <si>
    <t>This table should match Table ES-8</t>
  </si>
  <si>
    <t>Sampling Entity</t>
  </si>
  <si>
    <t>Station Name</t>
  </si>
  <si>
    <t>Frequency</t>
  </si>
  <si>
    <t>Year Site Established</t>
  </si>
  <si>
    <t>Buck Lake</t>
  </si>
  <si>
    <t>Quarterly</t>
  </si>
  <si>
    <t>Lake Fran</t>
  </si>
  <si>
    <t>Lake Mare Prairie</t>
  </si>
  <si>
    <t>Mud Lake</t>
  </si>
  <si>
    <t>Turkey Lake (North)</t>
  </si>
  <si>
    <t>Turkey Lake (South)</t>
  </si>
  <si>
    <t>S-62</t>
  </si>
  <si>
    <t>Orlando/Orange County</t>
  </si>
  <si>
    <t>Shingle Creek</t>
  </si>
  <si>
    <t>Biannually (winter and summer)</t>
  </si>
  <si>
    <t>Boggy Creek</t>
  </si>
  <si>
    <t>JUDGES_DCH</t>
  </si>
  <si>
    <t>Monthly</t>
  </si>
  <si>
    <t>PARTIN_CNL</t>
  </si>
  <si>
    <t>RUNNYMEDE</t>
  </si>
  <si>
    <t>SFWMD/USGS</t>
  </si>
  <si>
    <t>Biweekly, if flowing</t>
  </si>
  <si>
    <t>BS-59</t>
  </si>
  <si>
    <t>Weekly- ACF</t>
  </si>
  <si>
    <t>BNSHINGLE</t>
  </si>
  <si>
    <t>USGS</t>
  </si>
  <si>
    <t>Boggy Creek near Taft</t>
  </si>
  <si>
    <t>Continuous</t>
  </si>
  <si>
    <t>C38W</t>
  </si>
  <si>
    <t>Biweekly, if flowing / Monthly/ Quarterly</t>
  </si>
  <si>
    <t>C41H78</t>
  </si>
  <si>
    <t>Weekly-ACT/ Biweekly, if flowing / Monthly/ Quarterly</t>
  </si>
  <si>
    <t>CL06283111</t>
  </si>
  <si>
    <t>CULV10A</t>
  </si>
  <si>
    <t>CULV5</t>
  </si>
  <si>
    <t>CULV5A</t>
  </si>
  <si>
    <t>D02</t>
  </si>
  <si>
    <t>Bimonthly (6 times/yr)</t>
  </si>
  <si>
    <t>E02</t>
  </si>
  <si>
    <t>E04</t>
  </si>
  <si>
    <t>ET05253114</t>
  </si>
  <si>
    <t>FECSR78</t>
  </si>
  <si>
    <t>INDUSCAN</t>
  </si>
  <si>
    <t>ISTK6</t>
  </si>
  <si>
    <t>KISSR0.0</t>
  </si>
  <si>
    <t>KREA 01</t>
  </si>
  <si>
    <t>KREA 30A</t>
  </si>
  <si>
    <t>KREA 98</t>
  </si>
  <si>
    <t>L001</t>
  </si>
  <si>
    <t>L004</t>
  </si>
  <si>
    <t>L006</t>
  </si>
  <si>
    <t>L008</t>
  </si>
  <si>
    <t>L59E</t>
  </si>
  <si>
    <t>L59W</t>
  </si>
  <si>
    <t>L60E</t>
  </si>
  <si>
    <t>L60W</t>
  </si>
  <si>
    <t>L61E</t>
  </si>
  <si>
    <t>LZ25A</t>
  </si>
  <si>
    <t>LZ30</t>
  </si>
  <si>
    <t>MBOXSOU</t>
  </si>
  <si>
    <t xml:space="preserve">Monthly – Stage dependent </t>
  </si>
  <si>
    <t>POLE3S</t>
  </si>
  <si>
    <t>S127</t>
  </si>
  <si>
    <t>S129</t>
  </si>
  <si>
    <t>S131</t>
  </si>
  <si>
    <t>S133</t>
  </si>
  <si>
    <t>S135</t>
  </si>
  <si>
    <t>S154</t>
  </si>
  <si>
    <t>S169</t>
  </si>
  <si>
    <t>S191</t>
  </si>
  <si>
    <t>S2</t>
  </si>
  <si>
    <t>S236</t>
  </si>
  <si>
    <t>S3</t>
  </si>
  <si>
    <t>S308C</t>
  </si>
  <si>
    <t>S351</t>
  </si>
  <si>
    <t>Weekly-ACF</t>
  </si>
  <si>
    <t>S352</t>
  </si>
  <si>
    <t>S354</t>
  </si>
  <si>
    <t>S4</t>
  </si>
  <si>
    <t>S65</t>
  </si>
  <si>
    <t>Weekly-ACT/Biweekly/ Quarterly grabs</t>
  </si>
  <si>
    <t>S65A</t>
  </si>
  <si>
    <t>S65E</t>
  </si>
  <si>
    <t>S71</t>
  </si>
  <si>
    <t>Weekly-ACT/ Biweekly, if flowing / Monthly</t>
  </si>
  <si>
    <t>Boggy Creek A (Tradeport Drive)</t>
  </si>
  <si>
    <t>Shingle Creek C (Central Florida Pkwy)</t>
  </si>
  <si>
    <t>Bass Slough Lakeside Estates</t>
  </si>
  <si>
    <t>Bass Slough Outfall</t>
  </si>
  <si>
    <t>Outfall Airport and West City Ditch</t>
  </si>
  <si>
    <t>Mill Slough Outfall</t>
  </si>
  <si>
    <t>Shingle Creek Outfall</t>
  </si>
  <si>
    <t>Shingle Creek Town Center Blvd</t>
  </si>
  <si>
    <t>Mill Slough Mill Run</t>
  </si>
  <si>
    <t>Shingle Creek North of US 192</t>
  </si>
  <si>
    <t>S72</t>
  </si>
  <si>
    <t>S77</t>
  </si>
  <si>
    <t>Biweekly, if flowing / Monthly</t>
  </si>
  <si>
    <t>S84</t>
  </si>
  <si>
    <t>Shingle Creek at Airport near Kissimmee</t>
  </si>
  <si>
    <t>TCNS 201</t>
  </si>
  <si>
    <t>TCNS 204</t>
  </si>
  <si>
    <t>TCNS 207</t>
  </si>
  <si>
    <t>TCNS 209</t>
  </si>
  <si>
    <t>TCNS 213</t>
  </si>
  <si>
    <t>TCNS 214</t>
  </si>
  <si>
    <t>TCNS 220</t>
  </si>
  <si>
    <t>TCNS 222</t>
  </si>
  <si>
    <t>TCNS 228</t>
  </si>
  <si>
    <t>TCNS 230</t>
  </si>
  <si>
    <t>TCNS 249</t>
  </si>
  <si>
    <t xml:space="preserve">ABOGGN </t>
  </si>
  <si>
    <t xml:space="preserve">CREEDYBR </t>
  </si>
  <si>
    <t>LI02362923</t>
  </si>
  <si>
    <t>S154C</t>
  </si>
  <si>
    <t>Biweekly, if flowing/ Monthly</t>
  </si>
  <si>
    <t>A03</t>
  </si>
  <si>
    <t>B02</t>
  </si>
  <si>
    <t>B06</t>
  </si>
  <si>
    <t>B09</t>
  </si>
  <si>
    <t xml:space="preserve">C03 </t>
  </si>
  <si>
    <t>L61W</t>
  </si>
  <si>
    <t>IOC</t>
  </si>
  <si>
    <t>Weekly Recorded Flow ACF/ Biweekly grabs</t>
  </si>
  <si>
    <t>S650</t>
  </si>
  <si>
    <t>S390</t>
  </si>
  <si>
    <t>S392</t>
  </si>
  <si>
    <t>Identify areas with regional projects already in place.</t>
  </si>
  <si>
    <t>Complete</t>
  </si>
  <si>
    <t>Evaluate areas with needs for additional water quality data.</t>
  </si>
  <si>
    <t>Once WAM completed</t>
  </si>
  <si>
    <t>Identify lead entity for monitoring efforts.</t>
  </si>
  <si>
    <r>
      <t>Spring 2017</t>
    </r>
    <r>
      <rPr>
        <sz val="10"/>
        <color rgb="FF000000"/>
        <rFont val="Symbol"/>
        <family val="1"/>
        <charset val="2"/>
      </rPr>
      <t>-</t>
    </r>
    <r>
      <rPr>
        <sz val="10"/>
        <color rgb="FF000000"/>
        <rFont val="Times New Roman"/>
        <family val="1"/>
      </rPr>
      <t>Summer 2017</t>
    </r>
  </si>
  <si>
    <t>Finalize monitoring plan.</t>
  </si>
  <si>
    <t>Upon adoption of second-phase BMAP</t>
  </si>
  <si>
    <t>Standard BMPs</t>
  </si>
  <si>
    <t>TP % Reduction</t>
  </si>
  <si>
    <t>TN % Reduction</t>
  </si>
  <si>
    <t>Data Source</t>
  </si>
  <si>
    <t>Off-line Retention 0.25” treatment volume</t>
  </si>
  <si>
    <t>Off-line Retention 0.50” treatment volume</t>
  </si>
  <si>
    <t>Off-line Retention 0.75” treatment volume</t>
  </si>
  <si>
    <t>Off-line Retention 1.00” treatment volume</t>
  </si>
  <si>
    <t>On-line Retention 0.25” treatment volume</t>
  </si>
  <si>
    <t>On-line Retention 0.50” treatment volume</t>
  </si>
  <si>
    <t>On-line Retention 0.75” treatment volume</t>
  </si>
  <si>
    <t>On-line Retention 1.00” treatment volume</t>
  </si>
  <si>
    <r>
      <t>Harper, H., and D. Baker.  2007.  Evaluation of Current Stormwater Design Criteria within the State of Florida</t>
    </r>
    <r>
      <rPr>
        <vertAlign val="superscript"/>
        <sz val="10"/>
        <color theme="1"/>
        <rFont val="Times New Roman"/>
        <family val="1"/>
      </rPr>
      <t>1</t>
    </r>
  </si>
  <si>
    <t>Wet detention ponds</t>
  </si>
  <si>
    <t>Reduction from Figure 13.2</t>
  </si>
  <si>
    <t>given project’s residence time</t>
  </si>
  <si>
    <t>Reduction from Figure 13.3</t>
  </si>
  <si>
    <t>Figures 13.2 and 13.3 in</t>
  </si>
  <si>
    <r>
      <t>Draft Stormwater Treatment Applicant’s Handbook</t>
    </r>
    <r>
      <rPr>
        <vertAlign val="superscript"/>
        <sz val="10"/>
        <color theme="1"/>
        <rFont val="Times New Roman"/>
        <family val="1"/>
      </rPr>
      <t>2</t>
    </r>
  </si>
  <si>
    <t>BMP treatment trains</t>
  </si>
  <si>
    <t>using a combination of BMPs</t>
  </si>
  <si>
    <t>Use BMP Treatment Train equation:</t>
  </si>
  <si>
    <r>
      <t>Efficiency = Eff</t>
    </r>
    <r>
      <rPr>
        <vertAlign val="subscript"/>
        <sz val="10"/>
        <color theme="1"/>
        <rFont val="Times New Roman"/>
        <family val="1"/>
      </rPr>
      <t>1</t>
    </r>
    <r>
      <rPr>
        <sz val="10"/>
        <color theme="1"/>
        <rFont val="Times New Roman"/>
        <family val="1"/>
      </rPr>
      <t xml:space="preserve"> +((1-Eff</t>
    </r>
    <r>
      <rPr>
        <vertAlign val="subscript"/>
        <sz val="10"/>
        <color theme="1"/>
        <rFont val="Times New Roman"/>
        <family val="1"/>
      </rPr>
      <t>1</t>
    </r>
    <r>
      <rPr>
        <sz val="10"/>
        <color theme="1"/>
        <rFont val="Times New Roman"/>
        <family val="1"/>
      </rPr>
      <t>)*Eff</t>
    </r>
    <r>
      <rPr>
        <vertAlign val="subscript"/>
        <sz val="10"/>
        <color theme="1"/>
        <rFont val="Times New Roman"/>
        <family val="1"/>
      </rPr>
      <t>2</t>
    </r>
    <r>
      <rPr>
        <sz val="10"/>
        <color theme="1"/>
        <rFont val="Times New Roman"/>
        <family val="1"/>
      </rPr>
      <t>)</t>
    </r>
  </si>
  <si>
    <t>Final Report Contract S0236</t>
  </si>
  <si>
    <t>Effectiveness of Baffle Boxes</t>
  </si>
  <si>
    <r>
      <t>Nutrient baffle box (2</t>
    </r>
    <r>
      <rPr>
        <vertAlign val="superscript"/>
        <sz val="10"/>
        <color theme="1"/>
        <rFont val="Times New Roman"/>
        <family val="1"/>
      </rPr>
      <t>nd</t>
    </r>
    <r>
      <rPr>
        <sz val="10"/>
        <color theme="1"/>
        <rFont val="Times New Roman"/>
        <family val="1"/>
      </rPr>
      <t xml:space="preserve"> generation)</t>
    </r>
  </si>
  <si>
    <t>Grass swales with swale blocks</t>
  </si>
  <si>
    <t>or raised culverts</t>
  </si>
  <si>
    <t>Use on-line retention BMPs above</t>
  </si>
  <si>
    <t>Evaluation of Harper and Baker data</t>
  </si>
  <si>
    <t>Grass swales without swale blocks</t>
  </si>
  <si>
    <t>50% of value for grass swales</t>
  </si>
  <si>
    <t>with swale blocks or raised culverts</t>
  </si>
  <si>
    <t>Estimate amount of water not discharged annually because used for irrigation</t>
  </si>
  <si>
    <t>Evaluated on case-by-case basis</t>
  </si>
  <si>
    <t>Final Report Contract S0095</t>
  </si>
  <si>
    <t>Sanford Stormceptor project</t>
  </si>
  <si>
    <t>Continuous Deflective Separation (CDS) units</t>
  </si>
  <si>
    <t>Final Report Contract WM793</t>
  </si>
  <si>
    <t>Broadway Outfall Project</t>
  </si>
  <si>
    <t>Determine dry weight/volume of material collected annually and multiply by values provided by FSA UF MS4 BMP project</t>
  </si>
  <si>
    <t>Determine dry weight/volume of material collected annually and multiply by values to be provided by FSA UF MS4 BMP project</t>
  </si>
  <si>
    <t>Final Report of FSA UF MS4 BMP Project</t>
  </si>
  <si>
    <t>Provisional BMPs</t>
  </si>
  <si>
    <t>1% to 6%, depending on extent of program</t>
  </si>
  <si>
    <r>
      <t xml:space="preserve">Evaluation of Center for Watershed Protection.  2002.  </t>
    </r>
    <r>
      <rPr>
        <i/>
        <sz val="10"/>
        <color theme="1"/>
        <rFont val="Times New Roman"/>
        <family val="1"/>
      </rPr>
      <t>Watershed Treatment Model Version 3.1</t>
    </r>
    <r>
      <rPr>
        <sz val="10"/>
        <color theme="1"/>
        <rFont val="Times New Roman"/>
        <family val="1"/>
      </rPr>
      <t>.  See separate calculation spreadsheet.</t>
    </r>
  </si>
  <si>
    <t>Department Muck Removal Credit Guidance (developed for IRL BMAPs)</t>
  </si>
  <si>
    <t>Aquatic vegetation harvesting</t>
  </si>
  <si>
    <t>Based on total mass of material collected, type of plant(s), and associated nutrient content in dry material</t>
  </si>
  <si>
    <t>Based on values from ArcNLET model</t>
  </si>
  <si>
    <t>Available:  http://people.sc.fsu.edu/~mye/ArcNLET/index.html</t>
  </si>
  <si>
    <t>AP</t>
  </si>
  <si>
    <t>EW</t>
  </si>
  <si>
    <t>FDOT1</t>
  </si>
  <si>
    <t>FDOT5</t>
  </si>
  <si>
    <t>GC</t>
  </si>
  <si>
    <t>HC</t>
  </si>
  <si>
    <t>IMWID</t>
  </si>
  <si>
    <t>KS</t>
  </si>
  <si>
    <t>OC</t>
  </si>
  <si>
    <t>OK</t>
  </si>
  <si>
    <t>ORL</t>
  </si>
  <si>
    <t>OSC</t>
  </si>
  <si>
    <t>PC</t>
  </si>
  <si>
    <t>SEB</t>
  </si>
  <si>
    <t>SLID</t>
  </si>
  <si>
    <t>Agency</t>
  </si>
  <si>
    <t>Number</t>
  </si>
  <si>
    <t>Level 2 Land Use Code</t>
  </si>
  <si>
    <t>Residential, Low Density (not used in map)</t>
  </si>
  <si>
    <t>Residential, Medium Density (not used in map)</t>
  </si>
  <si>
    <t>Residential, High Density (not used in map)</t>
  </si>
  <si>
    <t>Commercial and Services</t>
  </si>
  <si>
    <t>Industrial</t>
  </si>
  <si>
    <t>Extractive</t>
  </si>
  <si>
    <t>Institutional</t>
  </si>
  <si>
    <t>Recreational</t>
  </si>
  <si>
    <t>Open Land</t>
  </si>
  <si>
    <t>Cropland and Pastureland (not used in map)</t>
  </si>
  <si>
    <t>Tree Crops (not used in map)</t>
  </si>
  <si>
    <t>Feeding Operations</t>
  </si>
  <si>
    <t>Nurseries and Vineyards</t>
  </si>
  <si>
    <t>Specialty Farms</t>
  </si>
  <si>
    <t>Other Open Lands - Rural (not used in map)</t>
  </si>
  <si>
    <t>Herbaceous (Dry Prairie)</t>
  </si>
  <si>
    <t>Upland Shrub and Brushland</t>
  </si>
  <si>
    <t>Mixed Rangeland</t>
  </si>
  <si>
    <t>Upland Coniferous Forests</t>
  </si>
  <si>
    <t>Upland Hardwood Forests</t>
  </si>
  <si>
    <t>Upland Mixed Forests (not used in map)</t>
  </si>
  <si>
    <t>Tree Plantations</t>
  </si>
  <si>
    <t>Streams and Waterways (not used in map)</t>
  </si>
  <si>
    <t>Reservoirs</t>
  </si>
  <si>
    <t>Slough Waters</t>
  </si>
  <si>
    <t>Wetland Hardwood Forests</t>
  </si>
  <si>
    <t>Wetland Coniferous Forests</t>
  </si>
  <si>
    <t>Wetland Forested Mixed</t>
  </si>
  <si>
    <t>Vegetated Non-Forested Wetlands (not used in map)</t>
  </si>
  <si>
    <t>Non-Vegetated Wetland</t>
  </si>
  <si>
    <t>Sand Other Than Beaches</t>
  </si>
  <si>
    <t>Disturbed Land</t>
  </si>
  <si>
    <t>Transportation</t>
  </si>
  <si>
    <t>Communications</t>
  </si>
  <si>
    <t>Utilities</t>
  </si>
  <si>
    <t>Lakes</t>
  </si>
  <si>
    <t>Improved Pasture</t>
  </si>
  <si>
    <t>Unimproved Pasture</t>
  </si>
  <si>
    <t>Woodland Pasture</t>
  </si>
  <si>
    <t>Row Crops</t>
  </si>
  <si>
    <t>Field Crops</t>
  </si>
  <si>
    <t>Groves and Orchards</t>
  </si>
  <si>
    <t>Cattle Feeding Operation</t>
  </si>
  <si>
    <t>Ornamental Nurseries</t>
  </si>
  <si>
    <t>Horse Farms</t>
  </si>
  <si>
    <t>Aquaculture</t>
  </si>
  <si>
    <t>Fallow Cropland</t>
  </si>
  <si>
    <t>Row Labels</t>
  </si>
  <si>
    <t>This is a new table that needs to be added to show the cost breakdown of what has already been spent and what is not yet spent</t>
  </si>
  <si>
    <t>Public education, retention, wet detention, swales, alum injection, street sweeping</t>
  </si>
  <si>
    <t>Street sweeping, public education/outreach, dry detention, wet detention, baffle box</t>
  </si>
  <si>
    <t>Started, Completed, Ongoing, Planned</t>
  </si>
  <si>
    <t>Baffle boxes, catch basin inserts, public education, wet detention, septic tank phase out, street sweeping</t>
  </si>
  <si>
    <t>Started, Completed, Ongoing, Envisioned, Planned</t>
  </si>
  <si>
    <t>Istokpoga Marsh Watershed Improvement District/ Highlands County, SWFWMD, Department, FDACS</t>
  </si>
  <si>
    <t>Started, Completed, Ongoing, Planned, Envisioned</t>
  </si>
  <si>
    <t>Street sweeping, public education/outreach, dry detention, wet detention, curb inlet basket, Stormceptor, retention, baffle box, alum injection, stormwater reuse, conservation area</t>
  </si>
  <si>
    <t>See annual O&amp;M</t>
  </si>
  <si>
    <t>(blank)</t>
  </si>
  <si>
    <t>Spent</t>
  </si>
  <si>
    <t>Funded</t>
  </si>
  <si>
    <t>Unfunded</t>
  </si>
  <si>
    <t>Estimated Start – Summer 2015</t>
  </si>
  <si>
    <t>Funding for Orange County Water Atlas website, and illicit discharge inspection and training program.</t>
  </si>
  <si>
    <t>Street sweeping, public education/outreach, dry detention, wet detention, dry retention, wet retention</t>
  </si>
  <si>
    <t>FDOT5-1--FDOT5-25</t>
  </si>
  <si>
    <t>2013 TP Load (kg)</t>
  </si>
  <si>
    <t>Within Lake</t>
  </si>
  <si>
    <t>Winter 2015/2016</t>
  </si>
  <si>
    <t>883-2,648</t>
  </si>
  <si>
    <t>\Project Calculations\9192014\PL566_FECWRP_model_load</t>
  </si>
  <si>
    <t>3.  Develop monitoring plan/strategy.  (Winter 2015/2016)</t>
  </si>
  <si>
    <t>6.  Form committee to review findings.  (Winter 2016/2017)</t>
  </si>
  <si>
    <t>2.  Identify locations for effectiveness evaluation.  (Winter 2015/2016)</t>
  </si>
  <si>
    <t xml:space="preserve">3.  Develop evaluation approach (monitoring/modeling/calculation).  (Winter 2015/2016) </t>
  </si>
  <si>
    <t>3.  Complete WAM efforts.  (Winter 2015/2016)</t>
  </si>
  <si>
    <t>6.  Identify elevated TP areas for additional project locations and prioritization.  (Winter 2016/2017)</t>
  </si>
  <si>
    <t>Existing Load*</t>
  </si>
  <si>
    <t>Reductions Needed to Achieve TMDL (105 MT**)</t>
  </si>
  <si>
    <t>45,818-48,127</t>
  </si>
  <si>
    <t>calculations</t>
  </si>
  <si>
    <t>1.  Develop team to identify new possible strategies.  (Winter 2014/2015)</t>
  </si>
  <si>
    <t>Winter 2016/2017</t>
  </si>
  <si>
    <t>Winter 2014/2015</t>
  </si>
  <si>
    <t>1.  Identify areas for remediation activities/talk to landowners.  (Winter 2014/2015-Summer 2015)
2.  Procure contractors/conduct work.  (Winter 2015/2016-Spring 2016)
3.  Analyze data.  (Yearly)</t>
  </si>
  <si>
    <t>This is the same as Table ES-7</t>
  </si>
  <si>
    <t>45,818-48,125</t>
  </si>
  <si>
    <t>Subwatershed</t>
  </si>
  <si>
    <t>Weekly –ACF</t>
  </si>
  <si>
    <t>Weekly – ACF</t>
  </si>
  <si>
    <t> -</t>
  </si>
  <si>
    <t>Table caption:</t>
  </si>
  <si>
    <t>2009 Level 2 Land Uses in the Lake Okeechobee Watershed</t>
  </si>
  <si>
    <t>Updated FLUCCS</t>
  </si>
  <si>
    <t>Updated FLUCCS Code Description</t>
  </si>
  <si>
    <t>WAM Land Use Identification</t>
  </si>
  <si>
    <t>Residential Low Density &lt;2 dwelling units per acre (du/ac)</t>
  </si>
  <si>
    <t>Low Density Residential</t>
  </si>
  <si>
    <t>Low Density: Fixed Single Family Units</t>
  </si>
  <si>
    <t>Low Density: Mobile Home Units</t>
  </si>
  <si>
    <t>Low Density: Mixed Units, Fixed and Mobile Home U*</t>
  </si>
  <si>
    <t>Low Density: Rural Residential</t>
  </si>
  <si>
    <t>Low Density: Under construction</t>
  </si>
  <si>
    <t>Residential Medium Density 2-5 du/ac</t>
  </si>
  <si>
    <t>Medium Density Residential</t>
  </si>
  <si>
    <t>Medium Density: Fixed Single Family Units</t>
  </si>
  <si>
    <t>Medium Density: Mobile Home Units</t>
  </si>
  <si>
    <t>Medium Density: Mixed Units, Fixed and Mobile Homes</t>
  </si>
  <si>
    <t>Medium Density: Under construction</t>
  </si>
  <si>
    <t>Residential High Density &gt;5 du/ac</t>
  </si>
  <si>
    <t>High Density Residential</t>
  </si>
  <si>
    <t>High Density: Fixed Single Family Units</t>
  </si>
  <si>
    <t>High Density: Mobile Home Units</t>
  </si>
  <si>
    <t>Multiple Dwelling Units, Low Rise</t>
  </si>
  <si>
    <t>Multiple Dwelling Units</t>
  </si>
  <si>
    <t>Multiple Dwelling Units, High Rise</t>
  </si>
  <si>
    <t>High Density: Mixed Units, Fixed and Mobile Home *</t>
  </si>
  <si>
    <t>High Density: Under construction</t>
  </si>
  <si>
    <t>Shopping Centers</t>
  </si>
  <si>
    <t>Wholesale Sales and Services - Junk Yards</t>
  </si>
  <si>
    <t>Oil and Gas Storage - Not Industrial or Manufacturing</t>
  </si>
  <si>
    <t>Cemeteries</t>
  </si>
  <si>
    <t>Managed Landscape</t>
  </si>
  <si>
    <t>Commercial and Services Under Construction</t>
  </si>
  <si>
    <t>Other Light Industrial</t>
  </si>
  <si>
    <t>Other Heavy Industrial</t>
  </si>
  <si>
    <t>Mining</t>
  </si>
  <si>
    <t>Strip Mines - Clays</t>
  </si>
  <si>
    <t>Sand and Gravel Pits</t>
  </si>
  <si>
    <t>Rock Quarries</t>
  </si>
  <si>
    <t>Reclaimed Mine Land</t>
  </si>
  <si>
    <t>Scrub and Brushland</t>
  </si>
  <si>
    <t>Holding Ponds</t>
  </si>
  <si>
    <t>Abandoned Mining Lands</t>
  </si>
  <si>
    <t>Educational Facilities</t>
  </si>
  <si>
    <t>Military</t>
  </si>
  <si>
    <t>Correctional</t>
  </si>
  <si>
    <t>Prisons</t>
  </si>
  <si>
    <t>Swimming beach</t>
  </si>
  <si>
    <t>Golf Course</t>
  </si>
  <si>
    <t>Race Tracks</t>
  </si>
  <si>
    <t>Animal Race Tracks</t>
  </si>
  <si>
    <t>Marinas and Fish Camps</t>
  </si>
  <si>
    <t>Parks and Zoos</t>
  </si>
  <si>
    <t>Community Recreational Facilities</t>
  </si>
  <si>
    <t>Stadiums: Not Academic</t>
  </si>
  <si>
    <t>Open Land &lt;Urban&gt;</t>
  </si>
  <si>
    <t>Undeveloped Urban Land</t>
  </si>
  <si>
    <t>Inactive Land with Street Pattern</t>
  </si>
  <si>
    <t>Cropland and Pastureland</t>
  </si>
  <si>
    <t>Rural Land in Transition</t>
  </si>
  <si>
    <t>Improved Pastures</t>
  </si>
  <si>
    <t>Unimproved Pastures</t>
  </si>
  <si>
    <t>Woodland Pastures</t>
  </si>
  <si>
    <t>Field Crops - Sugar Cane</t>
  </si>
  <si>
    <t>Sugar Cane</t>
  </si>
  <si>
    <t>Tree Crops</t>
  </si>
  <si>
    <t>Other Groves</t>
  </si>
  <si>
    <t>Abandoned Groves</t>
  </si>
  <si>
    <t>Poultry Feeding Operation</t>
  </si>
  <si>
    <t>Other Open Land &lt;Rural&gt;</t>
  </si>
  <si>
    <t>Upland Shrub and Brush land</t>
  </si>
  <si>
    <t>Palmetto Prairies</t>
  </si>
  <si>
    <t>Pine Flatwoods</t>
  </si>
  <si>
    <t>Longleaf Pine - Xeric Oak</t>
  </si>
  <si>
    <t>Hardwood Conifer Mixed</t>
  </si>
  <si>
    <t>Sand Pine</t>
  </si>
  <si>
    <t>Pine - Mesic Oak</t>
  </si>
  <si>
    <t>Xeric Oak</t>
  </si>
  <si>
    <t>Hardwoods</t>
  </si>
  <si>
    <t>Brazilian Pepper</t>
  </si>
  <si>
    <t>Melaleuca</t>
  </si>
  <si>
    <t>Live Oak</t>
  </si>
  <si>
    <t>Oak - Cabbage Palm</t>
  </si>
  <si>
    <t>Cabbage Palm</t>
  </si>
  <si>
    <t>Hardwood - Coniferous Mixed</t>
  </si>
  <si>
    <t>Coniferous Plantations</t>
  </si>
  <si>
    <t>Hardwood Plantations</t>
  </si>
  <si>
    <t>Forest Regeneration Areas</t>
  </si>
  <si>
    <t>Streams and Waterways</t>
  </si>
  <si>
    <t>Open Water</t>
  </si>
  <si>
    <t>Natural River, Stream, Waterway</t>
  </si>
  <si>
    <t>Channelized Waterways, Canals</t>
  </si>
  <si>
    <t>Marshy Lakes</t>
  </si>
  <si>
    <t>Mixed Wetland Hardwoods</t>
  </si>
  <si>
    <t>Bay Swamps</t>
  </si>
  <si>
    <t>Bayhead</t>
  </si>
  <si>
    <t>Stream and Lake Swamps (Bottomland)</t>
  </si>
  <si>
    <t>Mixed Wetland Hardwoods - Mixed Shrubs</t>
  </si>
  <si>
    <t>Cabbage Palm Wetland</t>
  </si>
  <si>
    <t>Cabbage Palm Hammock</t>
  </si>
  <si>
    <t>Wetland Melaleuca</t>
  </si>
  <si>
    <t>Cypress</t>
  </si>
  <si>
    <t>Cypress - Domes/Heads</t>
  </si>
  <si>
    <t>Freshwater Marshes</t>
  </si>
  <si>
    <t>Cypress - Mixed Hardwoods</t>
  </si>
  <si>
    <t>Cypress - Pine - Cabbage Palm</t>
  </si>
  <si>
    <t>Hydric Pine</t>
  </si>
  <si>
    <t>Freshwater Marshes / Gramminoid Prairie - Marsh</t>
  </si>
  <si>
    <t>Freshwater Marshes - Sawgrass</t>
  </si>
  <si>
    <t>Wet Prairies</t>
  </si>
  <si>
    <t>Emergent Aquatic Vegetation</t>
  </si>
  <si>
    <t>Mixed Scrub-Shrub Wetland</t>
  </si>
  <si>
    <t>Shorelines</t>
  </si>
  <si>
    <t>Intermittent Ponds</t>
  </si>
  <si>
    <t>Disturbed Lands</t>
  </si>
  <si>
    <t>Borrow Areas</t>
  </si>
  <si>
    <t>Spoil Areas</t>
  </si>
  <si>
    <t>Dikes and Levees</t>
  </si>
  <si>
    <t>Transportation Corridors</t>
  </si>
  <si>
    <t>Airports</t>
  </si>
  <si>
    <t>Private Airports</t>
  </si>
  <si>
    <t>Grass Airports</t>
  </si>
  <si>
    <t>Railroads and Rail yards</t>
  </si>
  <si>
    <t>Roads and Highways</t>
  </si>
  <si>
    <t>Auto Parking Facilities</t>
  </si>
  <si>
    <t>Electrical Power Facilities</t>
  </si>
  <si>
    <t>Electrical Power Transmission Lines</t>
  </si>
  <si>
    <t>Water Supply Plants - including Pumping Stations</t>
  </si>
  <si>
    <t>Sewage Treatment</t>
  </si>
  <si>
    <t>Solid Waste Disposal</t>
  </si>
  <si>
    <t>Surface Water Collection Basins</t>
  </si>
  <si>
    <t>Conservation Plan Rule/Lake Okeechobee Protection Program</t>
  </si>
  <si>
    <t>Conservation Plan Rule/ Lake Okeechobee Protection Program</t>
  </si>
  <si>
    <t>Muck removal/
restoration dredging</t>
  </si>
  <si>
    <t>Case by case depending on nutrient flux of muck</t>
  </si>
  <si>
    <t>Department Removal of Aquatic Vegetation for Nutrient Credits
(developed for IRL BMAPs)</t>
  </si>
  <si>
    <t>STAs</t>
  </si>
  <si>
    <t>Based on measured data or ac-ft of storage and land use concentration</t>
  </si>
  <si>
    <t>Based on engineering design calculations</t>
  </si>
  <si>
    <t>Determined through discussions between the Department and SFWMD</t>
  </si>
  <si>
    <r>
      <rPr>
        <sz val="10"/>
        <rFont val="Times New Roman"/>
        <family val="1"/>
      </rPr>
      <t xml:space="preserve">Istokpoga </t>
    </r>
    <r>
      <rPr>
        <sz val="10"/>
        <color theme="1"/>
        <rFont val="Times New Roman"/>
        <family val="1"/>
      </rPr>
      <t>Marsh Improvement District</t>
    </r>
  </si>
  <si>
    <r>
      <t>Average 2001</t>
    </r>
    <r>
      <rPr>
        <b/>
        <sz val="10"/>
        <color theme="1"/>
        <rFont val="Symbol"/>
        <family val="1"/>
        <charset val="2"/>
      </rPr>
      <t>-</t>
    </r>
    <r>
      <rPr>
        <b/>
        <sz val="10"/>
        <color theme="1"/>
        <rFont val="Times New Roman"/>
        <family val="1"/>
      </rPr>
      <t>2012 TP Load (MT/yr)</t>
    </r>
  </si>
  <si>
    <r>
      <t>Average 2001</t>
    </r>
    <r>
      <rPr>
        <b/>
        <sz val="10"/>
        <color theme="1"/>
        <rFont val="Symbol"/>
        <family val="1"/>
        <charset val="2"/>
      </rPr>
      <t>-</t>
    </r>
    <r>
      <rPr>
        <b/>
        <sz val="10"/>
        <color theme="1"/>
        <rFont val="Times New Roman"/>
        <family val="1"/>
      </rPr>
      <t>2012 TP Load (kg/yr)</t>
    </r>
  </si>
  <si>
    <t>Sum of Cost</t>
  </si>
  <si>
    <t>O&amp;M</t>
  </si>
  <si>
    <t>Costs</t>
  </si>
  <si>
    <t>FDACS cost-share – add $60 million to Unfunded Cost</t>
  </si>
  <si>
    <t>KRR – move $120M to Unfunded from Funded</t>
  </si>
  <si>
    <t>Lakeside – Add $51.4M to Unfunded</t>
  </si>
  <si>
    <t>Rolling Meadows – Add $200K to Unfunded</t>
  </si>
  <si>
    <t>FDACS cost-share – add $10 million to Funded Cost</t>
  </si>
  <si>
    <t>total costs ES-1 through ES-6</t>
  </si>
  <si>
    <t>Sum of Annual O&amp;M Cost</t>
  </si>
  <si>
    <r>
      <t>Acreage Enrolled January 1, 2009-September 30, 2014</t>
    </r>
    <r>
      <rPr>
        <b/>
        <vertAlign val="superscript"/>
        <sz val="9"/>
        <color theme="1"/>
        <rFont val="Times New Roman"/>
        <family val="1"/>
      </rPr>
      <t>1</t>
    </r>
  </si>
  <si>
    <t>Multiple</t>
  </si>
  <si>
    <t>Started, Partially Funded</t>
  </si>
  <si>
    <t>Monthly, if flowing</t>
  </si>
  <si>
    <t>ET 05253114</t>
  </si>
  <si>
    <t>FLR04E147</t>
  </si>
  <si>
    <t>Count of Project Number</t>
  </si>
  <si>
    <t>145.81-148.13 (42.5%-43.1%)</t>
  </si>
  <si>
    <t>195.17-197.49</t>
  </si>
  <si>
    <t>145,805-148,112 (42.5%-43.1%)</t>
  </si>
  <si>
    <t>195,188-197,495</t>
  </si>
  <si>
    <t>Always check the Projects Under Development, total reductions, and total reductions remaining once all numbers are final.</t>
  </si>
  <si>
    <r>
      <t>Total Reductions Achieved (</t>
    </r>
    <r>
      <rPr>
        <b/>
        <sz val="10"/>
        <color rgb="FF000000"/>
        <rFont val="Times New Roman"/>
        <family val="1"/>
      </rPr>
      <t>Table 24</t>
    </r>
    <r>
      <rPr>
        <sz val="10"/>
        <color rgb="FF000000"/>
        <rFont val="Times New Roman"/>
        <family val="1"/>
      </rPr>
      <t>)</t>
    </r>
  </si>
  <si>
    <r>
      <t>Projects Under Development with Coordinating Agencies (</t>
    </r>
    <r>
      <rPr>
        <b/>
        <sz val="10"/>
        <color rgb="FF000000"/>
        <rFont val="Times New Roman"/>
        <family val="1"/>
      </rPr>
      <t>Table 22</t>
    </r>
    <r>
      <rPr>
        <sz val="10"/>
        <color rgb="FF000000"/>
        <rFont val="Times New Roman"/>
        <family val="1"/>
      </rPr>
      <t>)</t>
    </r>
  </si>
  <si>
    <r>
      <t>Total Reductions (</t>
    </r>
    <r>
      <rPr>
        <b/>
        <sz val="10"/>
        <color rgb="FF000000"/>
        <rFont val="Times New Roman"/>
        <family val="1"/>
      </rPr>
      <t>Table 22</t>
    </r>
    <r>
      <rPr>
        <sz val="10"/>
        <color rgb="FF000000"/>
        <rFont val="Times New Roman"/>
        <family val="1"/>
      </rPr>
      <t xml:space="preserve"> and </t>
    </r>
    <r>
      <rPr>
        <b/>
        <sz val="10"/>
        <color rgb="FF000000"/>
        <rFont val="Times New Roman"/>
        <family val="1"/>
      </rPr>
      <t>Table 24</t>
    </r>
    <r>
      <rPr>
        <sz val="10"/>
        <color rgb="FF000000"/>
        <rFont val="Times New Roman"/>
        <family val="1"/>
      </rPr>
      <t>)</t>
    </r>
  </si>
  <si>
    <t>1.  Develop plan and present to the Department by winter 2014.
2.  Implement projects by end of 2015.
3.  Conduct same exercise annually.</t>
  </si>
  <si>
    <t>Sum of TN Reduction (MT/yr)</t>
  </si>
  <si>
    <t>Sum of TN Reduction (kg/yr)</t>
  </si>
  <si>
    <t>(Multiple Items)</t>
  </si>
  <si>
    <t>Percent of Existing Load Reduced</t>
  </si>
  <si>
    <t>Percent towards reductions needed for TMDL</t>
  </si>
  <si>
    <t>conversion to pounds factor:</t>
  </si>
  <si>
    <t>Existing Load</t>
  </si>
  <si>
    <t>Reductions Needed</t>
  </si>
  <si>
    <t>Average MT/yr:</t>
  </si>
  <si>
    <t>Average pounds per year:</t>
  </si>
  <si>
    <t>Total 2009 Acres</t>
  </si>
  <si>
    <t>Acreage Enrolled (as of September 30, 2014)</t>
  </si>
  <si>
    <t>Remaining Acres To Enroll</t>
  </si>
  <si>
    <t>TP reduction (lbs/yr)</t>
  </si>
  <si>
    <t>100,994 - 106,108</t>
  </si>
  <si>
    <t>321,393 - 326,508 (42.5%-43.1%)</t>
  </si>
  <si>
    <t>435,454 - 430,339</t>
  </si>
</sst>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6" formatCode="&quot;$&quot;#,##0_);[Red]\(&quot;$&quot;#,##0\)"/>
    <numFmt numFmtId="43" formatCode="_(* #,##0.00_);_(* \(#,##0.00\);_(* &quot;-&quot;??_);_(@_)"/>
    <numFmt numFmtId="164" formatCode="0.0"/>
    <numFmt numFmtId="165" formatCode="#,##0.0"/>
    <numFmt numFmtId="166" formatCode="&quot;$&quot;#,##0"/>
    <numFmt numFmtId="167" formatCode="0.000"/>
    <numFmt numFmtId="168" formatCode="&quot;$&quot;#,##0.00"/>
    <numFmt numFmtId="169" formatCode="0.0%"/>
  </numFmts>
  <fonts count="33" x14ac:knownFonts="1">
    <font>
      <sz val="11"/>
      <color theme="1"/>
      <name val="Calibri"/>
      <family val="2"/>
      <scheme val="minor"/>
    </font>
    <font>
      <sz val="10"/>
      <name val="Arial"/>
      <family val="2"/>
    </font>
    <font>
      <b/>
      <sz val="9"/>
      <name val="Times New Roman"/>
      <family val="1"/>
    </font>
    <font>
      <b/>
      <sz val="9"/>
      <color theme="1"/>
      <name val="Times New Roman"/>
      <family val="1"/>
    </font>
    <font>
      <sz val="9"/>
      <color theme="1"/>
      <name val="Times New Roman"/>
      <family val="1"/>
    </font>
    <font>
      <sz val="9"/>
      <color indexed="8"/>
      <name val="Times New Roman"/>
      <family val="1"/>
    </font>
    <font>
      <sz val="11"/>
      <color theme="1"/>
      <name val="Calibri"/>
      <family val="2"/>
      <scheme val="minor"/>
    </font>
    <font>
      <sz val="10"/>
      <color theme="1"/>
      <name val="Times New Roman"/>
      <family val="1"/>
    </font>
    <font>
      <sz val="12"/>
      <color theme="1"/>
      <name val="Times New Roman"/>
      <family val="1"/>
    </font>
    <font>
      <b/>
      <sz val="10"/>
      <color rgb="FF000000"/>
      <name val="Times New Roman"/>
      <family val="1"/>
    </font>
    <font>
      <sz val="10"/>
      <color rgb="FF000000"/>
      <name val="Times New Roman"/>
      <family val="1"/>
    </font>
    <font>
      <sz val="10"/>
      <color theme="1"/>
      <name val="Symbol"/>
      <family val="1"/>
      <charset val="2"/>
    </font>
    <font>
      <sz val="10"/>
      <color rgb="FF000000"/>
      <name val="Symbol"/>
      <family val="1"/>
      <charset val="2"/>
    </font>
    <font>
      <b/>
      <sz val="10"/>
      <color rgb="FF000000"/>
      <name val="Symbol"/>
      <family val="1"/>
      <charset val="2"/>
    </font>
    <font>
      <b/>
      <sz val="10"/>
      <color theme="1"/>
      <name val="Times New Roman"/>
      <family val="1"/>
    </font>
    <font>
      <i/>
      <sz val="10"/>
      <color theme="1"/>
      <name val="Times New Roman"/>
      <family val="1"/>
    </font>
    <font>
      <b/>
      <sz val="10"/>
      <color theme="1"/>
      <name val="Symbol"/>
      <family val="1"/>
      <charset val="2"/>
    </font>
    <font>
      <sz val="10"/>
      <color theme="1"/>
      <name val="Book Antiqua"/>
      <family val="1"/>
    </font>
    <font>
      <i/>
      <sz val="12"/>
      <color theme="1"/>
      <name val="Times New Roman"/>
      <family val="1"/>
    </font>
    <font>
      <sz val="8"/>
      <color theme="1"/>
      <name val="Times New Roman"/>
      <family val="1"/>
    </font>
    <font>
      <b/>
      <sz val="9"/>
      <color rgb="FF000000"/>
      <name val="Times New Roman"/>
      <family val="1"/>
    </font>
    <font>
      <sz val="9"/>
      <color rgb="FF000000"/>
      <name val="Times New Roman"/>
      <family val="1"/>
    </font>
    <font>
      <sz val="9"/>
      <color indexed="81"/>
      <name val="Tahoma"/>
      <family val="2"/>
    </font>
    <font>
      <b/>
      <sz val="9"/>
      <color indexed="81"/>
      <name val="Tahoma"/>
      <family val="2"/>
    </font>
    <font>
      <sz val="11"/>
      <color theme="0" tint="-0.34998626667073579"/>
      <name val="Calibri"/>
      <family val="2"/>
      <scheme val="minor"/>
    </font>
    <font>
      <b/>
      <vertAlign val="superscript"/>
      <sz val="9"/>
      <color theme="1"/>
      <name val="Times New Roman"/>
      <family val="1"/>
    </font>
    <font>
      <vertAlign val="superscript"/>
      <sz val="10"/>
      <color theme="1"/>
      <name val="Times New Roman"/>
      <family val="1"/>
    </font>
    <font>
      <vertAlign val="subscript"/>
      <sz val="10"/>
      <color theme="1"/>
      <name val="Times New Roman"/>
      <family val="1"/>
    </font>
    <font>
      <u/>
      <sz val="11"/>
      <color theme="10"/>
      <name val="Calibri"/>
      <family val="2"/>
      <scheme val="minor"/>
    </font>
    <font>
      <sz val="10"/>
      <color theme="0" tint="-0.34998626667073579"/>
      <name val="Times New Roman"/>
      <family val="1"/>
    </font>
    <font>
      <sz val="11"/>
      <name val="Calibri"/>
      <family val="2"/>
      <scheme val="minor"/>
    </font>
    <font>
      <sz val="10"/>
      <name val="Times New Roman"/>
      <family val="1"/>
    </font>
    <font>
      <sz val="11"/>
      <color theme="0" tint="-0.249977111117893"/>
      <name val="Calibri"/>
      <family val="2"/>
      <scheme val="minor"/>
    </font>
  </fonts>
  <fills count="18">
    <fill>
      <patternFill patternType="none"/>
    </fill>
    <fill>
      <patternFill patternType="gray125"/>
    </fill>
    <fill>
      <patternFill patternType="solid">
        <fgColor rgb="FFFFFF00"/>
        <bgColor indexed="64"/>
      </patternFill>
    </fill>
    <fill>
      <patternFill patternType="solid">
        <fgColor theme="4" tint="0.59999389629810485"/>
        <bgColor indexed="64"/>
      </patternFill>
    </fill>
    <fill>
      <patternFill patternType="solid">
        <fgColor rgb="FFDAEEF3"/>
        <bgColor indexed="64"/>
      </patternFill>
    </fill>
    <fill>
      <patternFill patternType="solid">
        <fgColor rgb="FFFFFFFF"/>
        <bgColor indexed="64"/>
      </patternFill>
    </fill>
    <fill>
      <patternFill patternType="solid">
        <fgColor rgb="FFEAF1DD"/>
        <bgColor indexed="64"/>
      </patternFill>
    </fill>
    <fill>
      <patternFill patternType="solid">
        <fgColor rgb="FFADE2ED"/>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rgb="FFFFFF99"/>
        <bgColor indexed="64"/>
      </patternFill>
    </fill>
    <fill>
      <patternFill patternType="solid">
        <fgColor rgb="FF00B050"/>
        <bgColor indexed="64"/>
      </patternFill>
    </fill>
    <fill>
      <patternFill patternType="solid">
        <fgColor rgb="FF92D050"/>
        <bgColor indexed="64"/>
      </patternFill>
    </fill>
    <fill>
      <patternFill patternType="solid">
        <fgColor theme="7" tint="0.59999389629810485"/>
        <bgColor indexed="64"/>
      </patternFill>
    </fill>
    <fill>
      <patternFill patternType="solid">
        <fgColor rgb="FFFF0000"/>
        <bgColor indexed="64"/>
      </patternFill>
    </fill>
    <fill>
      <patternFill patternType="solid">
        <fgColor theme="4" tint="0.39997558519241921"/>
        <bgColor indexed="64"/>
      </patternFill>
    </fill>
    <fill>
      <patternFill patternType="solid">
        <fgColor rgb="FFCE9A8C"/>
        <bgColor indexed="64"/>
      </patternFill>
    </fill>
    <fill>
      <patternFill patternType="solid">
        <fgColor rgb="FFCC99FF"/>
        <bgColor indexed="64"/>
      </patternFill>
    </fill>
  </fills>
  <borders count="63">
    <border>
      <left/>
      <right/>
      <top/>
      <bottom/>
      <diagonal/>
    </border>
    <border>
      <left style="thin">
        <color indexed="64"/>
      </left>
      <right style="thin">
        <color indexed="64"/>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style="double">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double">
        <color indexed="64"/>
      </right>
      <top/>
      <bottom style="thin">
        <color indexed="64"/>
      </bottom>
      <diagonal/>
    </border>
    <border>
      <left style="double">
        <color indexed="64"/>
      </left>
      <right style="thin">
        <color indexed="64"/>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double">
        <color indexed="64"/>
      </right>
      <top style="double">
        <color indexed="64"/>
      </top>
      <bottom style="double">
        <color indexed="64"/>
      </bottom>
      <diagonal/>
    </border>
    <border>
      <left style="thin">
        <color indexed="64"/>
      </left>
      <right style="thin">
        <color indexed="64"/>
      </right>
      <top style="thin">
        <color indexed="64"/>
      </top>
      <bottom/>
      <diagonal/>
    </border>
    <border>
      <left style="thin">
        <color indexed="64"/>
      </left>
      <right/>
      <top style="double">
        <color indexed="64"/>
      </top>
      <bottom style="double">
        <color indexed="64"/>
      </bottom>
      <diagonal/>
    </border>
    <border>
      <left style="thin">
        <color indexed="64"/>
      </left>
      <right/>
      <top/>
      <bottom style="thin">
        <color indexed="64"/>
      </bottom>
      <diagonal/>
    </border>
    <border>
      <left style="double">
        <color indexed="64"/>
      </left>
      <right style="double">
        <color indexed="64"/>
      </right>
      <top style="double">
        <color indexed="64"/>
      </top>
      <bottom style="double">
        <color indexed="64"/>
      </bottom>
      <diagonal/>
    </border>
    <border>
      <left/>
      <right style="double">
        <color indexed="64"/>
      </right>
      <top style="double">
        <color indexed="64"/>
      </top>
      <bottom style="double">
        <color indexed="64"/>
      </bottom>
      <diagonal/>
    </border>
    <border>
      <left style="double">
        <color indexed="64"/>
      </left>
      <right style="double">
        <color indexed="64"/>
      </right>
      <top/>
      <bottom style="medium">
        <color indexed="64"/>
      </bottom>
      <diagonal/>
    </border>
    <border>
      <left/>
      <right style="double">
        <color indexed="64"/>
      </right>
      <top/>
      <bottom style="medium">
        <color indexed="64"/>
      </bottom>
      <diagonal/>
    </border>
    <border>
      <left style="double">
        <color indexed="64"/>
      </left>
      <right style="double">
        <color indexed="64"/>
      </right>
      <top/>
      <bottom style="double">
        <color indexed="64"/>
      </bottom>
      <diagonal/>
    </border>
    <border>
      <left/>
      <right style="double">
        <color indexed="64"/>
      </right>
      <top/>
      <bottom style="double">
        <color indexed="64"/>
      </bottom>
      <diagonal/>
    </border>
    <border>
      <left style="double">
        <color indexed="64"/>
      </left>
      <right style="double">
        <color indexed="64"/>
      </right>
      <top/>
      <bottom/>
      <diagonal/>
    </border>
    <border>
      <left/>
      <right style="double">
        <color indexed="64"/>
      </right>
      <top/>
      <bottom/>
      <diagonal/>
    </border>
    <border>
      <left style="double">
        <color indexed="64"/>
      </left>
      <right style="double">
        <color indexed="64"/>
      </right>
      <top style="medium">
        <color indexed="64"/>
      </top>
      <bottom/>
      <diagonal/>
    </border>
    <border>
      <left style="double">
        <color indexed="64"/>
      </left>
      <right style="medium">
        <color indexed="64"/>
      </right>
      <top style="double">
        <color indexed="64"/>
      </top>
      <bottom style="double">
        <color indexed="64"/>
      </bottom>
      <diagonal/>
    </border>
    <border>
      <left style="double">
        <color indexed="64"/>
      </left>
      <right style="medium">
        <color indexed="64"/>
      </right>
      <top/>
      <bottom style="medium">
        <color indexed="64"/>
      </bottom>
      <diagonal/>
    </border>
    <border>
      <left style="double">
        <color indexed="64"/>
      </left>
      <right style="medium">
        <color indexed="64"/>
      </right>
      <top/>
      <bottom style="double">
        <color indexed="64"/>
      </bottom>
      <diagonal/>
    </border>
    <border>
      <left style="double">
        <color indexed="64"/>
      </left>
      <right style="double">
        <color indexed="64"/>
      </right>
      <top style="double">
        <color indexed="64"/>
      </top>
      <bottom/>
      <diagonal/>
    </border>
    <border>
      <left style="double">
        <color indexed="64"/>
      </left>
      <right/>
      <top/>
      <bottom/>
      <diagonal/>
    </border>
    <border>
      <left/>
      <right style="double">
        <color indexed="64"/>
      </right>
      <top style="double">
        <color indexed="64"/>
      </top>
      <bottom/>
      <diagonal/>
    </border>
    <border>
      <left style="double">
        <color indexed="64"/>
      </left>
      <right style="double">
        <color indexed="64"/>
      </right>
      <top style="medium">
        <color indexed="64"/>
      </top>
      <bottom style="medium">
        <color indexed="64"/>
      </bottom>
      <diagonal/>
    </border>
    <border>
      <left/>
      <right style="double">
        <color indexed="64"/>
      </right>
      <top style="medium">
        <color indexed="64"/>
      </top>
      <bottom style="medium">
        <color indexed="64"/>
      </bottom>
      <diagonal/>
    </border>
    <border>
      <left style="double">
        <color rgb="FF000000"/>
      </left>
      <right style="double">
        <color rgb="FF000000"/>
      </right>
      <top style="double">
        <color rgb="FF000000"/>
      </top>
      <bottom style="double">
        <color rgb="FF000000"/>
      </bottom>
      <diagonal/>
    </border>
    <border>
      <left/>
      <right style="double">
        <color rgb="FF000000"/>
      </right>
      <top style="double">
        <color rgb="FF000000"/>
      </top>
      <bottom style="double">
        <color rgb="FF000000"/>
      </bottom>
      <diagonal/>
    </border>
    <border>
      <left style="double">
        <color rgb="FF000000"/>
      </left>
      <right style="double">
        <color rgb="FF000000"/>
      </right>
      <top/>
      <bottom style="medium">
        <color rgb="FF000000"/>
      </bottom>
      <diagonal/>
    </border>
    <border>
      <left/>
      <right style="double">
        <color rgb="FF000000"/>
      </right>
      <top/>
      <bottom style="medium">
        <color rgb="FF000000"/>
      </bottom>
      <diagonal/>
    </border>
    <border>
      <left style="double">
        <color rgb="FF000000"/>
      </left>
      <right style="double">
        <color rgb="FF000000"/>
      </right>
      <top/>
      <bottom style="double">
        <color rgb="FF000000"/>
      </bottom>
      <diagonal/>
    </border>
    <border>
      <left/>
      <right style="double">
        <color rgb="FF000000"/>
      </right>
      <top/>
      <bottom style="double">
        <color rgb="FF000000"/>
      </bottom>
      <diagonal/>
    </border>
    <border>
      <left style="double">
        <color rgb="FF000000"/>
      </left>
      <right style="double">
        <color rgb="FF000000"/>
      </right>
      <top style="medium">
        <color rgb="FF000000"/>
      </top>
      <bottom style="medium">
        <color rgb="FF000000"/>
      </bottom>
      <diagonal/>
    </border>
    <border>
      <left/>
      <right style="double">
        <color rgb="FF000000"/>
      </right>
      <top style="medium">
        <color rgb="FF000000"/>
      </top>
      <bottom style="medium">
        <color rgb="FF000000"/>
      </bottom>
      <diagonal/>
    </border>
    <border>
      <left style="double">
        <color indexed="64"/>
      </left>
      <right style="double">
        <color indexed="64"/>
      </right>
      <top style="double">
        <color indexed="64"/>
      </top>
      <bottom style="medium">
        <color indexed="64"/>
      </bottom>
      <diagonal/>
    </border>
    <border>
      <left/>
      <right style="double">
        <color indexed="64"/>
      </right>
      <top style="double">
        <color indexed="64"/>
      </top>
      <bottom style="medium">
        <color indexed="64"/>
      </bottom>
      <diagonal/>
    </border>
    <border>
      <left style="double">
        <color rgb="FF000000"/>
      </left>
      <right style="double">
        <color rgb="FF000000"/>
      </right>
      <top style="double">
        <color rgb="FF000000"/>
      </top>
      <bottom style="medium">
        <color rgb="FF000000"/>
      </bottom>
      <diagonal/>
    </border>
    <border>
      <left/>
      <right style="double">
        <color rgb="FF000000"/>
      </right>
      <top style="double">
        <color rgb="FF000000"/>
      </top>
      <bottom style="medium">
        <color rgb="FF000000"/>
      </bottom>
      <diagonal/>
    </border>
    <border>
      <left/>
      <right style="medium">
        <color indexed="64"/>
      </right>
      <top style="double">
        <color indexed="64"/>
      </top>
      <bottom style="double">
        <color indexed="64"/>
      </bottom>
      <diagonal/>
    </border>
    <border>
      <left/>
      <right style="medium">
        <color indexed="64"/>
      </right>
      <top/>
      <bottom style="medium">
        <color indexed="64"/>
      </bottom>
      <diagonal/>
    </border>
    <border>
      <left/>
      <right style="medium">
        <color indexed="64"/>
      </right>
      <top/>
      <bottom style="double">
        <color indexed="64"/>
      </bottom>
      <diagonal/>
    </border>
    <border>
      <left/>
      <right style="medium">
        <color rgb="FF000000"/>
      </right>
      <top style="double">
        <color rgb="FF000000"/>
      </top>
      <bottom style="double">
        <color rgb="FF000000"/>
      </bottom>
      <diagonal/>
    </border>
    <border>
      <left/>
      <right style="medium">
        <color rgb="FF000000"/>
      </right>
      <top/>
      <bottom style="medium">
        <color rgb="FF000000"/>
      </bottom>
      <diagonal/>
    </border>
    <border>
      <left/>
      <right style="medium">
        <color rgb="FF000000"/>
      </right>
      <top/>
      <bottom style="double">
        <color rgb="FF000000"/>
      </bottom>
      <diagonal/>
    </border>
    <border>
      <left/>
      <right style="thin">
        <color indexed="64"/>
      </right>
      <top style="double">
        <color indexed="64"/>
      </top>
      <bottom style="double">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style="thin">
        <color indexed="64"/>
      </top>
      <bottom style="double">
        <color indexed="64"/>
      </bottom>
      <diagonal/>
    </border>
    <border>
      <left style="double">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double">
        <color indexed="64"/>
      </left>
      <right style="thin">
        <color indexed="64"/>
      </right>
      <top style="thin">
        <color indexed="64"/>
      </top>
      <bottom/>
      <diagonal/>
    </border>
    <border>
      <left style="thin">
        <color indexed="64"/>
      </left>
      <right style="double">
        <color indexed="64"/>
      </right>
      <top style="thin">
        <color indexed="64"/>
      </top>
      <bottom/>
      <diagonal/>
    </border>
    <border>
      <left style="medium">
        <color indexed="64"/>
      </left>
      <right style="double">
        <color indexed="64"/>
      </right>
      <top style="medium">
        <color indexed="64"/>
      </top>
      <bottom style="medium">
        <color indexed="64"/>
      </bottom>
      <diagonal/>
    </border>
    <border>
      <left style="double">
        <color indexed="64"/>
      </left>
      <right/>
      <top/>
      <bottom style="medium">
        <color indexed="64"/>
      </bottom>
      <diagonal/>
    </border>
  </borders>
  <cellStyleXfs count="6">
    <xf numFmtId="0" fontId="0" fillId="0" borderId="0"/>
    <xf numFmtId="0" fontId="1" fillId="0" borderId="0"/>
    <xf numFmtId="0" fontId="1" fillId="0" borderId="0"/>
    <xf numFmtId="43" fontId="6" fillId="0" borderId="0" applyFont="0" applyFill="0" applyBorder="0" applyAlignment="0" applyProtection="0"/>
    <xf numFmtId="0" fontId="28" fillId="0" borderId="0" applyNumberFormat="0" applyFill="0" applyBorder="0" applyAlignment="0" applyProtection="0"/>
    <xf numFmtId="9" fontId="6" fillId="0" borderId="0" applyFont="0" applyFill="0" applyBorder="0" applyAlignment="0" applyProtection="0"/>
  </cellStyleXfs>
  <cellXfs count="580">
    <xf numFmtId="0" fontId="0" fillId="0" borderId="0" xfId="0"/>
    <xf numFmtId="0" fontId="2" fillId="3" borderId="10" xfId="1" applyFont="1" applyFill="1" applyBorder="1" applyAlignment="1">
      <alignment horizontal="center" vertical="center" wrapText="1"/>
    </xf>
    <xf numFmtId="0" fontId="2" fillId="3" borderId="11" xfId="1" applyFont="1" applyFill="1" applyBorder="1" applyAlignment="1">
      <alignment horizontal="center" vertical="center" wrapText="1"/>
    </xf>
    <xf numFmtId="164" fontId="2" fillId="3" borderId="11" xfId="1" applyNumberFormat="1" applyFont="1" applyFill="1" applyBorder="1" applyAlignment="1">
      <alignment horizontal="center" vertical="center" wrapText="1"/>
    </xf>
    <xf numFmtId="166" fontId="2" fillId="3" borderId="11" xfId="1" applyNumberFormat="1" applyFont="1" applyFill="1" applyBorder="1" applyAlignment="1">
      <alignment horizontal="center" vertical="center" wrapText="1"/>
    </xf>
    <xf numFmtId="165" fontId="3" fillId="3" borderId="11" xfId="0" applyNumberFormat="1" applyFont="1" applyFill="1" applyBorder="1" applyAlignment="1">
      <alignment horizontal="center" wrapText="1"/>
    </xf>
    <xf numFmtId="165" fontId="3" fillId="3" borderId="14" xfId="0" applyNumberFormat="1" applyFont="1" applyFill="1" applyBorder="1" applyAlignment="1">
      <alignment horizontal="center" wrapText="1"/>
    </xf>
    <xf numFmtId="165" fontId="3" fillId="3" borderId="12" xfId="0" applyNumberFormat="1" applyFont="1" applyFill="1" applyBorder="1" applyAlignment="1">
      <alignment horizontal="center" wrapText="1"/>
    </xf>
    <xf numFmtId="0" fontId="4" fillId="0" borderId="7" xfId="1" applyFont="1" applyFill="1" applyBorder="1" applyAlignment="1">
      <alignment horizontal="left" wrapText="1"/>
    </xf>
    <xf numFmtId="0" fontId="4" fillId="0" borderId="8" xfId="0" applyFont="1" applyFill="1" applyBorder="1" applyAlignment="1">
      <alignment horizontal="left" wrapText="1"/>
    </xf>
    <xf numFmtId="0" fontId="4" fillId="0" borderId="8" xfId="2" applyFont="1" applyFill="1" applyBorder="1" applyAlignment="1">
      <alignment horizontal="left" wrapText="1"/>
    </xf>
    <xf numFmtId="165" fontId="4" fillId="0" borderId="8" xfId="0" applyNumberFormat="1" applyFont="1" applyFill="1" applyBorder="1" applyAlignment="1">
      <alignment horizontal="right" wrapText="1"/>
    </xf>
    <xf numFmtId="0" fontId="4" fillId="0" borderId="8" xfId="0" applyFont="1" applyFill="1" applyBorder="1" applyAlignment="1">
      <alignment horizontal="center" wrapText="1"/>
    </xf>
    <xf numFmtId="166" fontId="4" fillId="0" borderId="8" xfId="0" applyNumberFormat="1" applyFont="1" applyFill="1" applyBorder="1" applyAlignment="1">
      <alignment horizontal="right" wrapText="1"/>
    </xf>
    <xf numFmtId="165" fontId="4" fillId="0" borderId="8" xfId="0" applyNumberFormat="1" applyFont="1" applyFill="1" applyBorder="1" applyAlignment="1">
      <alignment horizontal="right"/>
    </xf>
    <xf numFmtId="165" fontId="4" fillId="0" borderId="15" xfId="0" applyNumberFormat="1" applyFont="1" applyFill="1" applyBorder="1" applyAlignment="1">
      <alignment horizontal="right"/>
    </xf>
    <xf numFmtId="165" fontId="4" fillId="0" borderId="9" xfId="0" applyNumberFormat="1" applyFont="1" applyFill="1" applyBorder="1" applyAlignment="1">
      <alignment horizontal="right"/>
    </xf>
    <xf numFmtId="0" fontId="4" fillId="0" borderId="2" xfId="1" applyFont="1" applyFill="1" applyBorder="1" applyAlignment="1">
      <alignment horizontal="left" wrapText="1"/>
    </xf>
    <xf numFmtId="0" fontId="4" fillId="0" borderId="1" xfId="0" applyFont="1" applyFill="1" applyBorder="1" applyAlignment="1">
      <alignment horizontal="left" wrapText="1"/>
    </xf>
    <xf numFmtId="0" fontId="4" fillId="0" borderId="1" xfId="2" applyFont="1" applyFill="1" applyBorder="1" applyAlignment="1">
      <alignment horizontal="left" wrapText="1"/>
    </xf>
    <xf numFmtId="165" fontId="4" fillId="0" borderId="1" xfId="2" applyNumberFormat="1" applyFont="1" applyFill="1" applyBorder="1" applyAlignment="1">
      <alignment horizontal="right"/>
    </xf>
    <xf numFmtId="166" fontId="4" fillId="0" borderId="1" xfId="2" applyNumberFormat="1" applyFont="1" applyFill="1" applyBorder="1" applyAlignment="1">
      <alignment horizontal="right" wrapText="1"/>
    </xf>
    <xf numFmtId="165" fontId="4" fillId="0" borderId="1" xfId="0" applyNumberFormat="1" applyFont="1" applyFill="1" applyBorder="1" applyAlignment="1">
      <alignment horizontal="right"/>
    </xf>
    <xf numFmtId="165" fontId="4" fillId="0" borderId="3" xfId="0" applyNumberFormat="1" applyFont="1" applyFill="1" applyBorder="1" applyAlignment="1">
      <alignment horizontal="right"/>
    </xf>
    <xf numFmtId="0" fontId="4" fillId="0" borderId="2" xfId="0" applyFont="1" applyBorder="1" applyAlignment="1">
      <alignment horizontal="left" wrapText="1"/>
    </xf>
    <xf numFmtId="0" fontId="4" fillId="0" borderId="1" xfId="0" applyFont="1" applyBorder="1" applyAlignment="1">
      <alignment horizontal="left" wrapText="1"/>
    </xf>
    <xf numFmtId="165" fontId="4" fillId="0" borderId="1" xfId="0" applyNumberFormat="1" applyFont="1" applyBorder="1" applyAlignment="1">
      <alignment horizontal="right" wrapText="1"/>
    </xf>
    <xf numFmtId="166" fontId="4" fillId="0" borderId="1" xfId="0" applyNumberFormat="1" applyFont="1" applyBorder="1" applyAlignment="1">
      <alignment horizontal="right" wrapText="1"/>
    </xf>
    <xf numFmtId="0" fontId="4" fillId="0" borderId="1" xfId="0" applyFont="1" applyBorder="1" applyAlignment="1">
      <alignment horizontal="right" wrapText="1"/>
    </xf>
    <xf numFmtId="165" fontId="4" fillId="0" borderId="3" xfId="0" applyNumberFormat="1" applyFont="1" applyBorder="1" applyAlignment="1">
      <alignment horizontal="right" wrapText="1"/>
    </xf>
    <xf numFmtId="0" fontId="4" fillId="0" borderId="0" xfId="0" applyFont="1" applyAlignment="1">
      <alignment wrapText="1"/>
    </xf>
    <xf numFmtId="0" fontId="4" fillId="2" borderId="2" xfId="0" applyFont="1" applyFill="1" applyBorder="1" applyAlignment="1">
      <alignment horizontal="left" wrapText="1"/>
    </xf>
    <xf numFmtId="0" fontId="4" fillId="2" borderId="1" xfId="0" applyFont="1" applyFill="1" applyBorder="1" applyAlignment="1">
      <alignment horizontal="left" wrapText="1"/>
    </xf>
    <xf numFmtId="165" fontId="4" fillId="2" borderId="1" xfId="0" applyNumberFormat="1" applyFont="1" applyFill="1" applyBorder="1" applyAlignment="1">
      <alignment horizontal="right" wrapText="1"/>
    </xf>
    <xf numFmtId="166" fontId="4" fillId="2" borderId="1" xfId="0" applyNumberFormat="1" applyFont="1" applyFill="1" applyBorder="1" applyAlignment="1">
      <alignment horizontal="right" wrapText="1"/>
    </xf>
    <xf numFmtId="0" fontId="4" fillId="2" borderId="1" xfId="0" applyFont="1" applyFill="1" applyBorder="1" applyAlignment="1">
      <alignment horizontal="right" wrapText="1"/>
    </xf>
    <xf numFmtId="165" fontId="4" fillId="2" borderId="3" xfId="0" applyNumberFormat="1" applyFont="1" applyFill="1" applyBorder="1" applyAlignment="1">
      <alignment horizontal="right" wrapText="1"/>
    </xf>
    <xf numFmtId="0" fontId="4" fillId="0" borderId="1" xfId="0" quotePrefix="1" applyFont="1" applyBorder="1" applyAlignment="1">
      <alignment horizontal="left" wrapText="1"/>
    </xf>
    <xf numFmtId="0" fontId="4" fillId="2" borderId="1" xfId="0" quotePrefix="1" applyFont="1" applyFill="1" applyBorder="1" applyAlignment="1">
      <alignment horizontal="left" wrapText="1"/>
    </xf>
    <xf numFmtId="17" fontId="4" fillId="0" borderId="1" xfId="0" quotePrefix="1" applyNumberFormat="1" applyFont="1" applyBorder="1" applyAlignment="1">
      <alignment horizontal="left" wrapText="1"/>
    </xf>
    <xf numFmtId="17" fontId="4" fillId="2" borderId="1" xfId="0" quotePrefix="1" applyNumberFormat="1" applyFont="1" applyFill="1" applyBorder="1" applyAlignment="1">
      <alignment horizontal="right" wrapText="1"/>
    </xf>
    <xf numFmtId="0" fontId="4" fillId="0" borderId="2" xfId="0" applyFont="1" applyFill="1" applyBorder="1" applyAlignment="1">
      <alignment horizontal="left" wrapText="1"/>
    </xf>
    <xf numFmtId="165" fontId="4" fillId="0" borderId="1" xfId="0" applyNumberFormat="1" applyFont="1" applyFill="1" applyBorder="1" applyAlignment="1">
      <alignment horizontal="right" wrapText="1"/>
    </xf>
    <xf numFmtId="166" fontId="4" fillId="0" borderId="1" xfId="0" applyNumberFormat="1" applyFont="1" applyFill="1" applyBorder="1" applyAlignment="1">
      <alignment horizontal="right" wrapText="1"/>
    </xf>
    <xf numFmtId="165" fontId="4" fillId="0" borderId="1" xfId="0" applyNumberFormat="1" applyFont="1" applyBorder="1" applyAlignment="1">
      <alignment horizontal="right"/>
    </xf>
    <xf numFmtId="165" fontId="4" fillId="0" borderId="3" xfId="0" applyNumberFormat="1" applyFont="1" applyBorder="1" applyAlignment="1">
      <alignment horizontal="right"/>
    </xf>
    <xf numFmtId="0" fontId="4" fillId="2" borderId="3" xfId="0" applyFont="1" applyFill="1" applyBorder="1" applyAlignment="1">
      <alignment horizontal="right" wrapText="1"/>
    </xf>
    <xf numFmtId="0" fontId="4" fillId="0" borderId="3" xfId="0" applyFont="1" applyBorder="1" applyAlignment="1">
      <alignment horizontal="right" wrapText="1"/>
    </xf>
    <xf numFmtId="164" fontId="4" fillId="0" borderId="1" xfId="0" applyNumberFormat="1" applyFont="1" applyBorder="1" applyAlignment="1">
      <alignment horizontal="right" wrapText="1"/>
    </xf>
    <xf numFmtId="165" fontId="4" fillId="0" borderId="3" xfId="0" applyNumberFormat="1" applyFont="1" applyFill="1" applyBorder="1" applyAlignment="1">
      <alignment horizontal="right" wrapText="1"/>
    </xf>
    <xf numFmtId="0" fontId="4" fillId="0" borderId="3" xfId="0" applyFont="1" applyFill="1" applyBorder="1" applyAlignment="1">
      <alignment horizontal="right" wrapText="1"/>
    </xf>
    <xf numFmtId="0" fontId="5" fillId="0" borderId="1" xfId="0" applyFont="1" applyFill="1" applyBorder="1" applyAlignment="1">
      <alignment horizontal="left" wrapText="1"/>
    </xf>
    <xf numFmtId="165" fontId="5" fillId="0" borderId="1" xfId="0" applyNumberFormat="1" applyFont="1" applyFill="1" applyBorder="1" applyAlignment="1">
      <alignment horizontal="right" wrapText="1"/>
    </xf>
    <xf numFmtId="0" fontId="4" fillId="0" borderId="1" xfId="0" applyFont="1" applyFill="1" applyBorder="1" applyAlignment="1">
      <alignment horizontal="right" wrapText="1"/>
    </xf>
    <xf numFmtId="164" fontId="4" fillId="0" borderId="3" xfId="0" applyNumberFormat="1" applyFont="1" applyBorder="1" applyAlignment="1">
      <alignment horizontal="right" wrapText="1"/>
    </xf>
    <xf numFmtId="164" fontId="4" fillId="0" borderId="3" xfId="0" applyNumberFormat="1" applyFont="1" applyFill="1" applyBorder="1" applyAlignment="1">
      <alignment horizontal="right" wrapText="1"/>
    </xf>
    <xf numFmtId="0" fontId="4" fillId="0" borderId="1" xfId="0" quotePrefix="1" applyFont="1" applyFill="1" applyBorder="1" applyAlignment="1">
      <alignment horizontal="left" wrapText="1"/>
    </xf>
    <xf numFmtId="0" fontId="4" fillId="0" borderId="13" xfId="0" applyFont="1" applyFill="1" applyBorder="1" applyAlignment="1">
      <alignment horizontal="left" wrapText="1"/>
    </xf>
    <xf numFmtId="165" fontId="4" fillId="0" borderId="13" xfId="0" applyNumberFormat="1" applyFont="1" applyFill="1" applyBorder="1" applyAlignment="1">
      <alignment horizontal="right" wrapText="1"/>
    </xf>
    <xf numFmtId="166" fontId="4" fillId="0" borderId="13" xfId="0" applyNumberFormat="1" applyFont="1" applyFill="1" applyBorder="1" applyAlignment="1">
      <alignment horizontal="right" wrapText="1"/>
    </xf>
    <xf numFmtId="0" fontId="4" fillId="0" borderId="4" xfId="0" applyFont="1" applyFill="1" applyBorder="1" applyAlignment="1">
      <alignment horizontal="left" wrapText="1"/>
    </xf>
    <xf numFmtId="0" fontId="4" fillId="0" borderId="5" xfId="0" applyFont="1" applyFill="1" applyBorder="1" applyAlignment="1">
      <alignment horizontal="left" wrapText="1"/>
    </xf>
    <xf numFmtId="165" fontId="4" fillId="0" borderId="5" xfId="0" applyNumberFormat="1" applyFont="1" applyFill="1" applyBorder="1" applyAlignment="1">
      <alignment horizontal="right" wrapText="1"/>
    </xf>
    <xf numFmtId="166" fontId="4" fillId="0" borderId="5" xfId="0" applyNumberFormat="1" applyFont="1" applyFill="1" applyBorder="1" applyAlignment="1">
      <alignment horizontal="right" wrapText="1"/>
    </xf>
    <xf numFmtId="0" fontId="4" fillId="0" borderId="5" xfId="0" applyFont="1" applyFill="1" applyBorder="1" applyAlignment="1">
      <alignment horizontal="right" wrapText="1"/>
    </xf>
    <xf numFmtId="0" fontId="4" fillId="0" borderId="6" xfId="0" applyFont="1" applyFill="1" applyBorder="1" applyAlignment="1">
      <alignment horizontal="right" wrapText="1"/>
    </xf>
    <xf numFmtId="0" fontId="3" fillId="0" borderId="0" xfId="0" applyFont="1" applyFill="1" applyBorder="1" applyAlignment="1">
      <alignment horizontal="right"/>
    </xf>
    <xf numFmtId="165" fontId="3" fillId="0" borderId="0" xfId="0" applyNumberFormat="1" applyFont="1" applyFill="1" applyBorder="1" applyAlignment="1">
      <alignment horizontal="left" wrapText="1"/>
    </xf>
    <xf numFmtId="0" fontId="4" fillId="0" borderId="0" xfId="0" applyFont="1" applyFill="1" applyBorder="1" applyAlignment="1">
      <alignment horizontal="right"/>
    </xf>
    <xf numFmtId="165" fontId="4" fillId="0" borderId="0" xfId="0" applyNumberFormat="1" applyFont="1" applyFill="1" applyBorder="1" applyAlignment="1">
      <alignment horizontal="left" wrapText="1"/>
    </xf>
    <xf numFmtId="0" fontId="4" fillId="0" borderId="0" xfId="0" applyFont="1"/>
    <xf numFmtId="4" fontId="4" fillId="0" borderId="0" xfId="0" applyNumberFormat="1" applyFont="1" applyFill="1"/>
    <xf numFmtId="0" fontId="4" fillId="0" borderId="0" xfId="0" applyFont="1" applyFill="1"/>
    <xf numFmtId="0" fontId="4" fillId="0" borderId="0" xfId="0" applyFont="1" applyFill="1" applyAlignment="1">
      <alignment wrapText="1"/>
    </xf>
    <xf numFmtId="0" fontId="4" fillId="0" borderId="0" xfId="0" applyFont="1" applyAlignment="1">
      <alignment horizontal="center"/>
    </xf>
    <xf numFmtId="166" fontId="4" fillId="0" borderId="0" xfId="0" applyNumberFormat="1" applyFont="1"/>
    <xf numFmtId="165" fontId="4" fillId="0" borderId="0" xfId="0" applyNumberFormat="1" applyFont="1"/>
    <xf numFmtId="165" fontId="4" fillId="0" borderId="0" xfId="0" applyNumberFormat="1" applyFont="1" applyFill="1"/>
    <xf numFmtId="0" fontId="9" fillId="4" borderId="16" xfId="0" applyFont="1" applyFill="1" applyBorder="1" applyAlignment="1">
      <alignment horizontal="center" vertical="center" wrapText="1"/>
    </xf>
    <xf numFmtId="0" fontId="9" fillId="4" borderId="17" xfId="0" applyFont="1" applyFill="1" applyBorder="1" applyAlignment="1">
      <alignment horizontal="center" vertical="center" wrapText="1"/>
    </xf>
    <xf numFmtId="0" fontId="10" fillId="5" borderId="18" xfId="0" applyFont="1" applyFill="1" applyBorder="1" applyAlignment="1">
      <alignment horizontal="left" vertical="center" wrapText="1"/>
    </xf>
    <xf numFmtId="0" fontId="10" fillId="5" borderId="19" xfId="0" applyFont="1" applyFill="1" applyBorder="1" applyAlignment="1">
      <alignment horizontal="left" vertical="center" wrapText="1"/>
    </xf>
    <xf numFmtId="0" fontId="10" fillId="5" borderId="19" xfId="0" applyFont="1" applyFill="1" applyBorder="1" applyAlignment="1">
      <alignment horizontal="left" vertical="center"/>
    </xf>
    <xf numFmtId="0" fontId="10" fillId="0" borderId="19" xfId="0" applyFont="1" applyBorder="1" applyAlignment="1">
      <alignment horizontal="left" vertical="center" wrapText="1"/>
    </xf>
    <xf numFmtId="0" fontId="10" fillId="0" borderId="19" xfId="0" applyFont="1" applyBorder="1" applyAlignment="1">
      <alignment horizontal="left" vertical="center"/>
    </xf>
    <xf numFmtId="0" fontId="9" fillId="4" borderId="20" xfId="0" applyFont="1" applyFill="1" applyBorder="1" applyAlignment="1">
      <alignment horizontal="left" vertical="center" wrapText="1"/>
    </xf>
    <xf numFmtId="0" fontId="9" fillId="4" borderId="21" xfId="0" applyFont="1" applyFill="1" applyBorder="1" applyAlignment="1">
      <alignment horizontal="left" vertical="center" wrapText="1"/>
    </xf>
    <xf numFmtId="0" fontId="9" fillId="4" borderId="21" xfId="0" applyFont="1" applyFill="1" applyBorder="1" applyAlignment="1">
      <alignment horizontal="left" vertical="center"/>
    </xf>
    <xf numFmtId="0" fontId="9" fillId="4" borderId="16" xfId="0" applyFont="1" applyFill="1" applyBorder="1" applyAlignment="1">
      <alignment horizontal="center" vertical="center"/>
    </xf>
    <xf numFmtId="0" fontId="9" fillId="4" borderId="17" xfId="0" applyFont="1" applyFill="1" applyBorder="1" applyAlignment="1">
      <alignment horizontal="center" vertical="center"/>
    </xf>
    <xf numFmtId="0" fontId="0" fillId="0" borderId="0" xfId="0" applyAlignment="1"/>
    <xf numFmtId="0" fontId="10" fillId="5" borderId="18" xfId="0" applyFont="1" applyFill="1" applyBorder="1" applyAlignment="1">
      <alignment horizontal="left" vertical="center"/>
    </xf>
    <xf numFmtId="0" fontId="9" fillId="4" borderId="20" xfId="0" applyFont="1" applyFill="1" applyBorder="1" applyAlignment="1">
      <alignment horizontal="left" vertical="center"/>
    </xf>
    <xf numFmtId="0" fontId="0" fillId="0" borderId="0" xfId="0" applyAlignment="1">
      <alignment wrapText="1"/>
    </xf>
    <xf numFmtId="0" fontId="10" fillId="0" borderId="23" xfId="0" applyFont="1" applyBorder="1" applyAlignment="1">
      <alignment horizontal="left" vertical="center" wrapText="1"/>
    </xf>
    <xf numFmtId="0" fontId="10" fillId="0" borderId="18" xfId="0" applyFont="1" applyBorder="1" applyAlignment="1">
      <alignment horizontal="left" vertical="center" wrapText="1"/>
    </xf>
    <xf numFmtId="0" fontId="8" fillId="0" borderId="0" xfId="0" applyFont="1"/>
    <xf numFmtId="0" fontId="7" fillId="0" borderId="18" xfId="0" applyFont="1" applyBorder="1" applyAlignment="1">
      <alignment horizontal="left" vertical="center" wrapText="1"/>
    </xf>
    <xf numFmtId="0" fontId="7" fillId="5" borderId="19" xfId="0" applyFont="1" applyFill="1" applyBorder="1" applyAlignment="1">
      <alignment horizontal="left" vertical="center" wrapText="1"/>
    </xf>
    <xf numFmtId="0" fontId="7" fillId="0" borderId="19" xfId="0" applyFont="1" applyBorder="1" applyAlignment="1">
      <alignment horizontal="left" vertical="center" wrapText="1"/>
    </xf>
    <xf numFmtId="0" fontId="7" fillId="5" borderId="23" xfId="0" applyFont="1" applyFill="1" applyBorder="1" applyAlignment="1">
      <alignment horizontal="justify" vertical="center" wrapText="1"/>
    </xf>
    <xf numFmtId="0" fontId="14" fillId="4" borderId="21" xfId="0" applyFont="1" applyFill="1" applyBorder="1" applyAlignment="1">
      <alignment horizontal="left" vertical="center" wrapText="1"/>
    </xf>
    <xf numFmtId="0" fontId="9" fillId="4" borderId="25" xfId="0" applyFont="1" applyFill="1" applyBorder="1" applyAlignment="1">
      <alignment horizontal="center" vertical="center" wrapText="1"/>
    </xf>
    <xf numFmtId="0" fontId="10" fillId="0" borderId="26" xfId="0" applyFont="1" applyBorder="1" applyAlignment="1">
      <alignment horizontal="left" vertical="center" wrapText="1"/>
    </xf>
    <xf numFmtId="0" fontId="10" fillId="0" borderId="27" xfId="0" applyFont="1" applyBorder="1" applyAlignment="1">
      <alignment horizontal="left" vertical="center" wrapText="1"/>
    </xf>
    <xf numFmtId="0" fontId="10" fillId="0" borderId="21" xfId="0" applyFont="1" applyBorder="1" applyAlignment="1">
      <alignment horizontal="left" vertical="center" wrapText="1"/>
    </xf>
    <xf numFmtId="0" fontId="7" fillId="0" borderId="0" xfId="0" applyFont="1" applyAlignment="1">
      <alignment vertical="center" wrapText="1"/>
    </xf>
    <xf numFmtId="0" fontId="10" fillId="0" borderId="23" xfId="0" applyFont="1" applyBorder="1" applyAlignment="1">
      <alignment horizontal="justify" vertical="center" wrapText="1"/>
    </xf>
    <xf numFmtId="0" fontId="10" fillId="0" borderId="19" xfId="0" applyFont="1" applyBorder="1" applyAlignment="1">
      <alignment horizontal="justify" vertical="center" wrapText="1"/>
    </xf>
    <xf numFmtId="0" fontId="7" fillId="5" borderId="20" xfId="0" applyFont="1" applyFill="1" applyBorder="1" applyAlignment="1">
      <alignment horizontal="left" vertical="center" wrapText="1"/>
    </xf>
    <xf numFmtId="0" fontId="7" fillId="0" borderId="21" xfId="0" applyFont="1" applyBorder="1" applyAlignment="1">
      <alignment horizontal="left" vertical="center" wrapText="1"/>
    </xf>
    <xf numFmtId="0" fontId="7" fillId="5" borderId="21" xfId="0" applyFont="1" applyFill="1" applyBorder="1" applyAlignment="1">
      <alignment horizontal="left" vertical="center" wrapText="1"/>
    </xf>
    <xf numFmtId="0" fontId="14" fillId="4" borderId="16" xfId="0" applyFont="1" applyFill="1" applyBorder="1" applyAlignment="1">
      <alignment vertical="center" wrapText="1"/>
    </xf>
    <xf numFmtId="0" fontId="14" fillId="4" borderId="17" xfId="0" applyFont="1" applyFill="1" applyBorder="1" applyAlignment="1">
      <alignment vertical="center" wrapText="1"/>
    </xf>
    <xf numFmtId="0" fontId="7" fillId="6" borderId="20" xfId="0" applyFont="1" applyFill="1" applyBorder="1" applyAlignment="1">
      <alignment vertical="center" wrapText="1"/>
    </xf>
    <xf numFmtId="0" fontId="7" fillId="6" borderId="21" xfId="0" applyFont="1" applyFill="1" applyBorder="1" applyAlignment="1">
      <alignment vertical="center" wrapText="1"/>
    </xf>
    <xf numFmtId="0" fontId="7" fillId="0" borderId="20" xfId="0" applyFont="1" applyBorder="1" applyAlignment="1">
      <alignment vertical="center" wrapText="1"/>
    </xf>
    <xf numFmtId="0" fontId="7" fillId="0" borderId="21" xfId="0" applyFont="1" applyBorder="1" applyAlignment="1">
      <alignment vertical="center" wrapText="1"/>
    </xf>
    <xf numFmtId="0" fontId="7" fillId="7" borderId="28" xfId="0" applyFont="1" applyFill="1" applyBorder="1" applyAlignment="1">
      <alignment vertical="center" wrapText="1"/>
    </xf>
    <xf numFmtId="0" fontId="7" fillId="7" borderId="20" xfId="0" applyFont="1" applyFill="1" applyBorder="1" applyAlignment="1">
      <alignment vertical="center" wrapText="1"/>
    </xf>
    <xf numFmtId="0" fontId="7" fillId="7" borderId="30" xfId="0" applyFont="1" applyFill="1" applyBorder="1" applyAlignment="1">
      <alignment vertical="center" wrapText="1"/>
    </xf>
    <xf numFmtId="0" fontId="7" fillId="7" borderId="21" xfId="0" applyFont="1" applyFill="1" applyBorder="1" applyAlignment="1">
      <alignment vertical="center" wrapText="1"/>
    </xf>
    <xf numFmtId="0" fontId="7" fillId="0" borderId="22" xfId="0" applyFont="1" applyBorder="1" applyAlignment="1">
      <alignment vertical="center" wrapText="1"/>
    </xf>
    <xf numFmtId="0" fontId="7" fillId="0" borderId="28" xfId="0" applyFont="1" applyBorder="1" applyAlignment="1">
      <alignment vertical="center" wrapText="1"/>
    </xf>
    <xf numFmtId="0" fontId="7" fillId="0" borderId="16" xfId="0" applyFont="1" applyBorder="1" applyAlignment="1">
      <alignment vertical="center" wrapText="1"/>
    </xf>
    <xf numFmtId="0" fontId="7" fillId="0" borderId="18" xfId="0" applyFont="1" applyBorder="1" applyAlignment="1">
      <alignment vertical="center" wrapText="1"/>
    </xf>
    <xf numFmtId="0" fontId="7" fillId="0" borderId="19" xfId="0" applyFont="1" applyBorder="1" applyAlignment="1">
      <alignment vertical="center" wrapText="1"/>
    </xf>
    <xf numFmtId="4" fontId="10" fillId="0" borderId="19" xfId="0" applyNumberFormat="1" applyFont="1" applyBorder="1" applyAlignment="1">
      <alignment vertical="center" wrapText="1"/>
    </xf>
    <xf numFmtId="10" fontId="10" fillId="0" borderId="19" xfId="0" applyNumberFormat="1" applyFont="1" applyBorder="1" applyAlignment="1">
      <alignment vertical="center" wrapText="1"/>
    </xf>
    <xf numFmtId="4" fontId="10" fillId="0" borderId="21" xfId="0" applyNumberFormat="1" applyFont="1" applyBorder="1" applyAlignment="1">
      <alignment vertical="center" wrapText="1"/>
    </xf>
    <xf numFmtId="10" fontId="10" fillId="0" borderId="21" xfId="0" applyNumberFormat="1" applyFont="1" applyBorder="1" applyAlignment="1">
      <alignment vertical="center" wrapText="1"/>
    </xf>
    <xf numFmtId="0" fontId="14" fillId="4" borderId="20" xfId="0" applyFont="1" applyFill="1" applyBorder="1" applyAlignment="1">
      <alignment vertical="center" wrapText="1"/>
    </xf>
    <xf numFmtId="0" fontId="14" fillId="4" borderId="21" xfId="0" applyFont="1" applyFill="1" applyBorder="1" applyAlignment="1">
      <alignment vertical="center" wrapText="1"/>
    </xf>
    <xf numFmtId="4" fontId="9" fillId="4" borderId="21" xfId="0" applyNumberFormat="1" applyFont="1" applyFill="1" applyBorder="1" applyAlignment="1">
      <alignment vertical="center" wrapText="1"/>
    </xf>
    <xf numFmtId="9" fontId="14" fillId="4" borderId="21" xfId="0" applyNumberFormat="1" applyFont="1" applyFill="1" applyBorder="1" applyAlignment="1">
      <alignment vertical="center" wrapText="1"/>
    </xf>
    <xf numFmtId="3" fontId="0" fillId="0" borderId="0" xfId="0" applyNumberFormat="1"/>
    <xf numFmtId="3" fontId="7" fillId="0" borderId="19" xfId="0" applyNumberFormat="1" applyFont="1" applyBorder="1" applyAlignment="1">
      <alignment vertical="center" wrapText="1"/>
    </xf>
    <xf numFmtId="10" fontId="7" fillId="0" borderId="19" xfId="0" applyNumberFormat="1" applyFont="1" applyBorder="1" applyAlignment="1">
      <alignment vertical="center" wrapText="1"/>
    </xf>
    <xf numFmtId="3" fontId="7" fillId="0" borderId="21" xfId="0" applyNumberFormat="1" applyFont="1" applyBorder="1" applyAlignment="1">
      <alignment vertical="center" wrapText="1"/>
    </xf>
    <xf numFmtId="10" fontId="7" fillId="0" borderId="21" xfId="0" applyNumberFormat="1" applyFont="1" applyBorder="1" applyAlignment="1">
      <alignment vertical="center" wrapText="1"/>
    </xf>
    <xf numFmtId="3" fontId="14" fillId="4" borderId="21" xfId="0" applyNumberFormat="1" applyFont="1" applyFill="1" applyBorder="1" applyAlignment="1">
      <alignment vertical="center" wrapText="1"/>
    </xf>
    <xf numFmtId="10" fontId="14" fillId="4" borderId="21" xfId="0" applyNumberFormat="1" applyFont="1" applyFill="1" applyBorder="1" applyAlignment="1">
      <alignment vertical="center" wrapText="1"/>
    </xf>
    <xf numFmtId="0" fontId="10" fillId="5" borderId="19" xfId="0" applyFont="1" applyFill="1" applyBorder="1" applyAlignment="1">
      <alignment horizontal="center" vertical="center"/>
    </xf>
    <xf numFmtId="3" fontId="10" fillId="5" borderId="19" xfId="3" applyNumberFormat="1" applyFont="1" applyFill="1" applyBorder="1" applyAlignment="1">
      <alignment horizontal="center" vertical="center"/>
    </xf>
    <xf numFmtId="0" fontId="10" fillId="0" borderId="19" xfId="0" applyFont="1" applyBorder="1" applyAlignment="1">
      <alignment horizontal="center" vertical="center"/>
    </xf>
    <xf numFmtId="0" fontId="10" fillId="0" borderId="18" xfId="0" applyFont="1" applyBorder="1" applyAlignment="1">
      <alignment vertical="center" wrapText="1"/>
    </xf>
    <xf numFmtId="3" fontId="9" fillId="4" borderId="17" xfId="0" applyNumberFormat="1" applyFont="1" applyFill="1" applyBorder="1" applyAlignment="1">
      <alignment horizontal="center" vertical="center" wrapText="1"/>
    </xf>
    <xf numFmtId="0" fontId="10" fillId="5" borderId="19" xfId="0" applyFont="1" applyFill="1" applyBorder="1" applyAlignment="1">
      <alignment horizontal="center" vertical="center" wrapText="1"/>
    </xf>
    <xf numFmtId="3" fontId="10" fillId="5" borderId="19" xfId="0" applyNumberFormat="1" applyFont="1" applyFill="1" applyBorder="1" applyAlignment="1">
      <alignment horizontal="center" vertical="center" wrapText="1"/>
    </xf>
    <xf numFmtId="0" fontId="10" fillId="0" borderId="19" xfId="0" applyFont="1" applyBorder="1" applyAlignment="1">
      <alignment horizontal="center" vertical="center" wrapText="1"/>
    </xf>
    <xf numFmtId="3" fontId="10" fillId="0" borderId="19" xfId="0" applyNumberFormat="1" applyFont="1" applyBorder="1" applyAlignment="1">
      <alignment horizontal="center" vertical="center"/>
    </xf>
    <xf numFmtId="3" fontId="9" fillId="4" borderId="21" xfId="0" applyNumberFormat="1" applyFont="1" applyFill="1" applyBorder="1" applyAlignment="1">
      <alignment horizontal="center" vertical="center" wrapText="1"/>
    </xf>
    <xf numFmtId="0" fontId="9" fillId="4" borderId="21" xfId="0" applyFont="1" applyFill="1" applyBorder="1" applyAlignment="1">
      <alignment horizontal="center" vertical="center"/>
    </xf>
    <xf numFmtId="3" fontId="9" fillId="4" borderId="21" xfId="0" applyNumberFormat="1" applyFont="1" applyFill="1" applyBorder="1" applyAlignment="1">
      <alignment horizontal="center" vertical="center"/>
    </xf>
    <xf numFmtId="0" fontId="7" fillId="0" borderId="18" xfId="0" applyFont="1" applyBorder="1" applyAlignment="1">
      <alignment vertical="center"/>
    </xf>
    <xf numFmtId="0" fontId="7" fillId="5" borderId="22" xfId="0" applyFont="1" applyFill="1" applyBorder="1" applyAlignment="1">
      <alignment vertical="center" wrapText="1"/>
    </xf>
    <xf numFmtId="0" fontId="7" fillId="0" borderId="31" xfId="0" applyFont="1" applyBorder="1" applyAlignment="1">
      <alignment horizontal="left" vertical="center" wrapText="1"/>
    </xf>
    <xf numFmtId="0" fontId="7" fillId="0" borderId="32" xfId="0" applyFont="1" applyBorder="1" applyAlignment="1">
      <alignment horizontal="left" vertical="center" wrapText="1"/>
    </xf>
    <xf numFmtId="0" fontId="10" fillId="0" borderId="32" xfId="0" applyFont="1" applyBorder="1" applyAlignment="1">
      <alignment horizontal="left" vertical="center" wrapText="1"/>
    </xf>
    <xf numFmtId="0" fontId="10" fillId="0" borderId="31" xfId="0" applyFont="1" applyBorder="1" applyAlignment="1">
      <alignment vertical="center" wrapText="1"/>
    </xf>
    <xf numFmtId="0" fontId="7" fillId="0" borderId="31" xfId="0" applyFont="1" applyBorder="1" applyAlignment="1">
      <alignment vertical="center" wrapText="1"/>
    </xf>
    <xf numFmtId="0" fontId="7" fillId="5" borderId="31" xfId="0" applyFont="1" applyFill="1" applyBorder="1" applyAlignment="1">
      <alignment vertical="center" wrapText="1"/>
    </xf>
    <xf numFmtId="0" fontId="7" fillId="5" borderId="32" xfId="0" applyFont="1" applyFill="1" applyBorder="1" applyAlignment="1">
      <alignment horizontal="left" vertical="center" wrapText="1"/>
    </xf>
    <xf numFmtId="0" fontId="7" fillId="5" borderId="31" xfId="0" applyFont="1" applyFill="1" applyBorder="1" applyAlignment="1">
      <alignment horizontal="left" vertical="center" wrapText="1"/>
    </xf>
    <xf numFmtId="0" fontId="7" fillId="5" borderId="32" xfId="0" applyFont="1" applyFill="1" applyBorder="1" applyAlignment="1">
      <alignment horizontal="justify" vertical="center" wrapText="1"/>
    </xf>
    <xf numFmtId="0" fontId="7" fillId="0" borderId="19" xfId="0" applyFont="1" applyBorder="1" applyAlignment="1">
      <alignment horizontal="center" vertical="center"/>
    </xf>
    <xf numFmtId="0" fontId="7" fillId="0" borderId="32" xfId="0" applyFont="1" applyBorder="1" applyAlignment="1">
      <alignment horizontal="center" vertical="center"/>
    </xf>
    <xf numFmtId="0" fontId="7" fillId="0" borderId="31" xfId="0" applyFont="1" applyBorder="1" applyAlignment="1">
      <alignment horizontal="center" vertical="center"/>
    </xf>
    <xf numFmtId="0" fontId="7" fillId="0" borderId="19" xfId="0" applyFont="1" applyBorder="1" applyAlignment="1">
      <alignment horizontal="center" vertical="center" wrapText="1"/>
    </xf>
    <xf numFmtId="0" fontId="10" fillId="0" borderId="31" xfId="0" applyFont="1" applyBorder="1" applyAlignment="1">
      <alignment horizontal="center" vertical="center" wrapText="1"/>
    </xf>
    <xf numFmtId="0" fontId="10" fillId="0" borderId="18" xfId="0" applyFont="1" applyBorder="1" applyAlignment="1">
      <alignment horizontal="center" vertical="center"/>
    </xf>
    <xf numFmtId="3" fontId="7" fillId="0" borderId="32" xfId="0" applyNumberFormat="1" applyFont="1" applyBorder="1" applyAlignment="1">
      <alignment horizontal="center" vertical="center"/>
    </xf>
    <xf numFmtId="0" fontId="14" fillId="4" borderId="17" xfId="0" applyFont="1" applyFill="1" applyBorder="1" applyAlignment="1">
      <alignment horizontal="center" vertical="center" wrapText="1"/>
    </xf>
    <xf numFmtId="10" fontId="7" fillId="0" borderId="19" xfId="0" applyNumberFormat="1" applyFont="1" applyBorder="1" applyAlignment="1">
      <alignment horizontal="center" vertical="center" wrapText="1"/>
    </xf>
    <xf numFmtId="0" fontId="14" fillId="4" borderId="21" xfId="0" applyFont="1" applyFill="1" applyBorder="1" applyAlignment="1">
      <alignment horizontal="center" vertical="center" wrapText="1"/>
    </xf>
    <xf numFmtId="3" fontId="14" fillId="4" borderId="21" xfId="0" applyNumberFormat="1" applyFont="1" applyFill="1" applyBorder="1" applyAlignment="1">
      <alignment horizontal="center" vertical="center" wrapText="1"/>
    </xf>
    <xf numFmtId="10" fontId="14" fillId="4" borderId="21" xfId="0" applyNumberFormat="1" applyFont="1" applyFill="1" applyBorder="1" applyAlignment="1">
      <alignment horizontal="center" vertical="center" wrapText="1"/>
    </xf>
    <xf numFmtId="0" fontId="14" fillId="4" borderId="33" xfId="0" applyFont="1" applyFill="1" applyBorder="1" applyAlignment="1">
      <alignment vertical="center" wrapText="1"/>
    </xf>
    <xf numFmtId="0" fontId="14" fillId="4" borderId="34" xfId="0" applyFont="1" applyFill="1" applyBorder="1" applyAlignment="1">
      <alignment vertical="center" wrapText="1"/>
    </xf>
    <xf numFmtId="0" fontId="7" fillId="0" borderId="35" xfId="0" applyFont="1" applyBorder="1" applyAlignment="1">
      <alignment vertical="center" wrapText="1"/>
    </xf>
    <xf numFmtId="0" fontId="7" fillId="0" borderId="36" xfId="0" applyFont="1" applyBorder="1" applyAlignment="1">
      <alignment vertical="center" wrapText="1"/>
    </xf>
    <xf numFmtId="0" fontId="7" fillId="0" borderId="37" xfId="0" applyFont="1" applyBorder="1" applyAlignment="1">
      <alignment vertical="center" wrapText="1"/>
    </xf>
    <xf numFmtId="0" fontId="7" fillId="0" borderId="38" xfId="0" applyFont="1" applyBorder="1" applyAlignment="1">
      <alignment vertical="center" wrapText="1"/>
    </xf>
    <xf numFmtId="0" fontId="7" fillId="0" borderId="39" xfId="0" applyFont="1" applyBorder="1" applyAlignment="1">
      <alignment vertical="center" wrapText="1"/>
    </xf>
    <xf numFmtId="0" fontId="7" fillId="0" borderId="40" xfId="0" applyFont="1" applyBorder="1" applyAlignment="1">
      <alignment vertical="center" wrapText="1"/>
    </xf>
    <xf numFmtId="0" fontId="10" fillId="0" borderId="36" xfId="0" applyFont="1" applyBorder="1" applyAlignment="1">
      <alignment vertical="center" wrapText="1"/>
    </xf>
    <xf numFmtId="0" fontId="17" fillId="0" borderId="36" xfId="0" applyFont="1" applyBorder="1" applyAlignment="1">
      <alignment vertical="center" wrapText="1"/>
    </xf>
    <xf numFmtId="0" fontId="19" fillId="0" borderId="0" xfId="0" applyFont="1" applyAlignment="1">
      <alignment horizontal="justify" vertical="center"/>
    </xf>
    <xf numFmtId="0" fontId="14" fillId="4" borderId="41" xfId="0" applyFont="1" applyFill="1" applyBorder="1" applyAlignment="1">
      <alignment vertical="center"/>
    </xf>
    <xf numFmtId="0" fontId="14" fillId="4" borderId="42" xfId="0" applyFont="1" applyFill="1" applyBorder="1" applyAlignment="1">
      <alignment vertical="center" wrapText="1"/>
    </xf>
    <xf numFmtId="9" fontId="7" fillId="0" borderId="19" xfId="0" applyNumberFormat="1" applyFont="1" applyBorder="1" applyAlignment="1">
      <alignment vertical="center" wrapText="1"/>
    </xf>
    <xf numFmtId="0" fontId="14" fillId="4" borderId="20" xfId="0" applyFont="1" applyFill="1" applyBorder="1" applyAlignment="1">
      <alignment vertical="center"/>
    </xf>
    <xf numFmtId="4" fontId="10" fillId="4" borderId="21" xfId="0" applyNumberFormat="1" applyFont="1" applyFill="1" applyBorder="1" applyAlignment="1">
      <alignment horizontal="left" vertical="center" wrapText="1"/>
    </xf>
    <xf numFmtId="0" fontId="0" fillId="0" borderId="0" xfId="0" applyAlignment="1">
      <alignment horizontal="center"/>
    </xf>
    <xf numFmtId="0" fontId="14" fillId="4" borderId="43" xfId="0" applyFont="1" applyFill="1" applyBorder="1" applyAlignment="1">
      <alignment vertical="center" wrapText="1"/>
    </xf>
    <xf numFmtId="0" fontId="14" fillId="4" borderId="44" xfId="0" applyFont="1" applyFill="1" applyBorder="1" applyAlignment="1">
      <alignment vertical="center" wrapText="1"/>
    </xf>
    <xf numFmtId="0" fontId="10" fillId="0" borderId="38" xfId="0" applyFont="1" applyBorder="1" applyAlignment="1">
      <alignment vertical="center" wrapText="1"/>
    </xf>
    <xf numFmtId="0" fontId="9" fillId="4" borderId="25" xfId="0" applyFont="1" applyFill="1" applyBorder="1" applyAlignment="1">
      <alignment horizontal="left" vertical="center" wrapText="1"/>
    </xf>
    <xf numFmtId="0" fontId="9" fillId="4" borderId="45" xfId="0" applyFont="1" applyFill="1" applyBorder="1" applyAlignment="1">
      <alignment horizontal="left" vertical="center" wrapText="1"/>
    </xf>
    <xf numFmtId="0" fontId="9" fillId="4" borderId="17" xfId="0" applyFont="1" applyFill="1" applyBorder="1" applyAlignment="1">
      <alignment horizontal="left" vertical="center" wrapText="1"/>
    </xf>
    <xf numFmtId="0" fontId="10" fillId="0" borderId="26" xfId="0" applyFont="1" applyBorder="1" applyAlignment="1">
      <alignment horizontal="left" vertical="center"/>
    </xf>
    <xf numFmtId="0" fontId="10" fillId="0" borderId="46" xfId="0" applyFont="1" applyBorder="1" applyAlignment="1">
      <alignment horizontal="right" vertical="center" wrapText="1"/>
    </xf>
    <xf numFmtId="0" fontId="7" fillId="0" borderId="46" xfId="0" applyFont="1" applyBorder="1" applyAlignment="1">
      <alignment horizontal="right" vertical="center" wrapText="1"/>
    </xf>
    <xf numFmtId="0" fontId="10" fillId="0" borderId="27" xfId="0" applyFont="1" applyBorder="1" applyAlignment="1">
      <alignment horizontal="left" vertical="center"/>
    </xf>
    <xf numFmtId="0" fontId="10" fillId="0" borderId="47" xfId="0" applyFont="1" applyBorder="1" applyAlignment="1">
      <alignment horizontal="right" vertical="center" wrapText="1"/>
    </xf>
    <xf numFmtId="0" fontId="7" fillId="0" borderId="47" xfId="0" applyFont="1" applyBorder="1" applyAlignment="1">
      <alignment horizontal="right" vertical="center" wrapText="1"/>
    </xf>
    <xf numFmtId="0" fontId="9" fillId="4" borderId="27" xfId="0" applyFont="1" applyFill="1" applyBorder="1" applyAlignment="1">
      <alignment horizontal="left" vertical="center"/>
    </xf>
    <xf numFmtId="0" fontId="9" fillId="4" borderId="47" xfId="0" applyFont="1" applyFill="1" applyBorder="1" applyAlignment="1">
      <alignment horizontal="right" vertical="center" wrapText="1"/>
    </xf>
    <xf numFmtId="0" fontId="3" fillId="4" borderId="25" xfId="0" applyFont="1" applyFill="1" applyBorder="1" applyAlignment="1">
      <alignment horizontal="left" vertical="center" wrapText="1"/>
    </xf>
    <xf numFmtId="0" fontId="3" fillId="4" borderId="45" xfId="0" applyFont="1" applyFill="1" applyBorder="1" applyAlignment="1">
      <alignment horizontal="left" vertical="center" wrapText="1"/>
    </xf>
    <xf numFmtId="0" fontId="20" fillId="4" borderId="45" xfId="0" applyFont="1" applyFill="1" applyBorder="1" applyAlignment="1">
      <alignment horizontal="left" vertical="center" wrapText="1"/>
    </xf>
    <xf numFmtId="0" fontId="20" fillId="4" borderId="17" xfId="0" applyFont="1" applyFill="1" applyBorder="1" applyAlignment="1">
      <alignment horizontal="left" vertical="center" wrapText="1"/>
    </xf>
    <xf numFmtId="0" fontId="21" fillId="0" borderId="20" xfId="0" applyFont="1" applyBorder="1" applyAlignment="1">
      <alignment horizontal="left" vertical="center" wrapText="1"/>
    </xf>
    <xf numFmtId="0" fontId="21" fillId="0" borderId="21" xfId="0" applyFont="1" applyBorder="1" applyAlignment="1">
      <alignment horizontal="left" vertical="center" wrapText="1"/>
    </xf>
    <xf numFmtId="0" fontId="21" fillId="0" borderId="21" xfId="0" applyFont="1" applyBorder="1" applyAlignment="1">
      <alignment horizontal="right" vertical="center" wrapText="1"/>
    </xf>
    <xf numFmtId="3" fontId="7" fillId="8" borderId="19" xfId="0" applyNumberFormat="1" applyFont="1" applyFill="1" applyBorder="1" applyAlignment="1">
      <alignment vertical="center" wrapText="1"/>
    </xf>
    <xf numFmtId="3" fontId="10" fillId="8" borderId="19" xfId="0" applyNumberFormat="1" applyFont="1" applyFill="1" applyBorder="1" applyAlignment="1">
      <alignment horizontal="left" vertical="center" wrapText="1"/>
    </xf>
    <xf numFmtId="0" fontId="10" fillId="8" borderId="19" xfId="0" applyFont="1" applyFill="1" applyBorder="1" applyAlignment="1">
      <alignment horizontal="left" vertical="center" wrapText="1"/>
    </xf>
    <xf numFmtId="0" fontId="10" fillId="8" borderId="21" xfId="0" applyFont="1" applyFill="1" applyBorder="1" applyAlignment="1">
      <alignment horizontal="left" vertical="center" wrapText="1"/>
    </xf>
    <xf numFmtId="0" fontId="10" fillId="0" borderId="19" xfId="0" applyFont="1" applyFill="1" applyBorder="1" applyAlignment="1">
      <alignment horizontal="center" vertical="center"/>
    </xf>
    <xf numFmtId="4" fontId="4" fillId="0" borderId="15" xfId="0" applyNumberFormat="1" applyFont="1" applyFill="1" applyBorder="1" applyAlignment="1">
      <alignment horizontal="right"/>
    </xf>
    <xf numFmtId="3" fontId="10" fillId="0" borderId="19" xfId="0" applyNumberFormat="1" applyFont="1" applyFill="1" applyBorder="1" applyAlignment="1">
      <alignment horizontal="center" vertical="center" wrapText="1"/>
    </xf>
    <xf numFmtId="165" fontId="10" fillId="5" borderId="19" xfId="0" applyNumberFormat="1" applyFont="1" applyFill="1" applyBorder="1" applyAlignment="1">
      <alignment horizontal="center" vertical="center" wrapText="1"/>
    </xf>
    <xf numFmtId="3" fontId="7" fillId="9" borderId="19" xfId="0" applyNumberFormat="1" applyFont="1" applyFill="1" applyBorder="1" applyAlignment="1">
      <alignment horizontal="center" vertical="center"/>
    </xf>
    <xf numFmtId="3" fontId="7" fillId="9" borderId="32" xfId="0" applyNumberFormat="1" applyFont="1" applyFill="1" applyBorder="1" applyAlignment="1">
      <alignment horizontal="center" vertical="center"/>
    </xf>
    <xf numFmtId="3" fontId="7" fillId="0" borderId="19" xfId="0" applyNumberFormat="1" applyFont="1" applyFill="1" applyBorder="1" applyAlignment="1">
      <alignment horizontal="center" vertical="center" wrapText="1"/>
    </xf>
    <xf numFmtId="3" fontId="7" fillId="0" borderId="31" xfId="0" applyNumberFormat="1" applyFont="1" applyFill="1" applyBorder="1" applyAlignment="1">
      <alignment horizontal="center" vertical="center" wrapText="1"/>
    </xf>
    <xf numFmtId="0" fontId="9" fillId="4" borderId="0" xfId="0" applyFont="1" applyFill="1" applyBorder="1" applyAlignment="1">
      <alignment horizontal="center" vertical="center" wrapText="1"/>
    </xf>
    <xf numFmtId="0" fontId="0" fillId="10" borderId="0" xfId="0" applyFill="1"/>
    <xf numFmtId="3" fontId="10" fillId="8" borderId="19" xfId="0" applyNumberFormat="1" applyFont="1" applyFill="1" applyBorder="1" applyAlignment="1">
      <alignment horizontal="center" vertical="center"/>
    </xf>
    <xf numFmtId="0" fontId="24" fillId="0" borderId="0" xfId="0" applyFont="1"/>
    <xf numFmtId="2" fontId="24" fillId="0" borderId="0" xfId="0" applyNumberFormat="1" applyFont="1"/>
    <xf numFmtId="4" fontId="24" fillId="0" borderId="0" xfId="0" applyNumberFormat="1" applyFont="1"/>
    <xf numFmtId="0" fontId="24" fillId="0" borderId="0" xfId="0" applyFont="1" applyAlignment="1">
      <alignment horizontal="right"/>
    </xf>
    <xf numFmtId="0" fontId="0" fillId="10" borderId="0" xfId="0" applyFill="1" applyAlignment="1">
      <alignment horizontal="center"/>
    </xf>
    <xf numFmtId="0" fontId="14" fillId="4" borderId="48" xfId="0" applyFont="1" applyFill="1" applyBorder="1" applyAlignment="1">
      <alignment vertical="center" wrapText="1"/>
    </xf>
    <xf numFmtId="0" fontId="10" fillId="0" borderId="49" xfId="0" applyFont="1" applyBorder="1" applyAlignment="1">
      <alignment vertical="center" wrapText="1"/>
    </xf>
    <xf numFmtId="0" fontId="7" fillId="0" borderId="50" xfId="0" applyFont="1" applyBorder="1" applyAlignment="1">
      <alignment vertical="center" wrapText="1"/>
    </xf>
    <xf numFmtId="0" fontId="14" fillId="4" borderId="41" xfId="0" applyFont="1" applyFill="1" applyBorder="1" applyAlignment="1">
      <alignment vertical="center" wrapText="1"/>
    </xf>
    <xf numFmtId="0" fontId="10" fillId="0" borderId="19" xfId="0" applyFont="1" applyBorder="1" applyAlignment="1">
      <alignment vertical="center" wrapText="1"/>
    </xf>
    <xf numFmtId="0" fontId="14" fillId="4" borderId="16" xfId="0" applyFont="1" applyFill="1" applyBorder="1" applyAlignment="1">
      <alignment vertical="center"/>
    </xf>
    <xf numFmtId="0" fontId="14" fillId="4" borderId="17" xfId="0" applyFont="1" applyFill="1" applyBorder="1" applyAlignment="1">
      <alignment vertical="center"/>
    </xf>
    <xf numFmtId="0" fontId="7" fillId="0" borderId="19" xfId="0" applyFont="1" applyBorder="1" applyAlignment="1">
      <alignment vertical="center"/>
    </xf>
    <xf numFmtId="0" fontId="7" fillId="0" borderId="20" xfId="0" applyFont="1" applyBorder="1" applyAlignment="1">
      <alignment vertical="center"/>
    </xf>
    <xf numFmtId="0" fontId="7" fillId="0" borderId="21" xfId="0" applyFont="1" applyBorder="1" applyAlignment="1">
      <alignment vertical="center"/>
    </xf>
    <xf numFmtId="0" fontId="9" fillId="4" borderId="41" xfId="0" applyFont="1" applyFill="1" applyBorder="1" applyAlignment="1">
      <alignment horizontal="center" vertical="center" wrapText="1"/>
    </xf>
    <xf numFmtId="0" fontId="9" fillId="4" borderId="42" xfId="0" applyFont="1" applyFill="1" applyBorder="1" applyAlignment="1">
      <alignment horizontal="center" vertical="center" wrapText="1"/>
    </xf>
    <xf numFmtId="0" fontId="3" fillId="4" borderId="16" xfId="0" applyFont="1" applyFill="1" applyBorder="1" applyAlignment="1">
      <alignment horizontal="left" vertical="center" wrapText="1"/>
    </xf>
    <xf numFmtId="0" fontId="10" fillId="0" borderId="0" xfId="0" applyFont="1" applyFill="1" applyBorder="1" applyAlignment="1">
      <alignment horizontal="left" vertical="center" wrapText="1"/>
    </xf>
    <xf numFmtId="0" fontId="10" fillId="0" borderId="21" xfId="0" applyFont="1" applyBorder="1" applyAlignment="1">
      <alignment vertical="center" wrapText="1"/>
    </xf>
    <xf numFmtId="9" fontId="7" fillId="0" borderId="23" xfId="0" applyNumberFormat="1" applyFont="1" applyBorder="1" applyAlignment="1">
      <alignment vertical="center" wrapText="1"/>
    </xf>
    <xf numFmtId="9" fontId="7" fillId="0" borderId="21" xfId="0" applyNumberFormat="1" applyFont="1" applyBorder="1" applyAlignment="1">
      <alignment vertical="center" wrapText="1"/>
    </xf>
    <xf numFmtId="0" fontId="7" fillId="0" borderId="23" xfId="0" applyFont="1" applyBorder="1" applyAlignment="1">
      <alignment vertical="center" wrapText="1"/>
    </xf>
    <xf numFmtId="9" fontId="7" fillId="0" borderId="21" xfId="0" applyNumberFormat="1" applyFont="1" applyBorder="1" applyAlignment="1">
      <alignment vertical="center"/>
    </xf>
    <xf numFmtId="0" fontId="7" fillId="0" borderId="20" xfId="0" applyFont="1" applyBorder="1" applyAlignment="1">
      <alignment vertical="center" wrapText="1"/>
    </xf>
    <xf numFmtId="0" fontId="7" fillId="0" borderId="18" xfId="0" applyFont="1" applyBorder="1" applyAlignment="1">
      <alignment vertical="center" wrapText="1"/>
    </xf>
    <xf numFmtId="0" fontId="2" fillId="3" borderId="51" xfId="1" applyFont="1" applyFill="1" applyBorder="1" applyAlignment="1">
      <alignment horizontal="center" vertical="center" wrapText="1"/>
    </xf>
    <xf numFmtId="0" fontId="4" fillId="0" borderId="52" xfId="1" applyFont="1" applyFill="1" applyBorder="1" applyAlignment="1">
      <alignment horizontal="left" wrapText="1"/>
    </xf>
    <xf numFmtId="0" fontId="4" fillId="0" borderId="53" xfId="1" applyFont="1" applyFill="1" applyBorder="1" applyAlignment="1">
      <alignment horizontal="left" wrapText="1"/>
    </xf>
    <xf numFmtId="0" fontId="4" fillId="0" borderId="53" xfId="0" applyFont="1" applyBorder="1" applyAlignment="1">
      <alignment horizontal="left" wrapText="1"/>
    </xf>
    <xf numFmtId="0" fontId="4" fillId="0" borderId="53" xfId="0" applyFont="1" applyFill="1" applyBorder="1" applyAlignment="1">
      <alignment horizontal="left" wrapText="1"/>
    </xf>
    <xf numFmtId="0" fontId="4" fillId="2" borderId="53" xfId="0" applyFont="1" applyFill="1" applyBorder="1" applyAlignment="1">
      <alignment horizontal="left" wrapText="1"/>
    </xf>
    <xf numFmtId="0" fontId="4" fillId="0" borderId="55" xfId="0" applyFont="1" applyFill="1" applyBorder="1" applyAlignment="1">
      <alignment horizontal="left" wrapText="1"/>
    </xf>
    <xf numFmtId="0" fontId="0" fillId="2" borderId="0" xfId="0" applyFill="1"/>
    <xf numFmtId="0" fontId="0" fillId="0" borderId="0" xfId="0" applyAlignment="1">
      <alignment horizontal="right"/>
    </xf>
    <xf numFmtId="14" fontId="0" fillId="0" borderId="0" xfId="0" applyNumberFormat="1" applyBorder="1" applyAlignment="1">
      <alignment horizontal="center"/>
    </xf>
    <xf numFmtId="0" fontId="4" fillId="12" borderId="2" xfId="0" applyFont="1" applyFill="1" applyBorder="1" applyAlignment="1">
      <alignment horizontal="left" wrapText="1"/>
    </xf>
    <xf numFmtId="0" fontId="4" fillId="12" borderId="1" xfId="0" applyFont="1" applyFill="1" applyBorder="1" applyAlignment="1">
      <alignment horizontal="left" wrapText="1"/>
    </xf>
    <xf numFmtId="0" fontId="10" fillId="12" borderId="18" xfId="0" applyFont="1" applyFill="1" applyBorder="1" applyAlignment="1">
      <alignment horizontal="left" vertical="center" wrapText="1"/>
    </xf>
    <xf numFmtId="0" fontId="4" fillId="12" borderId="53" xfId="0" applyFont="1" applyFill="1" applyBorder="1" applyAlignment="1">
      <alignment horizontal="left" wrapText="1"/>
    </xf>
    <xf numFmtId="0" fontId="10" fillId="12" borderId="19" xfId="0" applyFont="1" applyFill="1" applyBorder="1" applyAlignment="1">
      <alignment horizontal="left" vertical="center" wrapText="1"/>
    </xf>
    <xf numFmtId="0" fontId="4" fillId="12" borderId="1" xfId="2" applyFont="1" applyFill="1" applyBorder="1" applyAlignment="1">
      <alignment horizontal="left" wrapText="1"/>
    </xf>
    <xf numFmtId="0" fontId="10" fillId="12" borderId="19" xfId="0" applyFont="1" applyFill="1" applyBorder="1" applyAlignment="1">
      <alignment horizontal="center" vertical="center" wrapText="1"/>
    </xf>
    <xf numFmtId="3" fontId="10" fillId="12" borderId="19" xfId="0" applyNumberFormat="1" applyFont="1" applyFill="1" applyBorder="1" applyAlignment="1">
      <alignment horizontal="center" vertical="center" wrapText="1"/>
    </xf>
    <xf numFmtId="165" fontId="4" fillId="12" borderId="1" xfId="0" applyNumberFormat="1" applyFont="1" applyFill="1" applyBorder="1" applyAlignment="1">
      <alignment horizontal="right" wrapText="1"/>
    </xf>
    <xf numFmtId="165" fontId="4" fillId="12" borderId="15" xfId="0" applyNumberFormat="1" applyFont="1" applyFill="1" applyBorder="1" applyAlignment="1">
      <alignment horizontal="right"/>
    </xf>
    <xf numFmtId="0" fontId="4" fillId="12" borderId="13" xfId="0" applyFont="1" applyFill="1" applyBorder="1" applyAlignment="1">
      <alignment horizontal="left" wrapText="1"/>
    </xf>
    <xf numFmtId="166" fontId="4" fillId="12" borderId="1" xfId="0" applyNumberFormat="1" applyFont="1" applyFill="1" applyBorder="1" applyAlignment="1">
      <alignment horizontal="right" wrapText="1"/>
    </xf>
    <xf numFmtId="0" fontId="0" fillId="0" borderId="0" xfId="0" pivotButton="1"/>
    <xf numFmtId="0" fontId="0" fillId="0" borderId="0" xfId="0" applyNumberFormat="1"/>
    <xf numFmtId="168" fontId="0" fillId="0" borderId="0" xfId="0" applyNumberFormat="1"/>
    <xf numFmtId="168" fontId="21" fillId="0" borderId="21" xfId="0" applyNumberFormat="1" applyFont="1" applyBorder="1" applyAlignment="1">
      <alignment horizontal="left" vertical="center" wrapText="1"/>
    </xf>
    <xf numFmtId="0" fontId="7" fillId="0" borderId="35" xfId="0" applyFont="1" applyBorder="1" applyAlignment="1">
      <alignment horizontal="center" vertical="center" wrapText="1"/>
    </xf>
    <xf numFmtId="0" fontId="7" fillId="0" borderId="37" xfId="0" applyFont="1" applyBorder="1" applyAlignment="1">
      <alignment horizontal="center" vertical="center" wrapText="1"/>
    </xf>
    <xf numFmtId="0" fontId="10" fillId="0" borderId="36" xfId="0" applyFont="1" applyBorder="1" applyAlignment="1">
      <alignment horizontal="center" vertical="center" wrapText="1"/>
    </xf>
    <xf numFmtId="0" fontId="7" fillId="0" borderId="38" xfId="0" applyFont="1" applyBorder="1" applyAlignment="1">
      <alignment horizontal="center" vertical="center" wrapText="1"/>
    </xf>
    <xf numFmtId="0" fontId="4" fillId="12" borderId="3" xfId="0" applyFont="1" applyFill="1" applyBorder="1" applyAlignment="1">
      <alignment horizontal="right" wrapText="1"/>
    </xf>
    <xf numFmtId="165" fontId="4" fillId="12" borderId="0" xfId="0" applyNumberFormat="1" applyFont="1" applyFill="1"/>
    <xf numFmtId="0" fontId="10" fillId="12" borderId="19" xfId="0" applyFont="1" applyFill="1" applyBorder="1" applyAlignment="1">
      <alignment horizontal="center" vertical="center"/>
    </xf>
    <xf numFmtId="167" fontId="7" fillId="0" borderId="31" xfId="0" applyNumberFormat="1" applyFont="1" applyFill="1" applyBorder="1" applyAlignment="1">
      <alignment horizontal="center" vertical="center" wrapText="1"/>
    </xf>
    <xf numFmtId="3" fontId="7" fillId="9" borderId="19" xfId="0" applyNumberFormat="1" applyFont="1" applyFill="1" applyBorder="1" applyAlignment="1">
      <alignment horizontal="center" vertical="center" wrapText="1"/>
    </xf>
    <xf numFmtId="0" fontId="4" fillId="0" borderId="54" xfId="0" applyFont="1" applyFill="1" applyBorder="1" applyAlignment="1">
      <alignment horizontal="left" wrapText="1"/>
    </xf>
    <xf numFmtId="166" fontId="21" fillId="0" borderId="21" xfId="0" applyNumberFormat="1" applyFont="1" applyBorder="1" applyAlignment="1">
      <alignment horizontal="right" vertical="center" wrapText="1"/>
    </xf>
    <xf numFmtId="164" fontId="21" fillId="0" borderId="21" xfId="0" applyNumberFormat="1" applyFont="1" applyBorder="1" applyAlignment="1">
      <alignment horizontal="right" vertical="center" wrapText="1"/>
    </xf>
    <xf numFmtId="3" fontId="10" fillId="0" borderId="32" xfId="0" applyNumberFormat="1" applyFont="1" applyFill="1" applyBorder="1" applyAlignment="1">
      <alignment horizontal="center" vertical="center" wrapText="1"/>
    </xf>
    <xf numFmtId="3" fontId="7" fillId="0" borderId="32" xfId="0" applyNumberFormat="1" applyFont="1" applyFill="1" applyBorder="1" applyAlignment="1">
      <alignment horizontal="center" vertical="center"/>
    </xf>
    <xf numFmtId="0" fontId="0" fillId="0" borderId="0" xfId="0" applyFill="1"/>
    <xf numFmtId="0" fontId="20" fillId="4" borderId="16" xfId="0" applyFont="1" applyFill="1" applyBorder="1" applyAlignment="1">
      <alignment horizontal="left" vertical="center" wrapText="1"/>
    </xf>
    <xf numFmtId="0" fontId="21" fillId="0" borderId="16" xfId="0" applyFont="1" applyBorder="1" applyAlignment="1">
      <alignment horizontal="left" vertical="center" wrapText="1"/>
    </xf>
    <xf numFmtId="0" fontId="21" fillId="0" borderId="16" xfId="0" applyFont="1" applyBorder="1" applyAlignment="1">
      <alignment horizontal="right" vertical="center" wrapText="1"/>
    </xf>
    <xf numFmtId="4" fontId="21" fillId="0" borderId="16" xfId="0" applyNumberFormat="1" applyFont="1" applyBorder="1" applyAlignment="1">
      <alignment horizontal="right" vertical="center" wrapText="1"/>
    </xf>
    <xf numFmtId="165" fontId="21" fillId="0" borderId="16" xfId="0" applyNumberFormat="1" applyFont="1" applyBorder="1" applyAlignment="1">
      <alignment horizontal="right" vertical="center" wrapText="1"/>
    </xf>
    <xf numFmtId="6" fontId="21" fillId="0" borderId="16" xfId="0" applyNumberFormat="1" applyFont="1" applyBorder="1" applyAlignment="1">
      <alignment horizontal="right" vertical="center" wrapText="1"/>
    </xf>
    <xf numFmtId="2" fontId="21" fillId="0" borderId="16" xfId="0" applyNumberFormat="1" applyFont="1" applyBorder="1" applyAlignment="1">
      <alignment horizontal="right" vertical="center" wrapText="1"/>
    </xf>
    <xf numFmtId="166" fontId="21" fillId="0" borderId="16" xfId="0" applyNumberFormat="1" applyFont="1" applyBorder="1" applyAlignment="1">
      <alignment horizontal="right" vertical="center" wrapText="1"/>
    </xf>
    <xf numFmtId="4" fontId="21" fillId="0" borderId="16" xfId="0" applyNumberFormat="1" applyFont="1" applyBorder="1" applyAlignment="1">
      <alignment horizontal="right" vertical="center"/>
    </xf>
    <xf numFmtId="165" fontId="21" fillId="0" borderId="16" xfId="0" applyNumberFormat="1" applyFont="1" applyBorder="1" applyAlignment="1">
      <alignment horizontal="right" vertical="center"/>
    </xf>
    <xf numFmtId="3" fontId="10" fillId="12" borderId="19" xfId="3" applyNumberFormat="1" applyFont="1" applyFill="1" applyBorder="1" applyAlignment="1">
      <alignment horizontal="center" vertical="center"/>
    </xf>
    <xf numFmtId="3" fontId="10" fillId="12" borderId="19" xfId="3" applyNumberFormat="1" applyFont="1" applyFill="1" applyBorder="1" applyAlignment="1">
      <alignment horizontal="center" vertical="center"/>
    </xf>
    <xf numFmtId="3" fontId="10" fillId="12" borderId="19" xfId="0" applyNumberFormat="1" applyFont="1" applyFill="1" applyBorder="1" applyAlignment="1">
      <alignment horizontal="center" vertical="center" wrapText="1"/>
    </xf>
    <xf numFmtId="3" fontId="10" fillId="12" borderId="19" xfId="0" applyNumberFormat="1" applyFont="1" applyFill="1" applyBorder="1" applyAlignment="1">
      <alignment horizontal="center" vertical="center" wrapText="1"/>
    </xf>
    <xf numFmtId="3" fontId="10" fillId="12" borderId="19" xfId="0" applyNumberFormat="1" applyFont="1" applyFill="1" applyBorder="1" applyAlignment="1">
      <alignment horizontal="center" vertical="center" wrapText="1"/>
    </xf>
    <xf numFmtId="3" fontId="10" fillId="12" borderId="19" xfId="0" applyNumberFormat="1" applyFont="1" applyFill="1" applyBorder="1" applyAlignment="1">
      <alignment horizontal="center" vertical="center" wrapText="1"/>
    </xf>
    <xf numFmtId="0" fontId="0" fillId="0" borderId="0" xfId="0"/>
    <xf numFmtId="0" fontId="9" fillId="4" borderId="16" xfId="0" applyFont="1" applyFill="1" applyBorder="1" applyAlignment="1">
      <alignment horizontal="center" vertical="center" wrapText="1"/>
    </xf>
    <xf numFmtId="0" fontId="9" fillId="4" borderId="21" xfId="0" applyFont="1" applyFill="1" applyBorder="1" applyAlignment="1">
      <alignment horizontal="center" vertical="center"/>
    </xf>
    <xf numFmtId="3" fontId="9" fillId="4" borderId="21" xfId="0" applyNumberFormat="1" applyFont="1" applyFill="1" applyBorder="1" applyAlignment="1">
      <alignment horizontal="center" vertical="center"/>
    </xf>
    <xf numFmtId="0" fontId="7" fillId="0" borderId="19" xfId="0" applyFont="1" applyBorder="1" applyAlignment="1">
      <alignment horizontal="center" vertical="center"/>
    </xf>
    <xf numFmtId="0" fontId="7" fillId="0" borderId="32" xfId="0" applyFont="1" applyBorder="1" applyAlignment="1">
      <alignment horizontal="center" vertical="center"/>
    </xf>
    <xf numFmtId="0" fontId="7" fillId="0" borderId="31" xfId="0" applyFont="1" applyBorder="1" applyAlignment="1">
      <alignment horizontal="center" vertical="center"/>
    </xf>
    <xf numFmtId="0" fontId="7" fillId="0" borderId="19" xfId="0" applyFont="1" applyBorder="1" applyAlignment="1">
      <alignment horizontal="center" vertical="center" wrapText="1"/>
    </xf>
    <xf numFmtId="0" fontId="10" fillId="0" borderId="31" xfId="0" applyFont="1" applyBorder="1" applyAlignment="1">
      <alignment horizontal="center" vertical="center" wrapText="1"/>
    </xf>
    <xf numFmtId="0" fontId="10" fillId="0" borderId="18" xfId="0" applyFont="1" applyBorder="1" applyAlignment="1">
      <alignment horizontal="center" vertical="center"/>
    </xf>
    <xf numFmtId="3" fontId="7" fillId="0" borderId="32" xfId="0" applyNumberFormat="1" applyFont="1" applyBorder="1" applyAlignment="1">
      <alignment horizontal="center" vertical="center"/>
    </xf>
    <xf numFmtId="3" fontId="7" fillId="0" borderId="19" xfId="0" applyNumberFormat="1" applyFont="1" applyFill="1" applyBorder="1" applyAlignment="1">
      <alignment horizontal="center" vertical="center" wrapText="1"/>
    </xf>
    <xf numFmtId="3" fontId="7" fillId="0" borderId="31" xfId="0" applyNumberFormat="1" applyFont="1" applyFill="1" applyBorder="1" applyAlignment="1">
      <alignment horizontal="center" vertical="center" wrapText="1"/>
    </xf>
    <xf numFmtId="3" fontId="10" fillId="8" borderId="19" xfId="0" applyNumberFormat="1" applyFont="1" applyFill="1" applyBorder="1" applyAlignment="1">
      <alignment horizontal="center" vertical="center"/>
    </xf>
    <xf numFmtId="3" fontId="10" fillId="12" borderId="19" xfId="0" applyNumberFormat="1" applyFont="1" applyFill="1" applyBorder="1" applyAlignment="1">
      <alignment horizontal="center" vertical="center" wrapText="1"/>
    </xf>
    <xf numFmtId="167" fontId="7" fillId="0" borderId="31" xfId="0" applyNumberFormat="1" applyFont="1" applyFill="1" applyBorder="1" applyAlignment="1">
      <alignment horizontal="center" vertical="center" wrapText="1"/>
    </xf>
    <xf numFmtId="0" fontId="10" fillId="13" borderId="0" xfId="0" applyFont="1" applyFill="1" applyBorder="1" applyAlignment="1">
      <alignment horizontal="left" vertical="center" wrapText="1"/>
    </xf>
    <xf numFmtId="0" fontId="10" fillId="0" borderId="16" xfId="0" applyFont="1" applyBorder="1" applyAlignment="1">
      <alignment horizontal="left" vertical="center" wrapText="1"/>
    </xf>
    <xf numFmtId="0" fontId="10" fillId="12" borderId="16" xfId="0" applyFont="1" applyFill="1" applyBorder="1" applyAlignment="1">
      <alignment horizontal="left" vertical="center" wrapText="1"/>
    </xf>
    <xf numFmtId="0" fontId="10" fillId="13" borderId="16" xfId="0" applyFont="1" applyFill="1" applyBorder="1" applyAlignment="1">
      <alignment horizontal="left" vertical="center" wrapText="1"/>
    </xf>
    <xf numFmtId="3" fontId="10" fillId="9" borderId="16" xfId="0" applyNumberFormat="1" applyFont="1" applyFill="1" applyBorder="1" applyAlignment="1">
      <alignment horizontal="left" vertical="center" wrapText="1"/>
    </xf>
    <xf numFmtId="3" fontId="10" fillId="0" borderId="16" xfId="0" applyNumberFormat="1" applyFont="1" applyBorder="1" applyAlignment="1">
      <alignment horizontal="left" vertical="center" wrapText="1"/>
    </xf>
    <xf numFmtId="3" fontId="10" fillId="12" borderId="16" xfId="0" applyNumberFormat="1" applyFont="1" applyFill="1" applyBorder="1" applyAlignment="1">
      <alignment horizontal="left" vertical="center" wrapText="1"/>
    </xf>
    <xf numFmtId="0" fontId="29" fillId="0" borderId="0" xfId="0" applyFont="1" applyFill="1" applyBorder="1" applyAlignment="1">
      <alignment horizontal="left" vertical="center" wrapText="1"/>
    </xf>
    <xf numFmtId="169" fontId="29" fillId="0" borderId="0" xfId="5" applyNumberFormat="1" applyFont="1" applyFill="1" applyBorder="1" applyAlignment="1">
      <alignment horizontal="left" vertical="center" wrapText="1"/>
    </xf>
    <xf numFmtId="0" fontId="10" fillId="0" borderId="21" xfId="0" applyFont="1" applyBorder="1" applyAlignment="1">
      <alignment horizontal="center" vertical="center"/>
    </xf>
    <xf numFmtId="0" fontId="10" fillId="0" borderId="21" xfId="0" applyFont="1" applyBorder="1" applyAlignment="1">
      <alignment horizontal="center" vertical="center" wrapText="1"/>
    </xf>
    <xf numFmtId="0" fontId="2" fillId="3" borderId="10" xfId="1" applyFont="1" applyFill="1" applyBorder="1" applyAlignment="1">
      <alignment horizontal="center" vertical="center" wrapText="1"/>
    </xf>
    <xf numFmtId="0" fontId="2" fillId="3" borderId="11" xfId="1" applyFont="1" applyFill="1" applyBorder="1" applyAlignment="1">
      <alignment horizontal="center" vertical="center" wrapText="1"/>
    </xf>
    <xf numFmtId="164" fontId="2" fillId="3" borderId="11" xfId="1" applyNumberFormat="1" applyFont="1" applyFill="1" applyBorder="1" applyAlignment="1">
      <alignment horizontal="center" vertical="center" wrapText="1"/>
    </xf>
    <xf numFmtId="166" fontId="2" fillId="3" borderId="11" xfId="1" applyNumberFormat="1" applyFont="1" applyFill="1" applyBorder="1" applyAlignment="1">
      <alignment horizontal="center" vertical="center" wrapText="1"/>
    </xf>
    <xf numFmtId="165" fontId="3" fillId="3" borderId="11" xfId="0" applyNumberFormat="1" applyFont="1" applyFill="1" applyBorder="1" applyAlignment="1">
      <alignment horizontal="center" wrapText="1"/>
    </xf>
    <xf numFmtId="165" fontId="3" fillId="3" borderId="14" xfId="0" applyNumberFormat="1" applyFont="1" applyFill="1" applyBorder="1" applyAlignment="1">
      <alignment horizontal="center" wrapText="1"/>
    </xf>
    <xf numFmtId="165" fontId="3" fillId="3" borderId="12" xfId="0" applyNumberFormat="1" applyFont="1" applyFill="1" applyBorder="1" applyAlignment="1">
      <alignment horizontal="center" wrapText="1"/>
    </xf>
    <xf numFmtId="165" fontId="4" fillId="0" borderId="15" xfId="0" applyNumberFormat="1" applyFont="1" applyFill="1" applyBorder="1" applyAlignment="1">
      <alignment horizontal="right"/>
    </xf>
    <xf numFmtId="0" fontId="4" fillId="0" borderId="1" xfId="0" applyFont="1" applyFill="1" applyBorder="1" applyAlignment="1">
      <alignment horizontal="left" wrapText="1"/>
    </xf>
    <xf numFmtId="165" fontId="4" fillId="0" borderId="1" xfId="0" applyNumberFormat="1" applyFont="1" applyFill="1" applyBorder="1" applyAlignment="1">
      <alignment horizontal="right"/>
    </xf>
    <xf numFmtId="165" fontId="4" fillId="0" borderId="3" xfId="0" applyNumberFormat="1" applyFont="1" applyFill="1" applyBorder="1" applyAlignment="1">
      <alignment horizontal="right"/>
    </xf>
    <xf numFmtId="0" fontId="4" fillId="0" borderId="2" xfId="0" applyFont="1" applyBorder="1" applyAlignment="1">
      <alignment horizontal="left" wrapText="1"/>
    </xf>
    <xf numFmtId="0" fontId="4" fillId="0" borderId="1" xfId="0" applyFont="1" applyBorder="1" applyAlignment="1">
      <alignment horizontal="left" wrapText="1"/>
    </xf>
    <xf numFmtId="165" fontId="4" fillId="0" borderId="1" xfId="0" applyNumberFormat="1" applyFont="1" applyBorder="1" applyAlignment="1">
      <alignment horizontal="right" wrapText="1"/>
    </xf>
    <xf numFmtId="166" fontId="4" fillId="0" borderId="1" xfId="0" applyNumberFormat="1" applyFont="1" applyBorder="1" applyAlignment="1">
      <alignment horizontal="right" wrapText="1"/>
    </xf>
    <xf numFmtId="0" fontId="4" fillId="0" borderId="1" xfId="0" applyFont="1" applyBorder="1" applyAlignment="1">
      <alignment horizontal="right" wrapText="1"/>
    </xf>
    <xf numFmtId="165" fontId="4" fillId="0" borderId="3" xfId="0" applyNumberFormat="1" applyFont="1" applyBorder="1" applyAlignment="1">
      <alignment horizontal="right" wrapText="1"/>
    </xf>
    <xf numFmtId="0" fontId="4" fillId="2" borderId="2" xfId="0" applyFont="1" applyFill="1" applyBorder="1" applyAlignment="1">
      <alignment horizontal="left" wrapText="1"/>
    </xf>
    <xf numFmtId="0" fontId="4" fillId="2" borderId="1" xfId="0" applyFont="1" applyFill="1" applyBorder="1" applyAlignment="1">
      <alignment horizontal="left" wrapText="1"/>
    </xf>
    <xf numFmtId="165" fontId="4" fillId="2" borderId="1" xfId="0" applyNumberFormat="1" applyFont="1" applyFill="1" applyBorder="1" applyAlignment="1">
      <alignment horizontal="right" wrapText="1"/>
    </xf>
    <xf numFmtId="166" fontId="4" fillId="2" borderId="1" xfId="0" applyNumberFormat="1" applyFont="1" applyFill="1" applyBorder="1" applyAlignment="1">
      <alignment horizontal="right" wrapText="1"/>
    </xf>
    <xf numFmtId="0" fontId="4" fillId="2" borderId="1" xfId="0" applyFont="1" applyFill="1" applyBorder="1" applyAlignment="1">
      <alignment horizontal="right" wrapText="1"/>
    </xf>
    <xf numFmtId="165" fontId="4" fillId="2" borderId="3" xfId="0" applyNumberFormat="1" applyFont="1" applyFill="1" applyBorder="1" applyAlignment="1">
      <alignment horizontal="right" wrapText="1"/>
    </xf>
    <xf numFmtId="0" fontId="4" fillId="0" borderId="1" xfId="0" quotePrefix="1" applyFont="1" applyBorder="1" applyAlignment="1">
      <alignment horizontal="left" wrapText="1"/>
    </xf>
    <xf numFmtId="0" fontId="4" fillId="2" borderId="1" xfId="0" quotePrefix="1" applyFont="1" applyFill="1" applyBorder="1" applyAlignment="1">
      <alignment horizontal="left" wrapText="1"/>
    </xf>
    <xf numFmtId="17" fontId="4" fillId="0" borderId="1" xfId="0" quotePrefix="1" applyNumberFormat="1" applyFont="1" applyBorder="1" applyAlignment="1">
      <alignment horizontal="left" wrapText="1"/>
    </xf>
    <xf numFmtId="0" fontId="4" fillId="0" borderId="2" xfId="0" applyFont="1" applyFill="1" applyBorder="1" applyAlignment="1">
      <alignment horizontal="left" wrapText="1"/>
    </xf>
    <xf numFmtId="165" fontId="4" fillId="0" borderId="1" xfId="0" applyNumberFormat="1" applyFont="1" applyFill="1" applyBorder="1" applyAlignment="1">
      <alignment horizontal="right" wrapText="1"/>
    </xf>
    <xf numFmtId="166" fontId="4" fillId="0" borderId="1" xfId="0" applyNumberFormat="1" applyFont="1" applyFill="1" applyBorder="1" applyAlignment="1">
      <alignment horizontal="right" wrapText="1"/>
    </xf>
    <xf numFmtId="165" fontId="4" fillId="0" borderId="1" xfId="0" applyNumberFormat="1" applyFont="1" applyBorder="1" applyAlignment="1">
      <alignment horizontal="right"/>
    </xf>
    <xf numFmtId="165" fontId="4" fillId="0" borderId="3" xfId="0" applyNumberFormat="1" applyFont="1" applyBorder="1" applyAlignment="1">
      <alignment horizontal="right"/>
    </xf>
    <xf numFmtId="0" fontId="4" fillId="2" borderId="3" xfId="0" applyFont="1" applyFill="1" applyBorder="1" applyAlignment="1">
      <alignment horizontal="right" wrapText="1"/>
    </xf>
    <xf numFmtId="0" fontId="4" fillId="0" borderId="3" xfId="0" applyFont="1" applyBorder="1" applyAlignment="1">
      <alignment horizontal="right" wrapText="1"/>
    </xf>
    <xf numFmtId="164" fontId="4" fillId="0" borderId="1" xfId="0" applyNumberFormat="1" applyFont="1" applyBorder="1" applyAlignment="1">
      <alignment horizontal="right" wrapText="1"/>
    </xf>
    <xf numFmtId="165" fontId="4" fillId="0" borderId="3" xfId="0" applyNumberFormat="1" applyFont="1" applyFill="1" applyBorder="1" applyAlignment="1">
      <alignment horizontal="right" wrapText="1"/>
    </xf>
    <xf numFmtId="0" fontId="4" fillId="0" borderId="3" xfId="0" applyFont="1" applyFill="1" applyBorder="1" applyAlignment="1">
      <alignment horizontal="right" wrapText="1"/>
    </xf>
    <xf numFmtId="0" fontId="5" fillId="0" borderId="1" xfId="0" applyFont="1" applyFill="1" applyBorder="1" applyAlignment="1">
      <alignment horizontal="left" wrapText="1"/>
    </xf>
    <xf numFmtId="165" fontId="5" fillId="0" borderId="1" xfId="0" applyNumberFormat="1" applyFont="1" applyFill="1" applyBorder="1" applyAlignment="1">
      <alignment horizontal="right" wrapText="1"/>
    </xf>
    <xf numFmtId="0" fontId="4" fillId="0" borderId="1" xfId="0" applyFont="1" applyFill="1" applyBorder="1" applyAlignment="1">
      <alignment horizontal="right" wrapText="1"/>
    </xf>
    <xf numFmtId="164" fontId="4" fillId="0" borderId="3" xfId="0" applyNumberFormat="1" applyFont="1" applyBorder="1" applyAlignment="1">
      <alignment horizontal="right" wrapText="1"/>
    </xf>
    <xf numFmtId="164" fontId="4" fillId="0" borderId="3" xfId="0" applyNumberFormat="1" applyFont="1" applyFill="1" applyBorder="1" applyAlignment="1">
      <alignment horizontal="right" wrapText="1"/>
    </xf>
    <xf numFmtId="0" fontId="4" fillId="0" borderId="1" xfId="0" quotePrefix="1" applyFont="1" applyFill="1" applyBorder="1" applyAlignment="1">
      <alignment horizontal="left" wrapText="1"/>
    </xf>
    <xf numFmtId="0" fontId="4" fillId="0" borderId="13" xfId="0" applyFont="1" applyFill="1" applyBorder="1" applyAlignment="1">
      <alignment horizontal="left" wrapText="1"/>
    </xf>
    <xf numFmtId="165" fontId="4" fillId="0" borderId="13" xfId="0" applyNumberFormat="1" applyFont="1" applyFill="1" applyBorder="1" applyAlignment="1">
      <alignment horizontal="right" wrapText="1"/>
    </xf>
    <xf numFmtId="166" fontId="4" fillId="0" borderId="13" xfId="0" applyNumberFormat="1" applyFont="1" applyFill="1" applyBorder="1" applyAlignment="1">
      <alignment horizontal="right" wrapText="1"/>
    </xf>
    <xf numFmtId="4" fontId="4" fillId="0" borderId="0" xfId="0" applyNumberFormat="1" applyFont="1" applyFill="1"/>
    <xf numFmtId="165" fontId="4" fillId="0" borderId="0" xfId="0" applyNumberFormat="1" applyFont="1" applyFill="1"/>
    <xf numFmtId="0" fontId="9" fillId="4" borderId="16" xfId="0" applyFont="1" applyFill="1" applyBorder="1" applyAlignment="1">
      <alignment horizontal="center" vertical="center" wrapText="1"/>
    </xf>
    <xf numFmtId="0" fontId="9" fillId="4" borderId="17" xfId="0" applyFont="1" applyFill="1" applyBorder="1" applyAlignment="1">
      <alignment horizontal="center" vertical="center" wrapText="1"/>
    </xf>
    <xf numFmtId="0" fontId="10" fillId="0" borderId="19" xfId="0" applyFont="1" applyBorder="1" applyAlignment="1">
      <alignment horizontal="left" vertical="center" wrapText="1"/>
    </xf>
    <xf numFmtId="0" fontId="9" fillId="4" borderId="20" xfId="0" applyFont="1" applyFill="1" applyBorder="1" applyAlignment="1">
      <alignment horizontal="left" vertical="center" wrapText="1"/>
    </xf>
    <xf numFmtId="0" fontId="9" fillId="4" borderId="21" xfId="0" applyFont="1" applyFill="1" applyBorder="1" applyAlignment="1">
      <alignment horizontal="left" vertical="center" wrapText="1"/>
    </xf>
    <xf numFmtId="0" fontId="0" fillId="0" borderId="0" xfId="0" applyAlignment="1">
      <alignment wrapText="1"/>
    </xf>
    <xf numFmtId="0" fontId="7" fillId="0" borderId="18" xfId="0" applyFont="1" applyBorder="1" applyAlignment="1">
      <alignment horizontal="left" vertical="center" wrapText="1"/>
    </xf>
    <xf numFmtId="0" fontId="7" fillId="5" borderId="19" xfId="0" applyFont="1" applyFill="1" applyBorder="1" applyAlignment="1">
      <alignment horizontal="left" vertical="center" wrapText="1"/>
    </xf>
    <xf numFmtId="0" fontId="7" fillId="0" borderId="19" xfId="0" applyFont="1" applyBorder="1" applyAlignment="1">
      <alignment horizontal="left" vertical="center" wrapText="1"/>
    </xf>
    <xf numFmtId="0" fontId="14" fillId="4" borderId="21" xfId="0" applyFont="1" applyFill="1" applyBorder="1" applyAlignment="1">
      <alignment horizontal="left" vertical="center" wrapText="1"/>
    </xf>
    <xf numFmtId="0" fontId="10" fillId="0" borderId="21" xfId="0" applyFont="1" applyBorder="1" applyAlignment="1">
      <alignment horizontal="left" vertical="center" wrapText="1"/>
    </xf>
    <xf numFmtId="0" fontId="7" fillId="0" borderId="21" xfId="0" applyFont="1" applyBorder="1" applyAlignment="1">
      <alignment horizontal="left" vertical="center" wrapText="1"/>
    </xf>
    <xf numFmtId="0" fontId="14" fillId="4" borderId="16" xfId="0" applyFont="1" applyFill="1" applyBorder="1" applyAlignment="1">
      <alignment vertical="center" wrapText="1"/>
    </xf>
    <xf numFmtId="0" fontId="14" fillId="4" borderId="17" xfId="0" applyFont="1" applyFill="1" applyBorder="1" applyAlignment="1">
      <alignment vertical="center" wrapText="1"/>
    </xf>
    <xf numFmtId="0" fontId="10" fillId="0" borderId="18" xfId="0" applyFont="1" applyBorder="1" applyAlignment="1">
      <alignment vertical="center" wrapText="1"/>
    </xf>
    <xf numFmtId="0" fontId="9" fillId="4" borderId="21" xfId="0" applyFont="1" applyFill="1" applyBorder="1" applyAlignment="1">
      <alignment horizontal="center" vertical="center"/>
    </xf>
    <xf numFmtId="3" fontId="9" fillId="4" borderId="21" xfId="0" applyNumberFormat="1" applyFont="1" applyFill="1" applyBorder="1" applyAlignment="1">
      <alignment horizontal="center" vertical="center"/>
    </xf>
    <xf numFmtId="0" fontId="7" fillId="0" borderId="31" xfId="0" applyFont="1" applyBorder="1" applyAlignment="1">
      <alignment horizontal="left" vertical="center" wrapText="1"/>
    </xf>
    <xf numFmtId="0" fontId="7" fillId="0" borderId="32" xfId="0" applyFont="1" applyBorder="1" applyAlignment="1">
      <alignment horizontal="left" vertical="center" wrapText="1"/>
    </xf>
    <xf numFmtId="0" fontId="10" fillId="0" borderId="32" xfId="0" applyFont="1" applyBorder="1" applyAlignment="1">
      <alignment horizontal="left" vertical="center" wrapText="1"/>
    </xf>
    <xf numFmtId="0" fontId="10" fillId="0" borderId="31" xfId="0" applyFont="1" applyBorder="1" applyAlignment="1">
      <alignment vertical="center" wrapText="1"/>
    </xf>
    <xf numFmtId="0" fontId="7" fillId="0" borderId="31" xfId="0" applyFont="1" applyBorder="1" applyAlignment="1">
      <alignment vertical="center" wrapText="1"/>
    </xf>
    <xf numFmtId="0" fontId="7" fillId="5" borderId="31" xfId="0" applyFont="1" applyFill="1" applyBorder="1" applyAlignment="1">
      <alignment vertical="center" wrapText="1"/>
    </xf>
    <xf numFmtId="0" fontId="7" fillId="5" borderId="32" xfId="0" applyFont="1" applyFill="1" applyBorder="1" applyAlignment="1">
      <alignment horizontal="left" vertical="center" wrapText="1"/>
    </xf>
    <xf numFmtId="0" fontId="7" fillId="5" borderId="31" xfId="0" applyFont="1" applyFill="1" applyBorder="1" applyAlignment="1">
      <alignment horizontal="left" vertical="center" wrapText="1"/>
    </xf>
    <xf numFmtId="0" fontId="7" fillId="5" borderId="32" xfId="0" applyFont="1" applyFill="1" applyBorder="1" applyAlignment="1">
      <alignment horizontal="justify" vertical="center" wrapText="1"/>
    </xf>
    <xf numFmtId="0" fontId="7" fillId="0" borderId="19" xfId="0" applyFont="1" applyBorder="1" applyAlignment="1">
      <alignment horizontal="center" vertical="center"/>
    </xf>
    <xf numFmtId="0" fontId="7" fillId="0" borderId="32" xfId="0" applyFont="1" applyBorder="1" applyAlignment="1">
      <alignment horizontal="center" vertical="center"/>
    </xf>
    <xf numFmtId="0" fontId="7" fillId="0" borderId="31" xfId="0" applyFont="1" applyBorder="1" applyAlignment="1">
      <alignment horizontal="center" vertical="center"/>
    </xf>
    <xf numFmtId="0" fontId="7" fillId="0" borderId="19" xfId="0" applyFont="1" applyBorder="1" applyAlignment="1">
      <alignment horizontal="center" vertical="center" wrapText="1"/>
    </xf>
    <xf numFmtId="0" fontId="10" fillId="0" borderId="31" xfId="0" applyFont="1" applyBorder="1" applyAlignment="1">
      <alignment horizontal="center" vertical="center" wrapText="1"/>
    </xf>
    <xf numFmtId="0" fontId="10" fillId="0" borderId="18" xfId="0" applyFont="1" applyBorder="1" applyAlignment="1">
      <alignment horizontal="center" vertical="center"/>
    </xf>
    <xf numFmtId="3" fontId="7" fillId="0" borderId="32" xfId="0" applyNumberFormat="1" applyFont="1" applyBorder="1" applyAlignment="1">
      <alignment horizontal="center" vertical="center"/>
    </xf>
    <xf numFmtId="0" fontId="21" fillId="0" borderId="20" xfId="0" applyFont="1" applyBorder="1" applyAlignment="1">
      <alignment horizontal="left" vertical="center" wrapText="1"/>
    </xf>
    <xf numFmtId="0" fontId="21" fillId="0" borderId="21" xfId="0" applyFont="1" applyBorder="1" applyAlignment="1">
      <alignment horizontal="left" vertical="center" wrapText="1"/>
    </xf>
    <xf numFmtId="0" fontId="21" fillId="0" borderId="21" xfId="0" applyFont="1" applyBorder="1" applyAlignment="1">
      <alignment horizontal="right" vertical="center" wrapText="1"/>
    </xf>
    <xf numFmtId="4" fontId="21" fillId="0" borderId="21" xfId="0" applyNumberFormat="1" applyFont="1" applyBorder="1" applyAlignment="1">
      <alignment horizontal="right" vertical="center" wrapText="1"/>
    </xf>
    <xf numFmtId="165" fontId="21" fillId="0" borderId="21" xfId="0" applyNumberFormat="1" applyFont="1" applyBorder="1" applyAlignment="1">
      <alignment horizontal="right" vertical="center" wrapText="1"/>
    </xf>
    <xf numFmtId="4" fontId="4" fillId="0" borderId="15" xfId="0" applyNumberFormat="1" applyFont="1" applyFill="1" applyBorder="1" applyAlignment="1">
      <alignment horizontal="right"/>
    </xf>
    <xf numFmtId="3" fontId="7" fillId="0" borderId="19" xfId="0" applyNumberFormat="1" applyFont="1" applyFill="1" applyBorder="1" applyAlignment="1">
      <alignment horizontal="center" vertical="center" wrapText="1"/>
    </xf>
    <xf numFmtId="3" fontId="7" fillId="0" borderId="31" xfId="0" applyNumberFormat="1" applyFont="1" applyFill="1" applyBorder="1" applyAlignment="1">
      <alignment horizontal="center" vertical="center" wrapText="1"/>
    </xf>
    <xf numFmtId="3" fontId="10" fillId="8" borderId="19" xfId="0" applyNumberFormat="1" applyFont="1" applyFill="1" applyBorder="1" applyAlignment="1">
      <alignment horizontal="center" vertical="center"/>
    </xf>
    <xf numFmtId="0" fontId="3" fillId="4" borderId="16" xfId="0" applyFont="1" applyFill="1" applyBorder="1" applyAlignment="1">
      <alignment horizontal="left" vertical="center" wrapText="1"/>
    </xf>
    <xf numFmtId="0" fontId="14" fillId="4" borderId="17" xfId="0" applyFont="1" applyFill="1" applyBorder="1" applyAlignment="1">
      <alignment horizontal="left" vertical="center" wrapText="1"/>
    </xf>
    <xf numFmtId="0" fontId="10" fillId="0" borderId="20" xfId="0" applyFont="1" applyBorder="1" applyAlignment="1">
      <alignment horizontal="justify" vertical="center" wrapText="1"/>
    </xf>
    <xf numFmtId="0" fontId="10" fillId="0" borderId="21" xfId="0" applyFont="1" applyBorder="1" applyAlignment="1">
      <alignment horizontal="justify" vertical="center" wrapText="1"/>
    </xf>
    <xf numFmtId="0" fontId="7" fillId="0" borderId="20" xfId="0" applyFont="1" applyBorder="1" applyAlignment="1">
      <alignment horizontal="justify" vertical="center" wrapText="1"/>
    </xf>
    <xf numFmtId="0" fontId="7" fillId="0" borderId="21" xfId="0" applyFont="1" applyBorder="1" applyAlignment="1">
      <alignment horizontal="justify" vertical="center" wrapText="1"/>
    </xf>
    <xf numFmtId="0" fontId="4" fillId="12" borderId="2" xfId="0" applyFont="1" applyFill="1" applyBorder="1" applyAlignment="1">
      <alignment horizontal="left" wrapText="1"/>
    </xf>
    <xf numFmtId="0" fontId="4" fillId="12" borderId="1" xfId="0" applyFont="1" applyFill="1" applyBorder="1" applyAlignment="1">
      <alignment horizontal="left" wrapText="1"/>
    </xf>
    <xf numFmtId="165" fontId="4" fillId="12" borderId="1" xfId="0" applyNumberFormat="1" applyFont="1" applyFill="1" applyBorder="1" applyAlignment="1">
      <alignment horizontal="right" wrapText="1"/>
    </xf>
    <xf numFmtId="165" fontId="4" fillId="12" borderId="15" xfId="0" applyNumberFormat="1" applyFont="1" applyFill="1" applyBorder="1" applyAlignment="1">
      <alignment horizontal="right"/>
    </xf>
    <xf numFmtId="0" fontId="4" fillId="12" borderId="13" xfId="0" applyFont="1" applyFill="1" applyBorder="1" applyAlignment="1">
      <alignment horizontal="left" wrapText="1"/>
    </xf>
    <xf numFmtId="166" fontId="4" fillId="12" borderId="1" xfId="0" applyNumberFormat="1" applyFont="1" applyFill="1" applyBorder="1" applyAlignment="1">
      <alignment horizontal="right" wrapText="1"/>
    </xf>
    <xf numFmtId="0" fontId="0" fillId="0" borderId="0" xfId="0" applyAlignment="1">
      <alignment horizontal="left"/>
    </xf>
    <xf numFmtId="0" fontId="4" fillId="12" borderId="3" xfId="0" applyFont="1" applyFill="1" applyBorder="1" applyAlignment="1">
      <alignment horizontal="right" wrapText="1"/>
    </xf>
    <xf numFmtId="167" fontId="7" fillId="0" borderId="31" xfId="0" applyNumberFormat="1" applyFont="1" applyFill="1" applyBorder="1" applyAlignment="1">
      <alignment horizontal="center" vertical="center" wrapText="1"/>
    </xf>
    <xf numFmtId="3" fontId="10" fillId="12" borderId="19" xfId="0" applyNumberFormat="1" applyFont="1" applyFill="1" applyBorder="1" applyAlignment="1">
      <alignment horizontal="right" vertical="center"/>
    </xf>
    <xf numFmtId="0" fontId="10" fillId="12" borderId="19" xfId="0" applyFont="1" applyFill="1" applyBorder="1" applyAlignment="1">
      <alignment horizontal="right" vertical="center"/>
    </xf>
    <xf numFmtId="4" fontId="21" fillId="0" borderId="16" xfId="0" applyNumberFormat="1" applyFont="1" applyBorder="1" applyAlignment="1">
      <alignment vertical="center" wrapText="1"/>
    </xf>
    <xf numFmtId="166" fontId="21" fillId="0" borderId="16" xfId="0" applyNumberFormat="1" applyFont="1" applyBorder="1" applyAlignment="1">
      <alignment vertical="center" wrapText="1"/>
    </xf>
    <xf numFmtId="0" fontId="21" fillId="0" borderId="16" xfId="0" applyFont="1" applyBorder="1" applyAlignment="1">
      <alignment vertical="center" wrapText="1"/>
    </xf>
    <xf numFmtId="0" fontId="3" fillId="4" borderId="16" xfId="0" applyFont="1" applyFill="1" applyBorder="1" applyAlignment="1">
      <alignment horizontal="center" vertical="center" wrapText="1"/>
    </xf>
    <xf numFmtId="0" fontId="3" fillId="4" borderId="17" xfId="0" applyFont="1" applyFill="1" applyBorder="1" applyAlignment="1">
      <alignment horizontal="center" vertical="center" wrapText="1"/>
    </xf>
    <xf numFmtId="0" fontId="10" fillId="0" borderId="20" xfId="0" applyFont="1" applyBorder="1" applyAlignment="1">
      <alignment horizontal="center" vertical="center" wrapText="1"/>
    </xf>
    <xf numFmtId="0" fontId="10" fillId="0" borderId="2" xfId="0" applyFont="1" applyBorder="1" applyAlignment="1">
      <alignment horizontal="center" vertical="center" wrapText="1"/>
    </xf>
    <xf numFmtId="165" fontId="10" fillId="0" borderId="1" xfId="0" applyNumberFormat="1" applyFont="1" applyBorder="1" applyAlignment="1">
      <alignment horizontal="center" vertical="center" wrapText="1"/>
    </xf>
    <xf numFmtId="0" fontId="10" fillId="0" borderId="7" xfId="0" applyFont="1" applyBorder="1" applyAlignment="1">
      <alignment horizontal="center" vertical="center" wrapText="1"/>
    </xf>
    <xf numFmtId="165" fontId="10" fillId="0" borderId="8" xfId="0" applyNumberFormat="1" applyFont="1" applyBorder="1" applyAlignment="1">
      <alignment horizontal="center" vertical="center" wrapText="1"/>
    </xf>
    <xf numFmtId="0" fontId="3" fillId="4" borderId="56" xfId="0" applyFont="1" applyFill="1" applyBorder="1" applyAlignment="1">
      <alignment horizontal="center" vertical="center" wrapText="1"/>
    </xf>
    <xf numFmtId="0" fontId="3" fillId="4" borderId="10" xfId="0" applyFont="1" applyFill="1" applyBorder="1" applyAlignment="1">
      <alignment horizontal="center" vertical="center" wrapText="1"/>
    </xf>
    <xf numFmtId="0" fontId="3" fillId="4" borderId="11" xfId="0" applyFont="1" applyFill="1" applyBorder="1" applyAlignment="1">
      <alignment horizontal="center" vertical="center" wrapText="1"/>
    </xf>
    <xf numFmtId="0" fontId="3" fillId="4" borderId="12" xfId="0" applyFont="1" applyFill="1" applyBorder="1" applyAlignment="1">
      <alignment horizontal="center" vertical="center" wrapText="1"/>
    </xf>
    <xf numFmtId="0" fontId="10" fillId="0" borderId="59" xfId="0" applyFont="1" applyBorder="1" applyAlignment="1">
      <alignment horizontal="center" vertical="center" wrapText="1"/>
    </xf>
    <xf numFmtId="165" fontId="10" fillId="0" borderId="13" xfId="0" applyNumberFormat="1" applyFont="1" applyBorder="1" applyAlignment="1">
      <alignment horizontal="center" vertical="center" wrapText="1"/>
    </xf>
    <xf numFmtId="165" fontId="20" fillId="4" borderId="57" xfId="0" applyNumberFormat="1" applyFont="1" applyFill="1" applyBorder="1" applyAlignment="1">
      <alignment horizontal="center" vertical="center" wrapText="1"/>
    </xf>
    <xf numFmtId="0" fontId="20" fillId="4" borderId="58" xfId="0" applyFont="1" applyFill="1" applyBorder="1" applyAlignment="1">
      <alignment horizontal="center" vertical="center" wrapText="1"/>
    </xf>
    <xf numFmtId="0" fontId="14" fillId="4" borderId="10" xfId="0" applyFont="1" applyFill="1" applyBorder="1" applyAlignment="1">
      <alignment horizontal="center" vertical="center" wrapText="1"/>
    </xf>
    <xf numFmtId="0" fontId="14" fillId="4" borderId="11" xfId="0" applyFont="1" applyFill="1" applyBorder="1" applyAlignment="1">
      <alignment horizontal="center" vertical="center" wrapText="1"/>
    </xf>
    <xf numFmtId="0" fontId="14" fillId="4" borderId="12" xfId="0" applyFont="1" applyFill="1" applyBorder="1" applyAlignment="1">
      <alignment horizontal="center" vertical="center" wrapText="1"/>
    </xf>
    <xf numFmtId="0" fontId="9" fillId="4" borderId="58" xfId="0" applyFont="1" applyFill="1" applyBorder="1" applyAlignment="1">
      <alignment horizontal="center" vertical="center" wrapText="1"/>
    </xf>
    <xf numFmtId="165" fontId="9" fillId="4" borderId="57" xfId="0" applyNumberFormat="1" applyFont="1" applyFill="1" applyBorder="1" applyAlignment="1">
      <alignment horizontal="center" vertical="center" wrapText="1"/>
    </xf>
    <xf numFmtId="0" fontId="7" fillId="0" borderId="18" xfId="0" applyFont="1" applyBorder="1" applyAlignment="1">
      <alignment vertical="center" wrapText="1"/>
    </xf>
    <xf numFmtId="0" fontId="7" fillId="0" borderId="16" xfId="0" applyFont="1" applyBorder="1" applyAlignment="1">
      <alignment vertical="center"/>
    </xf>
    <xf numFmtId="0" fontId="7" fillId="5" borderId="16" xfId="0" applyFont="1" applyFill="1" applyBorder="1" applyAlignment="1">
      <alignment vertical="center" wrapText="1"/>
    </xf>
    <xf numFmtId="0" fontId="28" fillId="0" borderId="16" xfId="4" applyBorder="1" applyAlignment="1">
      <alignment vertical="center" wrapText="1"/>
    </xf>
    <xf numFmtId="0" fontId="7" fillId="0" borderId="0" xfId="0" applyFont="1" applyBorder="1" applyAlignment="1">
      <alignment vertical="center" wrapText="1"/>
    </xf>
    <xf numFmtId="0" fontId="7" fillId="0" borderId="0" xfId="0" applyFont="1" applyBorder="1" applyAlignment="1">
      <alignment vertical="center"/>
    </xf>
    <xf numFmtId="0" fontId="28" fillId="0" borderId="0" xfId="4" applyBorder="1" applyAlignment="1">
      <alignment vertical="center" wrapText="1"/>
    </xf>
    <xf numFmtId="0" fontId="7" fillId="0" borderId="0" xfId="0" applyFont="1" applyFill="1" applyBorder="1" applyAlignment="1">
      <alignment vertical="center" wrapText="1"/>
    </xf>
    <xf numFmtId="0" fontId="30" fillId="0" borderId="16" xfId="4" applyFont="1" applyBorder="1" applyAlignment="1">
      <alignment vertical="center" wrapText="1"/>
    </xf>
    <xf numFmtId="0" fontId="7" fillId="0" borderId="62" xfId="0" applyFont="1" applyBorder="1" applyAlignment="1">
      <alignment vertical="center" wrapText="1"/>
    </xf>
    <xf numFmtId="0" fontId="18" fillId="0" borderId="61" xfId="0" applyFont="1" applyBorder="1" applyAlignment="1">
      <alignment vertical="center" wrapText="1"/>
    </xf>
    <xf numFmtId="0" fontId="0" fillId="12" borderId="0" xfId="0" applyFill="1"/>
    <xf numFmtId="0" fontId="0" fillId="11" borderId="0" xfId="0" applyFill="1" applyAlignment="1">
      <alignment horizontal="left"/>
    </xf>
    <xf numFmtId="0" fontId="0" fillId="2" borderId="0" xfId="0" applyFill="1" applyAlignment="1">
      <alignment horizontal="left"/>
    </xf>
    <xf numFmtId="166" fontId="0" fillId="0" borderId="0" xfId="0" applyNumberFormat="1"/>
    <xf numFmtId="0" fontId="7" fillId="0" borderId="0" xfId="0" applyFont="1" applyAlignment="1">
      <alignment horizontal="justify" vertical="center"/>
    </xf>
    <xf numFmtId="0" fontId="7" fillId="2" borderId="0" xfId="0" applyFont="1" applyFill="1" applyAlignment="1">
      <alignment horizontal="justify" vertical="center"/>
    </xf>
    <xf numFmtId="166" fontId="0" fillId="0" borderId="0" xfId="0" applyNumberFormat="1" applyAlignment="1">
      <alignment vertical="center"/>
    </xf>
    <xf numFmtId="0" fontId="21" fillId="0" borderId="0" xfId="0" applyFont="1" applyBorder="1" applyAlignment="1">
      <alignment horizontal="right" vertical="center" wrapText="1"/>
    </xf>
    <xf numFmtId="168" fontId="21" fillId="0" borderId="0" xfId="0" applyNumberFormat="1" applyFont="1" applyBorder="1" applyAlignment="1">
      <alignment horizontal="left" vertical="center" wrapText="1"/>
    </xf>
    <xf numFmtId="166" fontId="0" fillId="14" borderId="0" xfId="0" applyNumberFormat="1" applyFill="1"/>
    <xf numFmtId="0" fontId="7" fillId="14" borderId="0" xfId="0" applyFont="1" applyFill="1" applyAlignment="1">
      <alignment horizontal="justify" vertical="center"/>
    </xf>
    <xf numFmtId="166" fontId="21" fillId="0" borderId="21" xfId="0" applyNumberFormat="1" applyFont="1" applyBorder="1" applyAlignment="1">
      <alignment horizontal="left" vertical="center" wrapText="1"/>
    </xf>
    <xf numFmtId="165" fontId="10" fillId="0" borderId="8" xfId="0" applyNumberFormat="1" applyFont="1" applyFill="1" applyBorder="1" applyAlignment="1">
      <alignment horizontal="center" vertical="center" wrapText="1"/>
    </xf>
    <xf numFmtId="165" fontId="10" fillId="0" borderId="13" xfId="0" applyNumberFormat="1" applyFont="1" applyFill="1" applyBorder="1" applyAlignment="1">
      <alignment horizontal="center" vertical="center" wrapText="1"/>
    </xf>
    <xf numFmtId="165" fontId="10" fillId="0" borderId="1" xfId="0" applyNumberFormat="1" applyFont="1" applyFill="1" applyBorder="1" applyAlignment="1">
      <alignment horizontal="center" vertical="center" wrapText="1"/>
    </xf>
    <xf numFmtId="2" fontId="10" fillId="0" borderId="19" xfId="0" applyNumberFormat="1" applyFont="1" applyBorder="1" applyAlignment="1">
      <alignment horizontal="center" vertical="center"/>
    </xf>
    <xf numFmtId="2" fontId="10" fillId="0" borderId="19" xfId="0" applyNumberFormat="1" applyFont="1" applyBorder="1" applyAlignment="1">
      <alignment horizontal="center" vertical="center" wrapText="1"/>
    </xf>
    <xf numFmtId="2" fontId="9" fillId="4" borderId="21" xfId="0" applyNumberFormat="1" applyFont="1" applyFill="1" applyBorder="1" applyAlignment="1">
      <alignment horizontal="center" vertical="center"/>
    </xf>
    <xf numFmtId="165" fontId="0" fillId="0" borderId="0" xfId="0" applyNumberFormat="1"/>
    <xf numFmtId="2" fontId="9" fillId="4" borderId="21" xfId="0" applyNumberFormat="1" applyFont="1" applyFill="1" applyBorder="1" applyAlignment="1">
      <alignment horizontal="center" vertical="center" wrapText="1"/>
    </xf>
    <xf numFmtId="43" fontId="9" fillId="4" borderId="21" xfId="3" applyFont="1" applyFill="1" applyBorder="1" applyAlignment="1">
      <alignment horizontal="right" vertical="center"/>
    </xf>
    <xf numFmtId="2" fontId="10" fillId="0" borderId="46" xfId="0" applyNumberFormat="1" applyFont="1" applyBorder="1" applyAlignment="1">
      <alignment horizontal="right" vertical="center" wrapText="1"/>
    </xf>
    <xf numFmtId="2" fontId="10" fillId="0" borderId="47" xfId="0" applyNumberFormat="1" applyFont="1" applyBorder="1" applyAlignment="1">
      <alignment horizontal="right" vertical="center" wrapText="1"/>
    </xf>
    <xf numFmtId="2" fontId="9" fillId="4" borderId="47" xfId="0" applyNumberFormat="1" applyFont="1" applyFill="1" applyBorder="1" applyAlignment="1">
      <alignment horizontal="right" vertical="center" wrapText="1"/>
    </xf>
    <xf numFmtId="0" fontId="4" fillId="14" borderId="1" xfId="0" quotePrefix="1" applyFont="1" applyFill="1" applyBorder="1" applyAlignment="1">
      <alignment horizontal="left" wrapText="1"/>
    </xf>
    <xf numFmtId="0" fontId="0" fillId="0" borderId="0" xfId="0" applyBorder="1"/>
    <xf numFmtId="0" fontId="0" fillId="0" borderId="1" xfId="0" pivotButton="1" applyBorder="1" applyAlignment="1">
      <alignment wrapText="1"/>
    </xf>
    <xf numFmtId="0" fontId="0" fillId="0" borderId="1" xfId="0" applyBorder="1"/>
    <xf numFmtId="0" fontId="0" fillId="0" borderId="1" xfId="0" applyBorder="1" applyAlignment="1">
      <alignment horizontal="left" wrapText="1"/>
    </xf>
    <xf numFmtId="0" fontId="0" fillId="0" borderId="1" xfId="0" applyNumberFormat="1" applyBorder="1"/>
    <xf numFmtId="0" fontId="0" fillId="0" borderId="1" xfId="0" applyBorder="1" applyAlignment="1">
      <alignment horizontal="left" indent="1"/>
    </xf>
    <xf numFmtId="2" fontId="10" fillId="0" borderId="16" xfId="0" applyNumberFormat="1" applyFont="1" applyBorder="1" applyAlignment="1">
      <alignment horizontal="left" vertical="center" wrapText="1"/>
    </xf>
    <xf numFmtId="2" fontId="29" fillId="0" borderId="0" xfId="0" applyNumberFormat="1" applyFont="1" applyFill="1" applyBorder="1" applyAlignment="1">
      <alignment horizontal="left" vertical="center" wrapText="1"/>
    </xf>
    <xf numFmtId="0" fontId="10" fillId="0" borderId="0" xfId="0" applyFont="1" applyFill="1" applyBorder="1" applyAlignment="1">
      <alignment horizontal="left" vertical="center"/>
    </xf>
    <xf numFmtId="2" fontId="0" fillId="0" borderId="0" xfId="0" applyNumberFormat="1"/>
    <xf numFmtId="0" fontId="0" fillId="16" borderId="0" xfId="0" applyFill="1" applyAlignment="1">
      <alignment horizontal="center" vertical="center" wrapText="1"/>
    </xf>
    <xf numFmtId="0" fontId="0" fillId="16" borderId="0" xfId="0" applyFill="1"/>
    <xf numFmtId="10" fontId="0" fillId="16" borderId="0" xfId="0" applyNumberFormat="1" applyFill="1"/>
    <xf numFmtId="0" fontId="0" fillId="16" borderId="0" xfId="0" applyFill="1" applyAlignment="1">
      <alignment horizontal="center" vertical="top" wrapText="1"/>
    </xf>
    <xf numFmtId="0" fontId="0" fillId="17" borderId="0" xfId="0" applyFill="1" applyAlignment="1">
      <alignment horizontal="center" vertical="center" wrapText="1"/>
    </xf>
    <xf numFmtId="0" fontId="0" fillId="17" borderId="0" xfId="0" applyFill="1"/>
    <xf numFmtId="10" fontId="0" fillId="17" borderId="0" xfId="0" applyNumberFormat="1" applyFill="1"/>
    <xf numFmtId="0" fontId="0" fillId="17" borderId="0" xfId="0" applyFill="1" applyAlignment="1">
      <alignment horizontal="center" wrapText="1"/>
    </xf>
    <xf numFmtId="0" fontId="0" fillId="15" borderId="0" xfId="0" applyFill="1" applyAlignment="1">
      <alignment horizontal="right"/>
    </xf>
    <xf numFmtId="0" fontId="0" fillId="15" borderId="0" xfId="0" applyFill="1" applyAlignment="1">
      <alignment horizontal="right" vertical="center"/>
    </xf>
    <xf numFmtId="4" fontId="0" fillId="16" borderId="0" xfId="0" applyNumberFormat="1" applyFill="1" applyAlignment="1">
      <alignment vertical="center"/>
    </xf>
    <xf numFmtId="4" fontId="0" fillId="17" borderId="0" xfId="0" applyNumberFormat="1" applyFill="1" applyAlignment="1">
      <alignment vertical="center"/>
    </xf>
    <xf numFmtId="2" fontId="0" fillId="0" borderId="0" xfId="0" applyNumberFormat="1" applyAlignment="1">
      <alignment horizontal="left"/>
    </xf>
    <xf numFmtId="2" fontId="0" fillId="15" borderId="0" xfId="0" applyNumberFormat="1" applyFill="1" applyAlignment="1">
      <alignment horizontal="left"/>
    </xf>
    <xf numFmtId="4" fontId="0" fillId="15" borderId="0" xfId="0" applyNumberFormat="1" applyFill="1" applyAlignment="1">
      <alignment horizontal="left" vertical="center"/>
    </xf>
    <xf numFmtId="0" fontId="32" fillId="0" borderId="0" xfId="0" applyFont="1"/>
    <xf numFmtId="3" fontId="32" fillId="0" borderId="0" xfId="0" applyNumberFormat="1" applyFont="1"/>
    <xf numFmtId="0" fontId="3" fillId="0" borderId="18" xfId="0" applyFont="1" applyBorder="1" applyAlignment="1">
      <alignment vertical="center" wrapText="1"/>
    </xf>
    <xf numFmtId="4" fontId="4" fillId="0" borderId="19" xfId="0" applyNumberFormat="1" applyFont="1" applyBorder="1" applyAlignment="1">
      <alignment vertical="center" wrapText="1"/>
    </xf>
    <xf numFmtId="0" fontId="3" fillId="0" borderId="20" xfId="0" applyFont="1" applyBorder="1" applyAlignment="1">
      <alignment vertical="center" wrapText="1"/>
    </xf>
    <xf numFmtId="4" fontId="4" fillId="0" borderId="21" xfId="0" applyNumberFormat="1" applyFont="1" applyBorder="1" applyAlignment="1">
      <alignment vertical="center" wrapText="1"/>
    </xf>
    <xf numFmtId="3" fontId="10" fillId="0" borderId="9" xfId="0" applyNumberFormat="1" applyFont="1" applyFill="1" applyBorder="1" applyAlignment="1">
      <alignment horizontal="center" vertical="center" wrapText="1"/>
    </xf>
    <xf numFmtId="3" fontId="10" fillId="0" borderId="3" xfId="0" applyNumberFormat="1" applyFont="1" applyFill="1" applyBorder="1" applyAlignment="1">
      <alignment horizontal="center" vertical="center" wrapText="1"/>
    </xf>
    <xf numFmtId="3" fontId="10" fillId="0" borderId="60" xfId="0" applyNumberFormat="1" applyFont="1" applyFill="1" applyBorder="1" applyAlignment="1">
      <alignment horizontal="center" vertical="center" wrapText="1"/>
    </xf>
    <xf numFmtId="0" fontId="10" fillId="0" borderId="9" xfId="0" applyFont="1" applyFill="1" applyBorder="1" applyAlignment="1">
      <alignment horizontal="center" vertical="center" wrapText="1"/>
    </xf>
    <xf numFmtId="0" fontId="10" fillId="0" borderId="3" xfId="0" applyFont="1" applyFill="1" applyBorder="1" applyAlignment="1">
      <alignment horizontal="center" vertical="center" wrapText="1"/>
    </xf>
    <xf numFmtId="0" fontId="10" fillId="0" borderId="60" xfId="0" applyFont="1" applyFill="1" applyBorder="1" applyAlignment="1">
      <alignment horizontal="center" vertical="center" wrapText="1"/>
    </xf>
    <xf numFmtId="3" fontId="20" fillId="4" borderId="58" xfId="0" applyNumberFormat="1" applyFont="1" applyFill="1" applyBorder="1" applyAlignment="1">
      <alignment horizontal="center" vertical="center" wrapText="1"/>
    </xf>
    <xf numFmtId="0" fontId="4" fillId="0" borderId="0" xfId="0" applyFont="1" applyFill="1" applyBorder="1" applyAlignment="1">
      <alignment horizontal="left" wrapText="1"/>
    </xf>
    <xf numFmtId="0" fontId="4" fillId="0" borderId="0" xfId="0" applyFont="1" applyFill="1" applyAlignment="1"/>
    <xf numFmtId="0" fontId="29" fillId="0" borderId="29" xfId="0" applyFont="1" applyFill="1" applyBorder="1" applyAlignment="1">
      <alignment horizontal="center" vertical="center" wrapText="1"/>
    </xf>
    <xf numFmtId="0" fontId="29" fillId="0" borderId="0" xfId="0" applyFont="1" applyFill="1" applyBorder="1" applyAlignment="1">
      <alignment horizontal="center" vertical="center" wrapText="1"/>
    </xf>
    <xf numFmtId="0" fontId="29" fillId="0" borderId="23" xfId="0" applyFont="1" applyFill="1" applyBorder="1" applyAlignment="1">
      <alignment horizontal="center" vertical="center" wrapText="1"/>
    </xf>
    <xf numFmtId="0" fontId="10" fillId="0" borderId="24" xfId="0" applyFont="1" applyBorder="1" applyAlignment="1">
      <alignment horizontal="left" vertical="center" wrapText="1"/>
    </xf>
    <xf numFmtId="0" fontId="10" fillId="0" borderId="22" xfId="0" applyFont="1" applyBorder="1" applyAlignment="1">
      <alignment horizontal="left" vertical="center" wrapText="1"/>
    </xf>
    <xf numFmtId="0" fontId="10" fillId="0" borderId="18" xfId="0" applyFont="1" applyBorder="1" applyAlignment="1">
      <alignment horizontal="left" vertical="center" wrapText="1"/>
    </xf>
    <xf numFmtId="0" fontId="10" fillId="0" borderId="24" xfId="0" applyFont="1" applyBorder="1" applyAlignment="1">
      <alignment horizontal="center" vertical="center" wrapText="1"/>
    </xf>
    <xf numFmtId="0" fontId="10" fillId="0" borderId="22" xfId="0" applyFont="1" applyBorder="1" applyAlignment="1">
      <alignment horizontal="center" vertical="center" wrapText="1"/>
    </xf>
    <xf numFmtId="0" fontId="10" fillId="0" borderId="18" xfId="0" applyFont="1" applyBorder="1" applyAlignment="1">
      <alignment horizontal="center" vertical="center" wrapText="1"/>
    </xf>
    <xf numFmtId="0" fontId="7" fillId="0" borderId="29" xfId="0" applyFont="1" applyBorder="1" applyAlignment="1">
      <alignment vertical="center" wrapText="1"/>
    </xf>
    <xf numFmtId="0" fontId="7" fillId="0" borderId="24" xfId="0" applyFont="1" applyBorder="1" applyAlignment="1">
      <alignment horizontal="left" vertical="center" wrapText="1"/>
    </xf>
    <xf numFmtId="0" fontId="7" fillId="0" borderId="18" xfId="0" applyFont="1" applyBorder="1" applyAlignment="1">
      <alignment horizontal="left" vertical="center" wrapText="1"/>
    </xf>
    <xf numFmtId="0" fontId="10" fillId="0" borderId="24" xfId="0" applyFont="1" applyBorder="1" applyAlignment="1">
      <alignment horizontal="left" vertical="center"/>
    </xf>
    <xf numFmtId="0" fontId="10" fillId="0" borderId="18" xfId="0" applyFont="1" applyBorder="1" applyAlignment="1">
      <alignment horizontal="left" vertical="center"/>
    </xf>
    <xf numFmtId="0" fontId="10" fillId="0" borderId="28" xfId="0" applyFont="1" applyBorder="1" applyAlignment="1">
      <alignment horizontal="left" vertical="center" wrapText="1"/>
    </xf>
    <xf numFmtId="0" fontId="10" fillId="0" borderId="28" xfId="0" applyFont="1" applyBorder="1" applyAlignment="1">
      <alignment horizontal="center" vertical="center" wrapText="1"/>
    </xf>
    <xf numFmtId="166" fontId="0" fillId="0" borderId="0" xfId="0" applyNumberFormat="1" applyAlignment="1">
      <alignment horizontal="center" vertical="center"/>
    </xf>
    <xf numFmtId="0" fontId="10" fillId="0" borderId="20" xfId="0" applyFont="1" applyBorder="1" applyAlignment="1">
      <alignment horizontal="left" vertical="center" wrapText="1"/>
    </xf>
    <xf numFmtId="0" fontId="10" fillId="0" borderId="20" xfId="0" applyFont="1" applyBorder="1" applyAlignment="1">
      <alignment horizontal="center" vertical="center" wrapText="1"/>
    </xf>
    <xf numFmtId="0" fontId="7" fillId="0" borderId="28" xfId="0" applyFont="1" applyBorder="1" applyAlignment="1">
      <alignment vertical="center" wrapText="1"/>
    </xf>
    <xf numFmtId="0" fontId="7" fillId="0" borderId="20" xfId="0" applyFont="1" applyBorder="1" applyAlignment="1">
      <alignment vertical="center" wrapText="1"/>
    </xf>
    <xf numFmtId="9" fontId="7" fillId="0" borderId="28" xfId="0" applyNumberFormat="1" applyFont="1" applyBorder="1" applyAlignment="1">
      <alignment vertical="center" wrapText="1"/>
    </xf>
    <xf numFmtId="9" fontId="7" fillId="0" borderId="20" xfId="0" applyNumberFormat="1" applyFont="1" applyBorder="1" applyAlignment="1">
      <alignment vertical="center" wrapText="1"/>
    </xf>
    <xf numFmtId="9" fontId="7" fillId="0" borderId="28" xfId="0" applyNumberFormat="1" applyFont="1" applyBorder="1" applyAlignment="1">
      <alignment vertical="center"/>
    </xf>
    <xf numFmtId="9" fontId="7" fillId="0" borderId="20" xfId="0" applyNumberFormat="1" applyFont="1" applyBorder="1" applyAlignment="1">
      <alignment vertical="center"/>
    </xf>
    <xf numFmtId="0" fontId="7" fillId="0" borderId="28" xfId="0" applyFont="1" applyBorder="1" applyAlignment="1">
      <alignment vertical="center"/>
    </xf>
    <xf numFmtId="0" fontId="7" fillId="0" borderId="20" xfId="0" applyFont="1" applyBorder="1" applyAlignment="1">
      <alignment vertical="center"/>
    </xf>
    <xf numFmtId="0" fontId="7" fillId="0" borderId="22" xfId="0" applyFont="1" applyBorder="1" applyAlignment="1">
      <alignment vertical="center" wrapText="1"/>
    </xf>
    <xf numFmtId="10" fontId="7" fillId="0" borderId="28" xfId="0" applyNumberFormat="1" applyFont="1" applyBorder="1" applyAlignment="1">
      <alignment vertical="center" wrapText="1"/>
    </xf>
    <xf numFmtId="10" fontId="7" fillId="0" borderId="20" xfId="0" applyNumberFormat="1" applyFont="1" applyBorder="1" applyAlignment="1">
      <alignment vertical="center" wrapText="1"/>
    </xf>
    <xf numFmtId="10" fontId="7" fillId="0" borderId="28" xfId="0" applyNumberFormat="1" applyFont="1" applyBorder="1" applyAlignment="1">
      <alignment vertical="center"/>
    </xf>
    <xf numFmtId="10" fontId="7" fillId="0" borderId="20" xfId="0" applyNumberFormat="1" applyFont="1" applyBorder="1" applyAlignment="1">
      <alignment vertical="center"/>
    </xf>
    <xf numFmtId="0" fontId="10" fillId="0" borderId="22" xfId="0" applyFont="1" applyBorder="1" applyAlignment="1">
      <alignment horizontal="left" vertical="center"/>
    </xf>
    <xf numFmtId="0" fontId="10" fillId="0" borderId="20" xfId="0" applyFont="1" applyBorder="1" applyAlignment="1">
      <alignment horizontal="left" vertical="center"/>
    </xf>
    <xf numFmtId="2" fontId="10" fillId="12" borderId="16" xfId="0" applyNumberFormat="1" applyFont="1" applyFill="1" applyBorder="1" applyAlignment="1">
      <alignment horizontal="left" vertical="center" wrapText="1"/>
    </xf>
  </cellXfs>
  <cellStyles count="6">
    <cellStyle name="Comma" xfId="3" builtinId="3"/>
    <cellStyle name="Hyperlink" xfId="4" builtinId="8"/>
    <cellStyle name="Normal" xfId="0" builtinId="0"/>
    <cellStyle name="Normal 3" xfId="2"/>
    <cellStyle name="Normal 5" xfId="1"/>
    <cellStyle name="Percent" xfId="5" builtinId="5"/>
  </cellStyles>
  <dxfs count="18">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alignment wrapText="1" indent="0" readingOrder="0"/>
    </dxf>
    <dxf>
      <alignment wrapText="1" indent="0" readingOrder="0"/>
    </dxf>
    <dxf>
      <alignment wrapText="1" indent="0" readingOrder="0"/>
    </dxf>
    <dxf>
      <alignment wrapText="1" indent="0" readingOrder="0"/>
    </dxf>
    <dxf>
      <alignment wrapText="1" indent="0" readingOrder="0"/>
    </dxf>
    <dxf>
      <numFmt numFmtId="168" formatCode="&quot;$&quot;#,##0.00"/>
    </dxf>
    <dxf>
      <numFmt numFmtId="166" formatCode="&quot;$&quot;#,##0"/>
    </dxf>
    <dxf>
      <numFmt numFmtId="2" formatCode="0.00"/>
    </dxf>
    <dxf>
      <numFmt numFmtId="168" formatCode="&quot;$&quot;#,##0.00"/>
    </dxf>
    <dxf>
      <numFmt numFmtId="168" formatCode="&quot;$&quot;#,##0.00"/>
    </dxf>
  </dxfs>
  <tableStyles count="0" defaultTableStyle="TableStyleMedium2" defaultPivotStyle="PivotStyleLight16"/>
  <colors>
    <mruColors>
      <color rgb="FFCC99FF"/>
      <color rgb="FFCE9A8C"/>
      <color rgb="FF996600"/>
      <color rgb="FFFF00F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pivotCacheDefinition" Target="pivotCache/pivotCacheDefinition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54" Type="http://schemas.openxmlformats.org/officeDocument/2006/relationships/worksheet" Target="worksheets/sheet5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pivotCacheDefinition" Target="pivotCache/pivotCacheDefinition3.xml"/><Relationship Id="rId61"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pivotCacheDefinition" Target="pivotCache/pivotCacheDefinition2.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styles" Target="styles.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2.xml"/></Relationships>
</file>

<file path=xl/pivotCache/_rels/pivotCacheDefinition3.xml.rels><?xml version="1.0" encoding="UTF-8" standalone="yes"?>
<Relationships xmlns="http://schemas.openxmlformats.org/package/2006/relationships"><Relationship Id="rId1" Type="http://schemas.openxmlformats.org/officeDocument/2006/relationships/pivotCacheRecords" Target="pivotCacheRecords3.xml"/></Relationships>
</file>

<file path=xl/pivotCache/pivotCacheDefinition1.xml><?xml version="1.0" encoding="utf-8"?>
<pivotCacheDefinition xmlns="http://schemas.openxmlformats.org/spreadsheetml/2006/main" xmlns:r="http://schemas.openxmlformats.org/officeDocument/2006/relationships" r:id="rId1" refreshedBy="Davis, Sara" refreshedDate="41968.770854282404" createdVersion="5" refreshedVersion="5" minRefreshableVersion="3" recordCount="169">
  <cacheSource type="worksheet">
    <worksheetSource ref="A1:R1048576" sheet="Lake O projects"/>
  </cacheSource>
  <cacheFields count="18">
    <cacheField name="Project Number" numFmtId="0">
      <sharedItems containsBlank="1"/>
    </cacheField>
    <cacheField name="Project Name" numFmtId="0">
      <sharedItems containsBlank="1"/>
    </cacheField>
    <cacheField name="Lead Entity/ Partners" numFmtId="0">
      <sharedItems containsBlank="1"/>
    </cacheField>
    <cacheField name="Type" numFmtId="0">
      <sharedItems containsBlank="1"/>
    </cacheField>
    <cacheField name="Description" numFmtId="0">
      <sharedItems containsBlank="1" longText="1"/>
    </cacheField>
    <cacheField name="Acres Treated" numFmtId="0">
      <sharedItems containsBlank="1" containsMixedTypes="1" containsNumber="1" minValue="0" maxValue="40875"/>
    </cacheField>
    <cacheField name="Cost" numFmtId="166">
      <sharedItems containsBlank="1" containsMixedTypes="1" containsNumber="1" minValue="1928" maxValue="780000000"/>
    </cacheField>
    <cacheField name="Annual O&amp;M Cost" numFmtId="166">
      <sharedItems containsBlank="1" containsMixedTypes="1" containsNumber="1" containsInteger="1" minValue="432" maxValue="2968328"/>
    </cacheField>
    <cacheField name="Funding Sources" numFmtId="0">
      <sharedItems containsBlank="1"/>
    </cacheField>
    <cacheField name="Status" numFmtId="0">
      <sharedItems containsBlank="1" count="14">
        <s v="Ongoing"/>
        <s v="Envisioned, Not Funded"/>
        <s v="Started"/>
        <s v="Completed"/>
        <s v="Planned and Funded"/>
        <s v="Operational"/>
        <s v="In Progress"/>
        <s v="Unknown"/>
        <s v="Started, Partially Funded"/>
        <s v="Completed, Not Operational"/>
        <s v="Completed "/>
        <s v="Under Construction"/>
        <s v="Design/ Permitting"/>
        <m/>
      </sharedItems>
    </cacheField>
    <cacheField name="Start Date" numFmtId="0">
      <sharedItems containsBlank="1" containsMixedTypes="1" containsNumber="1" containsInteger="1" minValue="2009" maxValue="2015"/>
    </cacheField>
    <cacheField name="Completion Date" numFmtId="0">
      <sharedItems containsBlank="1" containsMixedTypes="1" containsNumber="1" containsInteger="1" minValue="2009" maxValue="2016"/>
    </cacheField>
    <cacheField name="TP Reduction (kg/yr)" numFmtId="0">
      <sharedItems containsString="0" containsBlank="1" containsNumber="1" minValue="0" maxValue="103440.74672675639"/>
    </cacheField>
    <cacheField name="TP Reduction (MT/yr)" numFmtId="0">
      <sharedItems containsString="0" containsBlank="1" containsNumber="1" minValue="0" maxValue="70.618246726756382"/>
    </cacheField>
    <cacheField name="TN Reduction (kg/yr)" numFmtId="0">
      <sharedItems containsBlank="1" containsMixedTypes="1" containsNumber="1" minValue="0" maxValue="29174.3"/>
    </cacheField>
    <cacheField name="TN Reduction (MT/yr)" numFmtId="0">
      <sharedItems containsBlank="1" containsMixedTypes="1" containsNumber="1" minValue="0" maxValue="29.174299999999999"/>
    </cacheField>
    <cacheField name="Sub-Watershed" numFmtId="0">
      <sharedItems containsBlank="1"/>
    </cacheField>
    <cacheField name="Entity Type" numFmtId="0">
      <sharedItems containsBlank="1"/>
    </cacheField>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r:id="rId1" refreshedBy="Davis, Sara" refreshedDate="41976.801128703701" createdVersion="5" refreshedVersion="5" minRefreshableVersion="3" recordCount="164">
  <cacheSource type="worksheet">
    <worksheetSource ref="A1:R165" sheet="Lake O projects"/>
  </cacheSource>
  <cacheFields count="18">
    <cacheField name="Project Number" numFmtId="0">
      <sharedItems/>
    </cacheField>
    <cacheField name="Project Name" numFmtId="0">
      <sharedItems/>
    </cacheField>
    <cacheField name="Lead Entity/ Partners" numFmtId="0">
      <sharedItems count="23">
        <s v="City of Avon Park"/>
        <s v="City of Avon Park/ SWFWMD"/>
        <s v="City of Edgewood"/>
        <s v="Glades County"/>
        <s v="City of Kissimmee"/>
        <s v="City of Orlando"/>
        <s v="City of Sebring/ Highlands County"/>
        <s v="City of Sebring"/>
        <s v="FDACS"/>
        <s v="FDOT District 1"/>
        <s v="FDOT District 5"/>
        <s v="Highlands County"/>
        <s v="Highlands County/ SWFWMD"/>
        <s v="Istokpoga Marsh Watershed Improvement District/ Highlands County, SWFWMD, Department, FDACS"/>
        <s v="Okeechobee County"/>
        <s v="Orange County"/>
        <s v="Orange County/ FDOT District 5, City of Edgewood, Department"/>
        <s v="Osceola County"/>
        <s v="Osceola County/ City of Kissimmee"/>
        <s v="Polk County"/>
        <s v="Polk County/ SFWMD"/>
        <s v="SFWMD"/>
        <s v="Spring Lake Improvement District"/>
      </sharedItems>
    </cacheField>
    <cacheField name="Type" numFmtId="0">
      <sharedItems/>
    </cacheField>
    <cacheField name="Description" numFmtId="0">
      <sharedItems longText="1"/>
    </cacheField>
    <cacheField name="Acres Treated" numFmtId="165">
      <sharedItems containsBlank="1" containsMixedTypes="1" containsNumber="1" minValue="0" maxValue="40875"/>
    </cacheField>
    <cacheField name="Cost" numFmtId="166">
      <sharedItems containsMixedTypes="1" containsNumber="1" minValue="1928" maxValue="780000000"/>
    </cacheField>
    <cacheField name="Annual O&amp;M Cost" numFmtId="166">
      <sharedItems containsMixedTypes="1" containsNumber="1" containsInteger="1" minValue="432" maxValue="2968328"/>
    </cacheField>
    <cacheField name="Funding Sources" numFmtId="0">
      <sharedItems/>
    </cacheField>
    <cacheField name="Status" numFmtId="0">
      <sharedItems count="13">
        <s v="Ongoing"/>
        <s v="Envisioned, Not Funded"/>
        <s v="Started"/>
        <s v="Completed"/>
        <s v="Planned and Funded"/>
        <s v="Operational"/>
        <s v="In Progress"/>
        <s v="Unknown"/>
        <s v="Started, Partially Funded"/>
        <s v="Completed, Not Operational"/>
        <s v="Completed "/>
        <s v="Under Construction"/>
        <s v="Design/ Permitting"/>
      </sharedItems>
    </cacheField>
    <cacheField name="Start Date" numFmtId="0">
      <sharedItems containsBlank="1" containsMixedTypes="1" containsNumber="1" containsInteger="1" minValue="2009" maxValue="2015"/>
    </cacheField>
    <cacheField name="Completion Date" numFmtId="0">
      <sharedItems containsMixedTypes="1" containsNumber="1" containsInteger="1" minValue="2009" maxValue="2016" count="31">
        <s v="Ongoing"/>
        <s v="Unknown"/>
        <n v="2015"/>
        <s v="August 2009"/>
        <s v="May 2010"/>
        <s v="February 2012"/>
        <s v="December 2014"/>
        <s v="April 2015"/>
        <s v="July 2011"/>
        <n v="2009"/>
        <n v="2010"/>
        <s v="July 2010"/>
        <s v="June 2010"/>
        <s v="May 2011"/>
        <s v="June 2011"/>
        <s v="November 2010"/>
        <s v="January 2013"/>
        <s v="Completed"/>
        <s v="June 2013"/>
        <n v="2014"/>
        <n v="2016"/>
        <n v="2013"/>
        <s v="October 2014"/>
        <s v="September 2011"/>
        <n v="2012"/>
        <s v="October 2010"/>
        <s v="November 2015"/>
        <s v="June 2016"/>
        <n v="2011"/>
        <s v="2017-2020"/>
        <s v="2015-2016"/>
      </sharedItems>
    </cacheField>
    <cacheField name="TP Reduction (kg/yr)" numFmtId="0">
      <sharedItems containsString="0" containsBlank="1" containsNumber="1" minValue="0" maxValue="17748"/>
    </cacheField>
    <cacheField name="TP Reduction (MT/yr)" numFmtId="0">
      <sharedItems containsSemiMixedTypes="0" containsString="0" containsNumber="1" minValue="0" maxValue="17.748000000000001"/>
    </cacheField>
    <cacheField name="TN Reduction (kg/yr)" numFmtId="0">
      <sharedItems containsBlank="1" containsMixedTypes="1" containsNumber="1" minValue="0" maxValue="29174.3"/>
    </cacheField>
    <cacheField name="TN Reduction (MT/yr)" numFmtId="0">
      <sharedItems containsMixedTypes="1" containsNumber="1" minValue="0" maxValue="29.174299999999999"/>
    </cacheField>
    <cacheField name="Sub-Watershed" numFmtId="0">
      <sharedItems/>
    </cacheField>
    <cacheField name="Entity Type" numFmtId="0">
      <sharedItems/>
    </cacheField>
  </cacheFields>
  <extLst>
    <ext xmlns:x14="http://schemas.microsoft.com/office/spreadsheetml/2009/9/main" uri="{725AE2AE-9491-48be-B2B4-4EB974FC3084}">
      <x14:pivotCacheDefinition/>
    </ext>
  </extLst>
</pivotCacheDefinition>
</file>

<file path=xl/pivotCache/pivotCacheDefinition3.xml><?xml version="1.0" encoding="utf-8"?>
<pivotCacheDefinition xmlns="http://schemas.openxmlformats.org/spreadsheetml/2006/main" xmlns:r="http://schemas.openxmlformats.org/officeDocument/2006/relationships" r:id="rId1" refreshedBy="Davis, Sara" refreshedDate="41978.434389467591" createdVersion="5" refreshedVersion="5" minRefreshableVersion="3" recordCount="169">
  <cacheSource type="worksheet">
    <worksheetSource ref="B1:R1048576" sheet="Lake O projects"/>
  </cacheSource>
  <cacheFields count="17">
    <cacheField name="Project Name" numFmtId="0">
      <sharedItems containsBlank="1"/>
    </cacheField>
    <cacheField name="Lead Entity/ Partners" numFmtId="0">
      <sharedItems containsBlank="1"/>
    </cacheField>
    <cacheField name="Type" numFmtId="0">
      <sharedItems containsBlank="1"/>
    </cacheField>
    <cacheField name="Description" numFmtId="0">
      <sharedItems containsBlank="1" longText="1"/>
    </cacheField>
    <cacheField name="Acres Treated" numFmtId="0">
      <sharedItems containsBlank="1" containsMixedTypes="1" containsNumber="1" minValue="0" maxValue="40875"/>
    </cacheField>
    <cacheField name="Cost" numFmtId="166">
      <sharedItems containsBlank="1" containsMixedTypes="1" containsNumber="1" minValue="1928" maxValue="780000000"/>
    </cacheField>
    <cacheField name="Annual O&amp;M Cost" numFmtId="166">
      <sharedItems containsBlank="1" containsMixedTypes="1" containsNumber="1" containsInteger="1" minValue="432" maxValue="2968328"/>
    </cacheField>
    <cacheField name="Funding Sources" numFmtId="0">
      <sharedItems containsBlank="1"/>
    </cacheField>
    <cacheField name="Status" numFmtId="0">
      <sharedItems containsBlank="1"/>
    </cacheField>
    <cacheField name="Start Date" numFmtId="0">
      <sharedItems containsBlank="1" containsMixedTypes="1" containsNumber="1" containsInteger="1" minValue="2009" maxValue="2015"/>
    </cacheField>
    <cacheField name="Completion Date" numFmtId="0">
      <sharedItems containsBlank="1" containsMixedTypes="1" containsNumber="1" containsInteger="1" minValue="2009" maxValue="2016"/>
    </cacheField>
    <cacheField name="TP Reduction (kg/yr)" numFmtId="0">
      <sharedItems containsString="0" containsBlank="1" containsNumber="1" minValue="0" maxValue="103440.74672675639"/>
    </cacheField>
    <cacheField name="TP Reduction (MT/yr)" numFmtId="0">
      <sharedItems containsString="0" containsBlank="1" containsNumber="1" minValue="0" maxValue="70.618246726756382"/>
    </cacheField>
    <cacheField name="TN Reduction (kg/yr)" numFmtId="0">
      <sharedItems containsBlank="1" containsMixedTypes="1" containsNumber="1" minValue="0" maxValue="29174.3"/>
    </cacheField>
    <cacheField name="TN Reduction (MT/yr)" numFmtId="0">
      <sharedItems containsBlank="1" containsMixedTypes="1" containsNumber="1" minValue="0" maxValue="29.174299999999999" count="112">
        <n v="1.12E-2"/>
        <n v="1.6199999999999999E-2"/>
        <n v="4.9000000000000007E-3"/>
        <n v="1.7299999999999999E-2"/>
        <n v="7.909999999999999E-2"/>
        <n v="0.41389999999999999"/>
        <n v="0.19989999999999999"/>
        <n v="0.27760000000000001"/>
        <n v="0"/>
        <n v="5.7000000000000002E-3"/>
        <n v="9.8000000000000014E-3"/>
        <n v="1.1999999999999999E-3"/>
        <n v="3.3E-3"/>
        <n v="7.0999999999999995E-3"/>
        <n v="2.8E-3"/>
        <n v="3.9299999999999995E-2"/>
        <n v="1.66E-2"/>
        <n v="1.2699999999999999E-2"/>
        <n v="1.72E-2"/>
        <n v="2.0199999999999999E-2"/>
        <n v="1.9600000000000003E-2"/>
        <n v="3.32E-2"/>
        <n v="1.52E-2"/>
        <n v="1.2500000000000001E-2"/>
        <n v="2.2699999999999998E-2"/>
        <n v="1.9899999999999998E-2"/>
        <n v="0.2576"/>
        <n v="3.44"/>
        <n v="0.11840000000000001"/>
        <n v="0.65210000000000001"/>
        <n v="1.722"/>
        <n v="8.3731000000000009"/>
        <n v="29.174299999999999"/>
        <n v="0.37089999999999995"/>
        <n v="0.60209999999999997"/>
        <n v="4.2599999999999999E-2"/>
        <n v="3.9399999999999998E-2"/>
        <n v="5.5299999999999995E-2"/>
        <n v="2.9999999999999997E-4"/>
        <n v="8.9999999999999998E-4"/>
        <n v="6.7000000000000002E-3"/>
        <n v="1.04E-2"/>
        <n v="3.8999999999999998E-3"/>
        <n v="2.3E-3"/>
        <n v="6.9999999999999999E-4"/>
        <n v="6.0999999999999995E-3"/>
        <n v="3.5000000000000001E-3"/>
        <n v="3.3999999999999998E-3"/>
        <n v="5.9999999999999995E-4"/>
        <n v="2.1000000000000003E-3"/>
        <n v="2.5999999999999999E-3"/>
        <n v="2.2000000000000001E-3"/>
        <n v="3.0999999999999999E-3"/>
        <n v="1.2999999999999999E-3"/>
        <n v="0.14480000000000001"/>
        <n v="1.9800000000000002E-2"/>
        <n v="0.36230000000000001"/>
        <n v="0.41520000000000001"/>
        <n v="6.5807000000000002"/>
        <n v="0.53859999999999997"/>
        <n v="2.41E-2"/>
        <e v="#VALUE!"/>
        <n v="1.44E-2"/>
        <n v="5.0000000000000001E-4"/>
        <n v="4.2000000000000006E-3"/>
        <n v="13.247399999999999"/>
        <n v="2.6699999999999998E-2"/>
        <n v="6.6E-3"/>
        <n v="4.7999999999999996E-3"/>
        <n v="1E-4"/>
        <n v="2E-3"/>
        <n v="4.0000000000000002E-4"/>
        <n v="1.6000000000000001E-3"/>
        <n v="1.5E-3"/>
        <n v="1.3099999999999999E-2"/>
        <n v="2.2100000000000002E-2"/>
        <n v="7.17E-2"/>
        <n v="0.55510000000000004"/>
        <n v="3.8E-3"/>
        <n v="3.7000000000000002E-3"/>
        <n v="2.3999999999999998E-3"/>
        <n v="0.21930000000000002"/>
        <n v="1.89E-2"/>
        <n v="2.1299999999999999E-2"/>
        <n v="1.7470000000000001"/>
        <n v="10.612299999999999"/>
        <n v="2.4399999999999998E-2"/>
        <n v="0.3654"/>
        <n v="2.4899999999999999E-2"/>
        <n v="3.0716999999999999"/>
        <n v="1.3800000000000002E-2"/>
        <n v="0.91010000000000002"/>
        <n v="0.52339999999999998"/>
        <n v="0.87390000000000001"/>
        <n v="1.4199999999999999E-2"/>
        <n v="8.7752999999999997"/>
        <n v="4.6200000000000005E-2"/>
        <n v="6.0000000000000001E-3"/>
        <n v="3.3035130351040463E-4"/>
        <n v="3.1513197993192003E-3"/>
        <n v="7.6546603440000019E-3"/>
        <n v="3.3312225376880012E-4"/>
        <n v="0.26492863347008405"/>
        <n v="6.7441802702641667E-3"/>
        <n v="0.32230000000000003"/>
        <n v="1.9699999999999999E-2"/>
        <n v="1.0869000000000002"/>
        <n v="0.40889999999999999"/>
        <n v="4.4381000000000004"/>
        <n v="20.619499999999999"/>
        <n v="3.2899999999999999E-2"/>
        <m/>
      </sharedItems>
    </cacheField>
    <cacheField name="Sub-Watershed" numFmtId="0">
      <sharedItems containsBlank="1" count="7">
        <s v="Lake Istokpoga"/>
        <s v="Upper Kissimmee"/>
        <s v="Fisheating Creek"/>
        <s v="Indian Prairie"/>
        <s v="Taylor Creek/ Nubbin Slough"/>
        <s v="Lower Kissimmee"/>
        <m/>
      </sharedItems>
    </cacheField>
    <cacheField name="Entity Type" numFmtId="0">
      <sharedItems containsBlank="1"/>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count="169">
  <r>
    <s v="AP-1"/>
    <s v="Avon Park Street Sweeping"/>
    <s v="City of Avon Park"/>
    <s v="Street sweeping"/>
    <s v="Street sweeping."/>
    <s v="N/A"/>
    <s v="Unknown"/>
    <s v="Unknown"/>
    <s v="City of Avon Park"/>
    <x v="0"/>
    <s v="N/A"/>
    <s v="Ongoing"/>
    <n v="4.5"/>
    <n v="4.4999999999999997E-3"/>
    <n v="11.2"/>
    <n v="1.12E-2"/>
    <s v="Lake Istokpoga"/>
    <s v="Urban"/>
  </r>
  <r>
    <s v="AP-2"/>
    <s v="Lake Tulane Stormwater Improvement Project"/>
    <s v="City of Avon Park/ SWFWMD"/>
    <s v="Swales"/>
    <s v="The runoff will be captured in a series of swales that will allow the runoff to percolate into the sandy soils, preventing further degradation of Lake Tulane."/>
    <n v="32.1"/>
    <s v="Unknown"/>
    <s v="Unknown"/>
    <s v="City of Avon Park/ SWFWMD"/>
    <x v="1"/>
    <s v="Unknown"/>
    <s v="Unknown"/>
    <n v="1.7"/>
    <n v="1.6999999999999999E-3"/>
    <n v="16.2"/>
    <n v="1.6199999999999999E-2"/>
    <s v="Lake Istokpoga"/>
    <s v="Urban"/>
  </r>
  <r>
    <s v="AP-3"/>
    <s v="Lake Isis Stormwater Improvement Project"/>
    <s v="City of Avon Park/ SWFWMD"/>
    <s v="Wet detention pond"/>
    <s v="The runoff will be captured in a lakeside swale and a re-designed pond that will allow the runoff to percolate into the sandy soils, preventing further degradation of Lake Isis."/>
    <n v="37.1"/>
    <s v="Unknown"/>
    <s v="Unknown"/>
    <s v="City of Avon Park/ SWFWMD"/>
    <x v="1"/>
    <s v="Unknown"/>
    <s v="Unknown"/>
    <n v="0.5"/>
    <n v="5.0000000000000001E-4"/>
    <n v="4.9000000000000004"/>
    <n v="4.9000000000000007E-3"/>
    <s v="Lake Istokpoga"/>
    <s v="Urban"/>
  </r>
  <r>
    <s v="EW-1"/>
    <s v="Water Quality Awareness Program"/>
    <s v="City of Edgewood"/>
    <s v="Public education"/>
    <s v="Water quality education and awareness articles in the city's quarterly newsletter. Various water quality related informational brochures, fliers and other publications displayed at city hall for the public."/>
    <s v="N/A"/>
    <s v="See annual O&amp;M"/>
    <n v="1000"/>
    <s v="City of Edgewood "/>
    <x v="0"/>
    <s v="N/A"/>
    <s v="Ongoing"/>
    <n v="0.6"/>
    <n v="5.9999999999999995E-4"/>
    <n v="17.3"/>
    <n v="1.7299999999999999E-2"/>
    <s v="Upper Kissimmee"/>
    <s v="Urban"/>
  </r>
  <r>
    <s v="GC-1"/>
    <s v="Education and Outreach"/>
    <s v="Glades County"/>
    <s v="Public education"/>
    <s v="FYN; landscaping, irrigation, and fertilizer ordinances; PSAs, pamphlets, website, and illicit discharge program"/>
    <s v="N/A"/>
    <s v="Unknown"/>
    <s v="Unknown"/>
    <s v="Glades County"/>
    <x v="0"/>
    <s v="N/A"/>
    <s v="Ongoing"/>
    <n v="13.7"/>
    <n v="1.3699999999999999E-2"/>
    <n v="79.099999999999994"/>
    <n v="7.909999999999999E-2"/>
    <s v="Fisheating Creek"/>
    <s v="Urban"/>
  </r>
  <r>
    <s v="GC-2"/>
    <s v="Education and Outreach"/>
    <s v="Glades County"/>
    <s v="Public education"/>
    <s v="FYN; landscaping, irrigation, and fertilizer ordinances; PSAs, pamphlets, website, and illicit discharge program"/>
    <s v="N/A"/>
    <s v="Unknown"/>
    <s v="Unknown"/>
    <s v="Glades County"/>
    <x v="0"/>
    <s v="N/A"/>
    <s v="Ongoing"/>
    <n v="38.5"/>
    <n v="3.85E-2"/>
    <n v="413.9"/>
    <n v="0.41389999999999999"/>
    <s v="Indian Prairie"/>
    <s v="Urban"/>
  </r>
  <r>
    <s v="KS-1"/>
    <s v="Education and Outreach"/>
    <s v="City of Kissimmee"/>
    <s v="Public education"/>
    <s v="PSAs, pamphlets, website, and illicit discharge inspection program."/>
    <s v="N/A"/>
    <n v="65000"/>
    <s v="Unknown"/>
    <s v="City of Kissimmee Stormwater Utility Fund"/>
    <x v="0"/>
    <s v="N/A"/>
    <s v="Ongoing"/>
    <n v="8.3000000000000007"/>
    <n v="8.3000000000000001E-3"/>
    <n v="199.9"/>
    <n v="0.19989999999999999"/>
    <s v="Upper Kissimmee"/>
    <s v="Urban"/>
  </r>
  <r>
    <s v="KS-2"/>
    <s v="Street Sweeping"/>
    <s v="City of Kissimmee"/>
    <s v="Street sweeping"/>
    <s v="Sweeping over 8,500 miles per year.  Material is not currently weighed, but city is currently developing a program to weigh material."/>
    <s v="N/A"/>
    <n v="50000"/>
    <s v="Unknown"/>
    <s v="City of Kissimmee Stormwater Utility Fund"/>
    <x v="0"/>
    <s v="N/A"/>
    <s v="Ongoing"/>
    <n v="100.4"/>
    <n v="0.1004"/>
    <n v="277.60000000000002"/>
    <n v="0.27760000000000001"/>
    <s v="Upper Kissimmee"/>
    <s v="Urban"/>
  </r>
  <r>
    <s v="KS-3"/>
    <s v="Lake Tivoli"/>
    <s v="City of Kissimmee"/>
    <s v="Wet detention pond"/>
    <s v="Treatment for older existing development as well as future on-line development; treatment  provides 2.5 times the proposed percent impervious area."/>
    <n v="132.80000000000001"/>
    <n v="300000"/>
    <s v="Unknown"/>
    <s v="Unknown"/>
    <x v="1"/>
    <s v="Unknown"/>
    <s v="Unknown"/>
    <m/>
    <n v="0"/>
    <m/>
    <n v="0"/>
    <s v="Upper Kissimmee"/>
    <s v="Urban"/>
  </r>
  <r>
    <s v="KS-4"/>
    <s v="Lakefront Park Redevelopment -Swales/Rain Gardens"/>
    <s v="City of Kissimmee"/>
    <s v="Dry detention"/>
    <s v="Swale/rain garden system with 2.07 acres of dry detention."/>
    <n v="14.2"/>
    <n v="500000"/>
    <s v="Unknown"/>
    <s v="City of Kissimmee General Fund "/>
    <x v="2"/>
    <n v="2013"/>
    <n v="2015"/>
    <n v="0.2"/>
    <n v="2.0000000000000001E-4"/>
    <n v="5.7"/>
    <n v="5.7000000000000002E-3"/>
    <s v="Upper Kissimmee"/>
    <s v="Urban"/>
  </r>
  <r>
    <s v="KS-5"/>
    <s v="Lakefront Park Redevelopment - Baffle Boxes"/>
    <s v="City of Kissimmee"/>
    <s v="2nd generation baffle box"/>
    <s v="Three nutrient separating baffle boxes and three filter boxes within the lakefront park area.  Intend to install up to and additional two baffle boxes in the next five years."/>
    <n v="14.2"/>
    <s v="$394,267 completed; additional $50,000 for future boxes"/>
    <s v="Unknown"/>
    <s v="City of Kissimmee Stormwater Utility Fund"/>
    <x v="2"/>
    <n v="2012"/>
    <n v="2015"/>
    <n v="0.2"/>
    <n v="2.0000000000000001E-4"/>
    <n v="9.8000000000000007"/>
    <n v="9.8000000000000014E-3"/>
    <s v="Upper Kissimmee"/>
    <s v="Urban"/>
  </r>
  <r>
    <s v="KS-6"/>
    <s v="Martin Luther King Boulevard Phase III from Thacker Avenue to Dyer Boulevard"/>
    <s v="City of Kissimmee"/>
    <s v="Dry detention"/>
    <s v="Construction of dry detention with particular standards (side slopes, littoral zones) per the Federal Aviation Administration for reduction of bird strikes."/>
    <n v="5.5"/>
    <n v="1500000"/>
    <s v="Unknown"/>
    <s v="City of Kissimmee Stormwater Utility Fund"/>
    <x v="2"/>
    <n v="2013"/>
    <n v="2015"/>
    <n v="0.1"/>
    <n v="1E-4"/>
    <n v="1.2"/>
    <n v="1.1999999999999999E-3"/>
    <s v="Upper Kissimmee"/>
    <s v="Urban"/>
  </r>
  <r>
    <s v="ORL-1"/>
    <s v="18th Street/ Parramore Ave Baffle Box"/>
    <s v="City of Orlando"/>
    <s v="2nd generation baffle box"/>
    <s v="Baffle box installed to remove gross pollutants, including organic debris, sediment and litter."/>
    <n v="4.5999999999999996"/>
    <n v="578138"/>
    <s v="Unknown"/>
    <s v="City of Orlando Stormwater Utility + 50% cost funded from SFWMD Grant"/>
    <x v="3"/>
    <s v="N/A"/>
    <s v="August 2009"/>
    <n v="0"/>
    <n v="0"/>
    <n v="3.3"/>
    <n v="3.3E-3"/>
    <s v="Upper Kissimmee"/>
    <s v="Urban"/>
  </r>
  <r>
    <s v="ORL-2"/>
    <s v="19th Street/ Parramore Avenue Baffle Box"/>
    <s v="City of Orlando"/>
    <s v="2nd generation baffle box"/>
    <s v="Baffle box installed to remove gross pollutants, including organic debris, sediment and litter."/>
    <n v="9.9"/>
    <s v="Part of project ORL-1"/>
    <s v="Unknown"/>
    <s v="City of Orlando Stormwater Utility + 50% cost funded from SFWMD Grant"/>
    <x v="3"/>
    <s v="N/A"/>
    <s v="August 2009"/>
    <n v="0.1"/>
    <n v="1E-4"/>
    <n v="7.1"/>
    <n v="7.0999999999999995E-3"/>
    <s v="Upper Kissimmee"/>
    <s v="Urban"/>
  </r>
  <r>
    <s v="ORL-3"/>
    <s v="Pine Street/Orange Blossom Trail Corridor Stormwater Improvements"/>
    <s v="City of Orlando"/>
    <s v="2nd generation baffle box"/>
    <s v="Installation of 1,800 feet of stormwater pipe from Pine Street to Lake Lorna Doone, which includes a baffle box."/>
    <n v="11.5"/>
    <n v="577822"/>
    <s v="Unknown"/>
    <s v="City of Orlando Stormwater Utility + 50% cost funded by CBIR Grant"/>
    <x v="3"/>
    <s v="N/A"/>
    <s v="May 2010"/>
    <n v="0.3"/>
    <n v="2.9999999999999997E-4"/>
    <n v="2.8"/>
    <n v="2.8E-3"/>
    <s v="Upper Kissimmee"/>
    <s v="Urban"/>
  </r>
  <r>
    <s v="ORL-4"/>
    <s v="Lake Holden Terrace/Albert Shores Sanitary Components"/>
    <s v="City of Orlando"/>
    <s v="Septic tank phase out"/>
    <s v="Sanitary infrastructure installed for septic tank conversions.  11 of 77 homes converted."/>
    <n v="0"/>
    <n v="3522911"/>
    <s v="Unknown"/>
    <s v="City of Orlando Wastewater Division, City of Orlando Stormwater Utility, Orlando Utility Commission"/>
    <x v="3"/>
    <s v="N/A"/>
    <s v="February 2012"/>
    <n v="0"/>
    <n v="0"/>
    <m/>
    <n v="0"/>
    <s v="Upper Kissimmee"/>
    <s v="Urban"/>
  </r>
  <r>
    <s v="ORL-5"/>
    <s v="Lake Holden Terrace/Albert Shores Stormwater Components"/>
    <s v="City of Orlando"/>
    <s v="2nd generation baffle box"/>
    <s v="Two baffle boxes and one Storm Flo unit installed within stormwater infrastructure for capturing organic debris, sediment and litter; stormwater infrastructure added to alleviate flooding."/>
    <n v="76.400000000000006"/>
    <s v="Part of ORL-4"/>
    <s v="Unknown"/>
    <s v="City of Orlando Wastewater Division, City of Orlando Stormwater Utility, Orlando Utility Commission"/>
    <x v="3"/>
    <s v="N/A"/>
    <s v="February 2012"/>
    <n v="1"/>
    <n v="1E-3"/>
    <n v="39.299999999999997"/>
    <n v="3.9299999999999995E-2"/>
    <s v="Upper Kissimmee"/>
    <s v="Urban"/>
  </r>
  <r>
    <s v="ORL-6"/>
    <s v="Lake Angel Drainage Improvements"/>
    <s v="City of Orlando"/>
    <s v="Wet detention pond"/>
    <s v="Expand the permanent pool volume of Lake Angel and install three baffle boxes in the main inflow pipes."/>
    <n v="94.5"/>
    <n v="2000000"/>
    <s v="Unknown"/>
    <s v="City of Orlando Stormwater Utility + EPA Grant"/>
    <x v="4"/>
    <s v="February 2014"/>
    <s v="December 2014"/>
    <n v="0.5"/>
    <n v="5.0000000000000001E-4"/>
    <n v="16.600000000000001"/>
    <n v="1.66E-2"/>
    <s v="Upper Kissimmee"/>
    <s v="Urban"/>
  </r>
  <r>
    <s v="ORL-7"/>
    <s v="Cemex-South Division Avenue Roadway and Drainage Improvements"/>
    <s v="City of Orlando"/>
    <s v="2nd generation baffle box"/>
    <s v="Pave unimproved access road to industrial park and install baffle box to capture sediment; install curbing along additional areas of Division Avenue to allow street sweepers to effectively capture more sediment in the Lake Holden basin."/>
    <n v="52.6"/>
    <n v="1500000"/>
    <s v="Unknown"/>
    <s v="City of Orlando Stormwater Utility"/>
    <x v="4"/>
    <s v="July 2014"/>
    <s v="April 2015"/>
    <n v="1.3"/>
    <n v="1.2999999999999999E-3"/>
    <n v="12.7"/>
    <n v="1.2699999999999999E-2"/>
    <s v="Upper Kissimmee"/>
    <s v="Urban"/>
  </r>
  <r>
    <s v="ORL-8"/>
    <s v="Lake Pineloch Basin Inlet Baskets"/>
    <s v="City of Orlando"/>
    <s v="Catch basin inserts/inlet filters"/>
    <s v="32 inlet baskets installed to remove gross pollutants, including organic debris, sediment and litter.  27.7 cubic yards/yr of material collected."/>
    <s v="N/A"/>
    <n v="40480"/>
    <n v="10444"/>
    <s v="City of Orlando Stormwater Utility"/>
    <x v="0"/>
    <s v="N/A"/>
    <s v="Ongoing"/>
    <n v="5.8"/>
    <n v="5.7999999999999996E-3"/>
    <n v="17.2"/>
    <n v="1.72E-2"/>
    <s v="Upper Kissimmee"/>
    <s v="Urban"/>
  </r>
  <r>
    <s v="ORL-9"/>
    <s v="Clear Lake Basin Inlet Baskets"/>
    <s v="City of Orlando"/>
    <s v="Catch basin inserts/inlet filters"/>
    <s v="29 inlet baskets installed to remove gross pollutants, including organic debris, sediment and litter.  32.39cubic yards/year of material collected."/>
    <s v="N/A"/>
    <n v="8550"/>
    <n v="9400"/>
    <s v="City of Orlando"/>
    <x v="0"/>
    <s v="N/A"/>
    <s v="Ongoing"/>
    <n v="6.7"/>
    <n v="6.7000000000000002E-3"/>
    <n v="20.2"/>
    <n v="2.0199999999999999E-2"/>
    <s v="Upper Kissimmee"/>
    <s v="Urban"/>
  </r>
  <r>
    <s v="ORL-10"/>
    <s v="Lake Lorna Doone Basin Inlet Baskets"/>
    <s v="City of Orlando"/>
    <s v="Catch basin inserts/inlet filters"/>
    <s v="16 inlet baskets installed to remove gross pollutants, including organic debris, sediment and litter.  31.53 cubic yards/yr of material collected."/>
    <s v="N/A"/>
    <n v="17755"/>
    <n v="5222"/>
    <s v="City of Orlando"/>
    <x v="0"/>
    <s v="N/A"/>
    <s v="Ongoing"/>
    <n v="6.5"/>
    <n v="6.4999999999999997E-3"/>
    <n v="19.600000000000001"/>
    <n v="1.9600000000000003E-2"/>
    <s v="Upper Kissimmee"/>
    <s v="Urban"/>
  </r>
  <r>
    <s v="ORL-11"/>
    <s v="Lake Mann Basin Inlet Baskets"/>
    <s v="City of Orlando"/>
    <s v="Catch basin inserts/inlet filters"/>
    <s v="44 inlet baskets installed to remove gross pollutants, including organic debris, sediment and litter.  53.29 cubic yards/yr of material collected."/>
    <s v="N/A"/>
    <n v="48826"/>
    <n v="143616"/>
    <s v="City of Orlando"/>
    <x v="0"/>
    <s v="N/A"/>
    <s v="Ongoing"/>
    <n v="11"/>
    <n v="1.0999999999999999E-2"/>
    <n v="33.200000000000003"/>
    <n v="3.32E-2"/>
    <s v="Upper Kissimmee"/>
    <s v="Urban"/>
  </r>
  <r>
    <s v="ORL-12"/>
    <s v="Lake Rabama Basin Inlet Baskets"/>
    <s v="City of Orlando"/>
    <s v="Catch basin inserts/inlet filters"/>
    <s v="16 inlet baskets installed to remove gross pollutants, including organic debris, sediment and litter.  24.5cubic yards/yr of material collected."/>
    <s v="N/A"/>
    <n v="14720"/>
    <n v="5222"/>
    <s v="City of Orlando"/>
    <x v="0"/>
    <s v="N/A"/>
    <s v="Ongoing"/>
    <n v="5.0999999999999996"/>
    <n v="5.0999999999999995E-3"/>
    <n v="15.2"/>
    <n v="1.52E-2"/>
    <s v="Upper Kissimmee"/>
    <s v="Urban"/>
  </r>
  <r>
    <s v="ORL-13"/>
    <s v="Rock Lake Basin Inlet Baskets"/>
    <s v="City of Orlando"/>
    <s v="Catch basin inserts/inlet filters"/>
    <s v="10 inlet baskets installed to remove gross pollutants, including organic debris, sediment and litter.  20.06 cubic yards/yr of material collected."/>
    <s v="N/A"/>
    <n v="8550"/>
    <n v="3264"/>
    <s v="City of Orlando"/>
    <x v="0"/>
    <s v="N/A"/>
    <s v="Ongoing"/>
    <n v="4.2"/>
    <n v="4.2000000000000006E-3"/>
    <n v="12.5"/>
    <n v="1.2500000000000001E-2"/>
    <s v="Upper Kissimmee"/>
    <s v="Urban"/>
  </r>
  <r>
    <s v="ORL-14"/>
    <s v="Lake Sunset Basin Inlet Baskets"/>
    <s v="City of Orlando"/>
    <s v="Catch basin inserts/inlet filters"/>
    <s v="8 inlet baskets installed to remove gross pollutants, including organic debris, sediment and litter.  36.45 cubic yards/yr of material collected."/>
    <s v="N/A"/>
    <n v="8550"/>
    <n v="2611"/>
    <s v="City of Orlando"/>
    <x v="0"/>
    <s v="N/A"/>
    <s v="Ongoing"/>
    <n v="7.6"/>
    <n v="7.6E-3"/>
    <n v="22.7"/>
    <n v="2.2699999999999998E-2"/>
    <s v="Upper Kissimmee"/>
    <s v="Urban"/>
  </r>
  <r>
    <s v="ORL-15"/>
    <s v="Walker Lagoon Basin Inlet Baskets "/>
    <s v="City of Orlando"/>
    <s v="Catch basin inserts/inlet filters"/>
    <s v="16 inlet baskets installed to remove gross pollutants, including organic debris, sediment and litter.  31.9 cubic yards/yr of material collected."/>
    <s v="N/A"/>
    <n v="17755"/>
    <n v="5222"/>
    <s v="City Orlando"/>
    <x v="0"/>
    <s v="N/A"/>
    <s v="Ongoing"/>
    <n v="6.6"/>
    <n v="6.6E-3"/>
    <n v="19.899999999999999"/>
    <n v="1.9899999999999998E-2"/>
    <s v="Upper Kissimmee"/>
    <s v="Urban"/>
  </r>
  <r>
    <s v="ORL-16"/>
    <s v="Street Sweeping"/>
    <s v="City of Orlando"/>
    <s v="Street sweeping"/>
    <s v="Street sweeping within all public roads in city limits.  2,682,8967 lbs/yr of material collected."/>
    <s v="N/A"/>
    <s v="See annual O&amp;M"/>
    <n v="1800000"/>
    <s v="City of Orlando Stormwater Utility"/>
    <x v="0"/>
    <s v="N/A"/>
    <s v="Ongoing"/>
    <n v="89.6"/>
    <n v="8.9599999999999999E-2"/>
    <n v="257.60000000000002"/>
    <n v="0.2576"/>
    <s v="Upper Kissimmee"/>
    <s v="Urban"/>
  </r>
  <r>
    <s v="ORL-17"/>
    <s v="Public Education"/>
    <s v="City of Orlando"/>
    <s v="Public education"/>
    <s v="FYN; landscaping, irrigation, and pet waste management ordinances; PSAs; pamphlets; website; and illicit discharge program."/>
    <s v="N/A"/>
    <s v="See annual O&amp;M"/>
    <n v="80000"/>
    <s v="City of Orlando Stormwater Utility"/>
    <x v="0"/>
    <s v="N/A"/>
    <s v="Ongoing"/>
    <n v="206.7"/>
    <n v="0.20669999999999999"/>
    <n v="3440"/>
    <n v="3.44"/>
    <s v="Upper Kissimmee"/>
    <s v="Urban"/>
  </r>
  <r>
    <s v="SEB-1"/>
    <s v="Little Lake Jackson Off-line Alum Injection Stormwater Treatment"/>
    <s v="City of Sebring/ Highlands County"/>
    <s v="Alum injection"/>
    <s v="Stormwater is diverted through underground culvert, alum is injected and the water settles for 7 days in a detention pond. Treated water is released to Little Lake Jackson."/>
    <m/>
    <n v="231494"/>
    <n v="18500"/>
    <s v="Department 319 grant, SWFWMD, City of Sebring, and Highlands County Board of County Commissioners"/>
    <x v="0"/>
    <s v="N/A"/>
    <s v="July 2011"/>
    <m/>
    <n v="0"/>
    <m/>
    <n v="0"/>
    <s v="Lake Istokpoga"/>
    <s v="Urban"/>
  </r>
  <r>
    <s v="SEB-2"/>
    <s v="Street Sweeping "/>
    <s v="City of Sebring"/>
    <s v="Street sweeping"/>
    <s v="Street sweeping to collect 602,940 lbs/yr of material."/>
    <s v="N/A"/>
    <s v="See annual O&amp;M"/>
    <n v="35000"/>
    <s v="City of Sebring"/>
    <x v="0"/>
    <s v="N/A"/>
    <s v="Ongoing"/>
    <n v="50.9"/>
    <n v="5.0900000000000001E-2"/>
    <n v="118.4"/>
    <n v="0.11840000000000001"/>
    <s v="Lake Istokpoga"/>
    <s v="Urban"/>
  </r>
  <r>
    <s v="FDACS-1"/>
    <s v="Lemkin Creek"/>
    <s v="FDACS"/>
    <s v="Hybrid wetland treatment technology (HWTT)"/>
    <s v="HWTT is a combination of wetland and chemical treatment technologies designed mainly to remove phosphorus at the sub-basin and parcel scales."/>
    <n v="1522"/>
    <s v="Unknown"/>
    <s v="Unknown"/>
    <s v="FDACS/ SFWMD"/>
    <x v="5"/>
    <s v="N/A"/>
    <n v="2009"/>
    <n v="151.6"/>
    <n v="0.15159999999999998"/>
    <n v="652.1"/>
    <n v="0.65210000000000001"/>
    <s v="Taylor Creek/ Nubbin Slough"/>
    <s v="Agriculture"/>
  </r>
  <r>
    <s v="FDACS-2"/>
    <s v="Wolff Ditch"/>
    <s v="FDACS"/>
    <s v="HWTT"/>
    <s v="HWTT is a combination of wetland and chemical treatment technologies designed mainly to remove phosphorus at the sub-basin and parcel scales."/>
    <n v="1930"/>
    <s v="Unknown"/>
    <s v="Unknown"/>
    <s v="FDACS/ SFWMD"/>
    <x v="5"/>
    <s v="N/A"/>
    <n v="2009"/>
    <n v="845.5"/>
    <n v="0.84550000000000003"/>
    <n v="1722"/>
    <n v="1.722"/>
    <s v="Taylor Creek/ Nubbin Slough"/>
    <s v="Agriculture"/>
  </r>
  <r>
    <s v="FDACS-3"/>
    <s v="Grassy Island"/>
    <s v="FDACS"/>
    <s v="HWTT"/>
    <s v="HWTT is a combination of wetland and chemical treatment technologies designed mainly to remove phosphorus at the sub-basin and parcel scales."/>
    <n v="37802"/>
    <s v="Unknown"/>
    <s v="Unknown"/>
    <s v="FDACS/ SFWMD"/>
    <x v="3"/>
    <s v="N/A"/>
    <n v="2010"/>
    <n v="5547.3"/>
    <n v="5.5472999999999999"/>
    <n v="8373.1"/>
    <n v="8.3731000000000009"/>
    <s v="Taylor Creek/ Nubbin Slough"/>
    <s v="Agriculture"/>
  </r>
  <r>
    <s v="FDACS-4"/>
    <s v="Fisheating Creek"/>
    <s v="FDACS"/>
    <s v="Floating aquatic vegetation treatment (FAVT)"/>
    <s v="Fully aquatic vegetation treatment."/>
    <s v="N/A"/>
    <s v="Unknown"/>
    <s v="Unknown"/>
    <s v="FDACS/ SFWMD"/>
    <x v="6"/>
    <s v="N/A"/>
    <s v="Unknown"/>
    <n v="8594.9"/>
    <n v="8.5948999999999991"/>
    <n v="29174.3"/>
    <n v="29.174299999999999"/>
    <s v="Fisheating Creek"/>
    <s v="Agriculture"/>
  </r>
  <r>
    <s v="FDACS-5"/>
    <s v="Nubbin Slough "/>
    <s v="FDACS"/>
    <s v="HWTT"/>
    <s v="HWTT is a combination of wetland and chemical treatment technologies designed mainly to remove phosphorus at the sub-basin and parcel scales."/>
    <s v="N/A"/>
    <s v="Unknown"/>
    <s v="Unknown"/>
    <s v="FDACS/ SFWMD"/>
    <x v="3"/>
    <s v="N/A"/>
    <s v="Unknown"/>
    <n v="554.6"/>
    <n v="0.55459999999999998"/>
    <n v="370.9"/>
    <n v="0.37089999999999995"/>
    <s v="Taylor Creek/ Nubbin Slough"/>
    <s v="Agriculture"/>
  </r>
  <r>
    <s v="FDACS-6"/>
    <s v="Mosquito Creek"/>
    <s v="FDACS"/>
    <s v="HWTT"/>
    <s v="HWTT is a combination of wetland and chemical treatment technologies designed mainly to remove phosphorus at the sub-basin and parcel scales."/>
    <s v="N/A"/>
    <s v="Unknown"/>
    <s v="Unknown"/>
    <s v="FDACS/ SFWMD"/>
    <x v="3"/>
    <s v="N/A"/>
    <s v="Unknown"/>
    <n v="475.6"/>
    <n v="0.47560000000000002"/>
    <n v="602.1"/>
    <n v="0.60209999999999997"/>
    <s v="Taylor Creek/ Nubbin Slough"/>
    <s v="Agriculture"/>
  </r>
  <r>
    <s v="FDOT1-1"/>
    <s v="State Road 70 from 34th Avenue to 80th Avenue"/>
    <s v="FDOT District 1"/>
    <s v="Wet detention pond"/>
    <s v="Six wet detention ponds."/>
    <n v="57.4"/>
    <n v="22041000"/>
    <s v="Unknown"/>
    <s v="FDOT"/>
    <x v="4"/>
    <s v="April 2014"/>
    <s v="Unknown"/>
    <n v="22.6"/>
    <n v="2.2600000000000002E-2"/>
    <n v="42.6"/>
    <n v="4.2599999999999999E-2"/>
    <s v="Taylor Creek/ Nubbin Slough"/>
    <s v="Urban"/>
  </r>
  <r>
    <s v="FDOT1-2"/>
    <s v="State Road 70 from 80th Avenue to St. Lucie County Line"/>
    <s v="FDOT District 1"/>
    <s v="Wet detention pond"/>
    <s v="Three wet detention ponds and three dry retention swales."/>
    <n v="31.4"/>
    <n v="8746000"/>
    <s v="Unknown"/>
    <s v="FDOT"/>
    <x v="4"/>
    <s v="April 2014"/>
    <s v="Unknown"/>
    <n v="17.5"/>
    <n v="1.7500000000000002E-2"/>
    <n v="39.4"/>
    <n v="3.9399999999999998E-2"/>
    <s v="Taylor Creek/ Nubbin Slough"/>
    <s v="Urban"/>
  </r>
  <r>
    <s v="FDOT1-3"/>
    <s v="Street Sweeping"/>
    <s v="FDOT District 1"/>
    <s v="Street sweeping "/>
    <s v="Street sweeping."/>
    <s v="N/A"/>
    <s v="Unknown"/>
    <s v="Unknown"/>
    <s v="FDOT"/>
    <x v="0"/>
    <s v="N/A"/>
    <s v="Ongoing"/>
    <n v="61.3"/>
    <n v="6.13E-2"/>
    <n v="55.3"/>
    <n v="5.5299999999999995E-2"/>
    <s v="Taylor Creek/ Nubbin Slough"/>
    <s v="Urban"/>
  </r>
  <r>
    <s v="FDOT5-1"/>
    <s v="239266-B State Road 15 (Hoffner Road) From North of Lee Vista Boulevard to West of State Road 436 (Pond 2)"/>
    <s v="FDOT District 5"/>
    <s v="Wet detention pond"/>
    <s v="Add lanes and reconstruct."/>
    <n v="4.8"/>
    <s v="Unknown"/>
    <s v="Unknown"/>
    <s v="Florida Legislative"/>
    <x v="4"/>
    <s v="Estimated Start – Summer 2015"/>
    <s v="Unknown"/>
    <n v="0.1"/>
    <n v="1E-4"/>
    <n v="0.3"/>
    <n v="2.9999999999999997E-4"/>
    <s v="Upper Kissimmee"/>
    <s v="Urban"/>
  </r>
  <r>
    <s v="FDOT5-2"/>
    <s v="239266-A State Road 15 Hoffner Ave From West of State Road 436 to Conway Road (Pond 1)"/>
    <s v="FDOT District 5"/>
    <s v="Wet detention pond"/>
    <s v="Add lanes and reconstruct."/>
    <n v="3.6"/>
    <s v="Unknown"/>
    <s v="Unknown"/>
    <s v="Florida Legislative"/>
    <x v="4"/>
    <s v="Estimated Start – Summer 2015"/>
    <s v="Unknown"/>
    <n v="0.1"/>
    <n v="1E-4"/>
    <n v="0.9"/>
    <n v="8.9999999999999998E-4"/>
    <s v="Upper Kissimmee"/>
    <s v="Urban"/>
  </r>
  <r>
    <s v="FDOT5-3"/>
    <s v="239266-C State Road 15 Hoffner Avenue From West of State 436 to Conway Road (Pond 3)"/>
    <s v="FDOT District 5"/>
    <s v="Wet detention pond"/>
    <s v="Add lanes and reconstruct."/>
    <n v="11.9"/>
    <s v="Unknown"/>
    <s v="Unknown"/>
    <s v="Florida Legislative"/>
    <x v="4"/>
    <s v="Estimated Start – Summer 2015"/>
    <s v="Unknown"/>
    <n v="0.5"/>
    <n v="5.0000000000000001E-4"/>
    <n v="6.7"/>
    <n v="6.7000000000000002E-3"/>
    <s v="Upper Kissimmee"/>
    <s v="Urban"/>
  </r>
  <r>
    <s v="FDOT5-4"/>
    <s v="239266-D State Road 15 Hoffner Avenue From West of State Road 436 to Conway Road (Pond 4)"/>
    <s v="FDOT District 5"/>
    <s v="Wet detention pond"/>
    <s v="Add lanes and reconstruct."/>
    <n v="11.4"/>
    <s v="Unknown"/>
    <s v="Unknown"/>
    <s v="Florida Legislative"/>
    <x v="4"/>
    <s v="Estimated Start – Summer 2015"/>
    <s v="Unknown"/>
    <n v="0.4"/>
    <n v="4.0000000000000002E-4"/>
    <n v="10.4"/>
    <n v="1.04E-2"/>
    <s v="Upper Kissimmee"/>
    <s v="Urban"/>
  </r>
  <r>
    <s v="FDOT5-5"/>
    <s v="239535-F State Road 50 From Good Homes Road to Pine Hills Road (Pond 4)"/>
    <s v="FDOT District 5"/>
    <s v="Dry retention"/>
    <s v="Add lanes and reconstruct."/>
    <n v="16.399999999999999"/>
    <s v="Unknown"/>
    <s v="Unknown"/>
    <s v="Florida Legislative"/>
    <x v="3"/>
    <s v="Unknown"/>
    <s v="Unknown"/>
    <n v="0.7"/>
    <n v="6.9999999999999999E-4"/>
    <n v="3.9"/>
    <n v="3.8999999999999998E-3"/>
    <s v="Upper Kissimmee"/>
    <s v="Urban"/>
  </r>
  <r>
    <s v="FDOT5-6"/>
    <s v="416518-A Interstate-4 Braided Ramp from US 192 Interchange to Osceola Parkway Interchange (Pond SE-1)"/>
    <s v="FDOT District 5"/>
    <s v="Wet detention pond"/>
    <s v="New road construction."/>
    <n v="13.8"/>
    <s v="Unknown"/>
    <s v="Unknown"/>
    <s v="Florida Legislative"/>
    <x v="3"/>
    <s v="Unknown"/>
    <s v="Unknown"/>
    <n v="0.5"/>
    <n v="5.0000000000000001E-4"/>
    <n v="2.2999999999999998"/>
    <n v="2.3E-3"/>
    <s v="Upper Kissimmee"/>
    <s v="Urban"/>
  </r>
  <r>
    <s v="FDOT5-7"/>
    <s v="416518-B Interstate-4 Braided Ramp from US 192 Interchange to Osceola Parkway Interchange (Pond SE-2)"/>
    <s v="FDOT District 5"/>
    <s v="Wet detention pond"/>
    <s v="New road construction."/>
    <n v="6.1"/>
    <s v="Unknown"/>
    <s v="Unknown"/>
    <s v="Florida Legislative"/>
    <x v="3"/>
    <s v="Unknown"/>
    <s v="Unknown"/>
    <n v="0.2"/>
    <n v="2.0000000000000001E-4"/>
    <n v="0.7"/>
    <n v="6.9999999999999999E-4"/>
    <s v="Upper Kissimmee"/>
    <s v="Urban"/>
  </r>
  <r>
    <s v="FDOT5-8"/>
    <s v="239682-A State Road 500 (US 17-92) From Aeronautical Drive to Budinger Avenue (Pond 1)"/>
    <s v="FDOT District 5"/>
    <s v="Wet detention pond"/>
    <s v="Add lanes and rehabilitate pavement."/>
    <n v="26.5"/>
    <s v="Unknown"/>
    <s v="Unknown"/>
    <s v="Florida Legislative"/>
    <x v="4"/>
    <s v="Estimated Start – Summer 2015"/>
    <s v="Unknown"/>
    <n v="0.9"/>
    <n v="8.9999999999999998E-4"/>
    <n v="6.1"/>
    <n v="6.0999999999999995E-3"/>
    <s v="Upper Kissimmee"/>
    <s v="Urban"/>
  </r>
  <r>
    <s v="FDOT5-9"/>
    <s v="239682-B State Road 500 (US 17-92) From Aeronautical Drive to Budinger Avenue (Pond 2)"/>
    <s v="FDOT District 5"/>
    <s v="Wet detention pond"/>
    <s v="Add lanes and rehabilitate pavement."/>
    <n v="13.4"/>
    <s v="Unknown"/>
    <s v="Unknown"/>
    <s v="Florida Legislative"/>
    <x v="4"/>
    <s v="Estimated Start – Summer 2015"/>
    <s v="Unknown"/>
    <n v="0.5"/>
    <n v="5.0000000000000001E-4"/>
    <n v="3.5"/>
    <n v="3.5000000000000001E-3"/>
    <s v="Upper Kissimmee"/>
    <s v="Urban"/>
  </r>
  <r>
    <s v="FDOT5-10"/>
    <s v="239682-C State Road 500 (US 17-92) From Aeronautical Drive to Budinger Avenue (Pond 3)"/>
    <s v="FDOT District 5"/>
    <s v="Wet detention pond"/>
    <s v="Add lanes and rehabilitate pavement."/>
    <n v="15.8"/>
    <s v="Unknown"/>
    <s v="Unknown"/>
    <s v="Florida Legislative"/>
    <x v="4"/>
    <s v="Estimated Start – Summer 2015"/>
    <s v="Unknown"/>
    <n v="0.6"/>
    <n v="5.9999999999999995E-4"/>
    <n v="3.4"/>
    <n v="3.3999999999999998E-3"/>
    <s v="Upper Kissimmee"/>
    <s v="Urban"/>
  </r>
  <r>
    <s v="FDOT5-11"/>
    <s v="239682-D State Road 500 (US 17-92) From Aeronautical Drive to Budinger Avenue (Pond 4)"/>
    <s v="FDOT District 5"/>
    <s v="Wet detention pond"/>
    <s v="Add lanes and rehabilitate pavement."/>
    <n v="33.700000000000003"/>
    <s v="Unknown"/>
    <s v="Unknown"/>
    <s v="Florida Legislative"/>
    <x v="4"/>
    <s v="Estimated Start – Summer 2015"/>
    <s v="Unknown"/>
    <n v="1.1000000000000001"/>
    <n v="1.1000000000000001E-3"/>
    <n v="6.7"/>
    <n v="6.7000000000000002E-3"/>
    <s v="Upper Kissimmee"/>
    <s v="Urban"/>
  </r>
  <r>
    <s v="FDOT5-12"/>
    <s v="418403-A, B State Road 600 (US 17/92) JYP From South of Portage Street to North of Vine Street (US192) (Ponds East and West)"/>
    <s v="FDOT District 5"/>
    <s v="Wet detention pond"/>
    <s v="Add lanes and reconstruct."/>
    <n v="14.2"/>
    <s v="Unknown"/>
    <s v="Unknown"/>
    <s v="Florida Legislative"/>
    <x v="4"/>
    <s v="Estimated Start – Summer 2015"/>
    <s v="Unknown"/>
    <n v="0.5"/>
    <n v="5.0000000000000001E-4"/>
    <n v="3.4"/>
    <n v="3.3999999999999998E-3"/>
    <s v="Upper Kissimmee"/>
    <s v="Urban"/>
  </r>
  <r>
    <s v="FDOT5-13"/>
    <s v="239454-A Widening of SR436 from SR528 to SR552 (Pond A)"/>
    <s v="FDOT District 5"/>
    <s v="Wet detention pond"/>
    <s v="Add lanes and reconstruct."/>
    <n v="38.799999999999997"/>
    <s v="Unknown"/>
    <s v="Unknown"/>
    <s v="Florida Legislative"/>
    <x v="3"/>
    <s v="N/A"/>
    <s v="July 2010"/>
    <n v="0.3"/>
    <n v="2.9999999999999997E-4"/>
    <n v="0.9"/>
    <n v="8.9999999999999998E-4"/>
    <s v="Upper Kissimmee"/>
    <s v="Urban"/>
  </r>
  <r>
    <s v="FDOT5-14"/>
    <s v="239635-A New Bridge State Road 500 at Reedy Creek (Pond 1)"/>
    <s v="FDOT District 5"/>
    <s v="Dry retention"/>
    <s v="New bridge."/>
    <n v="4.0999999999999996"/>
    <s v="Unknown"/>
    <s v="Unknown"/>
    <s v="Florida Legislative"/>
    <x v="3"/>
    <s v="N/A"/>
    <s v="July 2010"/>
    <n v="0"/>
    <n v="0"/>
    <n v="0.6"/>
    <n v="5.9999999999999995E-4"/>
    <s v="Upper Kissimmee"/>
    <s v="Urban"/>
  </r>
  <r>
    <s v="FDOT5-15"/>
    <s v="239635-B New Bridge State Road 500 at Reedy Creek (Pond 2)"/>
    <s v="FDOT District 5"/>
    <s v="Wet detention pond"/>
    <s v="New bridge."/>
    <n v="7.6"/>
    <s v="Unknown"/>
    <s v="Unknown"/>
    <s v="Florida Legislative"/>
    <x v="3"/>
    <s v="N/A"/>
    <s v="July 2010"/>
    <n v="0.2"/>
    <n v="2.0000000000000001E-4"/>
    <n v="3.4"/>
    <n v="3.3999999999999998E-3"/>
    <s v="Upper Kissimmee"/>
    <s v="Urban"/>
  </r>
  <r>
    <s v="FDOT5-16"/>
    <s v="239663-A Widening of State Road 530 from State Road 535 to Hoagland Boulevard (Pond 1)"/>
    <s v="FDOT District 5"/>
    <s v="Wet detention pond"/>
    <s v="Add lanes and reconstruct."/>
    <n v="14.6"/>
    <s v="Unknown"/>
    <s v="Unknown"/>
    <s v="Florida Legislative"/>
    <x v="3"/>
    <s v="N/A"/>
    <s v="June 2010"/>
    <n v="0.6"/>
    <n v="5.9999999999999995E-4"/>
    <n v="2.1"/>
    <n v="2.1000000000000003E-3"/>
    <s v="Upper Kissimmee"/>
    <s v="Urban"/>
  </r>
  <r>
    <s v="FDOT5-17"/>
    <s v="239663-B Widening of State Road 530 from State Road 535 to Hoagland Boulevard (Pond 2)"/>
    <s v="FDOT District 5"/>
    <s v="Wet detention pond"/>
    <s v="Add lanes and reconstruct."/>
    <n v="17.899999999999999"/>
    <s v="Unknown"/>
    <s v="Unknown"/>
    <s v="Florida Legislative"/>
    <x v="3"/>
    <s v="N/A"/>
    <s v="June 2010"/>
    <n v="0.7"/>
    <n v="6.9999999999999999E-4"/>
    <n v="2.6"/>
    <n v="2.5999999999999999E-3"/>
    <s v="Upper Kissimmee"/>
    <s v="Urban"/>
  </r>
  <r>
    <s v="FDOT5-18"/>
    <s v="239663-C Widening of State Road 530 from State Road 535 to Hoagland Boulevard (Pond 3)"/>
    <s v="FDOT District 5"/>
    <s v="Wet detention pond"/>
    <s v="Add lanes and reconstruct."/>
    <n v="16.899999999999999"/>
    <s v="Unknown"/>
    <s v="Unknown"/>
    <s v="Florida Legislative"/>
    <x v="3"/>
    <s v="N/A"/>
    <s v="June 2010"/>
    <n v="0.7"/>
    <n v="6.9999999999999999E-4"/>
    <n v="2.2999999999999998"/>
    <n v="2.3E-3"/>
    <s v="Upper Kissimmee"/>
    <s v="Urban"/>
  </r>
  <r>
    <s v="FDOT5-19"/>
    <s v="239663-D Widening of State Road 530 from State Road 535 to Hoagland Boulevard (Pond 4)"/>
    <s v="FDOT District 5"/>
    <s v="Wet detention pond"/>
    <s v="Add lanes and reconstruct."/>
    <n v="12.6"/>
    <s v="Unknown"/>
    <s v="Unknown"/>
    <s v="Florida Legislative"/>
    <x v="3"/>
    <s v="N/A"/>
    <s v="June 2010"/>
    <n v="0.5"/>
    <n v="5.0000000000000001E-4"/>
    <n v="2.2000000000000002"/>
    <n v="2.2000000000000001E-3"/>
    <s v="Upper Kissimmee"/>
    <s v="Urban"/>
  </r>
  <r>
    <s v="FDOT5-20"/>
    <s v="242436-A State Road 400 Ramps at Gore Avenue Retention Pits (Pond 1 and 2)"/>
    <s v="FDOT District 5"/>
    <s v="Online dry retention"/>
    <s v="Ramps."/>
    <n v="9.8000000000000007"/>
    <s v="Unknown"/>
    <s v="Unknown"/>
    <s v="Florida Legislative"/>
    <x v="3"/>
    <s v="N/A"/>
    <s v="May 2011"/>
    <n v="0.2"/>
    <n v="2.0000000000000001E-4"/>
    <n v="2.6"/>
    <n v="2.5999999999999999E-3"/>
    <s v="Upper Kissimmee"/>
    <s v="Urban"/>
  </r>
  <r>
    <s v="FDOT5-21"/>
    <s v="242484-A Widening of State Road 400 from Universal Boulevard to South Street (Pond 4)"/>
    <s v="FDOT District 5"/>
    <s v="Wet detention pond"/>
    <s v="Add lanes and reconstruct."/>
    <n v="21.8"/>
    <s v="Unknown"/>
    <s v="Unknown"/>
    <s v="Florida Legislative"/>
    <x v="3"/>
    <s v="N/A"/>
    <s v="May 2011"/>
    <n v="0.6"/>
    <n v="5.9999999999999995E-4"/>
    <n v="3.1"/>
    <n v="3.0999999999999999E-3"/>
    <s v="Upper Kissimmee"/>
    <s v="Urban"/>
  </r>
  <r>
    <s v="FDOT5-22"/>
    <s v="405515-A and B State Road 400 Wet Detention Pond (Pond 1 and 2)"/>
    <s v="FDOT District 5"/>
    <s v="Wet retention"/>
    <s v="Add lanes and reconstruct."/>
    <n v="14.8"/>
    <s v="Unknown"/>
    <s v="Unknown"/>
    <s v="Florida Legislative"/>
    <x v="3"/>
    <s v="N/A"/>
    <s v="June 2011"/>
    <n v="0.2"/>
    <n v="2.0000000000000001E-4"/>
    <n v="1.2"/>
    <n v="1.1999999999999999E-3"/>
    <s v="Upper Kissimmee"/>
    <s v="Urban"/>
  </r>
  <r>
    <s v="FDOT5-23"/>
    <s v="410732-B State Road 400 Swales"/>
    <s v="FDOT District 5"/>
    <s v="Dry detention"/>
    <s v="Add lanes and reconstruct."/>
    <n v="32.200000000000003"/>
    <s v="Unknown"/>
    <s v="Unknown"/>
    <s v="Florida Legislative"/>
    <x v="3"/>
    <s v="N/A"/>
    <s v="November 2010"/>
    <n v="0.2"/>
    <n v="2.0000000000000001E-4"/>
    <n v="1.3"/>
    <n v="1.2999999999999999E-3"/>
    <s v="Upper Kissimmee"/>
    <s v="Urban"/>
  </r>
  <r>
    <s v="FDOT5-24"/>
    <s v="Street Sweeping"/>
    <s v="FDOT District 5"/>
    <s v="Street sweeping"/>
    <s v="Street sweeping to collect 1,507,453 lbs/yr of material."/>
    <s v="N/A"/>
    <s v="See annual O&amp;M"/>
    <s v="Unknown"/>
    <s v="Florida Legislative"/>
    <x v="0"/>
    <s v="N/A"/>
    <s v="Ongoing"/>
    <n v="50.3"/>
    <n v="5.0299999999999997E-2"/>
    <n v="144.80000000000001"/>
    <n v="0.14480000000000001"/>
    <s v="Upper Kissimmee"/>
    <s v="Urban"/>
  </r>
  <r>
    <s v="FDOT5-25"/>
    <s v="Education and Outreach"/>
    <s v="FDOT District 5"/>
    <s v="Public education"/>
    <s v="Funding for Orange County Water Atlas website, and illicit discharge inspection and training program."/>
    <s v="N/A"/>
    <s v="See annual O&amp;M"/>
    <s v="Unknown"/>
    <s v="Florida Legislative"/>
    <x v="0"/>
    <s v="N/A"/>
    <s v="Ongoing"/>
    <n v="1.7"/>
    <n v="1.6999999999999999E-3"/>
    <n v="19.8"/>
    <n v="1.9800000000000002E-2"/>
    <s v="Upper Kissimmee"/>
    <s v="Urban"/>
  </r>
  <r>
    <s v="HC-1"/>
    <s v="Education and Outreach"/>
    <s v="Highlands County"/>
    <s v="Public education"/>
    <s v="FYN, landscaping and irrigation ordinances, PSAs, and pamphlets."/>
    <s v="N/A"/>
    <s v="Unknown"/>
    <s v="Unknown"/>
    <s v="Highlands County"/>
    <x v="0"/>
    <s v="N/A"/>
    <s v="Ongoing"/>
    <n v="29.5"/>
    <n v="2.9499999999999998E-2"/>
    <n v="362.3"/>
    <n v="0.36230000000000001"/>
    <s v="Fisheating Creek"/>
    <s v="Urban"/>
  </r>
  <r>
    <s v="HC-2"/>
    <s v="Education and Outreach"/>
    <s v="Highlands County"/>
    <s v="Public education"/>
    <s v="FYN, landscaping and irrigation ordinances, PSAs, and pamphlets."/>
    <s v="N/A"/>
    <s v="Unknown"/>
    <s v="Unknown"/>
    <s v="Highlands County"/>
    <x v="0"/>
    <s v="N/A"/>
    <s v="Ongoing"/>
    <n v="29.6"/>
    <n v="2.9600000000000001E-2"/>
    <n v="415.2"/>
    <n v="0.41520000000000001"/>
    <s v="Indian Prairie"/>
    <s v="Urban"/>
  </r>
  <r>
    <s v="HC-3"/>
    <s v="Education and Outreach"/>
    <s v="Highlands County"/>
    <s v="Public education"/>
    <s v="FYN, landscaping and irrigation ordinances, PSAs, and pamphlets."/>
    <s v="N/A"/>
    <s v="Unknown"/>
    <s v="Unknown"/>
    <s v="Highlands County"/>
    <x v="0"/>
    <s v="N/A"/>
    <s v="Ongoing"/>
    <n v="155.19999999999999"/>
    <n v="0.15519999999999998"/>
    <n v="6580.7"/>
    <n v="6.5807000000000002"/>
    <s v="Lake Istokpoga"/>
    <s v="Urban"/>
  </r>
  <r>
    <s v="HC-4"/>
    <s v="Education and Outreach"/>
    <s v="Highlands County"/>
    <s v="Public education"/>
    <s v="FYN, landscaping and irrigation ordinances, PSAs, and pamphlets."/>
    <s v="N/A"/>
    <s v="Unknown"/>
    <s v="Unknown"/>
    <s v="Highlands County"/>
    <x v="0"/>
    <s v="N/A"/>
    <s v="Ongoing"/>
    <n v="136"/>
    <n v="0.13600000000000001"/>
    <n v="538.6"/>
    <n v="0.53859999999999997"/>
    <s v="Lower Kissimmee"/>
    <s v="Urban"/>
  </r>
  <r>
    <s v="HC-5"/>
    <s v="Lake June Stormwater Project"/>
    <s v="Highlands County/ SWFWMD"/>
    <s v="Online retention"/>
    <s v="The conceptual plan includes the installation of 450 feet of 24-inch French drain in four contributing basins."/>
    <n v="43.3"/>
    <n v="440000"/>
    <s v="Unknown"/>
    <s v="SWFWMD and Highlands County"/>
    <x v="4"/>
    <s v="Unknown"/>
    <s v="Unknown"/>
    <m/>
    <n v="0"/>
    <m/>
    <n v="0"/>
    <s v="Lake Istokpoga"/>
    <s v="Urban"/>
  </r>
  <r>
    <s v="HC-6"/>
    <s v="Lake Clay Stormwater Project"/>
    <s v="Highlands County/ SWFWMD"/>
    <s v="Online retention"/>
    <s v="600 feet of 24-inch on-line French drain for parking lot subbasin; 300 feet of 24-inch on-line French drain will treat the street subbasin."/>
    <n v="26.6"/>
    <n v="330000"/>
    <n v="1973"/>
    <s v="SWFWMD and Highlands County"/>
    <x v="3"/>
    <s v="N/A"/>
    <s v="January 2013"/>
    <n v="1.3"/>
    <n v="1.2999999999999999E-3"/>
    <n v="24.1"/>
    <n v="2.41E-2"/>
    <s v="Lake Istokpoga"/>
    <s v="Urban"/>
  </r>
  <r>
    <s v="IMWID-1"/>
    <s v="Istokpoga Marsh Watershed Improvement District"/>
    <s v="Istokpoga Marsh Watershed Improvement District/ Highlands County, SWFWMD, Department, FDACS"/>
    <s v="STA"/>
    <s v="Stormwater treatment area."/>
    <n v="711"/>
    <s v="Unknown"/>
    <s v="Unknown"/>
    <s v="Unknown"/>
    <x v="4"/>
    <s v="Unknown"/>
    <s v="Unknown"/>
    <n v="698"/>
    <n v="0.69799999999999995"/>
    <s v="Not quantified"/>
    <e v="#VALUE!"/>
    <s v="Indian Prairie"/>
    <s v="Special District"/>
  </r>
  <r>
    <s v="OK-1"/>
    <s v="Douglas Park North"/>
    <s v="Okeechobee County"/>
    <s v="Dry detention and CDS unit"/>
    <s v="New roadside swales and addition of three vortex separators to the existing swales for water quality improvement."/>
    <n v="66.3"/>
    <s v="Unknown"/>
    <s v="Unknown"/>
    <s v="Unknown"/>
    <x v="7"/>
    <s v="Unknown"/>
    <s v="Unknown"/>
    <n v="2.7"/>
    <n v="2.7000000000000001E-3"/>
    <n v="15.2"/>
    <n v="1.52E-2"/>
    <s v="Taylor Creek/ Nubbin Slough"/>
    <s v="Urban"/>
  </r>
  <r>
    <s v="OK-2"/>
    <s v="Oak Park"/>
    <s v="Okeechobee County"/>
    <s v="Dry detention and CDS unit"/>
    <s v="Roadside swales with raised inlets and two vortex separators."/>
    <n v="56.4"/>
    <s v="Unknown"/>
    <s v="Unknown"/>
    <s v="Unknown"/>
    <x v="7"/>
    <s v="Unknown"/>
    <s v="Unknown"/>
    <n v="2.2000000000000002"/>
    <n v="2.2000000000000001E-3"/>
    <n v="14.4"/>
    <n v="1.44E-2"/>
    <s v="Taylor Creek/ Nubbin Slough"/>
    <s v="Urban"/>
  </r>
  <r>
    <s v="OK-3"/>
    <s v="Southwest 21st Street"/>
    <s v="Okeechobee County"/>
    <s v="Dry detention"/>
    <s v="Dry detention roadside swales with raised inlets."/>
    <n v="2.1"/>
    <s v="Unknown"/>
    <s v="Unknown"/>
    <s v="Unknown"/>
    <x v="7"/>
    <s v="Unknown"/>
    <s v="Unknown"/>
    <n v="0.1"/>
    <n v="1E-4"/>
    <n v="0.5"/>
    <n v="5.0000000000000001E-4"/>
    <s v="Taylor Creek/ Nubbin Slough"/>
    <s v="Urban"/>
  </r>
  <r>
    <s v="OK-4"/>
    <s v="Southwest Drainage Area Improvements"/>
    <s v="Okeechobee County"/>
    <s v="Baffle box"/>
    <s v="Installation of sediment control boxes."/>
    <n v="32.200000000000003"/>
    <s v="Unknown"/>
    <s v="Unknown"/>
    <s v="Unknown"/>
    <x v="7"/>
    <s v="Unknown"/>
    <s v="Unknown"/>
    <n v="0.4"/>
    <n v="4.0000000000000002E-4"/>
    <n v="0.3"/>
    <n v="2.9999999999999997E-4"/>
    <s v="Taylor Creek/ Nubbin Slough"/>
    <s v="Urban"/>
  </r>
  <r>
    <s v="OK-5"/>
    <s v="Okeechobee County 2008 Disaster Recovery Community Development Block Grant"/>
    <s v="Okeechobee County"/>
    <s v="Dry detention"/>
    <s v="Dry detention area to improve water quality and alleviate flooding."/>
    <n v="17.2"/>
    <s v="Unknown"/>
    <s v="Unknown"/>
    <s v="Unknown"/>
    <x v="7"/>
    <s v="Unknown"/>
    <s v="Unknown"/>
    <n v="0.2"/>
    <n v="2.0000000000000001E-4"/>
    <n v="4.2"/>
    <n v="4.2000000000000006E-3"/>
    <s v="Taylor Creek/ Nubbin Slough"/>
    <s v="Urban"/>
  </r>
  <r>
    <s v="OC-1"/>
    <s v="Education and Outreach"/>
    <s v="Orange County"/>
    <s v="Public education"/>
    <s v="FYN; landscaping, irrigation, fertilizer, and pet waste management ordinances; PSAs; pamphlets; Water Atlas website; and illicit discharge program."/>
    <s v="N/A"/>
    <s v="Unknown"/>
    <s v="Unknown"/>
    <s v="Orange County"/>
    <x v="0"/>
    <s v="N/A"/>
    <s v="Ongoing"/>
    <n v="586.1"/>
    <n v="0.58610000000000007"/>
    <n v="13247.4"/>
    <n v="13.247399999999999"/>
    <s v="Upper Kissimmee"/>
    <s v="Urban"/>
  </r>
  <r>
    <s v="OC-2"/>
    <s v="Lake Conway Street Sweeping "/>
    <s v="Orange County"/>
    <s v="Street sweeping"/>
    <s v="Street sweeping of 3,827 curb miles annually."/>
    <s v="N/A"/>
    <s v="See annual O&amp;M"/>
    <n v="44015"/>
    <s v="Lake Conway Taxing District (MSTU)"/>
    <x v="0"/>
    <s v="N/A"/>
    <s v="Ongoing"/>
    <n v="9.3000000000000007"/>
    <n v="9.300000000000001E-3"/>
    <n v="26.7"/>
    <n v="2.6699999999999998E-2"/>
    <s v="Upper Kissimmee"/>
    <s v="Urban"/>
  </r>
  <r>
    <s v="OC-3"/>
    <s v="Lake Holden Street Sweeping"/>
    <s v="Orange County"/>
    <s v="Street sweeping"/>
    <s v="Street sweeping of 942 curb miles annually."/>
    <s v="N/A"/>
    <s v="See annual O&amp;M"/>
    <n v="15198"/>
    <s v="Lake Holden Taxing District (MSTU)"/>
    <x v="0"/>
    <s v="N/A"/>
    <s v="Ongoing"/>
    <n v="2.2999999999999998"/>
    <n v="2.3E-3"/>
    <n v="6.6"/>
    <n v="6.6E-3"/>
    <s v="Upper Kissimmee"/>
    <s v="Urban"/>
  </r>
  <r>
    <s v="OC-4"/>
    <s v="Lake Jessamine Street Sweeping"/>
    <s v="Orange County"/>
    <s v="Street sweeping"/>
    <s v="Street sweeping of 692 curb miles annually."/>
    <s v="N/A"/>
    <s v="See annual O&amp;M"/>
    <n v="11003"/>
    <s v="Lake Jessamine Taxing District (MSTU)"/>
    <x v="0"/>
    <s v="N/A"/>
    <s v="Ongoing"/>
    <n v="1.7"/>
    <n v="1.6999999999999999E-3"/>
    <n v="4.8"/>
    <n v="4.7999999999999996E-3"/>
    <s v="Upper Kissimmee"/>
    <s v="Urban"/>
  </r>
  <r>
    <s v="OC-5"/>
    <s v="Shingle/Boggy/Hart Basin Street Sweeping"/>
    <s v="Orange County"/>
    <s v="Street sweeping"/>
    <s v="County-wide street sweeping."/>
    <s v="N/A"/>
    <s v="See annual O&amp;M"/>
    <s v="Unknown"/>
    <s v="Orange County"/>
    <x v="0"/>
    <s v="N/A"/>
    <s v="Ongoing"/>
    <n v="0.7"/>
    <n v="6.9999999999999999E-4"/>
    <n v="2.1"/>
    <n v="2.1000000000000003E-3"/>
    <s v="Upper Kissimmee"/>
    <s v="Urban"/>
  </r>
  <r>
    <s v="OC-6"/>
    <s v="Lake Odell Curb Inlet Basket (CIB)"/>
    <s v="Orange County"/>
    <s v="CIB"/>
    <s v="Curb or grate inlet filter baskets to collect 902 lbs/yr of material."/>
    <s v="N/A"/>
    <n v="3000"/>
    <n v="666"/>
    <s v="Orange County "/>
    <x v="0"/>
    <s v="N/A"/>
    <s v="Ongoing"/>
    <n v="0"/>
    <n v="0"/>
    <n v="0.1"/>
    <n v="1E-4"/>
    <s v="Upper Kissimmee"/>
    <s v="Urban"/>
  </r>
  <r>
    <s v="OC-7"/>
    <s v="Lake Conway CIB Existing "/>
    <s v="Orange County"/>
    <s v="CIB"/>
    <s v="Curb or grate inlet filter baskets to collect 16,169 lbs/yr of material."/>
    <s v="N/A"/>
    <n v="50000"/>
    <n v="11000"/>
    <s v="Lake Conway Taxing District (MSTU)"/>
    <x v="0"/>
    <s v="N/A"/>
    <s v="Ongoing"/>
    <n v="0.4"/>
    <n v="4.0000000000000002E-4"/>
    <n v="2"/>
    <n v="2E-3"/>
    <s v="Upper Kissimmee"/>
    <s v="Urban"/>
  </r>
  <r>
    <s v="OC-8"/>
    <s v="Lake Conway CIB New"/>
    <s v="Orange County"/>
    <s v="CIB"/>
    <s v="Curb or grate inlet filter baskets to collect 16,872 lbs/yr of material."/>
    <s v="N/A"/>
    <n v="37000"/>
    <n v="5328"/>
    <s v="Lake Conway Taxing District (MSTU)"/>
    <x v="4"/>
    <s v="N/A"/>
    <s v="Ongoing"/>
    <n v="0.5"/>
    <n v="5.0000000000000001E-4"/>
    <n v="2"/>
    <n v="2E-3"/>
    <s v="Upper Kissimmee"/>
    <s v="Urban"/>
  </r>
  <r>
    <s v="OC-9"/>
    <s v="Lake Pineloch CIB "/>
    <s v="Orange County"/>
    <s v="CIB"/>
    <s v="Curb or grate inlet filter baskets to collect 4,158 lbs/yr of material."/>
    <s v="N/A"/>
    <n v="18000"/>
    <n v="2592"/>
    <s v="Orange County General Fund"/>
    <x v="0"/>
    <s v="N/A"/>
    <s v="Ongoing"/>
    <n v="0.1"/>
    <n v="1E-4"/>
    <n v="0.5"/>
    <n v="5.0000000000000001E-4"/>
    <s v="Upper Kissimmee"/>
    <s v="Urban"/>
  </r>
  <r>
    <s v="OC-10"/>
    <s v="Lake Anderson CIB"/>
    <s v="Orange County"/>
    <s v="CIB"/>
    <s v="Curb or grate inlet filter baskets to collect 3,364 lbs/yr of material."/>
    <s v="N/A"/>
    <n v="10000"/>
    <n v="1440"/>
    <s v="Lake Anderson MSTU"/>
    <x v="0"/>
    <s v="N/A"/>
    <s v="Ongoing"/>
    <n v="0.1"/>
    <n v="1E-4"/>
    <n v="0.4"/>
    <n v="4.0000000000000002E-4"/>
    <s v="Upper Kissimmee"/>
    <s v="Urban"/>
  </r>
  <r>
    <s v="OC-11"/>
    <s v="Lake Holden CIB"/>
    <s v="Orange County"/>
    <s v="CIB"/>
    <s v="Curb or grate inlet filter baskets to collect 27,602 lbs/yr of material."/>
    <s v="N/A"/>
    <n v="41000"/>
    <n v="9102"/>
    <s v="Lake Holden Taxing District (MSTU)"/>
    <x v="0"/>
    <s v="N/A"/>
    <s v="Ongoing"/>
    <n v="0.7"/>
    <n v="6.9999999999999999E-4"/>
    <n v="3.3"/>
    <n v="3.3E-3"/>
    <s v="Upper Kissimmee"/>
    <s v="Urban"/>
  </r>
  <r>
    <s v="OC-12"/>
    <s v="Lake Jessamine CIB"/>
    <s v="Orange County"/>
    <s v="CIB"/>
    <s v="Curb or grate inlet filter baskets to collect 13,025 lbs/yr of material."/>
    <s v="N/A"/>
    <n v="110000"/>
    <n v="24420"/>
    <s v="Lake Jessamine Taxing District (MSTU)"/>
    <x v="0"/>
    <s v="N/A"/>
    <s v="Ongoing"/>
    <n v="0.3"/>
    <n v="2.9999999999999997E-4"/>
    <n v="1.6"/>
    <n v="1.6000000000000001E-3"/>
    <s v="Upper Kissimmee"/>
    <s v="Urban"/>
  </r>
  <r>
    <s v="OC-13"/>
    <s v="Lake Floy CIB"/>
    <s v="Orange County"/>
    <s v="CIB"/>
    <s v="Curb or grate inlet filter baskets to collect 4,835 lbs/yr of material."/>
    <s v="N/A"/>
    <n v="10000"/>
    <n v="1440"/>
    <s v="Lake Floy MSTU"/>
    <x v="0"/>
    <s v="N/A"/>
    <s v="Ongoing"/>
    <n v="0.1"/>
    <n v="1E-4"/>
    <n v="0.6"/>
    <n v="5.9999999999999995E-4"/>
    <s v="Upper Kissimmee"/>
    <s v="Urban"/>
  </r>
  <r>
    <s v="OC-14"/>
    <s v="Lake Cane CIB "/>
    <s v="Orange County"/>
    <s v="CIB"/>
    <s v="Curb or grate inlet filter baskets to collect 3,845 lbs/yr of material."/>
    <s v="N/A"/>
    <n v="14000"/>
    <n v="2016"/>
    <s v="Orange County General Fund"/>
    <x v="0"/>
    <s v="N/A"/>
    <s v="Ongoing"/>
    <n v="0.1"/>
    <n v="1E-4"/>
    <n v="0.5"/>
    <n v="5.0000000000000001E-4"/>
    <s v="Upper Kissimmee"/>
    <s v="Urban"/>
  </r>
  <r>
    <s v="OC-15"/>
    <s v="Lake Odell CIB"/>
    <s v="Orange County"/>
    <s v="CIB"/>
    <s v="Curb or grate inlet filter baskets to collect 904 lbs/yr of material."/>
    <s v="N/A"/>
    <n v="3000"/>
    <n v="432"/>
    <s v="Orange County General Fund"/>
    <x v="0"/>
    <s v="N/A"/>
    <s v="Ongoing"/>
    <n v="0"/>
    <n v="0"/>
    <n v="0.1"/>
    <n v="1E-4"/>
    <s v="Upper Kissimmee"/>
    <s v="Urban"/>
  </r>
  <r>
    <s v="OC-16"/>
    <s v="Lake Tyler CIB"/>
    <s v="Orange County"/>
    <s v="CIB"/>
    <s v="Curb or grate inlet filter baskets."/>
    <s v="N/A"/>
    <n v="11000"/>
    <n v="1440"/>
    <s v="Unknown"/>
    <x v="0"/>
    <s v="N/A"/>
    <s v="Ongoing"/>
    <m/>
    <n v="0"/>
    <m/>
    <n v="0"/>
    <s v="Upper Kissimmee"/>
    <s v="Urban"/>
  </r>
  <r>
    <s v="OC-17"/>
    <s v="Lake Down CIB"/>
    <s v="Orange County"/>
    <s v="CIB"/>
    <s v="Curb or grate inlet filter baskets to collect 16,934 lbs/yr of material."/>
    <s v="N/A"/>
    <n v="56000"/>
    <s v="Unknown"/>
    <s v="Windermere Water and Navigation Control District (MSTU)"/>
    <x v="4"/>
    <s v="October 2013"/>
    <s v="Unknown"/>
    <n v="0.5"/>
    <n v="5.0000000000000001E-4"/>
    <n v="2"/>
    <n v="2E-3"/>
    <s v="Upper Kissimmee"/>
    <s v="Urban"/>
  </r>
  <r>
    <s v="OC-18"/>
    <s v="Lake Tibet CIB"/>
    <s v="Orange County"/>
    <s v="CIB"/>
    <s v="Curb or grate inlet filter baskets to collect 13,494 lbs/yr of material."/>
    <s v="N/A"/>
    <n v="31000"/>
    <s v="Unknown"/>
    <s v="Windermere Water and Navigation Control District (MSTU)"/>
    <x v="4"/>
    <s v="October 2013"/>
    <s v="Unknown"/>
    <n v="0.4"/>
    <n v="4.0000000000000002E-4"/>
    <n v="1.6"/>
    <n v="1.6000000000000001E-3"/>
    <s v="Upper Kissimmee"/>
    <s v="Urban"/>
  </r>
  <r>
    <s v="OC-19"/>
    <s v="Lisa Waterway CDS"/>
    <s v="Orange County"/>
    <s v="CDS unit"/>
    <s v="Treats runoff from Orange Avenue."/>
    <s v="N/A"/>
    <n v="225000"/>
    <n v="5362"/>
    <s v="Lake Conway Taxing District (MSTU)"/>
    <x v="0"/>
    <s v="N/A"/>
    <s v="Ongoing"/>
    <n v="0.3"/>
    <n v="2.9999999999999997E-4"/>
    <n v="1.5"/>
    <n v="1.5E-3"/>
    <s v="Upper Kissimmee"/>
    <s v="Urban"/>
  </r>
  <r>
    <s v="OC-20"/>
    <s v="Randolph Avenue Continuous Deflective Separation (CDS) Unit"/>
    <s v="Orange County"/>
    <s v="CDS unit"/>
    <s v="Treats runoff from Randolph Avenue."/>
    <m/>
    <s v="Unknown"/>
    <s v="Unknown"/>
    <s v="Unknown"/>
    <x v="3"/>
    <s v="N/A"/>
    <s v="Completed"/>
    <n v="0"/>
    <n v="0"/>
    <n v="0"/>
    <n v="0"/>
    <s v="Upper Kissimmee"/>
    <s v="Urban"/>
  </r>
  <r>
    <s v="OC-21"/>
    <s v="Randolph Avenue Stormceptor"/>
    <s v="Orange County"/>
    <s v="Stormceptor"/>
    <s v="Stormceptor."/>
    <m/>
    <s v="Unknown"/>
    <s v="Unknown"/>
    <s v="Unknown"/>
    <x v="3"/>
    <s v="N/A"/>
    <s v="Completed"/>
    <n v="0"/>
    <n v="0"/>
    <n v="0.1"/>
    <n v="1E-4"/>
    <s v="Upper Kissimmee"/>
    <s v="Urban"/>
  </r>
  <r>
    <s v="OC-22"/>
    <s v="Randolph Avenue Pond"/>
    <s v="Orange County"/>
    <s v="Dry detention"/>
    <s v="Dry detention pond."/>
    <m/>
    <s v="Unknown"/>
    <s v="Unknown"/>
    <s v="Unknown"/>
    <x v="3"/>
    <s v="N/A"/>
    <s v="Completed"/>
    <n v="0"/>
    <n v="0"/>
    <n v="0.4"/>
    <n v="4.0000000000000002E-4"/>
    <s v="Upper Kissimmee"/>
    <s v="Urban"/>
  </r>
  <r>
    <s v="OC-23"/>
    <s v="Lake Mary Jess Pond"/>
    <s v="Orange County/ FDOT District 5, City of Edgewood, Department"/>
    <s v="Wet detention pond"/>
    <s v="Wet retention pond created from canal."/>
    <n v="31.2"/>
    <n v="534795"/>
    <n v="8000"/>
    <s v="FDOT District 5, City of Edgewood"/>
    <x v="3"/>
    <s v="N/A"/>
    <s v="June 2013"/>
    <n v="2.9"/>
    <n v="2.8999999999999998E-3"/>
    <n v="13.1"/>
    <n v="1.3099999999999999E-2"/>
    <s v="Upper Kissimmee"/>
    <s v="Urban"/>
  </r>
  <r>
    <s v="OC-24"/>
    <s v="Lake Odell Sediment Sump"/>
    <s v="Orange County"/>
    <s v="Retention BMPs"/>
    <s v="Small sump that collects sediment from roadway, with an estimate of 12,000 lbs/yr of material."/>
    <s v="N/A"/>
    <n v="33300"/>
    <n v="1500"/>
    <s v="Orange County General Fund"/>
    <x v="4"/>
    <n v="2013"/>
    <n v="2014"/>
    <n v="0.4"/>
    <n v="4.0000000000000002E-4"/>
    <n v="1.2"/>
    <n v="1.1999999999999999E-3"/>
    <s v="Upper Kissimmee"/>
    <s v="Urban"/>
  </r>
  <r>
    <s v="OC-25"/>
    <s v="Lake Jennie Jewel Baffle Box"/>
    <s v="Orange County"/>
    <s v="2nd generation baffle box"/>
    <s v="2nd generation baffle box."/>
    <m/>
    <n v="175000"/>
    <s v="Unknown"/>
    <s v="Unknown"/>
    <x v="1"/>
    <n v="2015"/>
    <s v="Unknown"/>
    <n v="0.3"/>
    <n v="2.9999999999999997E-4"/>
    <n v="22.1"/>
    <n v="2.2100000000000002E-2"/>
    <s v="Upper Kissimmee"/>
    <s v="Urban"/>
  </r>
  <r>
    <s v="OC-26"/>
    <s v="Lake Anderson Mobile Alum Injection"/>
    <s v="Orange County"/>
    <s v="Alum injection"/>
    <s v="Storm pond enhancement with alum."/>
    <m/>
    <n v="75000"/>
    <n v="11000"/>
    <s v="Orange County General Fund"/>
    <x v="4"/>
    <n v="2014"/>
    <n v="2016"/>
    <n v="12.2"/>
    <n v="1.2199999999999999E-2"/>
    <n v="257.60000000000002"/>
    <n v="0.2576"/>
    <s v="Upper Kissimmee"/>
    <s v="Urban"/>
  </r>
  <r>
    <s v="OC-27"/>
    <s v="Lake Jessamine Surface Alum "/>
    <s v="Orange County"/>
    <s v="Alum injection"/>
    <s v="Whole-lake alum treatment."/>
    <m/>
    <n v="246000"/>
    <s v="Unknown"/>
    <s v="Lake Jessamine Taxing District (MSTU)"/>
    <x v="3"/>
    <s v="N/A"/>
    <n v="2013"/>
    <n v="4.5"/>
    <n v="4.4999999999999997E-3"/>
    <n v="71.7"/>
    <n v="7.17E-2"/>
    <s v="Upper Kissimmee"/>
    <s v="Urban"/>
  </r>
  <r>
    <s v="OC-28"/>
    <s v="Lake Down Alum  Treatment Facility"/>
    <s v="Orange County"/>
    <s v="Alum injection"/>
    <s v="Off-line pond and alum injection system."/>
    <n v="378.8"/>
    <n v="1800000"/>
    <s v="Unknown"/>
    <s v="Windermere Water and Navigation Control District (MSTU) &amp; FDEP Grant"/>
    <x v="2"/>
    <s v="May 2014"/>
    <s v="October 2014"/>
    <n v="21.3"/>
    <n v="2.1299999999999999E-2"/>
    <n v="555.1"/>
    <n v="0.55510000000000004"/>
    <s v="Upper Kissimmee"/>
    <s v="Urban"/>
  </r>
  <r>
    <s v="OSC-1"/>
    <s v="Narcoossee Road IB Pond 2 and 3"/>
    <s v="Osceola County"/>
    <s v="Wet detention pond"/>
    <s v="Roadway widening."/>
    <n v="29.3"/>
    <s v="Unknown"/>
    <s v="Unknown"/>
    <s v="Unknown"/>
    <x v="3"/>
    <s v="N/A"/>
    <s v="September 2011"/>
    <n v="0.2"/>
    <n v="2.0000000000000001E-4"/>
    <n v="5.7"/>
    <n v="5.7000000000000002E-3"/>
    <s v="Upper Kissimmee"/>
    <s v="Urban"/>
  </r>
  <r>
    <s v="OSC-2"/>
    <s v="Narcoossee Rodd III Pond C3A &amp; C3B"/>
    <s v="Osceola County"/>
    <s v="Wet detention pond"/>
    <s v="Roadway widening."/>
    <n v="20.5"/>
    <s v="Unknown"/>
    <s v="Unknown"/>
    <s v="Unknown"/>
    <x v="3"/>
    <s v="N/A"/>
    <n v="2012"/>
    <n v="0.1"/>
    <n v="1E-4"/>
    <n v="3.8"/>
    <n v="3.8E-3"/>
    <s v="Upper Kissimmee"/>
    <s v="Urban"/>
  </r>
  <r>
    <s v="OSC-3"/>
    <s v="Narcoossee Road III Pond D3 Comp"/>
    <s v="Osceola County"/>
    <s v="Wet detention pond"/>
    <s v="Roadway widening."/>
    <n v="24.3"/>
    <s v="Unknown"/>
    <s v="Unknown"/>
    <s v="Unknown"/>
    <x v="3"/>
    <s v="N/A"/>
    <n v="2012"/>
    <n v="0.2"/>
    <n v="2.0000000000000001E-4"/>
    <n v="3.7"/>
    <n v="3.7000000000000002E-3"/>
    <s v="Upper Kissimmee"/>
    <s v="Urban"/>
  </r>
  <r>
    <s v="OSC-4"/>
    <s v="Narcoossee Road III Pond E1 Comp"/>
    <s v="Osceola County"/>
    <s v="Wet detention pond"/>
    <s v="Roadway widening."/>
    <n v="22.4"/>
    <s v="Unknown"/>
    <s v="Unknown"/>
    <s v="Unknown"/>
    <x v="3"/>
    <s v="N/A"/>
    <n v="2012"/>
    <n v="0.1"/>
    <n v="1E-4"/>
    <n v="2.4"/>
    <n v="2.3999999999999998E-3"/>
    <s v="Upper Kissimmee"/>
    <s v="Urban"/>
  </r>
  <r>
    <s v="OSC-5"/>
    <s v="Neptune Road I - Ponds 100, 200, and 300"/>
    <s v="Osceola County"/>
    <s v="Wet detention pond"/>
    <s v="Road improvement."/>
    <n v="226.8"/>
    <s v="Unknown"/>
    <s v="Unknown"/>
    <s v="Unknown"/>
    <x v="3"/>
    <s v="N/A"/>
    <s v="October 2010"/>
    <n v="8.3000000000000007"/>
    <n v="8.3000000000000001E-3"/>
    <n v="219.3"/>
    <n v="0.21930000000000002"/>
    <s v="Upper Kissimmee"/>
    <s v="Urban"/>
  </r>
  <r>
    <s v="OSC-6"/>
    <s v="Old Wilson Road Pond D002-P"/>
    <s v="Osceola County"/>
    <s v="Online retention"/>
    <s v="Road improvement."/>
    <n v="55.8"/>
    <s v="Unknown"/>
    <s v="Unknown"/>
    <s v="Unknown"/>
    <x v="3"/>
    <s v="N/A"/>
    <n v="2012"/>
    <n v="0.6"/>
    <n v="5.9999999999999995E-4"/>
    <n v="18.899999999999999"/>
    <n v="1.89E-2"/>
    <s v="Upper Kissimmee"/>
    <s v="Urban"/>
  </r>
  <r>
    <s v="OSC-7"/>
    <s v="Old Wilson Road Pond D004-P"/>
    <s v="Osceola County"/>
    <s v="Online retention"/>
    <s v="Road improvement."/>
    <n v="18.7"/>
    <s v="Unknown"/>
    <s v="Unknown"/>
    <s v="Unknown"/>
    <x v="3"/>
    <s v="N/A"/>
    <n v="2012"/>
    <n v="0.3"/>
    <n v="2.9999999999999997E-4"/>
    <n v="19.8"/>
    <n v="1.9800000000000002E-2"/>
    <s v="Upper Kissimmee"/>
    <s v="Urban"/>
  </r>
  <r>
    <s v="OSC-8"/>
    <s v="Old Wilson Road Pond E002-P"/>
    <s v="Osceola County"/>
    <s v="Online retention"/>
    <s v="Road improvement."/>
    <n v="12.5"/>
    <s v="Unknown"/>
    <s v="Unknown"/>
    <s v="Unknown"/>
    <x v="3"/>
    <s v="N/A"/>
    <n v="2012"/>
    <n v="0.7"/>
    <n v="6.9999999999999999E-4"/>
    <n v="21.3"/>
    <n v="2.1299999999999999E-2"/>
    <s v="Upper Kissimmee"/>
    <s v="Urban"/>
  </r>
  <r>
    <s v="OSC-9"/>
    <s v="Stewart Street Regional Pond Retrofit"/>
    <s v="Osceola County"/>
    <s v="Wet detention pond"/>
    <s v="Regional pond retrofit."/>
    <n v="2249.1999999999998"/>
    <s v="Unknown"/>
    <s v="Unknown"/>
    <s v="Unknown"/>
    <x v="3"/>
    <s v="N/A"/>
    <n v="2009"/>
    <n v="70.400000000000006"/>
    <n v="7.0400000000000004E-2"/>
    <n v="1747"/>
    <n v="1.7470000000000001"/>
    <s v="Upper Kissimmee"/>
    <s v="Urban"/>
  </r>
  <r>
    <s v="OSC-10"/>
    <s v="Education"/>
    <s v="Osceola County"/>
    <s v="Public education"/>
    <s v="FYN; landscaping, irrigation, fertilizer, and pet waste management ordinances; PSAs; pamphlets; website; and illicit discharge program."/>
    <s v="N/A"/>
    <s v="Unknown"/>
    <s v="Unknown"/>
    <s v="Unknown"/>
    <x v="0"/>
    <s v="N/A"/>
    <s v="Ongoing"/>
    <n v="321.60000000000002"/>
    <n v="0.3216"/>
    <n v="10612.3"/>
    <n v="10.612299999999999"/>
    <s v="Upper Kissimmee"/>
    <s v="Urban"/>
  </r>
  <r>
    <s v="OSC-11"/>
    <s v="Education"/>
    <s v="Osceola County"/>
    <s v="Public education"/>
    <s v="FYN; landscaping, irrigation, fertilizer, and pet waste management ordinances; PSAs; pamphlets; website; and illicit discharge program."/>
    <s v="N/A"/>
    <s v="Unknown"/>
    <s v="Unknown"/>
    <s v="Unknown"/>
    <x v="0"/>
    <s v="N/A"/>
    <s v="Ongoing"/>
    <n v="2.5"/>
    <n v="2.5000000000000001E-3"/>
    <n v="24.4"/>
    <n v="2.4399999999999998E-2"/>
    <s v="Lower Kissimmee"/>
    <s v="Urban"/>
  </r>
  <r>
    <s v="OSC-12"/>
    <s v="East Lake Reserve Stormwater Reuse"/>
    <s v="Osceola County"/>
    <s v="Stormwater reuse"/>
    <s v="Stormwater reuse for landscape irrigation from pond A1 (9.1A)."/>
    <n v="130.80000000000001"/>
    <s v="See annual O&amp;M"/>
    <s v="Unknown"/>
    <s v="Homeowners Association"/>
    <x v="0"/>
    <s v="N/A"/>
    <s v="December 2028"/>
    <n v="5.5"/>
    <n v="5.4999999999999997E-3"/>
    <n v="365.4"/>
    <n v="0.3654"/>
    <s v="Upper Kissimmee"/>
    <s v="Urban"/>
  </r>
  <r>
    <s v="OSC-13"/>
    <s v="Neptune Road Stormwater Reuse"/>
    <s v="Osceola County"/>
    <s v="Stormwater reuse"/>
    <s v="Stormwater reuse for landscape irrigation from Ponds 100/101 and 300."/>
    <n v="35.700000000000003"/>
    <n v="640689.59"/>
    <n v="26000"/>
    <s v="Operations"/>
    <x v="0"/>
    <s v="N/A"/>
    <s v="September 2027"/>
    <n v="1.1000000000000001"/>
    <n v="1.1000000000000001E-3"/>
    <n v="24.9"/>
    <n v="2.4899999999999999E-2"/>
    <s v="Upper Kissimmee"/>
    <s v="Urban"/>
  </r>
  <r>
    <s v="OSC-14"/>
    <s v="Bellalago and Isles of Bellalago Stormwater Reuse"/>
    <s v="Osceola County"/>
    <s v="Stormwater reuse"/>
    <s v="Stormwater reuse for landscape irrigation (197A)."/>
    <n v="1386.8"/>
    <s v="See annual O&amp;M"/>
    <s v="Unknown"/>
    <s v="Homeowners Association"/>
    <x v="0"/>
    <s v="N/A"/>
    <s v="May 2031"/>
    <n v="63.8"/>
    <n v="6.3799999999999996E-2"/>
    <n v="3071.7"/>
    <n v="3.0716999999999999"/>
    <s v="Upper Kissimmee"/>
    <s v="Urban"/>
  </r>
  <r>
    <s v="OSC-15"/>
    <s v="Poinciana Commerce Center Reuse"/>
    <s v="Osceola County"/>
    <s v="Stormwater reuse"/>
    <s v="Stormwater reuse for landscape irrigation from Pond 1."/>
    <n v="10.199999999999999"/>
    <s v="See annual O&amp;M"/>
    <s v="Unknown"/>
    <s v="Private"/>
    <x v="8"/>
    <s v="July 2008"/>
    <s v="Unknown"/>
    <n v="0.5"/>
    <n v="5.0000000000000001E-4"/>
    <n v="13.8"/>
    <n v="1.3800000000000002E-2"/>
    <s v="Upper Kissimmee"/>
    <s v="Urban"/>
  </r>
  <r>
    <s v="OSC-16"/>
    <s v="Kissimmee Bay Reuse"/>
    <s v="Osceola County"/>
    <s v="Stormwater reuse"/>
    <s v="Stormwater reuse 20-year duration for 84.5 acres of golf course and five-year duration for 45.5 acres of landscape irrigation."/>
    <n v="271"/>
    <s v="See annual O&amp;M"/>
    <s v="Unknown"/>
    <s v="Private"/>
    <x v="0"/>
    <s v="N/A"/>
    <s v="October 2030"/>
    <n v="19.600000000000001"/>
    <n v="1.9600000000000003E-2"/>
    <n v="910.1"/>
    <n v="0.91010000000000002"/>
    <s v="Upper Kissimmee"/>
    <s v="Urban"/>
  </r>
  <r>
    <s v="OSC-17"/>
    <s v="Remington"/>
    <s v="Osceola County"/>
    <s v="Stormwater reuse"/>
    <s v="Stormwater reuse for golf course irrigation from Ponds 12, 13, 14A, and 14B."/>
    <n v="149.4"/>
    <s v="See annual O&amp;M"/>
    <s v="Unknown"/>
    <s v="Private"/>
    <x v="0"/>
    <s v="N/A"/>
    <s v="November 2015"/>
    <n v="12.1"/>
    <n v="1.21E-2"/>
    <n v="523.4"/>
    <n v="0.52339999999999998"/>
    <s v="Upper Kissimmee"/>
    <s v="Urban"/>
  </r>
  <r>
    <s v="OSC-18"/>
    <s v="Eagle Lake"/>
    <s v="Osceola County"/>
    <s v="Stormwater reuse"/>
    <s v="Stormwater reuse for turf irrigation."/>
    <n v="435.1"/>
    <s v="See annual O&amp;M"/>
    <s v="Unknown"/>
    <s v="Private"/>
    <x v="0"/>
    <s v="N/A"/>
    <s v="July 2023"/>
    <n v="19.2"/>
    <n v="1.9199999999999998E-2"/>
    <n v="873.9"/>
    <n v="0.87390000000000001"/>
    <s v="Upper Kissimmee"/>
    <s v="Urban"/>
  </r>
  <r>
    <s v="OSC-19"/>
    <s v="La Quinta Inn"/>
    <s v="Osceola County"/>
    <s v="Stormwater reuse"/>
    <s v="Stormwater reuse for turf irrigation."/>
    <n v="12.5"/>
    <s v="See annual O&amp;M"/>
    <s v="Unknown"/>
    <s v="Private"/>
    <x v="0"/>
    <s v="N/A"/>
    <s v="October 2022"/>
    <n v="1.7"/>
    <n v="1.6999999999999999E-3"/>
    <n v="14.2"/>
    <n v="1.4199999999999999E-2"/>
    <s v="Upper Kissimmee"/>
    <s v="Urban"/>
  </r>
  <r>
    <s v="OSC-20"/>
    <s v="Lake Toho Regional Water Storage Facility (Judge Farms)"/>
    <s v="Osceola County/ City of Kissimmee"/>
    <s v="Stormwater reuse"/>
    <s v="Stormwater reuse."/>
    <n v="5882.9941153560885"/>
    <s v="See annual O&amp;M"/>
    <s v="Unknown"/>
    <s v="Multiple"/>
    <x v="4"/>
    <s v="December 2015"/>
    <s v="June 2016"/>
    <n v="412.1"/>
    <n v="0.41210000000000002"/>
    <n v="8775.2999999999993"/>
    <n v="8.7752999999999997"/>
    <s v="Upper Kissimmee"/>
    <s v="Urban"/>
  </r>
  <r>
    <s v="OSC-21"/>
    <s v="Street Sweeping"/>
    <s v="Osceola County"/>
    <s v="Street sweeping"/>
    <s v="Monthly street sweeping."/>
    <s v="N/A"/>
    <s v="See annual O&amp;M"/>
    <n v="60000"/>
    <s v="Osceola County"/>
    <x v="0"/>
    <s v="N/A"/>
    <s v="Ongoing"/>
    <n v="16.100000000000001"/>
    <n v="1.61E-2"/>
    <n v="46.2"/>
    <n v="4.6200000000000005E-2"/>
    <s v="Upper Kissimmee"/>
    <s v="Urban"/>
  </r>
  <r>
    <s v="OSC-22"/>
    <s v="Buenaventura Lakes Golf Course Ponds"/>
    <s v="Osceola County"/>
    <s v="Wet detention pond"/>
    <s v="Two new lakes at golf course."/>
    <n v="517.70000000000005"/>
    <s v="Unknown"/>
    <s v="Unknown"/>
    <s v="Osceola County"/>
    <x v="3"/>
    <s v="Unknown"/>
    <n v="2011"/>
    <n v="2"/>
    <n v="2E-3"/>
    <n v="6"/>
    <n v="6.0000000000000001E-3"/>
    <s v="Upper Kissimmee"/>
    <s v="Urban"/>
  </r>
  <r>
    <s v="OSC-23"/>
    <s v="Slaman"/>
    <s v="Osceola County"/>
    <s v="Conservation area"/>
    <s v="Conservation areas."/>
    <n v="32.200000000000003"/>
    <s v="See annual O&amp;M"/>
    <s v="Unknown"/>
    <s v="Osceola County"/>
    <x v="3"/>
    <s v="N/A"/>
    <s v="Completed"/>
    <n v="0"/>
    <n v="0"/>
    <n v="0.33035130351040465"/>
    <n v="3.3035130351040463E-4"/>
    <s v="Upper Kissimmee"/>
    <s v="Urban"/>
  </r>
  <r>
    <s v="OSC-24"/>
    <s v="Jim Yates"/>
    <s v="Osceola County"/>
    <s v="Conservation area"/>
    <s v="Conservation areas."/>
    <n v="5.3"/>
    <s v="See annual O&amp;M"/>
    <s v="Unknown"/>
    <s v="Osceola County"/>
    <x v="3"/>
    <s v="N/A"/>
    <s v="Completed"/>
    <n v="0.53702187976825999"/>
    <n v="5.3702187976826003E-4"/>
    <n v="3.1513197993192001"/>
    <n v="3.1513197993192003E-3"/>
    <s v="Upper Kissimmee"/>
    <s v="Urban"/>
  </r>
  <r>
    <s v="OSC-25"/>
    <s v="Udstad"/>
    <s v="Osceola County"/>
    <s v="Conservation area"/>
    <s v="Conservation areas."/>
    <n v="5.9"/>
    <s v="See annual O&amp;M"/>
    <s v="Unknown"/>
    <s v="Osceola County"/>
    <x v="3"/>
    <s v="N/A"/>
    <s v="Completed"/>
    <n v="0.53627998021229328"/>
    <n v="5.3627998021229324E-4"/>
    <n v="7.6546603440000016"/>
    <n v="7.6546603440000019E-3"/>
    <s v="Upper Kissimmee"/>
    <s v="Urban"/>
  </r>
  <r>
    <s v="OSC-26"/>
    <s v="Proctor"/>
    <s v="Osceola County"/>
    <s v="Conservation area"/>
    <s v="Conservation areas."/>
    <n v="0.7"/>
    <s v="See annual O&amp;M"/>
    <s v="Unknown"/>
    <s v="Osceola County"/>
    <x v="3"/>
    <s v="N/A"/>
    <s v="Completed"/>
    <n v="9.3648325752223802E-2"/>
    <n v="9.3648325752223802E-5"/>
    <n v="0.33312225376880011"/>
    <n v="3.3312225376880012E-4"/>
    <s v="Upper Kissimmee"/>
    <s v="Urban"/>
  </r>
  <r>
    <s v="OSC-27"/>
    <s v="Twin Oaks"/>
    <s v="Osceola County"/>
    <s v="Conservation area"/>
    <s v="Conservation areas."/>
    <n v="399.6"/>
    <s v="See annual O&amp;M"/>
    <s v="Unknown"/>
    <s v="Osceola County"/>
    <x v="3"/>
    <s v="N/A"/>
    <s v="Completed"/>
    <n v="46.970597278937703"/>
    <n v="4.6970597278937702E-2"/>
    <n v="264.92863347008404"/>
    <n v="0.26492863347008405"/>
    <s v="Upper Kissimmee"/>
    <s v="Urban"/>
  </r>
  <r>
    <s v="OSC-28"/>
    <s v="Cherokee Point"/>
    <s v="Osceola County"/>
    <s v="Conservation area"/>
    <s v="Conservation areas."/>
    <n v="178.6"/>
    <s v="See annual O&amp;M"/>
    <s v="Unknown"/>
    <s v="Osceola County"/>
    <x v="3"/>
    <s v="N/A"/>
    <s v="Completed"/>
    <n v="1.2251792917542215"/>
    <n v="1.2251792917542215E-3"/>
    <n v="6.7441802702641667"/>
    <n v="6.7441802702641667E-3"/>
    <s v="Upper Kissimmee"/>
    <s v="Urban"/>
  </r>
  <r>
    <s v="OSC-29"/>
    <s v="Encatada Resort"/>
    <s v="Osceola County"/>
    <s v="Stormwater reuse"/>
    <s v="Stormwater reuse."/>
    <n v="57.6"/>
    <s v="See annual O&amp;M"/>
    <s v="Unknown"/>
    <s v="Homeowners Association"/>
    <x v="0"/>
    <s v="N/A"/>
    <s v="Unknown"/>
    <n v="3.1"/>
    <n v="3.0999999999999999E-3"/>
    <n v="33.200000000000003"/>
    <n v="3.32E-2"/>
    <s v="Upper Kissimmee"/>
    <s v="Urban"/>
  </r>
  <r>
    <s v="OSC-30"/>
    <s v="Cypress Palms Condos"/>
    <s v="Osceola County"/>
    <s v="Stormwater reuse"/>
    <s v="Stormwater reuse."/>
    <n v="12.4"/>
    <s v="See annual O&amp;M"/>
    <s v="Unknown"/>
    <s v="Homeowners Association"/>
    <x v="4"/>
    <s v="March 2012"/>
    <s v="Unknown"/>
    <n v="1"/>
    <n v="1E-3"/>
    <n v="10.4"/>
    <n v="1.04E-2"/>
    <s v="Upper Kissimmee"/>
    <s v="Urban"/>
  </r>
  <r>
    <s v="OSC-31"/>
    <s v="Lake Pointe"/>
    <s v="Osceola County"/>
    <s v="Stormwater reuse"/>
    <s v="Stormwater reuse."/>
    <n v="150.19999999999999"/>
    <s v="See annual O&amp;M"/>
    <s v="Unknown"/>
    <s v="Homeowners Association"/>
    <x v="4"/>
    <s v="May 2012"/>
    <s v="Unknown"/>
    <n v="5.9"/>
    <n v="5.9000000000000007E-3"/>
    <n v="322.3"/>
    <n v="0.32230000000000003"/>
    <s v="Upper Kissimmee"/>
    <s v="Urban"/>
  </r>
  <r>
    <s v="OSC-32"/>
    <s v="Traditions at Westside"/>
    <s v="Osceola County"/>
    <s v="Stormwater reuse"/>
    <s v="Stormwater reuse."/>
    <n v="21.7"/>
    <s v="See annual O&amp;M"/>
    <s v="Unknown"/>
    <s v="Homeowners Association"/>
    <x v="4"/>
    <s v="February 2011"/>
    <s v="Unknown"/>
    <n v="2.2999999999999998"/>
    <n v="2.3E-3"/>
    <n v="19.7"/>
    <n v="1.9699999999999999E-2"/>
    <s v="Upper Kissimmee"/>
    <s v="Urban"/>
  </r>
  <r>
    <s v="PC-1"/>
    <s v="Education and Outreach"/>
    <s v="Polk County"/>
    <s v="Public education"/>
    <s v="FYN, fertilizer ordinance, PSAs, pamphlets, website, and illicit discharge inspection program."/>
    <s v="N/A"/>
    <s v="Unknown"/>
    <s v="Unknown"/>
    <s v="Polk County"/>
    <x v="0"/>
    <s v="N/A"/>
    <s v="Ongoing"/>
    <n v="38.799999999999997"/>
    <n v="3.8799999999999994E-2"/>
    <n v="1086.9000000000001"/>
    <n v="1.0869000000000002"/>
    <s v="Lake Istokpoga"/>
    <s v="Urban"/>
  </r>
  <r>
    <s v="PC-2"/>
    <s v="Education and Outreach"/>
    <s v="Polk County"/>
    <s v="Public education"/>
    <s v="FYN, fertilizer ordinance, PSAs, pamphlets, website, and illicit discharge inspection program."/>
    <s v="N/A"/>
    <s v="Unknown"/>
    <s v="Unknown"/>
    <s v="Polk County"/>
    <x v="0"/>
    <s v="N/A"/>
    <s v="Ongoing"/>
    <n v="22.7"/>
    <n v="2.2699999999999998E-2"/>
    <n v="408.9"/>
    <n v="0.40889999999999999"/>
    <s v="Lower Kissimmee"/>
    <s v="Urban"/>
  </r>
  <r>
    <s v="PC-3"/>
    <s v="Education and Outreach"/>
    <s v="Polk County"/>
    <s v="Public education"/>
    <s v="FYN, fertilizer ordinance, PSAs, pamphlets, website, and illicit discharge inspection program."/>
    <s v="N/A"/>
    <s v="Unknown"/>
    <s v="Unknown"/>
    <s v="Polk County"/>
    <x v="0"/>
    <s v="N/A"/>
    <s v="Ongoing"/>
    <n v="118.8"/>
    <n v="0.1188"/>
    <n v="4438.1000000000004"/>
    <n v="4.4381000000000004"/>
    <s v="Upper Kissimmee"/>
    <s v="Urban"/>
  </r>
  <r>
    <s v="PC-4"/>
    <s v="Sumica Preserve Water Storage/ Hydrologic Restoration"/>
    <s v="Polk County/ SFWMD"/>
    <s v="DWM"/>
    <s v="Construction of a gravel berm to store water on-site for wetland restoration."/>
    <n v="4077.4"/>
    <n v="42850"/>
    <n v="13000"/>
    <s v="SFWMD"/>
    <x v="5"/>
    <s v="N/A"/>
    <s v="November 2010"/>
    <n v="7.5"/>
    <n v="7.4999999999999997E-3"/>
    <s v="Not quantified"/>
    <e v="#VALUE!"/>
    <s v="Upper Kissimmee"/>
    <s v="Urban"/>
  </r>
  <r>
    <s v="SFWMD-1"/>
    <s v="Taylor Creek"/>
    <s v="SFWMD"/>
    <s v="STA"/>
    <s v="The Taylor Creek STA is a two-celled STA. "/>
    <n v="118"/>
    <n v="26900000"/>
    <n v="50000"/>
    <s v="SFWMD and USACE"/>
    <x v="3"/>
    <s v="N/A"/>
    <n v="2009"/>
    <n v="1802.5"/>
    <n v="1.8025"/>
    <s v="Not quantified"/>
    <e v="#VALUE!"/>
    <s v="Taylor Creek/ Nubbin Slough"/>
    <s v="Public/Private"/>
  </r>
  <r>
    <s v="SFWMD-2"/>
    <s v="Nubbin Slough "/>
    <s v="SFWMD"/>
    <s v="STA"/>
    <s v="The Nubbin Slough STA is the larger of the two pilot STAs constructed north of the lake. It is a two-celled enclosure."/>
    <n v="773"/>
    <s v="Included in SFWMD-1"/>
    <n v="100000"/>
    <s v="SFWMD and USACE"/>
    <x v="9"/>
    <s v="Unknown"/>
    <s v="Unknown"/>
    <n v="6193.6"/>
    <n v="6.1936"/>
    <s v="Not quantified"/>
    <e v="#VALUE!"/>
    <s v="Taylor Creek/ Nubbin Slough"/>
    <s v="Public/Private"/>
  </r>
  <r>
    <s v="SFWMD-3"/>
    <s v="Lakeside Ranch Phase I"/>
    <s v="SFWMD"/>
    <s v="STA"/>
    <s v="Phase I included construction of a 1,200-acre STA, canal improvements, and the installation of the S-650 pump station. "/>
    <s v="N/A"/>
    <n v="22800000"/>
    <n v="341000"/>
    <s v="SFWMD"/>
    <x v="10"/>
    <s v="N/A"/>
    <n v="2012"/>
    <n v="13978.8"/>
    <n v="13.9788"/>
    <s v="Not quantified"/>
    <e v="#VALUE!"/>
    <s v="Taylor Creek/ Nubbin Slough"/>
    <s v="Public/Private"/>
  </r>
  <r>
    <s v="SFWMD-4"/>
    <s v="Otter Slough Restoration"/>
    <s v="SFWMD"/>
    <s v="Restoration"/>
    <s v="Includes five ditch plugs and removal of two berms. It helps attenuate regional stormwater runoff, as well as providing nutrient reductions due to plant uptake from overland flows.  In 2011 LOPP, it was estimated to create 71 acre-ft of storage."/>
    <s v="N/A"/>
    <s v="Unknown"/>
    <s v="Unknown"/>
    <s v="SFWMD"/>
    <x v="3"/>
    <s v="N/A"/>
    <n v="2009"/>
    <n v="5.5839999999999996"/>
    <n v="5.5839999999999996E-3"/>
    <s v="Not quantified"/>
    <e v="#VALUE!"/>
    <s v="Lower Kissimmee"/>
    <s v="Public/Private"/>
  </r>
  <r>
    <s v="SFWMD-5"/>
    <s v="Kissimmee River Restoration"/>
    <s v="SFWMD"/>
    <s v="Restoration"/>
    <s v="Restore ecological integrity by restoring 40 miles of meandering river and more than 12,000 miles of wetlands through the design and construction of physical project features coupled with application of optimized hydrologic conditions."/>
    <n v="26500"/>
    <n v="780000000"/>
    <s v="Unknown"/>
    <s v="SFWMD and USACE"/>
    <x v="11"/>
    <m/>
    <s v="2017-2020"/>
    <n v="17748"/>
    <n v="17.748000000000001"/>
    <s v="Not quantified"/>
    <e v="#VALUE!"/>
    <s v="Lower Kissimmee"/>
    <s v="Public/Private"/>
  </r>
  <r>
    <s v="SFWMD-6"/>
    <s v="Phase I Rolling Meadows"/>
    <s v="SFWMD"/>
    <s v="Restoration"/>
    <s v="The goal of this project is to restore historic Lake Hatchineha floodplain wetlands and habitat within the Rolling Meadows property which was purchased jointly with the Department. "/>
    <n v="1900"/>
    <n v="43200000"/>
    <s v="Unknown"/>
    <s v="SFWMD and Department"/>
    <x v="4"/>
    <n v="2014"/>
    <s v="2015-2016"/>
    <n v="65.099999999999994"/>
    <n v="6.5099999999999991E-2"/>
    <s v="Not quantified"/>
    <e v="#VALUE!"/>
    <s v="Upper Kissimmee"/>
    <s v="Public/Private"/>
  </r>
  <r>
    <s v="SFWMD-7"/>
    <s v="Gardner-Cobb Marsh"/>
    <s v="SFWMD"/>
    <s v="Restoration"/>
    <s v="Located south of Cypress Lake and includes 23 ditch plugs, berm removal, exotic treatment, and culvert replacement. It helps attenuate regional stormwater runoff and provide incidental nutrient reductions due to plant uptake from overland flows in the marsh."/>
    <n v="2000"/>
    <s v="Unknown"/>
    <s v="Unknown"/>
    <s v="SFWMD"/>
    <x v="2"/>
    <n v="2009"/>
    <s v="Unknown"/>
    <n v="5.2"/>
    <n v="5.1999999999999998E-3"/>
    <s v="Not quantified"/>
    <e v="#VALUE!"/>
    <s v="Upper Kissimmee"/>
    <s v="Public/Private"/>
  </r>
  <r>
    <s v="SFWMD-8"/>
    <s v="Rough Island "/>
    <s v="SFWMD"/>
    <s v="Restoration"/>
    <s v="Located southwest of Cypress Lake and west of the C-36 Canal.  The project includes 31 ditch plugs and exotic removal. It helps attenuate regional stormwater runoff and provides incidental nutrient reductions due to plant uptake from overland flows.  Estimated to create 215 acre-ft of storage"/>
    <n v="1000"/>
    <s v="Unknown"/>
    <s v="Unknown"/>
    <s v="SFWMD"/>
    <x v="2"/>
    <n v="2009"/>
    <s v="Unknown"/>
    <n v="60.8"/>
    <n v="6.08E-2"/>
    <s v="Not quantified"/>
    <e v="#VALUE!"/>
    <s v="Upper Kissimmee"/>
    <s v="Public/Private"/>
  </r>
  <r>
    <s v="SFWMD-9"/>
    <s v="Oasis Marsh Restoration"/>
    <s v="SFWMD"/>
    <s v="Restoration"/>
    <s v="The Oasis wetlands are located in floodplain of the southwest corner of Lake Kissimmee and the site is a mosaic of dewatered wetlands and uplands. To restore the floodplain function, four ditches totaling 2.4 acres in size were filled with 3,144 cubic yards of sediment material from a levee adjacent to the site in spring 2010. The restoration of the topography of Oasis Marsh will restore approximately 77 acres of wetlands and reconnect them to the littoral zone of Lake Kissimmee."/>
    <n v="77"/>
    <s v="Unknown"/>
    <s v="Unknown"/>
    <s v="SFWMD"/>
    <x v="2"/>
    <n v="2009"/>
    <s v="Unknown"/>
    <n v="195.3"/>
    <n v="0.1953"/>
    <s v="Not quantified"/>
    <e v="#VALUE!"/>
    <s v="Upper Kissimmee"/>
    <s v="Public/Private"/>
  </r>
  <r>
    <s v="SFWMD-10"/>
    <s v="West Waterhole Marsh"/>
    <s v="SFWMD"/>
    <s v="DWM"/>
    <s v="Storage of 5,000 ac-ft of water through above ground impoundment."/>
    <s v="N/A"/>
    <n v="50000"/>
    <n v="493750"/>
    <s v="FRESP"/>
    <x v="5"/>
    <s v="N/A"/>
    <s v="Unknown"/>
    <n v="4166.3999999999996"/>
    <n v="4.1663999999999994"/>
    <n v="20619.5"/>
    <n v="20.619499999999999"/>
    <s v="Indian Prairie"/>
    <s v="Public/Private"/>
  </r>
  <r>
    <s v="SFWMD-11"/>
    <s v="Rafter T Ranch"/>
    <s v="SFWMD"/>
    <s v="DWM"/>
    <s v="Storage of 1,145 ac-ft of water through above ground impoundment and pasture."/>
    <s v="N/A"/>
    <n v="431524"/>
    <n v="92490"/>
    <s v="FRESP"/>
    <x v="5"/>
    <s v="N/A"/>
    <s v="Unknown"/>
    <n v="89.8"/>
    <n v="8.9799999999999991E-2"/>
    <s v="Not quantified"/>
    <e v="#VALUE!"/>
    <s v="Lake Istokpoga"/>
    <s v="Public/Private"/>
  </r>
  <r>
    <s v="SFWMD-12"/>
    <s v="Buck Island Ranch"/>
    <s v="SFWMD"/>
    <s v="DWM"/>
    <s v="Storage of 1,573 ac-ft of water through pasture."/>
    <s v="N/A"/>
    <n v="1928"/>
    <n v="173600"/>
    <s v="SFWMD"/>
    <x v="5"/>
    <s v="N/A"/>
    <s v="Unknown"/>
    <n v="1087.2"/>
    <n v="1.0871999999999999"/>
    <s v="Not quantified"/>
    <e v="#VALUE!"/>
    <s v="Indian Prairie"/>
    <s v="Public/Private"/>
  </r>
  <r>
    <s v="SFWMD-13"/>
    <s v="Dixie West"/>
    <s v="SFWMD"/>
    <s v="DWM"/>
    <s v="Storage of 315 ac-ft of water through pasture."/>
    <s v="N/A"/>
    <n v="7228"/>
    <n v="51500"/>
    <s v="SFWMD"/>
    <x v="5"/>
    <s v="N/A"/>
    <s v="Unknown"/>
    <n v="230.5"/>
    <n v="0.23050000000000001"/>
    <s v="Not quantified"/>
    <e v="#VALUE!"/>
    <s v="Lower Kissimmee"/>
    <s v="Public/Private"/>
  </r>
  <r>
    <s v="SFWMD-14"/>
    <s v="Dixie Ranch"/>
    <s v="SFWMD"/>
    <s v="DWM"/>
    <s v="Storage of 856 ac-ft of water through pasture."/>
    <s v="N/A"/>
    <n v="17015"/>
    <n v="146500"/>
    <s v="SFWMD"/>
    <x v="5"/>
    <s v="N/A"/>
    <s v="Unknown"/>
    <n v="133.69999999999999"/>
    <n v="0.13369999999999999"/>
    <s v="Not quantified"/>
    <e v="#VALUE!"/>
    <s v="Lower Kissimmee"/>
    <s v="Public/Private"/>
  </r>
  <r>
    <s v="SFWMD-15"/>
    <s v="Dixie Ranch"/>
    <s v="SFWMD"/>
    <s v="DWM"/>
    <s v="Storage of 856 ac-ft of water through pasture."/>
    <s v="N/A"/>
    <n v="17015"/>
    <n v="146500"/>
    <s v="SFWMD"/>
    <x v="10"/>
    <s v="N/A"/>
    <s v="Unknown"/>
    <n v="205.9"/>
    <n v="0.2059"/>
    <s v="Not quantified"/>
    <e v="#VALUE!"/>
    <s v="Taylor Creek/ Nubbin Slough"/>
    <s v="Public/Private"/>
  </r>
  <r>
    <s v="SFWMD-16"/>
    <s v="Lost Oak Ranch"/>
    <s v="SFWMD"/>
    <s v="DWM"/>
    <s v="Storage of 374 ac-ft of water through pasture."/>
    <s v="N/A"/>
    <n v="61030"/>
    <n v="55000"/>
    <s v="SFWMD"/>
    <x v="2"/>
    <s v="N/A"/>
    <s v="Unknown"/>
    <n v="28"/>
    <n v="2.8000000000000001E-2"/>
    <s v="Not quantified"/>
    <e v="#VALUE!"/>
    <s v="Upper Kissimmee"/>
    <s v="Public/Private"/>
  </r>
  <r>
    <s v="SFWMD-17"/>
    <s v="Willaway Cattle &amp; Sod"/>
    <s v="SFWMD"/>
    <s v="DWM"/>
    <s v="Storage of 229 ac-ft of water through above ground impoundment."/>
    <s v="N/A"/>
    <n v="325494"/>
    <n v="1879"/>
    <s v="SFWMD"/>
    <x v="10"/>
    <s v="N/A"/>
    <s v="Unknown"/>
    <n v="114.4"/>
    <n v="0.1144"/>
    <s v="Not quantified"/>
    <e v="#VALUE!"/>
    <s v="Lower Kissimmee"/>
    <s v="Public/Private"/>
  </r>
  <r>
    <s v="SFWMD-18"/>
    <s v="XL Ranch (Lightsey)"/>
    <s v="SFWMD"/>
    <s v="DWM"/>
    <s v="Storage of 887 ac-ft of water through above ground impoundment and pasture."/>
    <s v="N/A"/>
    <n v="52415"/>
    <n v="130150"/>
    <s v="SFWMD"/>
    <x v="5"/>
    <s v="N/A"/>
    <s v="Unknown"/>
    <n v="70.900000000000006"/>
    <n v="7.0900000000000005E-2"/>
    <s v="Not quantified"/>
    <e v="#VALUE!"/>
    <s v="Fisheating Creek"/>
    <s v="Public/Private"/>
  </r>
  <r>
    <s v="SFWMD-19"/>
    <s v="Triple A Ranch"/>
    <s v="SFWMD"/>
    <s v="DWM"/>
    <s v="Storage of 397 ac-ft of water through above ground impoundment."/>
    <s v="N/A"/>
    <n v="322186"/>
    <n v="28500"/>
    <s v="SFWMD"/>
    <x v="11"/>
    <s v="Unknown"/>
    <s v="Unknown"/>
    <n v="78.599999999999994"/>
    <n v="7.8599999999999989E-2"/>
    <s v="Not quantified"/>
    <e v="#VALUE!"/>
    <s v="Lower Kissimmee"/>
    <s v="Public/Private"/>
  </r>
  <r>
    <s v="SFWMD-20"/>
    <s v="Blue Head Ranch"/>
    <s v="SFWMD"/>
    <s v="DWM"/>
    <s v="Storage of 3,462 ac-ft of water through pasture."/>
    <s v="N/A"/>
    <n v="193750"/>
    <n v="361200"/>
    <s v="SFWMD"/>
    <x v="12"/>
    <s v="Unknown"/>
    <s v="Unknown"/>
    <n v="724.2"/>
    <n v="0.72420000000000007"/>
    <s v="Not quantified"/>
    <e v="#VALUE!"/>
    <s v="Fisheating Creek"/>
    <s v="Public/Private"/>
  </r>
  <r>
    <s v="SFWMD-21"/>
    <s v="Nicodemus Slough"/>
    <s v="SFWMD"/>
    <s v="DWM"/>
    <s v="Storage of 34,000 ac-ft of water through above ground impoundment and pasture."/>
    <s v="N/A"/>
    <n v="4900000"/>
    <n v="2968328"/>
    <s v="SFWMD"/>
    <x v="11"/>
    <s v="Unknown"/>
    <s v="Unknown"/>
    <n v="3248.5"/>
    <n v="3.2484999999999999"/>
    <s v="Not quantified"/>
    <e v="#VALUE!"/>
    <s v="Fisheating Creek"/>
    <s v="Public/Private"/>
  </r>
  <r>
    <s v="SFWMD-22"/>
    <s v="Kissimmee River Headwaters Restoration"/>
    <s v="SFWMD"/>
    <s v="Restoration"/>
    <s v="Land use change to wetlands in the project area."/>
    <n v="40875"/>
    <s v="Unknown"/>
    <s v="Unknown"/>
    <s v="SFWMD"/>
    <x v="2"/>
    <s v="Unknown"/>
    <s v="Unknown"/>
    <n v="566.4"/>
    <n v="0.56640000000000001"/>
    <s v="Not quantified"/>
    <e v="#VALUE!"/>
    <s v="Upper Kissimmee"/>
    <s v="Public/Private"/>
  </r>
  <r>
    <s v="SLID-1"/>
    <s v="Spring Lake Improvement District Improvements"/>
    <s v="Spring Lake Improvement District"/>
    <s v="STA"/>
    <s v="Treatment of runoff through a stormwater treatment area."/>
    <n v="2308"/>
    <n v="4262105"/>
    <s v="Unknown"/>
    <s v="SLID and Department Section 319 Grant"/>
    <x v="4"/>
    <s v="Unknown"/>
    <s v="Unknown"/>
    <n v="4.5"/>
    <n v="4.4999999999999997E-3"/>
    <n v="32.9"/>
    <n v="3.2899999999999999E-2"/>
    <s v="Lake Istokpoga"/>
    <s v="Special District"/>
  </r>
  <r>
    <m/>
    <m/>
    <m/>
    <m/>
    <m/>
    <m/>
    <m/>
    <m/>
    <m/>
    <x v="13"/>
    <m/>
    <m/>
    <m/>
    <n v="70.618246726756382"/>
    <m/>
    <m/>
    <m/>
    <m/>
  </r>
  <r>
    <m/>
    <m/>
    <m/>
    <m/>
    <m/>
    <m/>
    <m/>
    <m/>
    <m/>
    <x v="13"/>
    <m/>
    <s v="Total Urban and Regional Projects (kg/yr)"/>
    <n v="70618.246726756392"/>
    <m/>
    <m/>
    <m/>
    <m/>
    <m/>
  </r>
  <r>
    <m/>
    <m/>
    <m/>
    <m/>
    <m/>
    <m/>
    <m/>
    <m/>
    <m/>
    <x v="13"/>
    <m/>
    <s v="Agricultural BMPs (kg/yr)"/>
    <n v="32822.5"/>
    <m/>
    <m/>
    <m/>
    <m/>
    <m/>
  </r>
  <r>
    <m/>
    <m/>
    <m/>
    <m/>
    <m/>
    <m/>
    <m/>
    <m/>
    <m/>
    <x v="13"/>
    <m/>
    <s v="Total Estimated TP Reductions (kg/yr)"/>
    <n v="103440.74672675639"/>
    <m/>
    <m/>
    <m/>
    <m/>
    <m/>
  </r>
  <r>
    <m/>
    <m/>
    <m/>
    <m/>
    <m/>
    <m/>
    <m/>
    <m/>
    <m/>
    <x v="13"/>
    <m/>
    <m/>
    <m/>
    <m/>
    <m/>
    <m/>
    <m/>
    <m/>
  </r>
</pivotCacheRecords>
</file>

<file path=xl/pivotCache/pivotCacheRecords2.xml><?xml version="1.0" encoding="utf-8"?>
<pivotCacheRecords xmlns="http://schemas.openxmlformats.org/spreadsheetml/2006/main" xmlns:r="http://schemas.openxmlformats.org/officeDocument/2006/relationships" count="164">
  <r>
    <s v="AP-1"/>
    <s v="Avon Park Street Sweeping"/>
    <x v="0"/>
    <s v="Street sweeping"/>
    <s v="Street sweeping."/>
    <s v="N/A"/>
    <s v="Unknown"/>
    <s v="Unknown"/>
    <s v="City of Avon Park"/>
    <x v="0"/>
    <s v="N/A"/>
    <x v="0"/>
    <n v="4.5"/>
    <n v="4.4999999999999997E-3"/>
    <n v="11.2"/>
    <n v="1.12E-2"/>
    <s v="Lake Istokpoga"/>
    <s v="Urban"/>
  </r>
  <r>
    <s v="AP-2"/>
    <s v="Lake Tulane Stormwater Improvement Project"/>
    <x v="1"/>
    <s v="Swales"/>
    <s v="The runoff will be captured in a series of swales that will allow the runoff to percolate into the sandy soils, preventing further degradation of Lake Tulane."/>
    <n v="32.1"/>
    <s v="Unknown"/>
    <s v="Unknown"/>
    <s v="City of Avon Park/ SWFWMD"/>
    <x v="1"/>
    <s v="Unknown"/>
    <x v="1"/>
    <n v="1.7"/>
    <n v="1.6999999999999999E-3"/>
    <n v="16.2"/>
    <n v="1.6199999999999999E-2"/>
    <s v="Lake Istokpoga"/>
    <s v="Urban"/>
  </r>
  <r>
    <s v="AP-3"/>
    <s v="Lake Isis Stormwater Improvement Project"/>
    <x v="1"/>
    <s v="Wet detention pond"/>
    <s v="The runoff will be captured in a lakeside swale and a re-designed pond that will allow the runoff to percolate into the sandy soils, preventing further degradation of Lake Isis."/>
    <n v="37.1"/>
    <s v="Unknown"/>
    <s v="Unknown"/>
    <s v="City of Avon Park/ SWFWMD"/>
    <x v="1"/>
    <s v="Unknown"/>
    <x v="1"/>
    <n v="0.5"/>
    <n v="5.0000000000000001E-4"/>
    <n v="4.9000000000000004"/>
    <n v="4.9000000000000007E-3"/>
    <s v="Lake Istokpoga"/>
    <s v="Urban"/>
  </r>
  <r>
    <s v="EW-1"/>
    <s v="Water Quality Awareness Program"/>
    <x v="2"/>
    <s v="Public education"/>
    <s v="Water quality education and awareness articles in the city's quarterly newsletter. Various water quality related informational brochures, fliers and other publications displayed at city hall for the public."/>
    <s v="N/A"/>
    <s v="See annual O&amp;M"/>
    <n v="1000"/>
    <s v="City of Edgewood "/>
    <x v="0"/>
    <s v="N/A"/>
    <x v="0"/>
    <n v="0.6"/>
    <n v="5.9999999999999995E-4"/>
    <n v="17.3"/>
    <n v="1.7299999999999999E-2"/>
    <s v="Upper Kissimmee"/>
    <s v="Urban"/>
  </r>
  <r>
    <s v="GC-1"/>
    <s v="Education and Outreach"/>
    <x v="3"/>
    <s v="Public education"/>
    <s v="FYN; landscaping, irrigation, and fertilizer ordinances; PSAs, pamphlets, website, and illicit discharge program"/>
    <s v="N/A"/>
    <s v="Unknown"/>
    <s v="Unknown"/>
    <s v="Glades County"/>
    <x v="0"/>
    <s v="N/A"/>
    <x v="0"/>
    <n v="13.7"/>
    <n v="1.3699999999999999E-2"/>
    <n v="79.099999999999994"/>
    <n v="7.909999999999999E-2"/>
    <s v="Fisheating Creek"/>
    <s v="Urban"/>
  </r>
  <r>
    <s v="GC-2"/>
    <s v="Education and Outreach"/>
    <x v="3"/>
    <s v="Public education"/>
    <s v="FYN; landscaping, irrigation, and fertilizer ordinances; PSAs, pamphlets, website, and illicit discharge program"/>
    <s v="N/A"/>
    <s v="Unknown"/>
    <s v="Unknown"/>
    <s v="Glades County"/>
    <x v="0"/>
    <s v="N/A"/>
    <x v="0"/>
    <n v="38.5"/>
    <n v="3.85E-2"/>
    <n v="413.9"/>
    <n v="0.41389999999999999"/>
    <s v="Indian Prairie"/>
    <s v="Urban"/>
  </r>
  <r>
    <s v="KS-1"/>
    <s v="Education and Outreach"/>
    <x v="4"/>
    <s v="Public education"/>
    <s v="PSAs, pamphlets, website, and illicit discharge inspection program."/>
    <s v="N/A"/>
    <n v="65000"/>
    <s v="Unknown"/>
    <s v="City of Kissimmee Stormwater Utility Fund"/>
    <x v="0"/>
    <s v="N/A"/>
    <x v="0"/>
    <n v="8.3000000000000007"/>
    <n v="8.3000000000000001E-3"/>
    <n v="199.9"/>
    <n v="0.19989999999999999"/>
    <s v="Upper Kissimmee"/>
    <s v="Urban"/>
  </r>
  <r>
    <s v="KS-2"/>
    <s v="Street Sweeping"/>
    <x v="4"/>
    <s v="Street sweeping"/>
    <s v="Sweeping over 8,500 miles per year.  Material is not currently weighed, but city is currently developing a program to weigh material."/>
    <s v="N/A"/>
    <n v="50000"/>
    <s v="Unknown"/>
    <s v="City of Kissimmee Stormwater Utility Fund"/>
    <x v="0"/>
    <s v="N/A"/>
    <x v="0"/>
    <n v="100.4"/>
    <n v="0.1004"/>
    <n v="277.60000000000002"/>
    <n v="0.27760000000000001"/>
    <s v="Upper Kissimmee"/>
    <s v="Urban"/>
  </r>
  <r>
    <s v="KS-3"/>
    <s v="Lake Tivoli"/>
    <x v="4"/>
    <s v="Wet detention pond"/>
    <s v="Treatment for older existing development as well as future on-line development; treatment  provides 2.5 times the proposed percent impervious area."/>
    <n v="132.80000000000001"/>
    <n v="300000"/>
    <s v="Unknown"/>
    <s v="Unknown"/>
    <x v="1"/>
    <s v="Unknown"/>
    <x v="1"/>
    <m/>
    <n v="0"/>
    <m/>
    <n v="0"/>
    <s v="Upper Kissimmee"/>
    <s v="Urban"/>
  </r>
  <r>
    <s v="KS-4"/>
    <s v="Lakefront Park Redevelopment -Swales/Rain Gardens"/>
    <x v="4"/>
    <s v="Dry detention"/>
    <s v="Swale/rain garden system with 2.07 acres of dry detention."/>
    <n v="14.2"/>
    <n v="500000"/>
    <s v="Unknown"/>
    <s v="City of Kissimmee General Fund "/>
    <x v="2"/>
    <n v="2013"/>
    <x v="2"/>
    <n v="0.2"/>
    <n v="2.0000000000000001E-4"/>
    <n v="5.7"/>
    <n v="5.7000000000000002E-3"/>
    <s v="Upper Kissimmee"/>
    <s v="Urban"/>
  </r>
  <r>
    <s v="KS-5"/>
    <s v="Lakefront Park Redevelopment - Baffle Boxes"/>
    <x v="4"/>
    <s v="2nd generation baffle box"/>
    <s v="Three nutrient separating baffle boxes and three filter boxes within the lakefront park area.  Intend to install up to and additional two baffle boxes in the next five years."/>
    <n v="14.2"/>
    <s v="$394,267 completed; additional $50,000 for future boxes"/>
    <s v="Unknown"/>
    <s v="City of Kissimmee Stormwater Utility Fund"/>
    <x v="2"/>
    <n v="2012"/>
    <x v="2"/>
    <n v="0.2"/>
    <n v="2.0000000000000001E-4"/>
    <n v="9.8000000000000007"/>
    <n v="9.8000000000000014E-3"/>
    <s v="Upper Kissimmee"/>
    <s v="Urban"/>
  </r>
  <r>
    <s v="KS-6"/>
    <s v="Martin Luther King Boulevard Phase III from Thacker Avenue to Dyer Boulevard"/>
    <x v="4"/>
    <s v="Dry detention"/>
    <s v="Construction of dry detention with particular standards (side slopes, littoral zones) per the Federal Aviation Administration for reduction of bird strikes."/>
    <n v="5.5"/>
    <n v="1500000"/>
    <s v="Unknown"/>
    <s v="City of Kissimmee Stormwater Utility Fund"/>
    <x v="2"/>
    <n v="2013"/>
    <x v="2"/>
    <n v="0.1"/>
    <n v="1E-4"/>
    <n v="1.2"/>
    <n v="1.1999999999999999E-3"/>
    <s v="Upper Kissimmee"/>
    <s v="Urban"/>
  </r>
  <r>
    <s v="ORL-1"/>
    <s v="18th Street/ Parramore Ave Baffle Box"/>
    <x v="5"/>
    <s v="2nd generation baffle box"/>
    <s v="Baffle box installed to remove gross pollutants, including organic debris, sediment and litter."/>
    <n v="4.5999999999999996"/>
    <n v="578138"/>
    <s v="Unknown"/>
    <s v="City of Orlando Stormwater Utility + 50% cost funded from SFWMD Grant"/>
    <x v="3"/>
    <s v="N/A"/>
    <x v="3"/>
    <n v="0"/>
    <n v="0"/>
    <n v="3.3"/>
    <n v="3.3E-3"/>
    <s v="Upper Kissimmee"/>
    <s v="Urban"/>
  </r>
  <r>
    <s v="ORL-2"/>
    <s v="19th Street/ Parramore Avenue Baffle Box"/>
    <x v="5"/>
    <s v="2nd generation baffle box"/>
    <s v="Baffle box installed to remove gross pollutants, including organic debris, sediment and litter."/>
    <n v="9.9"/>
    <s v="Part of project ORL-1"/>
    <s v="Unknown"/>
    <s v="City of Orlando Stormwater Utility + 50% cost funded from SFWMD Grant"/>
    <x v="3"/>
    <s v="N/A"/>
    <x v="3"/>
    <n v="0.1"/>
    <n v="1E-4"/>
    <n v="7.1"/>
    <n v="7.0999999999999995E-3"/>
    <s v="Upper Kissimmee"/>
    <s v="Urban"/>
  </r>
  <r>
    <s v="ORL-3"/>
    <s v="Pine Street/Orange Blossom Trail Corridor Stormwater Improvements"/>
    <x v="5"/>
    <s v="2nd generation baffle box"/>
    <s v="Installation of 1,800 feet of stormwater pipe from Pine Street to Lake Lorna Doone, which includes a baffle box."/>
    <n v="11.5"/>
    <n v="577822"/>
    <s v="Unknown"/>
    <s v="City of Orlando Stormwater Utility + 50% cost funded by CBIR Grant"/>
    <x v="3"/>
    <s v="N/A"/>
    <x v="4"/>
    <n v="0.3"/>
    <n v="2.9999999999999997E-4"/>
    <n v="2.8"/>
    <n v="2.8E-3"/>
    <s v="Upper Kissimmee"/>
    <s v="Urban"/>
  </r>
  <r>
    <s v="ORL-4"/>
    <s v="Lake Holden Terrace/Albert Shores Sanitary Components"/>
    <x v="5"/>
    <s v="Septic tank phase out"/>
    <s v="Sanitary infrastructure installed for septic tank conversions.  11 of 77 homes converted."/>
    <n v="0"/>
    <n v="3522911"/>
    <s v="Unknown"/>
    <s v="City of Orlando Wastewater Division, City of Orlando Stormwater Utility, Orlando Utility Commission"/>
    <x v="3"/>
    <s v="N/A"/>
    <x v="5"/>
    <n v="0"/>
    <n v="0"/>
    <m/>
    <n v="0"/>
    <s v="Upper Kissimmee"/>
    <s v="Urban"/>
  </r>
  <r>
    <s v="ORL-5"/>
    <s v="Lake Holden Terrace/Albert Shores Stormwater Components"/>
    <x v="5"/>
    <s v="2nd generation baffle box"/>
    <s v="Two baffle boxes and one Storm Flo unit installed within stormwater infrastructure for capturing organic debris, sediment and litter; stormwater infrastructure added to alleviate flooding."/>
    <n v="76.400000000000006"/>
    <s v="Part of ORL-4"/>
    <s v="Unknown"/>
    <s v="City of Orlando Wastewater Division, City of Orlando Stormwater Utility, Orlando Utility Commission"/>
    <x v="3"/>
    <s v="N/A"/>
    <x v="5"/>
    <n v="1"/>
    <n v="1E-3"/>
    <n v="39.299999999999997"/>
    <n v="3.9299999999999995E-2"/>
    <s v="Upper Kissimmee"/>
    <s v="Urban"/>
  </r>
  <r>
    <s v="ORL-6"/>
    <s v="Lake Angel Drainage Improvements"/>
    <x v="5"/>
    <s v="Wet detention pond"/>
    <s v="Expand the permanent pool volume of Lake Angel and install three baffle boxes in the main inflow pipes."/>
    <n v="94.5"/>
    <n v="2000000"/>
    <s v="Unknown"/>
    <s v="City of Orlando Stormwater Utility + EPA Grant"/>
    <x v="4"/>
    <s v="February 2014"/>
    <x v="6"/>
    <n v="0.5"/>
    <n v="5.0000000000000001E-4"/>
    <n v="16.600000000000001"/>
    <n v="1.66E-2"/>
    <s v="Upper Kissimmee"/>
    <s v="Urban"/>
  </r>
  <r>
    <s v="ORL-7"/>
    <s v="Cemex-South Division Avenue Roadway and Drainage Improvements"/>
    <x v="5"/>
    <s v="2nd generation baffle box"/>
    <s v="Pave unimproved access road to industrial park and install baffle box to capture sediment; install curbing along additional areas of Division Avenue to allow street sweepers to effectively capture more sediment in the Lake Holden basin."/>
    <n v="52.6"/>
    <n v="1500000"/>
    <s v="Unknown"/>
    <s v="City of Orlando Stormwater Utility"/>
    <x v="4"/>
    <s v="July 2014"/>
    <x v="7"/>
    <n v="1.3"/>
    <n v="1.2999999999999999E-3"/>
    <n v="12.7"/>
    <n v="1.2699999999999999E-2"/>
    <s v="Upper Kissimmee"/>
    <s v="Urban"/>
  </r>
  <r>
    <s v="ORL-8"/>
    <s v="Lake Pineloch Basin Inlet Baskets"/>
    <x v="5"/>
    <s v="Catch basin inserts/inlet filters"/>
    <s v="32 inlet baskets installed to remove gross pollutants, including organic debris, sediment and litter.  27.7 cubic yards/yr of material collected."/>
    <s v="N/A"/>
    <n v="40480"/>
    <n v="10444"/>
    <s v="City of Orlando Stormwater Utility"/>
    <x v="0"/>
    <s v="N/A"/>
    <x v="0"/>
    <n v="5.8"/>
    <n v="5.7999999999999996E-3"/>
    <n v="17.2"/>
    <n v="1.72E-2"/>
    <s v="Upper Kissimmee"/>
    <s v="Urban"/>
  </r>
  <r>
    <s v="ORL-9"/>
    <s v="Clear Lake Basin Inlet Baskets"/>
    <x v="5"/>
    <s v="Catch basin inserts/inlet filters"/>
    <s v="29 inlet baskets installed to remove gross pollutants, including organic debris, sediment and litter.  32.39cubic yards/year of material collected."/>
    <s v="N/A"/>
    <n v="8550"/>
    <n v="9400"/>
    <s v="City of Orlando"/>
    <x v="0"/>
    <s v="N/A"/>
    <x v="0"/>
    <n v="6.7"/>
    <n v="6.7000000000000002E-3"/>
    <n v="20.2"/>
    <n v="2.0199999999999999E-2"/>
    <s v="Upper Kissimmee"/>
    <s v="Urban"/>
  </r>
  <r>
    <s v="ORL-10"/>
    <s v="Lake Lorna Doone Basin Inlet Baskets"/>
    <x v="5"/>
    <s v="Catch basin inserts/inlet filters"/>
    <s v="16 inlet baskets installed to remove gross pollutants, including organic debris, sediment and litter.  31.53 cubic yards/yr of material collected."/>
    <s v="N/A"/>
    <n v="17755"/>
    <n v="5222"/>
    <s v="City of Orlando"/>
    <x v="0"/>
    <s v="N/A"/>
    <x v="0"/>
    <n v="6.5"/>
    <n v="6.4999999999999997E-3"/>
    <n v="19.600000000000001"/>
    <n v="1.9600000000000003E-2"/>
    <s v="Upper Kissimmee"/>
    <s v="Urban"/>
  </r>
  <r>
    <s v="ORL-11"/>
    <s v="Lake Mann Basin Inlet Baskets"/>
    <x v="5"/>
    <s v="Catch basin inserts/inlet filters"/>
    <s v="44 inlet baskets installed to remove gross pollutants, including organic debris, sediment and litter.  53.29 cubic yards/yr of material collected."/>
    <s v="N/A"/>
    <n v="48826"/>
    <n v="143616"/>
    <s v="City of Orlando"/>
    <x v="0"/>
    <s v="N/A"/>
    <x v="0"/>
    <n v="11"/>
    <n v="1.0999999999999999E-2"/>
    <n v="33.200000000000003"/>
    <n v="3.32E-2"/>
    <s v="Upper Kissimmee"/>
    <s v="Urban"/>
  </r>
  <r>
    <s v="ORL-12"/>
    <s v="Lake Rabama Basin Inlet Baskets"/>
    <x v="5"/>
    <s v="Catch basin inserts/inlet filters"/>
    <s v="16 inlet baskets installed to remove gross pollutants, including organic debris, sediment and litter.  24.5cubic yards/yr of material collected."/>
    <s v="N/A"/>
    <n v="14720"/>
    <n v="5222"/>
    <s v="City of Orlando"/>
    <x v="0"/>
    <s v="N/A"/>
    <x v="0"/>
    <n v="5.0999999999999996"/>
    <n v="5.0999999999999995E-3"/>
    <n v="15.2"/>
    <n v="1.52E-2"/>
    <s v="Upper Kissimmee"/>
    <s v="Urban"/>
  </r>
  <r>
    <s v="ORL-13"/>
    <s v="Rock Lake Basin Inlet Baskets"/>
    <x v="5"/>
    <s v="Catch basin inserts/inlet filters"/>
    <s v="10 inlet baskets installed to remove gross pollutants, including organic debris, sediment and litter.  20.06 cubic yards/yr of material collected."/>
    <s v="N/A"/>
    <n v="8550"/>
    <n v="3264"/>
    <s v="City of Orlando"/>
    <x v="0"/>
    <s v="N/A"/>
    <x v="0"/>
    <n v="4.2"/>
    <n v="4.2000000000000006E-3"/>
    <n v="12.5"/>
    <n v="1.2500000000000001E-2"/>
    <s v="Upper Kissimmee"/>
    <s v="Urban"/>
  </r>
  <r>
    <s v="ORL-14"/>
    <s v="Lake Sunset Basin Inlet Baskets"/>
    <x v="5"/>
    <s v="Catch basin inserts/inlet filters"/>
    <s v="8 inlet baskets installed to remove gross pollutants, including organic debris, sediment and litter.  36.45 cubic yards/yr of material collected."/>
    <s v="N/A"/>
    <n v="8550"/>
    <n v="2611"/>
    <s v="City of Orlando"/>
    <x v="0"/>
    <s v="N/A"/>
    <x v="0"/>
    <n v="7.6"/>
    <n v="7.6E-3"/>
    <n v="22.7"/>
    <n v="2.2699999999999998E-2"/>
    <s v="Upper Kissimmee"/>
    <s v="Urban"/>
  </r>
  <r>
    <s v="ORL-15"/>
    <s v="Walker Lagoon Basin Inlet Baskets "/>
    <x v="5"/>
    <s v="Catch basin inserts/inlet filters"/>
    <s v="16 inlet baskets installed to remove gross pollutants, including organic debris, sediment and litter.  31.9 cubic yards/yr of material collected."/>
    <s v="N/A"/>
    <n v="17755"/>
    <n v="5222"/>
    <s v="City Orlando"/>
    <x v="0"/>
    <s v="N/A"/>
    <x v="0"/>
    <n v="6.6"/>
    <n v="6.6E-3"/>
    <n v="19.899999999999999"/>
    <n v="1.9899999999999998E-2"/>
    <s v="Upper Kissimmee"/>
    <s v="Urban"/>
  </r>
  <r>
    <s v="ORL-16"/>
    <s v="Street Sweeping"/>
    <x v="5"/>
    <s v="Street sweeping"/>
    <s v="Street sweeping within all public roads in city limits.  2,682,8967 lbs/yr of material collected."/>
    <s v="N/A"/>
    <s v="See annual O&amp;M"/>
    <n v="1800000"/>
    <s v="City of Orlando Stormwater Utility"/>
    <x v="0"/>
    <s v="N/A"/>
    <x v="0"/>
    <n v="89.6"/>
    <n v="8.9599999999999999E-2"/>
    <n v="257.60000000000002"/>
    <n v="0.2576"/>
    <s v="Upper Kissimmee"/>
    <s v="Urban"/>
  </r>
  <r>
    <s v="ORL-17"/>
    <s v="Public Education"/>
    <x v="5"/>
    <s v="Public education"/>
    <s v="FYN; landscaping, irrigation, and pet waste management ordinances; PSAs; pamphlets; website; and illicit discharge program."/>
    <s v="N/A"/>
    <s v="See annual O&amp;M"/>
    <n v="80000"/>
    <s v="City of Orlando Stormwater Utility"/>
    <x v="0"/>
    <s v="N/A"/>
    <x v="0"/>
    <n v="206.7"/>
    <n v="0.20669999999999999"/>
    <n v="3440"/>
    <n v="3.44"/>
    <s v="Upper Kissimmee"/>
    <s v="Urban"/>
  </r>
  <r>
    <s v="SEB-1"/>
    <s v="Little Lake Jackson Off-line Alum Injection Stormwater Treatment"/>
    <x v="6"/>
    <s v="Alum injection"/>
    <s v="Stormwater is diverted through underground culvert, alum is injected and the water settles for 7 days in a detention pond. Treated water is released to Little Lake Jackson."/>
    <m/>
    <n v="231494"/>
    <n v="18500"/>
    <s v="Department 319 grant, SWFWMD, City of Sebring, and Highlands County Board of County Commissioners"/>
    <x v="0"/>
    <s v="N/A"/>
    <x v="8"/>
    <m/>
    <n v="0"/>
    <m/>
    <n v="0"/>
    <s v="Lake Istokpoga"/>
    <s v="Urban"/>
  </r>
  <r>
    <s v="SEB-2"/>
    <s v="Street Sweeping "/>
    <x v="7"/>
    <s v="Street sweeping"/>
    <s v="Street sweeping to collect 602,940 lbs/yr of material."/>
    <s v="N/A"/>
    <s v="See annual O&amp;M"/>
    <n v="35000"/>
    <s v="City of Sebring"/>
    <x v="0"/>
    <s v="N/A"/>
    <x v="0"/>
    <n v="50.9"/>
    <n v="5.0900000000000001E-2"/>
    <n v="118.4"/>
    <n v="0.11840000000000001"/>
    <s v="Lake Istokpoga"/>
    <s v="Urban"/>
  </r>
  <r>
    <s v="FDACS-1"/>
    <s v="Lemkin Creek"/>
    <x v="8"/>
    <s v="Hybrid wetland treatment technology (HWTT)"/>
    <s v="HWTT is a combination of wetland and chemical treatment technologies designed mainly to remove phosphorus at the sub-basin and parcel scales."/>
    <n v="1522"/>
    <s v="Unknown"/>
    <s v="Unknown"/>
    <s v="FDACS/ SFWMD"/>
    <x v="5"/>
    <s v="N/A"/>
    <x v="9"/>
    <n v="151.6"/>
    <n v="0.15159999999999998"/>
    <n v="652.1"/>
    <n v="0.65210000000000001"/>
    <s v="Taylor Creek/ Nubbin Slough"/>
    <s v="Agriculture"/>
  </r>
  <r>
    <s v="FDACS-2"/>
    <s v="Wolff Ditch"/>
    <x v="8"/>
    <s v="HWTT"/>
    <s v="HWTT is a combination of wetland and chemical treatment technologies designed mainly to remove phosphorus at the sub-basin and parcel scales."/>
    <n v="1930"/>
    <s v="Unknown"/>
    <s v="Unknown"/>
    <s v="FDACS/ SFWMD"/>
    <x v="5"/>
    <s v="N/A"/>
    <x v="9"/>
    <n v="845.5"/>
    <n v="0.84550000000000003"/>
    <n v="1722"/>
    <n v="1.722"/>
    <s v="Taylor Creek/ Nubbin Slough"/>
    <s v="Agriculture"/>
  </r>
  <r>
    <s v="FDACS-3"/>
    <s v="Grassy Island"/>
    <x v="8"/>
    <s v="HWTT"/>
    <s v="HWTT is a combination of wetland and chemical treatment technologies designed mainly to remove phosphorus at the sub-basin and parcel scales."/>
    <n v="37802"/>
    <s v="Unknown"/>
    <s v="Unknown"/>
    <s v="FDACS/ SFWMD"/>
    <x v="3"/>
    <s v="N/A"/>
    <x v="10"/>
    <n v="5547.3"/>
    <n v="5.5472999999999999"/>
    <n v="8373.1"/>
    <n v="8.3731000000000009"/>
    <s v="Taylor Creek/ Nubbin Slough"/>
    <s v="Agriculture"/>
  </r>
  <r>
    <s v="FDACS-4"/>
    <s v="Fisheating Creek"/>
    <x v="8"/>
    <s v="Floating aquatic vegetation treatment (FAVT)"/>
    <s v="Fully aquatic vegetation treatment."/>
    <s v="N/A"/>
    <s v="Unknown"/>
    <s v="Unknown"/>
    <s v="FDACS/ SFWMD"/>
    <x v="6"/>
    <s v="N/A"/>
    <x v="1"/>
    <n v="8594.9"/>
    <n v="8.5948999999999991"/>
    <n v="29174.3"/>
    <n v="29.174299999999999"/>
    <s v="Fisheating Creek"/>
    <s v="Agriculture"/>
  </r>
  <r>
    <s v="FDACS-5"/>
    <s v="Nubbin Slough "/>
    <x v="8"/>
    <s v="HWTT"/>
    <s v="HWTT is a combination of wetland and chemical treatment technologies designed mainly to remove phosphorus at the sub-basin and parcel scales."/>
    <s v="N/A"/>
    <s v="Unknown"/>
    <s v="Unknown"/>
    <s v="FDACS/ SFWMD"/>
    <x v="3"/>
    <s v="N/A"/>
    <x v="1"/>
    <n v="554.6"/>
    <n v="0.55459999999999998"/>
    <n v="370.9"/>
    <n v="0.37089999999999995"/>
    <s v="Taylor Creek/ Nubbin Slough"/>
    <s v="Agriculture"/>
  </r>
  <r>
    <s v="FDACS-6"/>
    <s v="Mosquito Creek"/>
    <x v="8"/>
    <s v="HWTT"/>
    <s v="HWTT is a combination of wetland and chemical treatment technologies designed mainly to remove phosphorus at the sub-basin and parcel scales."/>
    <s v="N/A"/>
    <s v="Unknown"/>
    <s v="Unknown"/>
    <s v="FDACS/ SFWMD"/>
    <x v="3"/>
    <s v="N/A"/>
    <x v="1"/>
    <n v="475.6"/>
    <n v="0.47560000000000002"/>
    <n v="602.1"/>
    <n v="0.60209999999999997"/>
    <s v="Taylor Creek/ Nubbin Slough"/>
    <s v="Agriculture"/>
  </r>
  <r>
    <s v="FDOT1-1"/>
    <s v="State Road 70 from 34th Avenue to 80th Avenue"/>
    <x v="9"/>
    <s v="Wet detention pond"/>
    <s v="Six wet detention ponds."/>
    <n v="57.4"/>
    <n v="22041000"/>
    <s v="Unknown"/>
    <s v="FDOT"/>
    <x v="4"/>
    <s v="April 2014"/>
    <x v="1"/>
    <n v="22.6"/>
    <n v="2.2600000000000002E-2"/>
    <n v="42.6"/>
    <n v="4.2599999999999999E-2"/>
    <s v="Taylor Creek/ Nubbin Slough"/>
    <s v="Urban"/>
  </r>
  <r>
    <s v="FDOT1-2"/>
    <s v="State Road 70 from 80th Avenue to St. Lucie County Line"/>
    <x v="9"/>
    <s v="Wet detention pond"/>
    <s v="Three wet detention ponds and three dry retention swales."/>
    <n v="31.4"/>
    <n v="8746000"/>
    <s v="Unknown"/>
    <s v="FDOT"/>
    <x v="4"/>
    <s v="April 2014"/>
    <x v="1"/>
    <n v="17.5"/>
    <n v="1.7500000000000002E-2"/>
    <n v="39.4"/>
    <n v="3.9399999999999998E-2"/>
    <s v="Taylor Creek/ Nubbin Slough"/>
    <s v="Urban"/>
  </r>
  <r>
    <s v="FDOT1-3"/>
    <s v="Street Sweeping"/>
    <x v="9"/>
    <s v="Street sweeping "/>
    <s v="Street sweeping."/>
    <s v="N/A"/>
    <s v="Unknown"/>
    <s v="Unknown"/>
    <s v="FDOT"/>
    <x v="0"/>
    <s v="N/A"/>
    <x v="0"/>
    <n v="61.3"/>
    <n v="6.13E-2"/>
    <n v="55.3"/>
    <n v="5.5299999999999995E-2"/>
    <s v="Taylor Creek/ Nubbin Slough"/>
    <s v="Urban"/>
  </r>
  <r>
    <s v="FDOT5-1"/>
    <s v="239266-B State Road 15 (Hoffner Road) From North of Lee Vista Boulevard to West of State Road 436 (Pond 2)"/>
    <x v="10"/>
    <s v="Wet detention pond"/>
    <s v="Add lanes and reconstruct."/>
    <n v="4.8"/>
    <s v="Unknown"/>
    <s v="Unknown"/>
    <s v="Florida Legislative"/>
    <x v="4"/>
    <s v="Estimated Start – Summer 2015"/>
    <x v="1"/>
    <n v="0.1"/>
    <n v="1E-4"/>
    <n v="0.3"/>
    <n v="2.9999999999999997E-4"/>
    <s v="Upper Kissimmee"/>
    <s v="Urban"/>
  </r>
  <r>
    <s v="FDOT5-2"/>
    <s v="239266-A State Road 15 Hoffner Ave From West of State Road 436 to Conway Road (Pond 1)"/>
    <x v="10"/>
    <s v="Wet detention pond"/>
    <s v="Add lanes and reconstruct."/>
    <n v="3.6"/>
    <s v="Unknown"/>
    <s v="Unknown"/>
    <s v="Florida Legislative"/>
    <x v="4"/>
    <s v="Estimated Start – Summer 2015"/>
    <x v="1"/>
    <n v="0.1"/>
    <n v="1E-4"/>
    <n v="0.9"/>
    <n v="8.9999999999999998E-4"/>
    <s v="Upper Kissimmee"/>
    <s v="Urban"/>
  </r>
  <r>
    <s v="FDOT5-3"/>
    <s v="239266-C State Road 15 Hoffner Avenue From West of State 436 to Conway Road (Pond 3)"/>
    <x v="10"/>
    <s v="Wet detention pond"/>
    <s v="Add lanes and reconstruct."/>
    <n v="11.9"/>
    <s v="Unknown"/>
    <s v="Unknown"/>
    <s v="Florida Legislative"/>
    <x v="4"/>
    <s v="Estimated Start – Summer 2015"/>
    <x v="1"/>
    <n v="0.5"/>
    <n v="5.0000000000000001E-4"/>
    <n v="6.7"/>
    <n v="6.7000000000000002E-3"/>
    <s v="Upper Kissimmee"/>
    <s v="Urban"/>
  </r>
  <r>
    <s v="FDOT5-4"/>
    <s v="239266-D State Road 15 Hoffner Avenue From West of State Road 436 to Conway Road (Pond 4)"/>
    <x v="10"/>
    <s v="Wet detention pond"/>
    <s v="Add lanes and reconstruct."/>
    <n v="11.4"/>
    <s v="Unknown"/>
    <s v="Unknown"/>
    <s v="Florida Legislative"/>
    <x v="4"/>
    <s v="Estimated Start – Summer 2015"/>
    <x v="1"/>
    <n v="0.4"/>
    <n v="4.0000000000000002E-4"/>
    <n v="10.4"/>
    <n v="1.04E-2"/>
    <s v="Upper Kissimmee"/>
    <s v="Urban"/>
  </r>
  <r>
    <s v="FDOT5-5"/>
    <s v="239535-F State Road 50 From Good Homes Road to Pine Hills Road (Pond 4)"/>
    <x v="10"/>
    <s v="Dry retention"/>
    <s v="Add lanes and reconstruct."/>
    <n v="16.399999999999999"/>
    <s v="Unknown"/>
    <s v="Unknown"/>
    <s v="Florida Legislative"/>
    <x v="3"/>
    <s v="Unknown"/>
    <x v="1"/>
    <n v="0.7"/>
    <n v="6.9999999999999999E-4"/>
    <n v="3.9"/>
    <n v="3.8999999999999998E-3"/>
    <s v="Upper Kissimmee"/>
    <s v="Urban"/>
  </r>
  <r>
    <s v="FDOT5-6"/>
    <s v="416518-A Interstate-4 Braided Ramp from US 192 Interchange to Osceola Parkway Interchange (Pond SE-1)"/>
    <x v="10"/>
    <s v="Wet detention pond"/>
    <s v="New road construction."/>
    <n v="13.8"/>
    <s v="Unknown"/>
    <s v="Unknown"/>
    <s v="Florida Legislative"/>
    <x v="3"/>
    <s v="Unknown"/>
    <x v="1"/>
    <n v="0.5"/>
    <n v="5.0000000000000001E-4"/>
    <n v="2.2999999999999998"/>
    <n v="2.3E-3"/>
    <s v="Upper Kissimmee"/>
    <s v="Urban"/>
  </r>
  <r>
    <s v="FDOT5-7"/>
    <s v="416518-B Interstate-4 Braided Ramp from US 192 Interchange to Osceola Parkway Interchange (Pond SE-2)"/>
    <x v="10"/>
    <s v="Wet detention pond"/>
    <s v="New road construction."/>
    <n v="6.1"/>
    <s v="Unknown"/>
    <s v="Unknown"/>
    <s v="Florida Legislative"/>
    <x v="3"/>
    <s v="Unknown"/>
    <x v="1"/>
    <n v="0.2"/>
    <n v="2.0000000000000001E-4"/>
    <n v="0.7"/>
    <n v="6.9999999999999999E-4"/>
    <s v="Upper Kissimmee"/>
    <s v="Urban"/>
  </r>
  <r>
    <s v="FDOT5-8"/>
    <s v="239682-A State Road 500 (US 17-92) From Aeronautical Drive to Budinger Avenue (Pond 1)"/>
    <x v="10"/>
    <s v="Wet detention pond"/>
    <s v="Add lanes and rehabilitate pavement."/>
    <n v="26.5"/>
    <s v="Unknown"/>
    <s v="Unknown"/>
    <s v="Florida Legislative"/>
    <x v="4"/>
    <s v="Estimated Start – Summer 2015"/>
    <x v="1"/>
    <n v="0.9"/>
    <n v="8.9999999999999998E-4"/>
    <n v="6.1"/>
    <n v="6.0999999999999995E-3"/>
    <s v="Upper Kissimmee"/>
    <s v="Urban"/>
  </r>
  <r>
    <s v="FDOT5-9"/>
    <s v="239682-B State Road 500 (US 17-92) From Aeronautical Drive to Budinger Avenue (Pond 2)"/>
    <x v="10"/>
    <s v="Wet detention pond"/>
    <s v="Add lanes and rehabilitate pavement."/>
    <n v="13.4"/>
    <s v="Unknown"/>
    <s v="Unknown"/>
    <s v="Florida Legislative"/>
    <x v="4"/>
    <s v="Estimated Start – Summer 2015"/>
    <x v="1"/>
    <n v="0.5"/>
    <n v="5.0000000000000001E-4"/>
    <n v="3.5"/>
    <n v="3.5000000000000001E-3"/>
    <s v="Upper Kissimmee"/>
    <s v="Urban"/>
  </r>
  <r>
    <s v="FDOT5-10"/>
    <s v="239682-C State Road 500 (US 17-92) From Aeronautical Drive to Budinger Avenue (Pond 3)"/>
    <x v="10"/>
    <s v="Wet detention pond"/>
    <s v="Add lanes and rehabilitate pavement."/>
    <n v="15.8"/>
    <s v="Unknown"/>
    <s v="Unknown"/>
    <s v="Florida Legislative"/>
    <x v="4"/>
    <s v="Estimated Start – Summer 2015"/>
    <x v="1"/>
    <n v="0.6"/>
    <n v="5.9999999999999995E-4"/>
    <n v="3.4"/>
    <n v="3.3999999999999998E-3"/>
    <s v="Upper Kissimmee"/>
    <s v="Urban"/>
  </r>
  <r>
    <s v="FDOT5-11"/>
    <s v="239682-D State Road 500 (US 17-92) From Aeronautical Drive to Budinger Avenue (Pond 4)"/>
    <x v="10"/>
    <s v="Wet detention pond"/>
    <s v="Add lanes and rehabilitate pavement."/>
    <n v="33.700000000000003"/>
    <s v="Unknown"/>
    <s v="Unknown"/>
    <s v="Florida Legislative"/>
    <x v="4"/>
    <s v="Estimated Start – Summer 2015"/>
    <x v="1"/>
    <n v="1.1000000000000001"/>
    <n v="1.1000000000000001E-3"/>
    <n v="6.7"/>
    <n v="6.7000000000000002E-3"/>
    <s v="Upper Kissimmee"/>
    <s v="Urban"/>
  </r>
  <r>
    <s v="FDOT5-12"/>
    <s v="418403-A, B State Road 600 (US 17/92) JYP From South of Portage Street to North of Vine Street (US192) (Ponds East and West)"/>
    <x v="10"/>
    <s v="Wet detention pond"/>
    <s v="Add lanes and reconstruct."/>
    <n v="14.2"/>
    <s v="Unknown"/>
    <s v="Unknown"/>
    <s v="Florida Legislative"/>
    <x v="4"/>
    <s v="Estimated Start – Summer 2015"/>
    <x v="1"/>
    <n v="0.5"/>
    <n v="5.0000000000000001E-4"/>
    <n v="3.4"/>
    <n v="3.3999999999999998E-3"/>
    <s v="Upper Kissimmee"/>
    <s v="Urban"/>
  </r>
  <r>
    <s v="FDOT5-13"/>
    <s v="239454-A Widening of SR436 from SR528 to SR552 (Pond A)"/>
    <x v="10"/>
    <s v="Wet detention pond"/>
    <s v="Add lanes and reconstruct."/>
    <n v="38.799999999999997"/>
    <s v="Unknown"/>
    <s v="Unknown"/>
    <s v="Florida Legislative"/>
    <x v="3"/>
    <s v="N/A"/>
    <x v="11"/>
    <n v="0.3"/>
    <n v="2.9999999999999997E-4"/>
    <n v="0.9"/>
    <n v="8.9999999999999998E-4"/>
    <s v="Upper Kissimmee"/>
    <s v="Urban"/>
  </r>
  <r>
    <s v="FDOT5-14"/>
    <s v="239635-A New Bridge State Road 500 at Reedy Creek (Pond 1)"/>
    <x v="10"/>
    <s v="Dry retention"/>
    <s v="New bridge."/>
    <n v="4.0999999999999996"/>
    <s v="Unknown"/>
    <s v="Unknown"/>
    <s v="Florida Legislative"/>
    <x v="3"/>
    <s v="N/A"/>
    <x v="11"/>
    <n v="0"/>
    <n v="0"/>
    <n v="0.6"/>
    <n v="5.9999999999999995E-4"/>
    <s v="Upper Kissimmee"/>
    <s v="Urban"/>
  </r>
  <r>
    <s v="FDOT5-15"/>
    <s v="239635-B New Bridge State Road 500 at Reedy Creek (Pond 2)"/>
    <x v="10"/>
    <s v="Wet detention pond"/>
    <s v="New bridge."/>
    <n v="7.6"/>
    <s v="Unknown"/>
    <s v="Unknown"/>
    <s v="Florida Legislative"/>
    <x v="3"/>
    <s v="N/A"/>
    <x v="11"/>
    <n v="0.2"/>
    <n v="2.0000000000000001E-4"/>
    <n v="3.4"/>
    <n v="3.3999999999999998E-3"/>
    <s v="Upper Kissimmee"/>
    <s v="Urban"/>
  </r>
  <r>
    <s v="FDOT5-16"/>
    <s v="239663-A Widening of State Road 530 from State Road 535 to Hoagland Boulevard (Pond 1)"/>
    <x v="10"/>
    <s v="Wet detention pond"/>
    <s v="Add lanes and reconstruct."/>
    <n v="14.6"/>
    <s v="Unknown"/>
    <s v="Unknown"/>
    <s v="Florida Legislative"/>
    <x v="3"/>
    <s v="N/A"/>
    <x v="12"/>
    <n v="0.6"/>
    <n v="5.9999999999999995E-4"/>
    <n v="2.1"/>
    <n v="2.1000000000000003E-3"/>
    <s v="Upper Kissimmee"/>
    <s v="Urban"/>
  </r>
  <r>
    <s v="FDOT5-17"/>
    <s v="239663-B Widening of State Road 530 from State Road 535 to Hoagland Boulevard (Pond 2)"/>
    <x v="10"/>
    <s v="Wet detention pond"/>
    <s v="Add lanes and reconstruct."/>
    <n v="17.899999999999999"/>
    <s v="Unknown"/>
    <s v="Unknown"/>
    <s v="Florida Legislative"/>
    <x v="3"/>
    <s v="N/A"/>
    <x v="12"/>
    <n v="0.7"/>
    <n v="6.9999999999999999E-4"/>
    <n v="2.6"/>
    <n v="2.5999999999999999E-3"/>
    <s v="Upper Kissimmee"/>
    <s v="Urban"/>
  </r>
  <r>
    <s v="FDOT5-18"/>
    <s v="239663-C Widening of State Road 530 from State Road 535 to Hoagland Boulevard (Pond 3)"/>
    <x v="10"/>
    <s v="Wet detention pond"/>
    <s v="Add lanes and reconstruct."/>
    <n v="16.899999999999999"/>
    <s v="Unknown"/>
    <s v="Unknown"/>
    <s v="Florida Legislative"/>
    <x v="3"/>
    <s v="N/A"/>
    <x v="12"/>
    <n v="0.7"/>
    <n v="6.9999999999999999E-4"/>
    <n v="2.2999999999999998"/>
    <n v="2.3E-3"/>
    <s v="Upper Kissimmee"/>
    <s v="Urban"/>
  </r>
  <r>
    <s v="FDOT5-19"/>
    <s v="239663-D Widening of State Road 530 from State Road 535 to Hoagland Boulevard (Pond 4)"/>
    <x v="10"/>
    <s v="Wet detention pond"/>
    <s v="Add lanes and reconstruct."/>
    <n v="12.6"/>
    <s v="Unknown"/>
    <s v="Unknown"/>
    <s v="Florida Legislative"/>
    <x v="3"/>
    <s v="N/A"/>
    <x v="12"/>
    <n v="0.5"/>
    <n v="5.0000000000000001E-4"/>
    <n v="2.2000000000000002"/>
    <n v="2.2000000000000001E-3"/>
    <s v="Upper Kissimmee"/>
    <s v="Urban"/>
  </r>
  <r>
    <s v="FDOT5-20"/>
    <s v="242436-A State Road 400 Ramps at Gore Avenue Retention Pits (Pond 1 and 2)"/>
    <x v="10"/>
    <s v="Online dry retention"/>
    <s v="Ramps."/>
    <n v="9.8000000000000007"/>
    <s v="Unknown"/>
    <s v="Unknown"/>
    <s v="Florida Legislative"/>
    <x v="3"/>
    <s v="N/A"/>
    <x v="13"/>
    <n v="0.2"/>
    <n v="2.0000000000000001E-4"/>
    <n v="2.6"/>
    <n v="2.5999999999999999E-3"/>
    <s v="Upper Kissimmee"/>
    <s v="Urban"/>
  </r>
  <r>
    <s v="FDOT5-21"/>
    <s v="242484-A Widening of State Road 400 from Universal Boulevard to South Street (Pond 4)"/>
    <x v="10"/>
    <s v="Wet detention pond"/>
    <s v="Add lanes and reconstruct."/>
    <n v="21.8"/>
    <s v="Unknown"/>
    <s v="Unknown"/>
    <s v="Florida Legislative"/>
    <x v="3"/>
    <s v="N/A"/>
    <x v="13"/>
    <n v="0.6"/>
    <n v="5.9999999999999995E-4"/>
    <n v="3.1"/>
    <n v="3.0999999999999999E-3"/>
    <s v="Upper Kissimmee"/>
    <s v="Urban"/>
  </r>
  <r>
    <s v="FDOT5-22"/>
    <s v="405515-A and B State Road 400 Wet Detention Pond (Pond 1 and 2)"/>
    <x v="10"/>
    <s v="Wet retention"/>
    <s v="Add lanes and reconstruct."/>
    <n v="14.8"/>
    <s v="Unknown"/>
    <s v="Unknown"/>
    <s v="Florida Legislative"/>
    <x v="3"/>
    <s v="N/A"/>
    <x v="14"/>
    <n v="0.2"/>
    <n v="2.0000000000000001E-4"/>
    <n v="1.2"/>
    <n v="1.1999999999999999E-3"/>
    <s v="Upper Kissimmee"/>
    <s v="Urban"/>
  </r>
  <r>
    <s v="FDOT5-23"/>
    <s v="410732-B State Road 400 Swales"/>
    <x v="10"/>
    <s v="Dry detention"/>
    <s v="Add lanes and reconstruct."/>
    <n v="32.200000000000003"/>
    <s v="Unknown"/>
    <s v="Unknown"/>
    <s v="Florida Legislative"/>
    <x v="3"/>
    <s v="N/A"/>
    <x v="15"/>
    <n v="0.2"/>
    <n v="2.0000000000000001E-4"/>
    <n v="1.3"/>
    <n v="1.2999999999999999E-3"/>
    <s v="Upper Kissimmee"/>
    <s v="Urban"/>
  </r>
  <r>
    <s v="FDOT5-24"/>
    <s v="Street Sweeping"/>
    <x v="10"/>
    <s v="Street sweeping"/>
    <s v="Street sweeping to collect 1,507,453 lbs/yr of material."/>
    <s v="N/A"/>
    <s v="See annual O&amp;M"/>
    <s v="Unknown"/>
    <s v="Florida Legislative"/>
    <x v="0"/>
    <s v="N/A"/>
    <x v="0"/>
    <n v="50.3"/>
    <n v="5.0299999999999997E-2"/>
    <n v="144.80000000000001"/>
    <n v="0.14480000000000001"/>
    <s v="Upper Kissimmee"/>
    <s v="Urban"/>
  </r>
  <r>
    <s v="FDOT5-25"/>
    <s v="Education and Outreach"/>
    <x v="10"/>
    <s v="Public education"/>
    <s v="Funding for Orange County Water Atlas website, and illicit discharge inspection and training program."/>
    <s v="N/A"/>
    <s v="See annual O&amp;M"/>
    <s v="Unknown"/>
    <s v="Florida Legislative"/>
    <x v="0"/>
    <s v="N/A"/>
    <x v="0"/>
    <n v="1.7"/>
    <n v="1.6999999999999999E-3"/>
    <n v="19.8"/>
    <n v="1.9800000000000002E-2"/>
    <s v="Upper Kissimmee"/>
    <s v="Urban"/>
  </r>
  <r>
    <s v="HC-1"/>
    <s v="Education and Outreach"/>
    <x v="11"/>
    <s v="Public education"/>
    <s v="FYN, landscaping and irrigation ordinances, PSAs, and pamphlets."/>
    <s v="N/A"/>
    <s v="Unknown"/>
    <s v="Unknown"/>
    <s v="Highlands County"/>
    <x v="0"/>
    <s v="N/A"/>
    <x v="0"/>
    <n v="29.5"/>
    <n v="2.9499999999999998E-2"/>
    <n v="362.3"/>
    <n v="0.36230000000000001"/>
    <s v="Fisheating Creek"/>
    <s v="Urban"/>
  </r>
  <r>
    <s v="HC-2"/>
    <s v="Education and Outreach"/>
    <x v="11"/>
    <s v="Public education"/>
    <s v="FYN, landscaping and irrigation ordinances, PSAs, and pamphlets."/>
    <s v="N/A"/>
    <s v="Unknown"/>
    <s v="Unknown"/>
    <s v="Highlands County"/>
    <x v="0"/>
    <s v="N/A"/>
    <x v="0"/>
    <n v="29.6"/>
    <n v="2.9600000000000001E-2"/>
    <n v="415.2"/>
    <n v="0.41520000000000001"/>
    <s v="Indian Prairie"/>
    <s v="Urban"/>
  </r>
  <r>
    <s v="HC-3"/>
    <s v="Education and Outreach"/>
    <x v="11"/>
    <s v="Public education"/>
    <s v="FYN, landscaping and irrigation ordinances, PSAs, and pamphlets."/>
    <s v="N/A"/>
    <s v="Unknown"/>
    <s v="Unknown"/>
    <s v="Highlands County"/>
    <x v="0"/>
    <s v="N/A"/>
    <x v="0"/>
    <n v="155.19999999999999"/>
    <n v="0.15519999999999998"/>
    <n v="6580.7"/>
    <n v="6.5807000000000002"/>
    <s v="Lake Istokpoga"/>
    <s v="Urban"/>
  </r>
  <r>
    <s v="HC-4"/>
    <s v="Education and Outreach"/>
    <x v="11"/>
    <s v="Public education"/>
    <s v="FYN, landscaping and irrigation ordinances, PSAs, and pamphlets."/>
    <s v="N/A"/>
    <s v="Unknown"/>
    <s v="Unknown"/>
    <s v="Highlands County"/>
    <x v="0"/>
    <s v="N/A"/>
    <x v="0"/>
    <n v="136"/>
    <n v="0.13600000000000001"/>
    <n v="538.6"/>
    <n v="0.53859999999999997"/>
    <s v="Lower Kissimmee"/>
    <s v="Urban"/>
  </r>
  <r>
    <s v="HC-5"/>
    <s v="Lake June Stormwater Project"/>
    <x v="12"/>
    <s v="Online retention"/>
    <s v="The conceptual plan includes the installation of 450 feet of 24-inch French drain in four contributing basins."/>
    <n v="43.3"/>
    <n v="440000"/>
    <s v="Unknown"/>
    <s v="SWFWMD and Highlands County"/>
    <x v="4"/>
    <s v="Unknown"/>
    <x v="1"/>
    <m/>
    <n v="0"/>
    <m/>
    <n v="0"/>
    <s v="Lake Istokpoga"/>
    <s v="Urban"/>
  </r>
  <r>
    <s v="HC-6"/>
    <s v="Lake Clay Stormwater Project"/>
    <x v="12"/>
    <s v="Online retention"/>
    <s v="600 feet of 24-inch on-line French drain for parking lot subbasin; 300 feet of 24-inch on-line French drain will treat the street subbasin."/>
    <n v="26.6"/>
    <n v="330000"/>
    <n v="1973"/>
    <s v="SWFWMD and Highlands County"/>
    <x v="3"/>
    <s v="N/A"/>
    <x v="16"/>
    <n v="1.3"/>
    <n v="1.2999999999999999E-3"/>
    <n v="24.1"/>
    <n v="2.41E-2"/>
    <s v="Lake Istokpoga"/>
    <s v="Urban"/>
  </r>
  <r>
    <s v="IMWID-1"/>
    <s v="Istokpoga Marsh Watershed Improvement District"/>
    <x v="13"/>
    <s v="STA"/>
    <s v="Stormwater treatment area."/>
    <n v="711"/>
    <s v="Unknown"/>
    <s v="Unknown"/>
    <s v="Unknown"/>
    <x v="4"/>
    <s v="Unknown"/>
    <x v="1"/>
    <n v="698"/>
    <n v="0.69799999999999995"/>
    <s v="Not quantified"/>
    <e v="#VALUE!"/>
    <s v="Indian Prairie"/>
    <s v="Special District"/>
  </r>
  <r>
    <s v="OK-1"/>
    <s v="Douglas Park North"/>
    <x v="14"/>
    <s v="Dry detention and CDS unit"/>
    <s v="New roadside swales and addition of three vortex separators to the existing swales for water quality improvement."/>
    <n v="66.3"/>
    <s v="Unknown"/>
    <s v="Unknown"/>
    <s v="Unknown"/>
    <x v="7"/>
    <s v="Unknown"/>
    <x v="1"/>
    <n v="2.7"/>
    <n v="2.7000000000000001E-3"/>
    <n v="15.2"/>
    <n v="1.52E-2"/>
    <s v="Taylor Creek/ Nubbin Slough"/>
    <s v="Urban"/>
  </r>
  <r>
    <s v="OK-2"/>
    <s v="Oak Park"/>
    <x v="14"/>
    <s v="Dry detention and CDS unit"/>
    <s v="Roadside swales with raised inlets and two vortex separators."/>
    <n v="56.4"/>
    <s v="Unknown"/>
    <s v="Unknown"/>
    <s v="Unknown"/>
    <x v="7"/>
    <s v="Unknown"/>
    <x v="1"/>
    <n v="2.2000000000000002"/>
    <n v="2.2000000000000001E-3"/>
    <n v="14.4"/>
    <n v="1.44E-2"/>
    <s v="Taylor Creek/ Nubbin Slough"/>
    <s v="Urban"/>
  </r>
  <r>
    <s v="OK-3"/>
    <s v="Southwest 21st Street"/>
    <x v="14"/>
    <s v="Dry detention"/>
    <s v="Dry detention roadside swales with raised inlets."/>
    <n v="2.1"/>
    <s v="Unknown"/>
    <s v="Unknown"/>
    <s v="Unknown"/>
    <x v="7"/>
    <s v="Unknown"/>
    <x v="1"/>
    <n v="0.1"/>
    <n v="1E-4"/>
    <n v="0.5"/>
    <n v="5.0000000000000001E-4"/>
    <s v="Taylor Creek/ Nubbin Slough"/>
    <s v="Urban"/>
  </r>
  <r>
    <s v="OK-4"/>
    <s v="Southwest Drainage Area Improvements"/>
    <x v="14"/>
    <s v="Baffle box"/>
    <s v="Installation of sediment control boxes."/>
    <n v="32.200000000000003"/>
    <s v="Unknown"/>
    <s v="Unknown"/>
    <s v="Unknown"/>
    <x v="7"/>
    <s v="Unknown"/>
    <x v="1"/>
    <n v="0.4"/>
    <n v="4.0000000000000002E-4"/>
    <n v="0.3"/>
    <n v="2.9999999999999997E-4"/>
    <s v="Taylor Creek/ Nubbin Slough"/>
    <s v="Urban"/>
  </r>
  <r>
    <s v="OK-5"/>
    <s v="Okeechobee County 2008 Disaster Recovery Community Development Block Grant"/>
    <x v="14"/>
    <s v="Dry detention"/>
    <s v="Dry detention area to improve water quality and alleviate flooding."/>
    <n v="17.2"/>
    <s v="Unknown"/>
    <s v="Unknown"/>
    <s v="Unknown"/>
    <x v="7"/>
    <s v="Unknown"/>
    <x v="1"/>
    <n v="0.2"/>
    <n v="2.0000000000000001E-4"/>
    <n v="4.2"/>
    <n v="4.2000000000000006E-3"/>
    <s v="Taylor Creek/ Nubbin Slough"/>
    <s v="Urban"/>
  </r>
  <r>
    <s v="OC-1"/>
    <s v="Education and Outreach"/>
    <x v="15"/>
    <s v="Public education"/>
    <s v="FYN; landscaping, irrigation, fertilizer, and pet waste management ordinances; PSAs; pamphlets; Water Atlas website; and illicit discharge program."/>
    <s v="N/A"/>
    <s v="Unknown"/>
    <s v="Unknown"/>
    <s v="Orange County"/>
    <x v="0"/>
    <s v="N/A"/>
    <x v="0"/>
    <n v="586.1"/>
    <n v="0.58610000000000007"/>
    <n v="13247.4"/>
    <n v="13.247399999999999"/>
    <s v="Upper Kissimmee"/>
    <s v="Urban"/>
  </r>
  <r>
    <s v="OC-2"/>
    <s v="Lake Conway Street Sweeping "/>
    <x v="15"/>
    <s v="Street sweeping"/>
    <s v="Street sweeping of 3,827 curb miles annually."/>
    <s v="N/A"/>
    <s v="See annual O&amp;M"/>
    <n v="44015"/>
    <s v="Lake Conway Taxing District (MSTU)"/>
    <x v="0"/>
    <s v="N/A"/>
    <x v="0"/>
    <n v="9.3000000000000007"/>
    <n v="9.300000000000001E-3"/>
    <n v="26.7"/>
    <n v="2.6699999999999998E-2"/>
    <s v="Upper Kissimmee"/>
    <s v="Urban"/>
  </r>
  <r>
    <s v="OC-3"/>
    <s v="Lake Holden Street Sweeping"/>
    <x v="15"/>
    <s v="Street sweeping"/>
    <s v="Street sweeping of 942 curb miles annually."/>
    <s v="N/A"/>
    <s v="See annual O&amp;M"/>
    <n v="15198"/>
    <s v="Lake Holden Taxing District (MSTU)"/>
    <x v="0"/>
    <s v="N/A"/>
    <x v="0"/>
    <n v="2.2999999999999998"/>
    <n v="2.3E-3"/>
    <n v="6.6"/>
    <n v="6.6E-3"/>
    <s v="Upper Kissimmee"/>
    <s v="Urban"/>
  </r>
  <r>
    <s v="OC-4"/>
    <s v="Lake Jessamine Street Sweeping"/>
    <x v="15"/>
    <s v="Street sweeping"/>
    <s v="Street sweeping of 692 curb miles annually."/>
    <s v="N/A"/>
    <s v="See annual O&amp;M"/>
    <n v="11003"/>
    <s v="Lake Jessamine Taxing District (MSTU)"/>
    <x v="0"/>
    <s v="N/A"/>
    <x v="0"/>
    <n v="1.7"/>
    <n v="1.6999999999999999E-3"/>
    <n v="4.8"/>
    <n v="4.7999999999999996E-3"/>
    <s v="Upper Kissimmee"/>
    <s v="Urban"/>
  </r>
  <r>
    <s v="OC-5"/>
    <s v="Shingle/Boggy/Hart Basin Street Sweeping"/>
    <x v="15"/>
    <s v="Street sweeping"/>
    <s v="County-wide street sweeping."/>
    <s v="N/A"/>
    <s v="See annual O&amp;M"/>
    <s v="Unknown"/>
    <s v="Orange County"/>
    <x v="0"/>
    <s v="N/A"/>
    <x v="0"/>
    <n v="0.7"/>
    <n v="6.9999999999999999E-4"/>
    <n v="2.1"/>
    <n v="2.1000000000000003E-3"/>
    <s v="Upper Kissimmee"/>
    <s v="Urban"/>
  </r>
  <r>
    <s v="OC-6"/>
    <s v="Lake Odell Curb Inlet Basket (CIB)"/>
    <x v="15"/>
    <s v="CIB"/>
    <s v="Curb or grate inlet filter baskets to collect 902 lbs/yr of material."/>
    <s v="N/A"/>
    <n v="3000"/>
    <n v="666"/>
    <s v="Orange County "/>
    <x v="0"/>
    <s v="N/A"/>
    <x v="0"/>
    <n v="0"/>
    <n v="0"/>
    <n v="0.1"/>
    <n v="1E-4"/>
    <s v="Upper Kissimmee"/>
    <s v="Urban"/>
  </r>
  <r>
    <s v="OC-7"/>
    <s v="Lake Conway CIB Existing "/>
    <x v="15"/>
    <s v="CIB"/>
    <s v="Curb or grate inlet filter baskets to collect 16,169 lbs/yr of material."/>
    <s v="N/A"/>
    <n v="50000"/>
    <n v="11000"/>
    <s v="Lake Conway Taxing District (MSTU)"/>
    <x v="0"/>
    <s v="N/A"/>
    <x v="0"/>
    <n v="0.4"/>
    <n v="4.0000000000000002E-4"/>
    <n v="2"/>
    <n v="2E-3"/>
    <s v="Upper Kissimmee"/>
    <s v="Urban"/>
  </r>
  <r>
    <s v="OC-8"/>
    <s v="Lake Conway CIB New"/>
    <x v="15"/>
    <s v="CIB"/>
    <s v="Curb or grate inlet filter baskets to collect 16,872 lbs/yr of material."/>
    <s v="N/A"/>
    <n v="37000"/>
    <n v="5328"/>
    <s v="Lake Conway Taxing District (MSTU)"/>
    <x v="4"/>
    <s v="N/A"/>
    <x v="0"/>
    <n v="0.5"/>
    <n v="5.0000000000000001E-4"/>
    <n v="2"/>
    <n v="2E-3"/>
    <s v="Upper Kissimmee"/>
    <s v="Urban"/>
  </r>
  <r>
    <s v="OC-9"/>
    <s v="Lake Pineloch CIB "/>
    <x v="15"/>
    <s v="CIB"/>
    <s v="Curb or grate inlet filter baskets to collect 4,158 lbs/yr of material."/>
    <s v="N/A"/>
    <n v="18000"/>
    <n v="2592"/>
    <s v="Orange County General Fund"/>
    <x v="0"/>
    <s v="N/A"/>
    <x v="0"/>
    <n v="0.1"/>
    <n v="1E-4"/>
    <n v="0.5"/>
    <n v="5.0000000000000001E-4"/>
    <s v="Upper Kissimmee"/>
    <s v="Urban"/>
  </r>
  <r>
    <s v="OC-10"/>
    <s v="Lake Anderson CIB"/>
    <x v="15"/>
    <s v="CIB"/>
    <s v="Curb or grate inlet filter baskets to collect 3,364 lbs/yr of material."/>
    <s v="N/A"/>
    <n v="10000"/>
    <n v="1440"/>
    <s v="Lake Anderson MSTU"/>
    <x v="0"/>
    <s v="N/A"/>
    <x v="0"/>
    <n v="0.1"/>
    <n v="1E-4"/>
    <n v="0.4"/>
    <n v="4.0000000000000002E-4"/>
    <s v="Upper Kissimmee"/>
    <s v="Urban"/>
  </r>
  <r>
    <s v="OC-11"/>
    <s v="Lake Holden CIB"/>
    <x v="15"/>
    <s v="CIB"/>
    <s v="Curb or grate inlet filter baskets to collect 27,602 lbs/yr of material."/>
    <s v="N/A"/>
    <n v="41000"/>
    <n v="9102"/>
    <s v="Lake Holden Taxing District (MSTU)"/>
    <x v="0"/>
    <s v="N/A"/>
    <x v="0"/>
    <n v="0.7"/>
    <n v="6.9999999999999999E-4"/>
    <n v="3.3"/>
    <n v="3.3E-3"/>
    <s v="Upper Kissimmee"/>
    <s v="Urban"/>
  </r>
  <r>
    <s v="OC-12"/>
    <s v="Lake Jessamine CIB"/>
    <x v="15"/>
    <s v="CIB"/>
    <s v="Curb or grate inlet filter baskets to collect 13,025 lbs/yr of material."/>
    <s v="N/A"/>
    <n v="110000"/>
    <n v="24420"/>
    <s v="Lake Jessamine Taxing District (MSTU)"/>
    <x v="0"/>
    <s v="N/A"/>
    <x v="0"/>
    <n v="0.3"/>
    <n v="2.9999999999999997E-4"/>
    <n v="1.6"/>
    <n v="1.6000000000000001E-3"/>
    <s v="Upper Kissimmee"/>
    <s v="Urban"/>
  </r>
  <r>
    <s v="OC-13"/>
    <s v="Lake Floy CIB"/>
    <x v="15"/>
    <s v="CIB"/>
    <s v="Curb or grate inlet filter baskets to collect 4,835 lbs/yr of material."/>
    <s v="N/A"/>
    <n v="10000"/>
    <n v="1440"/>
    <s v="Lake Floy MSTU"/>
    <x v="0"/>
    <s v="N/A"/>
    <x v="0"/>
    <n v="0.1"/>
    <n v="1E-4"/>
    <n v="0.6"/>
    <n v="5.9999999999999995E-4"/>
    <s v="Upper Kissimmee"/>
    <s v="Urban"/>
  </r>
  <r>
    <s v="OC-14"/>
    <s v="Lake Cane CIB "/>
    <x v="15"/>
    <s v="CIB"/>
    <s v="Curb or grate inlet filter baskets to collect 3,845 lbs/yr of material."/>
    <s v="N/A"/>
    <n v="14000"/>
    <n v="2016"/>
    <s v="Orange County General Fund"/>
    <x v="0"/>
    <s v="N/A"/>
    <x v="0"/>
    <n v="0.1"/>
    <n v="1E-4"/>
    <n v="0.5"/>
    <n v="5.0000000000000001E-4"/>
    <s v="Upper Kissimmee"/>
    <s v="Urban"/>
  </r>
  <r>
    <s v="OC-15"/>
    <s v="Lake Odell CIB"/>
    <x v="15"/>
    <s v="CIB"/>
    <s v="Curb or grate inlet filter baskets to collect 904 lbs/yr of material."/>
    <s v="N/A"/>
    <n v="3000"/>
    <n v="432"/>
    <s v="Orange County General Fund"/>
    <x v="0"/>
    <s v="N/A"/>
    <x v="0"/>
    <n v="0"/>
    <n v="0"/>
    <n v="0.1"/>
    <n v="1E-4"/>
    <s v="Upper Kissimmee"/>
    <s v="Urban"/>
  </r>
  <r>
    <s v="OC-16"/>
    <s v="Lake Tyler CIB"/>
    <x v="15"/>
    <s v="CIB"/>
    <s v="Curb or grate inlet filter baskets."/>
    <s v="N/A"/>
    <n v="11000"/>
    <n v="1440"/>
    <s v="Unknown"/>
    <x v="0"/>
    <s v="N/A"/>
    <x v="0"/>
    <m/>
    <n v="0"/>
    <m/>
    <n v="0"/>
    <s v="Upper Kissimmee"/>
    <s v="Urban"/>
  </r>
  <r>
    <s v="OC-17"/>
    <s v="Lake Down CIB"/>
    <x v="15"/>
    <s v="CIB"/>
    <s v="Curb or grate inlet filter baskets to collect 16,934 lbs/yr of material."/>
    <s v="N/A"/>
    <n v="56000"/>
    <s v="Unknown"/>
    <s v="Windermere Water and Navigation Control District (MSTU)"/>
    <x v="4"/>
    <s v="October 2013"/>
    <x v="1"/>
    <n v="0.5"/>
    <n v="5.0000000000000001E-4"/>
    <n v="2"/>
    <n v="2E-3"/>
    <s v="Upper Kissimmee"/>
    <s v="Urban"/>
  </r>
  <r>
    <s v="OC-18"/>
    <s v="Lake Tibet CIB"/>
    <x v="15"/>
    <s v="CIB"/>
    <s v="Curb or grate inlet filter baskets to collect 13,494 lbs/yr of material."/>
    <s v="N/A"/>
    <n v="31000"/>
    <s v="Unknown"/>
    <s v="Windermere Water and Navigation Control District (MSTU)"/>
    <x v="4"/>
    <s v="October 2013"/>
    <x v="1"/>
    <n v="0.4"/>
    <n v="4.0000000000000002E-4"/>
    <n v="1.6"/>
    <n v="1.6000000000000001E-3"/>
    <s v="Upper Kissimmee"/>
    <s v="Urban"/>
  </r>
  <r>
    <s v="OC-19"/>
    <s v="Lisa Waterway CDS"/>
    <x v="15"/>
    <s v="CDS unit"/>
    <s v="Treats runoff from Orange Avenue."/>
    <s v="N/A"/>
    <n v="225000"/>
    <n v="5362"/>
    <s v="Lake Conway Taxing District (MSTU)"/>
    <x v="0"/>
    <s v="N/A"/>
    <x v="0"/>
    <n v="0.3"/>
    <n v="2.9999999999999997E-4"/>
    <n v="1.5"/>
    <n v="1.5E-3"/>
    <s v="Upper Kissimmee"/>
    <s v="Urban"/>
  </r>
  <r>
    <s v="OC-20"/>
    <s v="Randolph Avenue Continuous Deflective Separation (CDS) Unit"/>
    <x v="15"/>
    <s v="CDS unit"/>
    <s v="Treats runoff from Randolph Avenue."/>
    <m/>
    <s v="Unknown"/>
    <s v="Unknown"/>
    <s v="Unknown"/>
    <x v="3"/>
    <s v="N/A"/>
    <x v="17"/>
    <n v="0"/>
    <n v="0"/>
    <n v="0"/>
    <n v="0"/>
    <s v="Upper Kissimmee"/>
    <s v="Urban"/>
  </r>
  <r>
    <s v="OC-21"/>
    <s v="Randolph Avenue Stormceptor"/>
    <x v="15"/>
    <s v="Stormceptor"/>
    <s v="Stormceptor."/>
    <m/>
    <s v="Unknown"/>
    <s v="Unknown"/>
    <s v="Unknown"/>
    <x v="3"/>
    <s v="N/A"/>
    <x v="17"/>
    <n v="0"/>
    <n v="0"/>
    <n v="0.1"/>
    <n v="1E-4"/>
    <s v="Upper Kissimmee"/>
    <s v="Urban"/>
  </r>
  <r>
    <s v="OC-22"/>
    <s v="Randolph Avenue Pond"/>
    <x v="15"/>
    <s v="Dry detention"/>
    <s v="Dry detention pond."/>
    <m/>
    <s v="Unknown"/>
    <s v="Unknown"/>
    <s v="Unknown"/>
    <x v="3"/>
    <s v="N/A"/>
    <x v="17"/>
    <n v="0"/>
    <n v="0"/>
    <n v="0.4"/>
    <n v="4.0000000000000002E-4"/>
    <s v="Upper Kissimmee"/>
    <s v="Urban"/>
  </r>
  <r>
    <s v="OC-23"/>
    <s v="Lake Mary Jess Pond"/>
    <x v="16"/>
    <s v="Wet detention pond"/>
    <s v="Wet retention pond created from canal."/>
    <n v="31.2"/>
    <n v="534795"/>
    <n v="8000"/>
    <s v="FDOT District 5, City of Edgewood"/>
    <x v="3"/>
    <s v="N/A"/>
    <x v="18"/>
    <n v="2.9"/>
    <n v="2.8999999999999998E-3"/>
    <n v="13.1"/>
    <n v="1.3099999999999999E-2"/>
    <s v="Upper Kissimmee"/>
    <s v="Urban"/>
  </r>
  <r>
    <s v="OC-24"/>
    <s v="Lake Odell Sediment Sump"/>
    <x v="15"/>
    <s v="Retention BMPs"/>
    <s v="Small sump that collects sediment from roadway, with an estimate of 12,000 lbs/yr of material."/>
    <s v="N/A"/>
    <n v="33300"/>
    <n v="1500"/>
    <s v="Orange County General Fund"/>
    <x v="4"/>
    <n v="2013"/>
    <x v="19"/>
    <n v="0.4"/>
    <n v="4.0000000000000002E-4"/>
    <n v="1.2"/>
    <n v="1.1999999999999999E-3"/>
    <s v="Upper Kissimmee"/>
    <s v="Urban"/>
  </r>
  <r>
    <s v="OC-25"/>
    <s v="Lake Jennie Jewel Baffle Box"/>
    <x v="15"/>
    <s v="2nd generation baffle box"/>
    <s v="2nd generation baffle box."/>
    <m/>
    <n v="175000"/>
    <s v="Unknown"/>
    <s v="Unknown"/>
    <x v="1"/>
    <n v="2015"/>
    <x v="1"/>
    <n v="0.3"/>
    <n v="2.9999999999999997E-4"/>
    <n v="22.1"/>
    <n v="2.2100000000000002E-2"/>
    <s v="Upper Kissimmee"/>
    <s v="Urban"/>
  </r>
  <r>
    <s v="OC-26"/>
    <s v="Lake Anderson Mobile Alum Injection"/>
    <x v="15"/>
    <s v="Alum injection"/>
    <s v="Storm pond enhancement with alum."/>
    <m/>
    <n v="75000"/>
    <n v="11000"/>
    <s v="Orange County General Fund"/>
    <x v="4"/>
    <n v="2014"/>
    <x v="20"/>
    <n v="12.2"/>
    <n v="1.2199999999999999E-2"/>
    <n v="257.60000000000002"/>
    <n v="0.2576"/>
    <s v="Upper Kissimmee"/>
    <s v="Urban"/>
  </r>
  <r>
    <s v="OC-27"/>
    <s v="Lake Jessamine Surface Alum "/>
    <x v="15"/>
    <s v="Alum injection"/>
    <s v="Whole-lake alum treatment."/>
    <m/>
    <n v="246000"/>
    <s v="Unknown"/>
    <s v="Lake Jessamine Taxing District (MSTU)"/>
    <x v="3"/>
    <s v="N/A"/>
    <x v="21"/>
    <n v="4.5"/>
    <n v="4.4999999999999997E-3"/>
    <n v="71.7"/>
    <n v="7.17E-2"/>
    <s v="Upper Kissimmee"/>
    <s v="Urban"/>
  </r>
  <r>
    <s v="OC-28"/>
    <s v="Lake Down Alum  Treatment Facility"/>
    <x v="15"/>
    <s v="Alum injection"/>
    <s v="Off-line pond and alum injection system."/>
    <n v="378.8"/>
    <n v="1800000"/>
    <s v="Unknown"/>
    <s v="Windermere Water and Navigation Control District (MSTU) &amp; FDEP Grant"/>
    <x v="2"/>
    <s v="May 2014"/>
    <x v="22"/>
    <n v="21.3"/>
    <n v="2.1299999999999999E-2"/>
    <n v="555.1"/>
    <n v="0.55510000000000004"/>
    <s v="Upper Kissimmee"/>
    <s v="Urban"/>
  </r>
  <r>
    <s v="OSC-1"/>
    <s v="Narcoossee Road IB Pond 2 and 3"/>
    <x v="17"/>
    <s v="Wet detention pond"/>
    <s v="Roadway widening."/>
    <n v="29.3"/>
    <s v="Unknown"/>
    <s v="Unknown"/>
    <s v="Unknown"/>
    <x v="3"/>
    <s v="N/A"/>
    <x v="23"/>
    <n v="0.2"/>
    <n v="2.0000000000000001E-4"/>
    <n v="5.7"/>
    <n v="5.7000000000000002E-3"/>
    <s v="Upper Kissimmee"/>
    <s v="Urban"/>
  </r>
  <r>
    <s v="OSC-2"/>
    <s v="Narcoossee Rodd III Pond C3A &amp; C3B"/>
    <x v="17"/>
    <s v="Wet detention pond"/>
    <s v="Roadway widening."/>
    <n v="20.5"/>
    <s v="Unknown"/>
    <s v="Unknown"/>
    <s v="Unknown"/>
    <x v="3"/>
    <s v="N/A"/>
    <x v="24"/>
    <n v="0.1"/>
    <n v="1E-4"/>
    <n v="3.8"/>
    <n v="3.8E-3"/>
    <s v="Upper Kissimmee"/>
    <s v="Urban"/>
  </r>
  <r>
    <s v="OSC-3"/>
    <s v="Narcoossee Road III Pond D3 Comp"/>
    <x v="17"/>
    <s v="Wet detention pond"/>
    <s v="Roadway widening."/>
    <n v="24.3"/>
    <s v="Unknown"/>
    <s v="Unknown"/>
    <s v="Unknown"/>
    <x v="3"/>
    <s v="N/A"/>
    <x v="24"/>
    <n v="0.2"/>
    <n v="2.0000000000000001E-4"/>
    <n v="3.7"/>
    <n v="3.7000000000000002E-3"/>
    <s v="Upper Kissimmee"/>
    <s v="Urban"/>
  </r>
  <r>
    <s v="OSC-4"/>
    <s v="Narcoossee Road III Pond E1 Comp"/>
    <x v="17"/>
    <s v="Wet detention pond"/>
    <s v="Roadway widening."/>
    <n v="22.4"/>
    <s v="Unknown"/>
    <s v="Unknown"/>
    <s v="Unknown"/>
    <x v="3"/>
    <s v="N/A"/>
    <x v="24"/>
    <n v="0.1"/>
    <n v="1E-4"/>
    <n v="2.4"/>
    <n v="2.3999999999999998E-3"/>
    <s v="Upper Kissimmee"/>
    <s v="Urban"/>
  </r>
  <r>
    <s v="OSC-5"/>
    <s v="Neptune Road I - Ponds 100, 200, and 300"/>
    <x v="17"/>
    <s v="Wet detention pond"/>
    <s v="Road improvement."/>
    <n v="226.8"/>
    <s v="Unknown"/>
    <s v="Unknown"/>
    <s v="Unknown"/>
    <x v="3"/>
    <s v="N/A"/>
    <x v="25"/>
    <n v="8.3000000000000007"/>
    <n v="8.3000000000000001E-3"/>
    <n v="219.3"/>
    <n v="0.21930000000000002"/>
    <s v="Upper Kissimmee"/>
    <s v="Urban"/>
  </r>
  <r>
    <s v="OSC-6"/>
    <s v="Old Wilson Road Pond D002-P"/>
    <x v="17"/>
    <s v="Online retention"/>
    <s v="Road improvement."/>
    <n v="55.8"/>
    <s v="Unknown"/>
    <s v="Unknown"/>
    <s v="Unknown"/>
    <x v="3"/>
    <s v="N/A"/>
    <x v="24"/>
    <n v="0.6"/>
    <n v="5.9999999999999995E-4"/>
    <n v="18.899999999999999"/>
    <n v="1.89E-2"/>
    <s v="Upper Kissimmee"/>
    <s v="Urban"/>
  </r>
  <r>
    <s v="OSC-7"/>
    <s v="Old Wilson Road Pond D004-P"/>
    <x v="17"/>
    <s v="Online retention"/>
    <s v="Road improvement."/>
    <n v="18.7"/>
    <s v="Unknown"/>
    <s v="Unknown"/>
    <s v="Unknown"/>
    <x v="3"/>
    <s v="N/A"/>
    <x v="24"/>
    <n v="0.3"/>
    <n v="2.9999999999999997E-4"/>
    <n v="19.8"/>
    <n v="1.9800000000000002E-2"/>
    <s v="Upper Kissimmee"/>
    <s v="Urban"/>
  </r>
  <r>
    <s v="OSC-8"/>
    <s v="Old Wilson Road Pond E002-P"/>
    <x v="17"/>
    <s v="Online retention"/>
    <s v="Road improvement."/>
    <n v="12.5"/>
    <s v="Unknown"/>
    <s v="Unknown"/>
    <s v="Unknown"/>
    <x v="3"/>
    <s v="N/A"/>
    <x v="24"/>
    <n v="0.7"/>
    <n v="6.9999999999999999E-4"/>
    <n v="21.3"/>
    <n v="2.1299999999999999E-2"/>
    <s v="Upper Kissimmee"/>
    <s v="Urban"/>
  </r>
  <r>
    <s v="OSC-9"/>
    <s v="Stewart Street Regional Pond Retrofit"/>
    <x v="17"/>
    <s v="Wet detention pond"/>
    <s v="Regional pond retrofit."/>
    <n v="2249.1999999999998"/>
    <s v="Unknown"/>
    <s v="Unknown"/>
    <s v="Unknown"/>
    <x v="3"/>
    <s v="N/A"/>
    <x v="9"/>
    <n v="70.400000000000006"/>
    <n v="7.0400000000000004E-2"/>
    <n v="1747"/>
    <n v="1.7470000000000001"/>
    <s v="Upper Kissimmee"/>
    <s v="Urban"/>
  </r>
  <r>
    <s v="OSC-10"/>
    <s v="Education"/>
    <x v="17"/>
    <s v="Public education"/>
    <s v="FYN; landscaping, irrigation, fertilizer, and pet waste management ordinances; PSAs; pamphlets; website; and illicit discharge program."/>
    <s v="N/A"/>
    <s v="Unknown"/>
    <s v="Unknown"/>
    <s v="Unknown"/>
    <x v="0"/>
    <s v="N/A"/>
    <x v="0"/>
    <n v="321.60000000000002"/>
    <n v="0.3216"/>
    <n v="10612.3"/>
    <n v="10.612299999999999"/>
    <s v="Upper Kissimmee"/>
    <s v="Urban"/>
  </r>
  <r>
    <s v="OSC-11"/>
    <s v="Education"/>
    <x v="17"/>
    <s v="Public education"/>
    <s v="FYN; landscaping, irrigation, fertilizer, and pet waste management ordinances; PSAs; pamphlets; website; and illicit discharge program."/>
    <s v="N/A"/>
    <s v="Unknown"/>
    <s v="Unknown"/>
    <s v="Unknown"/>
    <x v="0"/>
    <s v="N/A"/>
    <x v="0"/>
    <n v="2.5"/>
    <n v="2.5000000000000001E-3"/>
    <n v="24.4"/>
    <n v="2.4399999999999998E-2"/>
    <s v="Lower Kissimmee"/>
    <s v="Urban"/>
  </r>
  <r>
    <s v="OSC-12"/>
    <s v="East Lake Reserve Stormwater Reuse"/>
    <x v="17"/>
    <s v="Stormwater reuse"/>
    <s v="Stormwater reuse for landscape irrigation from pond A1 (9.1A)."/>
    <n v="130.80000000000001"/>
    <s v="See annual O&amp;M"/>
    <s v="Unknown"/>
    <s v="Homeowners Association"/>
    <x v="0"/>
    <s v="N/A"/>
    <x v="0"/>
    <n v="5.5"/>
    <n v="5.4999999999999997E-3"/>
    <n v="365.4"/>
    <n v="0.3654"/>
    <s v="Upper Kissimmee"/>
    <s v="Urban"/>
  </r>
  <r>
    <s v="OSC-13"/>
    <s v="Neptune Road Stormwater Reuse"/>
    <x v="17"/>
    <s v="Stormwater reuse"/>
    <s v="Stormwater reuse for landscape irrigation from Ponds 100/101 and 300."/>
    <n v="35.700000000000003"/>
    <n v="640689.59"/>
    <n v="26000"/>
    <s v="Operations"/>
    <x v="0"/>
    <s v="N/A"/>
    <x v="0"/>
    <n v="1.1000000000000001"/>
    <n v="1.1000000000000001E-3"/>
    <n v="24.9"/>
    <n v="2.4899999999999999E-2"/>
    <s v="Upper Kissimmee"/>
    <s v="Urban"/>
  </r>
  <r>
    <s v="OSC-14"/>
    <s v="Bellalago and Isles of Bellalago Stormwater Reuse"/>
    <x v="17"/>
    <s v="Stormwater reuse"/>
    <s v="Stormwater reuse for landscape irrigation (197A)."/>
    <n v="1386.8"/>
    <s v="See annual O&amp;M"/>
    <s v="Unknown"/>
    <s v="Homeowners Association"/>
    <x v="0"/>
    <s v="N/A"/>
    <x v="0"/>
    <n v="63.8"/>
    <n v="6.3799999999999996E-2"/>
    <n v="3071.7"/>
    <n v="3.0716999999999999"/>
    <s v="Upper Kissimmee"/>
    <s v="Urban"/>
  </r>
  <r>
    <s v="OSC-15"/>
    <s v="Poinciana Commerce Center Reuse"/>
    <x v="17"/>
    <s v="Stormwater reuse"/>
    <s v="Stormwater reuse for landscape irrigation from Pond 1."/>
    <n v="10.199999999999999"/>
    <s v="See annual O&amp;M"/>
    <s v="Unknown"/>
    <s v="Private"/>
    <x v="8"/>
    <s v="July 2008"/>
    <x v="1"/>
    <n v="0.5"/>
    <n v="5.0000000000000001E-4"/>
    <n v="13.8"/>
    <n v="1.3800000000000002E-2"/>
    <s v="Upper Kissimmee"/>
    <s v="Urban"/>
  </r>
  <r>
    <s v="OSC-16"/>
    <s v="Kissimmee Bay Reuse"/>
    <x v="17"/>
    <s v="Stormwater reuse"/>
    <s v="Stormwater reuse 20-year duration for 84.5 acres of golf course and five-year duration for 45.5 acres of landscape irrigation."/>
    <n v="271"/>
    <s v="See annual O&amp;M"/>
    <s v="Unknown"/>
    <s v="Private"/>
    <x v="0"/>
    <s v="N/A"/>
    <x v="0"/>
    <n v="19.600000000000001"/>
    <n v="1.9600000000000003E-2"/>
    <n v="910.1"/>
    <n v="0.91010000000000002"/>
    <s v="Upper Kissimmee"/>
    <s v="Urban"/>
  </r>
  <r>
    <s v="OSC-17"/>
    <s v="Remington"/>
    <x v="17"/>
    <s v="Stormwater reuse"/>
    <s v="Stormwater reuse for golf course irrigation from Ponds 12, 13, 14A, and 14B."/>
    <n v="149.4"/>
    <s v="See annual O&amp;M"/>
    <s v="Unknown"/>
    <s v="Private"/>
    <x v="0"/>
    <s v="N/A"/>
    <x v="26"/>
    <n v="12.1"/>
    <n v="1.21E-2"/>
    <n v="523.4"/>
    <n v="0.52339999999999998"/>
    <s v="Upper Kissimmee"/>
    <s v="Urban"/>
  </r>
  <r>
    <s v="OSC-18"/>
    <s v="Eagle Lake"/>
    <x v="17"/>
    <s v="Stormwater reuse"/>
    <s v="Stormwater reuse for turf irrigation."/>
    <n v="435.1"/>
    <s v="See annual O&amp;M"/>
    <s v="Unknown"/>
    <s v="Private"/>
    <x v="0"/>
    <s v="N/A"/>
    <x v="0"/>
    <n v="19.2"/>
    <n v="1.9199999999999998E-2"/>
    <n v="873.9"/>
    <n v="0.87390000000000001"/>
    <s v="Upper Kissimmee"/>
    <s v="Urban"/>
  </r>
  <r>
    <s v="OSC-19"/>
    <s v="La Quinta Inn"/>
    <x v="17"/>
    <s v="Stormwater reuse"/>
    <s v="Stormwater reuse for turf irrigation."/>
    <n v="12.5"/>
    <s v="See annual O&amp;M"/>
    <s v="Unknown"/>
    <s v="Private"/>
    <x v="0"/>
    <s v="N/A"/>
    <x v="0"/>
    <n v="1.7"/>
    <n v="1.6999999999999999E-3"/>
    <n v="14.2"/>
    <n v="1.4199999999999999E-2"/>
    <s v="Upper Kissimmee"/>
    <s v="Urban"/>
  </r>
  <r>
    <s v="OSC-20"/>
    <s v="Lake Toho Regional Water Storage Facility (Judge Farms)"/>
    <x v="18"/>
    <s v="Stormwater reuse"/>
    <s v="Stormwater reuse."/>
    <n v="5882.9941153560885"/>
    <s v="See annual O&amp;M"/>
    <s v="Unknown"/>
    <s v="Multiple"/>
    <x v="4"/>
    <s v="December 2015"/>
    <x v="27"/>
    <n v="412.1"/>
    <n v="0.41210000000000002"/>
    <n v="8775.2999999999993"/>
    <n v="8.7752999999999997"/>
    <s v="Upper Kissimmee"/>
    <s v="Urban"/>
  </r>
  <r>
    <s v="OSC-21"/>
    <s v="Street Sweeping"/>
    <x v="17"/>
    <s v="Street sweeping"/>
    <s v="Monthly street sweeping."/>
    <s v="N/A"/>
    <s v="See annual O&amp;M"/>
    <n v="60000"/>
    <s v="Osceola County"/>
    <x v="0"/>
    <s v="N/A"/>
    <x v="0"/>
    <n v="16.100000000000001"/>
    <n v="1.61E-2"/>
    <n v="46.2"/>
    <n v="4.6200000000000005E-2"/>
    <s v="Upper Kissimmee"/>
    <s v="Urban"/>
  </r>
  <r>
    <s v="OSC-22"/>
    <s v="Buenaventura Lakes Golf Course Ponds"/>
    <x v="17"/>
    <s v="Wet detention pond"/>
    <s v="Two new lakes at golf course."/>
    <n v="517.70000000000005"/>
    <s v="Unknown"/>
    <s v="Unknown"/>
    <s v="Osceola County"/>
    <x v="3"/>
    <s v="Unknown"/>
    <x v="28"/>
    <n v="2"/>
    <n v="2E-3"/>
    <n v="6"/>
    <n v="6.0000000000000001E-3"/>
    <s v="Upper Kissimmee"/>
    <s v="Urban"/>
  </r>
  <r>
    <s v="OSC-23"/>
    <s v="Slaman"/>
    <x v="17"/>
    <s v="Conservation area"/>
    <s v="Conservation areas."/>
    <n v="32.200000000000003"/>
    <s v="See annual O&amp;M"/>
    <s v="Unknown"/>
    <s v="Osceola County"/>
    <x v="3"/>
    <s v="N/A"/>
    <x v="17"/>
    <n v="0"/>
    <n v="0"/>
    <n v="0.33035130351040465"/>
    <n v="3.3035130351040463E-4"/>
    <s v="Upper Kissimmee"/>
    <s v="Urban"/>
  </r>
  <r>
    <s v="OSC-24"/>
    <s v="Jim Yates"/>
    <x v="17"/>
    <s v="Conservation area"/>
    <s v="Conservation areas."/>
    <n v="5.3"/>
    <s v="See annual O&amp;M"/>
    <s v="Unknown"/>
    <s v="Osceola County"/>
    <x v="3"/>
    <s v="N/A"/>
    <x v="17"/>
    <n v="0.53702187976825999"/>
    <n v="5.3702187976826003E-4"/>
    <n v="3.1513197993192001"/>
    <n v="3.1513197993192003E-3"/>
    <s v="Upper Kissimmee"/>
    <s v="Urban"/>
  </r>
  <r>
    <s v="OSC-25"/>
    <s v="Udstad"/>
    <x v="17"/>
    <s v="Conservation area"/>
    <s v="Conservation areas."/>
    <n v="5.9"/>
    <s v="See annual O&amp;M"/>
    <s v="Unknown"/>
    <s v="Osceola County"/>
    <x v="3"/>
    <s v="N/A"/>
    <x v="17"/>
    <n v="0.53627998021229328"/>
    <n v="5.3627998021229324E-4"/>
    <n v="7.6546603440000016"/>
    <n v="7.6546603440000019E-3"/>
    <s v="Upper Kissimmee"/>
    <s v="Urban"/>
  </r>
  <r>
    <s v="OSC-26"/>
    <s v="Proctor"/>
    <x v="17"/>
    <s v="Conservation area"/>
    <s v="Conservation areas."/>
    <n v="0.7"/>
    <s v="See annual O&amp;M"/>
    <s v="Unknown"/>
    <s v="Osceola County"/>
    <x v="3"/>
    <s v="N/A"/>
    <x v="17"/>
    <n v="9.3648325752223802E-2"/>
    <n v="9.3648325752223802E-5"/>
    <n v="0.33312225376880011"/>
    <n v="3.3312225376880012E-4"/>
    <s v="Upper Kissimmee"/>
    <s v="Urban"/>
  </r>
  <r>
    <s v="OSC-27"/>
    <s v="Twin Oaks"/>
    <x v="17"/>
    <s v="Conservation area"/>
    <s v="Conservation areas."/>
    <n v="399.6"/>
    <s v="See annual O&amp;M"/>
    <s v="Unknown"/>
    <s v="Osceola County"/>
    <x v="3"/>
    <s v="N/A"/>
    <x v="17"/>
    <n v="46.970597278937703"/>
    <n v="4.6970597278937702E-2"/>
    <n v="264.92863347008404"/>
    <n v="0.26492863347008405"/>
    <s v="Upper Kissimmee"/>
    <s v="Urban"/>
  </r>
  <r>
    <s v="OSC-28"/>
    <s v="Cherokee Point"/>
    <x v="17"/>
    <s v="Conservation area"/>
    <s v="Conservation areas."/>
    <n v="178.6"/>
    <s v="See annual O&amp;M"/>
    <s v="Unknown"/>
    <s v="Osceola County"/>
    <x v="3"/>
    <s v="N/A"/>
    <x v="17"/>
    <n v="1.2251792917542215"/>
    <n v="1.2251792917542215E-3"/>
    <n v="6.7441802702641667"/>
    <n v="6.7441802702641667E-3"/>
    <s v="Upper Kissimmee"/>
    <s v="Urban"/>
  </r>
  <r>
    <s v="OSC-29"/>
    <s v="Encatada Resort"/>
    <x v="17"/>
    <s v="Stormwater reuse"/>
    <s v="Stormwater reuse."/>
    <n v="57.6"/>
    <s v="See annual O&amp;M"/>
    <s v="Unknown"/>
    <s v="Homeowners Association"/>
    <x v="0"/>
    <s v="N/A"/>
    <x v="1"/>
    <n v="3.1"/>
    <n v="3.0999999999999999E-3"/>
    <n v="33.200000000000003"/>
    <n v="3.32E-2"/>
    <s v="Upper Kissimmee"/>
    <s v="Urban"/>
  </r>
  <r>
    <s v="OSC-30"/>
    <s v="Cypress Palms Condos"/>
    <x v="17"/>
    <s v="Stormwater reuse"/>
    <s v="Stormwater reuse."/>
    <n v="12.4"/>
    <s v="See annual O&amp;M"/>
    <s v="Unknown"/>
    <s v="Homeowners Association"/>
    <x v="4"/>
    <s v="March 2012"/>
    <x v="1"/>
    <n v="1"/>
    <n v="1E-3"/>
    <n v="10.4"/>
    <n v="1.04E-2"/>
    <s v="Upper Kissimmee"/>
    <s v="Urban"/>
  </r>
  <r>
    <s v="OSC-31"/>
    <s v="Lake Pointe"/>
    <x v="17"/>
    <s v="Stormwater reuse"/>
    <s v="Stormwater reuse."/>
    <n v="150.19999999999999"/>
    <s v="See annual O&amp;M"/>
    <s v="Unknown"/>
    <s v="Homeowners Association"/>
    <x v="4"/>
    <s v="May 2012"/>
    <x v="1"/>
    <n v="5.9"/>
    <n v="5.9000000000000007E-3"/>
    <n v="322.3"/>
    <n v="0.32230000000000003"/>
    <s v="Upper Kissimmee"/>
    <s v="Urban"/>
  </r>
  <r>
    <s v="OSC-32"/>
    <s v="Traditions at Westside"/>
    <x v="17"/>
    <s v="Stormwater reuse"/>
    <s v="Stormwater reuse."/>
    <n v="21.7"/>
    <s v="See annual O&amp;M"/>
    <s v="Unknown"/>
    <s v="Homeowners Association"/>
    <x v="4"/>
    <s v="February 2011"/>
    <x v="1"/>
    <n v="2.2999999999999998"/>
    <n v="2.3E-3"/>
    <n v="19.7"/>
    <n v="1.9699999999999999E-2"/>
    <s v="Upper Kissimmee"/>
    <s v="Urban"/>
  </r>
  <r>
    <s v="PC-1"/>
    <s v="Education and Outreach"/>
    <x v="19"/>
    <s v="Public education"/>
    <s v="FYN, fertilizer ordinance, PSAs, pamphlets, website, and illicit discharge inspection program."/>
    <s v="N/A"/>
    <s v="Unknown"/>
    <s v="Unknown"/>
    <s v="Polk County"/>
    <x v="0"/>
    <s v="N/A"/>
    <x v="0"/>
    <n v="38.799999999999997"/>
    <n v="3.8799999999999994E-2"/>
    <n v="1086.9000000000001"/>
    <n v="1.0869000000000002"/>
    <s v="Lake Istokpoga"/>
    <s v="Urban"/>
  </r>
  <r>
    <s v="PC-2"/>
    <s v="Education and Outreach"/>
    <x v="19"/>
    <s v="Public education"/>
    <s v="FYN, fertilizer ordinance, PSAs, pamphlets, website, and illicit discharge inspection program."/>
    <s v="N/A"/>
    <s v="Unknown"/>
    <s v="Unknown"/>
    <s v="Polk County"/>
    <x v="0"/>
    <s v="N/A"/>
    <x v="0"/>
    <n v="22.7"/>
    <n v="2.2699999999999998E-2"/>
    <n v="408.9"/>
    <n v="0.40889999999999999"/>
    <s v="Lower Kissimmee"/>
    <s v="Urban"/>
  </r>
  <r>
    <s v="PC-3"/>
    <s v="Education and Outreach"/>
    <x v="19"/>
    <s v="Public education"/>
    <s v="FYN, fertilizer ordinance, PSAs, pamphlets, website, and illicit discharge inspection program."/>
    <s v="N/A"/>
    <s v="Unknown"/>
    <s v="Unknown"/>
    <s v="Polk County"/>
    <x v="0"/>
    <s v="N/A"/>
    <x v="0"/>
    <n v="118.8"/>
    <n v="0.1188"/>
    <n v="4438.1000000000004"/>
    <n v="4.4381000000000004"/>
    <s v="Upper Kissimmee"/>
    <s v="Urban"/>
  </r>
  <r>
    <s v="PC-4"/>
    <s v="Sumica Preserve Water Storage/ Hydrologic Restoration"/>
    <x v="20"/>
    <s v="DWM"/>
    <s v="Construction of a gravel berm to store water on-site for wetland restoration."/>
    <n v="4077.4"/>
    <n v="42850"/>
    <n v="13000"/>
    <s v="SFWMD"/>
    <x v="5"/>
    <s v="N/A"/>
    <x v="15"/>
    <n v="7.5"/>
    <n v="7.4999999999999997E-3"/>
    <s v="Not quantified"/>
    <e v="#VALUE!"/>
    <s v="Upper Kissimmee"/>
    <s v="Urban"/>
  </r>
  <r>
    <s v="SFWMD-1"/>
    <s v="Taylor Creek"/>
    <x v="21"/>
    <s v="STA"/>
    <s v="The Taylor Creek STA is a two-celled STA. "/>
    <n v="118"/>
    <n v="26900000"/>
    <n v="50000"/>
    <s v="SFWMD and USACE"/>
    <x v="3"/>
    <s v="N/A"/>
    <x v="9"/>
    <n v="1802.5"/>
    <n v="1.8025"/>
    <s v="Not quantified"/>
    <e v="#VALUE!"/>
    <s v="Taylor Creek/ Nubbin Slough"/>
    <s v="Public/Private"/>
  </r>
  <r>
    <s v="SFWMD-2"/>
    <s v="Nubbin Slough "/>
    <x v="21"/>
    <s v="STA"/>
    <s v="The Nubbin Slough STA is the larger of the two pilot STAs constructed north of the lake. It is a two-celled enclosure."/>
    <n v="773"/>
    <s v="Included in SFWMD-1"/>
    <n v="100000"/>
    <s v="SFWMD and USACE"/>
    <x v="9"/>
    <s v="Unknown"/>
    <x v="1"/>
    <n v="6193.6"/>
    <n v="6.1936"/>
    <s v="Not quantified"/>
    <e v="#VALUE!"/>
    <s v="Taylor Creek/ Nubbin Slough"/>
    <s v="Public/Private"/>
  </r>
  <r>
    <s v="SFWMD-3"/>
    <s v="Lakeside Ranch Phase I"/>
    <x v="21"/>
    <s v="STA"/>
    <s v="Phase I included construction of a 1,200-acre STA, canal improvements, and the installation of the S-650 pump station. "/>
    <s v="N/A"/>
    <n v="22800000"/>
    <n v="341000"/>
    <s v="SFWMD"/>
    <x v="10"/>
    <s v="N/A"/>
    <x v="24"/>
    <n v="13978.8"/>
    <n v="13.9788"/>
    <s v="Not quantified"/>
    <e v="#VALUE!"/>
    <s v="Taylor Creek/ Nubbin Slough"/>
    <s v="Public/Private"/>
  </r>
  <r>
    <s v="SFWMD-4"/>
    <s v="Otter Slough Restoration"/>
    <x v="21"/>
    <s v="Restoration"/>
    <s v="Includes five ditch plugs and removal of two berms. It helps attenuate regional stormwater runoff, as well as providing nutrient reductions due to plant uptake from overland flows.  In 2011 LOPP, it was estimated to create 71 acre-ft of storage."/>
    <s v="N/A"/>
    <s v="Unknown"/>
    <s v="Unknown"/>
    <s v="SFWMD"/>
    <x v="3"/>
    <s v="N/A"/>
    <x v="9"/>
    <n v="5.5839999999999996"/>
    <n v="5.5839999999999996E-3"/>
    <s v="Not quantified"/>
    <e v="#VALUE!"/>
    <s v="Lower Kissimmee"/>
    <s v="Public/Private"/>
  </r>
  <r>
    <s v="SFWMD-5"/>
    <s v="Kissimmee River Restoration"/>
    <x v="21"/>
    <s v="Restoration"/>
    <s v="Restore ecological integrity by restoring 40 miles of meandering river and more than 12,000 miles of wetlands through the design and construction of physical project features coupled with application of optimized hydrologic conditions."/>
    <n v="26500"/>
    <n v="780000000"/>
    <s v="Unknown"/>
    <s v="SFWMD and USACE"/>
    <x v="11"/>
    <m/>
    <x v="29"/>
    <n v="17748"/>
    <n v="17.748000000000001"/>
    <s v="Not quantified"/>
    <e v="#VALUE!"/>
    <s v="Lower Kissimmee"/>
    <s v="Public/Private"/>
  </r>
  <r>
    <s v="SFWMD-6"/>
    <s v="Phase I Rolling Meadows"/>
    <x v="21"/>
    <s v="Restoration"/>
    <s v="The goal of this project is to restore historic Lake Hatchineha floodplain wetlands and habitat within the Rolling Meadows property which was purchased jointly with the Department. "/>
    <n v="1900"/>
    <n v="43200000"/>
    <s v="Unknown"/>
    <s v="SFWMD and Department"/>
    <x v="4"/>
    <n v="2014"/>
    <x v="30"/>
    <n v="65.099999999999994"/>
    <n v="6.5099999999999991E-2"/>
    <s v="Not quantified"/>
    <e v="#VALUE!"/>
    <s v="Upper Kissimmee"/>
    <s v="Public/Private"/>
  </r>
  <r>
    <s v="SFWMD-7"/>
    <s v="Gardner-Cobb Marsh"/>
    <x v="21"/>
    <s v="Restoration"/>
    <s v="Located south of Cypress Lake and includes 23 ditch plugs, berm removal, exotic treatment, and culvert replacement. It helps attenuate regional stormwater runoff and provide incidental nutrient reductions due to plant uptake from overland flows in the marsh."/>
    <n v="2000"/>
    <s v="Unknown"/>
    <s v="Unknown"/>
    <s v="SFWMD"/>
    <x v="2"/>
    <n v="2009"/>
    <x v="1"/>
    <n v="5.2"/>
    <n v="5.1999999999999998E-3"/>
    <s v="Not quantified"/>
    <e v="#VALUE!"/>
    <s v="Upper Kissimmee"/>
    <s v="Public/Private"/>
  </r>
  <r>
    <s v="SFWMD-8"/>
    <s v="Rough Island "/>
    <x v="21"/>
    <s v="Restoration"/>
    <s v="Located southwest of Cypress Lake and west of the C-36 Canal.  The project includes 31 ditch plugs and exotic removal. It helps attenuate regional stormwater runoff and provides incidental nutrient reductions due to plant uptake from overland flows.  Estimated to create 215 acre-ft of storage"/>
    <n v="1000"/>
    <s v="Unknown"/>
    <s v="Unknown"/>
    <s v="SFWMD"/>
    <x v="2"/>
    <n v="2009"/>
    <x v="1"/>
    <n v="60.8"/>
    <n v="6.08E-2"/>
    <s v="Not quantified"/>
    <e v="#VALUE!"/>
    <s v="Upper Kissimmee"/>
    <s v="Public/Private"/>
  </r>
  <r>
    <s v="SFWMD-9"/>
    <s v="Oasis Marsh Restoration"/>
    <x v="21"/>
    <s v="Restoration"/>
    <s v="The Oasis wetlands are located in floodplain of the southwest corner of Lake Kissimmee and the site is a mosaic of dewatered wetlands and uplands. To restore the floodplain function, four ditches totaling 2.4 acres in size were filled with 3,144 cubic yards of sediment material from a levee adjacent to the site in spring 2010. The restoration of the topography of Oasis Marsh will restore approximately 77 acres of wetlands and reconnect them to the littoral zone of Lake Kissimmee."/>
    <n v="77"/>
    <s v="Unknown"/>
    <s v="Unknown"/>
    <s v="SFWMD"/>
    <x v="2"/>
    <n v="2009"/>
    <x v="1"/>
    <n v="195.3"/>
    <n v="0.1953"/>
    <s v="Not quantified"/>
    <e v="#VALUE!"/>
    <s v="Upper Kissimmee"/>
    <s v="Public/Private"/>
  </r>
  <r>
    <s v="SFWMD-10"/>
    <s v="West Waterhole Marsh"/>
    <x v="21"/>
    <s v="DWM"/>
    <s v="Storage of 5,000 ac-ft of water through above ground impoundment."/>
    <s v="N/A"/>
    <n v="50000"/>
    <n v="493750"/>
    <s v="FRESP"/>
    <x v="5"/>
    <s v="N/A"/>
    <x v="1"/>
    <n v="4166.3999999999996"/>
    <n v="4.1663999999999994"/>
    <n v="20619.5"/>
    <n v="20.619499999999999"/>
    <s v="Indian Prairie"/>
    <s v="Public/Private"/>
  </r>
  <r>
    <s v="SFWMD-11"/>
    <s v="Rafter T Ranch"/>
    <x v="21"/>
    <s v="DWM"/>
    <s v="Storage of 1,145 ac-ft of water through above ground impoundment and pasture."/>
    <s v="N/A"/>
    <n v="431524"/>
    <n v="92490"/>
    <s v="FRESP"/>
    <x v="5"/>
    <s v="N/A"/>
    <x v="1"/>
    <n v="89.8"/>
    <n v="8.9799999999999991E-2"/>
    <s v="Not quantified"/>
    <e v="#VALUE!"/>
    <s v="Lake Istokpoga"/>
    <s v="Public/Private"/>
  </r>
  <r>
    <s v="SFWMD-12"/>
    <s v="Buck Island Ranch"/>
    <x v="21"/>
    <s v="DWM"/>
    <s v="Storage of 1,573 ac-ft of water through pasture."/>
    <s v="N/A"/>
    <n v="1928"/>
    <n v="173600"/>
    <s v="SFWMD"/>
    <x v="5"/>
    <s v="N/A"/>
    <x v="1"/>
    <n v="1087.2"/>
    <n v="1.0871999999999999"/>
    <s v="Not quantified"/>
    <e v="#VALUE!"/>
    <s v="Indian Prairie"/>
    <s v="Public/Private"/>
  </r>
  <r>
    <s v="SFWMD-13"/>
    <s v="Dixie West"/>
    <x v="21"/>
    <s v="DWM"/>
    <s v="Storage of 315 ac-ft of water through pasture."/>
    <s v="N/A"/>
    <n v="7228"/>
    <n v="51500"/>
    <s v="SFWMD"/>
    <x v="5"/>
    <s v="N/A"/>
    <x v="1"/>
    <n v="230.5"/>
    <n v="0.23050000000000001"/>
    <s v="Not quantified"/>
    <e v="#VALUE!"/>
    <s v="Lower Kissimmee"/>
    <s v="Public/Private"/>
  </r>
  <r>
    <s v="SFWMD-14"/>
    <s v="Dixie Ranch"/>
    <x v="21"/>
    <s v="DWM"/>
    <s v="Storage of 856 ac-ft of water through pasture."/>
    <s v="N/A"/>
    <n v="17015"/>
    <n v="146500"/>
    <s v="SFWMD"/>
    <x v="5"/>
    <s v="N/A"/>
    <x v="1"/>
    <n v="133.69999999999999"/>
    <n v="0.13369999999999999"/>
    <s v="Not quantified"/>
    <e v="#VALUE!"/>
    <s v="Lower Kissimmee"/>
    <s v="Public/Private"/>
  </r>
  <r>
    <s v="SFWMD-15"/>
    <s v="Dixie Ranch"/>
    <x v="21"/>
    <s v="DWM"/>
    <s v="Storage of 856 ac-ft of water through pasture."/>
    <s v="N/A"/>
    <n v="17015"/>
    <n v="146500"/>
    <s v="SFWMD"/>
    <x v="10"/>
    <s v="N/A"/>
    <x v="1"/>
    <n v="205.9"/>
    <n v="0.2059"/>
    <s v="Not quantified"/>
    <e v="#VALUE!"/>
    <s v="Taylor Creek/ Nubbin Slough"/>
    <s v="Public/Private"/>
  </r>
  <r>
    <s v="SFWMD-16"/>
    <s v="Lost Oak Ranch"/>
    <x v="21"/>
    <s v="DWM"/>
    <s v="Storage of 374 ac-ft of water through pasture."/>
    <s v="N/A"/>
    <n v="61030"/>
    <n v="55000"/>
    <s v="SFWMD"/>
    <x v="2"/>
    <s v="N/A"/>
    <x v="1"/>
    <n v="28"/>
    <n v="2.8000000000000001E-2"/>
    <s v="Not quantified"/>
    <e v="#VALUE!"/>
    <s v="Upper Kissimmee"/>
    <s v="Public/Private"/>
  </r>
  <r>
    <s v="SFWMD-17"/>
    <s v="Willaway Cattle &amp; Sod"/>
    <x v="21"/>
    <s v="DWM"/>
    <s v="Storage of 229 ac-ft of water through above ground impoundment."/>
    <s v="N/A"/>
    <n v="325494"/>
    <n v="1879"/>
    <s v="SFWMD"/>
    <x v="10"/>
    <s v="N/A"/>
    <x v="1"/>
    <n v="114.4"/>
    <n v="0.1144"/>
    <s v="Not quantified"/>
    <e v="#VALUE!"/>
    <s v="Lower Kissimmee"/>
    <s v="Public/Private"/>
  </r>
  <r>
    <s v="SFWMD-18"/>
    <s v="XL Ranch (Lightsey)"/>
    <x v="21"/>
    <s v="DWM"/>
    <s v="Storage of 887 ac-ft of water through above ground impoundment and pasture."/>
    <s v="N/A"/>
    <n v="52415"/>
    <n v="130150"/>
    <s v="SFWMD"/>
    <x v="5"/>
    <s v="N/A"/>
    <x v="1"/>
    <n v="70.900000000000006"/>
    <n v="7.0900000000000005E-2"/>
    <s v="Not quantified"/>
    <e v="#VALUE!"/>
    <s v="Fisheating Creek"/>
    <s v="Public/Private"/>
  </r>
  <r>
    <s v="SFWMD-19"/>
    <s v="Triple A Ranch"/>
    <x v="21"/>
    <s v="DWM"/>
    <s v="Storage of 397 ac-ft of water through above ground impoundment."/>
    <s v="N/A"/>
    <n v="322186"/>
    <n v="28500"/>
    <s v="SFWMD"/>
    <x v="11"/>
    <s v="Unknown"/>
    <x v="1"/>
    <n v="78.599999999999994"/>
    <n v="7.8599999999999989E-2"/>
    <s v="Not quantified"/>
    <e v="#VALUE!"/>
    <s v="Lower Kissimmee"/>
    <s v="Public/Private"/>
  </r>
  <r>
    <s v="SFWMD-20"/>
    <s v="Blue Head Ranch"/>
    <x v="21"/>
    <s v="DWM"/>
    <s v="Storage of 3,462 ac-ft of water through pasture."/>
    <s v="N/A"/>
    <n v="193750"/>
    <n v="361200"/>
    <s v="SFWMD"/>
    <x v="12"/>
    <s v="Unknown"/>
    <x v="1"/>
    <n v="724.2"/>
    <n v="0.72420000000000007"/>
    <s v="Not quantified"/>
    <e v="#VALUE!"/>
    <s v="Fisheating Creek"/>
    <s v="Public/Private"/>
  </r>
  <r>
    <s v="SFWMD-21"/>
    <s v="Nicodemus Slough"/>
    <x v="21"/>
    <s v="DWM"/>
    <s v="Storage of 34,000 ac-ft of water through above ground impoundment and pasture."/>
    <s v="N/A"/>
    <n v="4900000"/>
    <n v="2968328"/>
    <s v="SFWMD"/>
    <x v="11"/>
    <s v="Unknown"/>
    <x v="1"/>
    <n v="3248.5"/>
    <n v="3.2484999999999999"/>
    <s v="Not quantified"/>
    <e v="#VALUE!"/>
    <s v="Fisheating Creek"/>
    <s v="Public/Private"/>
  </r>
  <r>
    <s v="SFWMD-22"/>
    <s v="Kissimmee River Headwaters Restoration"/>
    <x v="21"/>
    <s v="Restoration"/>
    <s v="Land use change to wetlands in the project area."/>
    <n v="40875"/>
    <s v="Unknown"/>
    <s v="Unknown"/>
    <s v="SFWMD"/>
    <x v="2"/>
    <s v="Unknown"/>
    <x v="1"/>
    <n v="566.4"/>
    <n v="0.56640000000000001"/>
    <s v="Not quantified"/>
    <e v="#VALUE!"/>
    <s v="Upper Kissimmee"/>
    <s v="Public/Private"/>
  </r>
  <r>
    <s v="SLID-1"/>
    <s v="Spring Lake Improvement District Improvements"/>
    <x v="22"/>
    <s v="STA"/>
    <s v="Treatment of runoff through a stormwater treatment area."/>
    <n v="2308"/>
    <n v="4262105"/>
    <s v="Unknown"/>
    <s v="SLID and Department Section 319 Grant"/>
    <x v="4"/>
    <s v="Unknown"/>
    <x v="1"/>
    <n v="4.5"/>
    <n v="4.4999999999999997E-3"/>
    <n v="32.9"/>
    <n v="3.2899999999999999E-2"/>
    <s v="Lake Istokpoga"/>
    <s v="Special District"/>
  </r>
</pivotCacheRecords>
</file>

<file path=xl/pivotCache/pivotCacheRecords3.xml><?xml version="1.0" encoding="utf-8"?>
<pivotCacheRecords xmlns="http://schemas.openxmlformats.org/spreadsheetml/2006/main" xmlns:r="http://schemas.openxmlformats.org/officeDocument/2006/relationships" count="169">
  <r>
    <s v="Avon Park Street Sweeping"/>
    <s v="City of Avon Park"/>
    <s v="Street sweeping"/>
    <s v="Street sweeping."/>
    <s v="N/A"/>
    <s v="Unknown"/>
    <s v="Unknown"/>
    <s v="City of Avon Park"/>
    <s v="Ongoing"/>
    <s v="N/A"/>
    <s v="Ongoing"/>
    <n v="4.5"/>
    <n v="4.4999999999999997E-3"/>
    <n v="11.2"/>
    <x v="0"/>
    <x v="0"/>
    <s v="Urban"/>
  </r>
  <r>
    <s v="Lake Tulane Stormwater Improvement Project"/>
    <s v="City of Avon Park/ SWFWMD"/>
    <s v="Swales"/>
    <s v="The runoff will be captured in a series of swales that will allow the runoff to percolate into the sandy soils, preventing further degradation of Lake Tulane."/>
    <n v="32.1"/>
    <s v="Unknown"/>
    <s v="Unknown"/>
    <s v="City of Avon Park/ SWFWMD"/>
    <s v="Envisioned, Not Funded"/>
    <s v="Unknown"/>
    <s v="Unknown"/>
    <n v="1.7"/>
    <n v="1.6999999999999999E-3"/>
    <n v="16.2"/>
    <x v="1"/>
    <x v="0"/>
    <s v="Urban"/>
  </r>
  <r>
    <s v="Lake Isis Stormwater Improvement Project"/>
    <s v="City of Avon Park/ SWFWMD"/>
    <s v="Wet detention pond"/>
    <s v="The runoff will be captured in a lakeside swale and a re-designed pond that will allow the runoff to percolate into the sandy soils, preventing further degradation of Lake Isis."/>
    <n v="37.1"/>
    <s v="Unknown"/>
    <s v="Unknown"/>
    <s v="City of Avon Park/ SWFWMD"/>
    <s v="Envisioned, Not Funded"/>
    <s v="Unknown"/>
    <s v="Unknown"/>
    <n v="0.5"/>
    <n v="5.0000000000000001E-4"/>
    <n v="4.9000000000000004"/>
    <x v="2"/>
    <x v="0"/>
    <s v="Urban"/>
  </r>
  <r>
    <s v="Water Quality Awareness Program"/>
    <s v="City of Edgewood"/>
    <s v="Public education"/>
    <s v="Water quality education and awareness articles in the city's quarterly newsletter. Various water quality related informational brochures, fliers and other publications displayed at city hall for the public."/>
    <s v="N/A"/>
    <s v="See annual O&amp;M"/>
    <n v="1000"/>
    <s v="City of Edgewood "/>
    <s v="Ongoing"/>
    <s v="N/A"/>
    <s v="Ongoing"/>
    <n v="0.6"/>
    <n v="5.9999999999999995E-4"/>
    <n v="17.3"/>
    <x v="3"/>
    <x v="1"/>
    <s v="Urban"/>
  </r>
  <r>
    <s v="Education and Outreach"/>
    <s v="Glades County"/>
    <s v="Public education"/>
    <s v="FYN; landscaping, irrigation, and fertilizer ordinances; PSAs, pamphlets, website, and illicit discharge program"/>
    <s v="N/A"/>
    <s v="Unknown"/>
    <s v="Unknown"/>
    <s v="Glades County"/>
    <s v="Ongoing"/>
    <s v="N/A"/>
    <s v="Ongoing"/>
    <n v="13.7"/>
    <n v="1.3699999999999999E-2"/>
    <n v="79.099999999999994"/>
    <x v="4"/>
    <x v="2"/>
    <s v="Urban"/>
  </r>
  <r>
    <s v="Education and Outreach"/>
    <s v="Glades County"/>
    <s v="Public education"/>
    <s v="FYN; landscaping, irrigation, and fertilizer ordinances; PSAs, pamphlets, website, and illicit discharge program"/>
    <s v="N/A"/>
    <s v="Unknown"/>
    <s v="Unknown"/>
    <s v="Glades County"/>
    <s v="Ongoing"/>
    <s v="N/A"/>
    <s v="Ongoing"/>
    <n v="38.5"/>
    <n v="3.85E-2"/>
    <n v="413.9"/>
    <x v="5"/>
    <x v="3"/>
    <s v="Urban"/>
  </r>
  <r>
    <s v="Education and Outreach"/>
    <s v="City of Kissimmee"/>
    <s v="Public education"/>
    <s v="PSAs, pamphlets, website, and illicit discharge inspection program."/>
    <s v="N/A"/>
    <n v="65000"/>
    <s v="Unknown"/>
    <s v="City of Kissimmee Stormwater Utility Fund"/>
    <s v="Ongoing"/>
    <s v="N/A"/>
    <s v="Ongoing"/>
    <n v="8.3000000000000007"/>
    <n v="8.3000000000000001E-3"/>
    <n v="199.9"/>
    <x v="6"/>
    <x v="1"/>
    <s v="Urban"/>
  </r>
  <r>
    <s v="Street Sweeping"/>
    <s v="City of Kissimmee"/>
    <s v="Street sweeping"/>
    <s v="Sweeping over 8,500 miles per year.  Material is not currently weighed, but city is currently developing a program to weigh material."/>
    <s v="N/A"/>
    <n v="50000"/>
    <s v="Unknown"/>
    <s v="City of Kissimmee Stormwater Utility Fund"/>
    <s v="Ongoing"/>
    <s v="N/A"/>
    <s v="Ongoing"/>
    <n v="100.4"/>
    <n v="0.1004"/>
    <n v="277.60000000000002"/>
    <x v="7"/>
    <x v="1"/>
    <s v="Urban"/>
  </r>
  <r>
    <s v="Lake Tivoli"/>
    <s v="City of Kissimmee"/>
    <s v="Wet detention pond"/>
    <s v="Treatment for older existing development as well as future on-line development; treatment  provides 2.5 times the proposed percent impervious area."/>
    <n v="132.80000000000001"/>
    <n v="300000"/>
    <s v="Unknown"/>
    <s v="Unknown"/>
    <s v="Envisioned, Not Funded"/>
    <s v="Unknown"/>
    <s v="Unknown"/>
    <m/>
    <n v="0"/>
    <m/>
    <x v="8"/>
    <x v="1"/>
    <s v="Urban"/>
  </r>
  <r>
    <s v="Lakefront Park Redevelopment -Swales/Rain Gardens"/>
    <s v="City of Kissimmee"/>
    <s v="Dry detention"/>
    <s v="Swale/rain garden system with 2.07 acres of dry detention."/>
    <n v="14.2"/>
    <n v="500000"/>
    <s v="Unknown"/>
    <s v="City of Kissimmee General Fund "/>
    <s v="Started"/>
    <n v="2013"/>
    <n v="2015"/>
    <n v="0.2"/>
    <n v="2.0000000000000001E-4"/>
    <n v="5.7"/>
    <x v="9"/>
    <x v="1"/>
    <s v="Urban"/>
  </r>
  <r>
    <s v="Lakefront Park Redevelopment - Baffle Boxes"/>
    <s v="City of Kissimmee"/>
    <s v="2nd generation baffle box"/>
    <s v="Three nutrient separating baffle boxes and three filter boxes within the lakefront park area.  Intend to install up to and additional two baffle boxes in the next five years."/>
    <n v="14.2"/>
    <s v="$394,267 completed; additional $50,000 for future boxes"/>
    <s v="Unknown"/>
    <s v="City of Kissimmee Stormwater Utility Fund"/>
    <s v="Started"/>
    <n v="2012"/>
    <n v="2015"/>
    <n v="0.2"/>
    <n v="2.0000000000000001E-4"/>
    <n v="9.8000000000000007"/>
    <x v="10"/>
    <x v="1"/>
    <s v="Urban"/>
  </r>
  <r>
    <s v="Martin Luther King Boulevard Phase III from Thacker Avenue to Dyer Boulevard"/>
    <s v="City of Kissimmee"/>
    <s v="Dry detention"/>
    <s v="Construction of dry detention with particular standards (side slopes, littoral zones) per the Federal Aviation Administration for reduction of bird strikes."/>
    <n v="5.5"/>
    <n v="1500000"/>
    <s v="Unknown"/>
    <s v="City of Kissimmee Stormwater Utility Fund"/>
    <s v="Started"/>
    <n v="2013"/>
    <n v="2015"/>
    <n v="0.1"/>
    <n v="1E-4"/>
    <n v="1.2"/>
    <x v="11"/>
    <x v="1"/>
    <s v="Urban"/>
  </r>
  <r>
    <s v="18th Street/ Parramore Ave Baffle Box"/>
    <s v="City of Orlando"/>
    <s v="2nd generation baffle box"/>
    <s v="Baffle box installed to remove gross pollutants, including organic debris, sediment and litter."/>
    <n v="4.5999999999999996"/>
    <n v="578138"/>
    <s v="Unknown"/>
    <s v="City of Orlando Stormwater Utility + 50% cost funded from SFWMD Grant"/>
    <s v="Completed"/>
    <s v="N/A"/>
    <s v="August 2009"/>
    <n v="0"/>
    <n v="0"/>
    <n v="3.3"/>
    <x v="12"/>
    <x v="1"/>
    <s v="Urban"/>
  </r>
  <r>
    <s v="19th Street/ Parramore Avenue Baffle Box"/>
    <s v="City of Orlando"/>
    <s v="2nd generation baffle box"/>
    <s v="Baffle box installed to remove gross pollutants, including organic debris, sediment and litter."/>
    <n v="9.9"/>
    <s v="Part of project ORL-1"/>
    <s v="Unknown"/>
    <s v="City of Orlando Stormwater Utility + 50% cost funded from SFWMD Grant"/>
    <s v="Completed"/>
    <s v="N/A"/>
    <s v="August 2009"/>
    <n v="0.1"/>
    <n v="1E-4"/>
    <n v="7.1"/>
    <x v="13"/>
    <x v="1"/>
    <s v="Urban"/>
  </r>
  <r>
    <s v="Pine Street/Orange Blossom Trail Corridor Stormwater Improvements"/>
    <s v="City of Orlando"/>
    <s v="2nd generation baffle box"/>
    <s v="Installation of 1,800 feet of stormwater pipe from Pine Street to Lake Lorna Doone, which includes a baffle box."/>
    <n v="11.5"/>
    <n v="577822"/>
    <s v="Unknown"/>
    <s v="City of Orlando Stormwater Utility + 50% cost funded by CBIR Grant"/>
    <s v="Completed"/>
    <s v="N/A"/>
    <s v="May 2010"/>
    <n v="0.3"/>
    <n v="2.9999999999999997E-4"/>
    <n v="2.8"/>
    <x v="14"/>
    <x v="1"/>
    <s v="Urban"/>
  </r>
  <r>
    <s v="Lake Holden Terrace/Albert Shores Sanitary Components"/>
    <s v="City of Orlando"/>
    <s v="Septic tank phase out"/>
    <s v="Sanitary infrastructure installed for septic tank conversions.  11 of 77 homes converted."/>
    <n v="0"/>
    <n v="3522911"/>
    <s v="Unknown"/>
    <s v="City of Orlando Wastewater Division, City of Orlando Stormwater Utility, Orlando Utility Commission"/>
    <s v="Completed"/>
    <s v="N/A"/>
    <s v="February 2012"/>
    <n v="0"/>
    <n v="0"/>
    <m/>
    <x v="8"/>
    <x v="1"/>
    <s v="Urban"/>
  </r>
  <r>
    <s v="Lake Holden Terrace/Albert Shores Stormwater Components"/>
    <s v="City of Orlando"/>
    <s v="2nd generation baffle box"/>
    <s v="Two baffle boxes and one Storm Flo unit installed within stormwater infrastructure for capturing organic debris, sediment and litter; stormwater infrastructure added to alleviate flooding."/>
    <n v="76.400000000000006"/>
    <s v="Part of ORL-4"/>
    <s v="Unknown"/>
    <s v="City of Orlando Wastewater Division, City of Orlando Stormwater Utility, Orlando Utility Commission"/>
    <s v="Completed"/>
    <s v="N/A"/>
    <s v="February 2012"/>
    <n v="1"/>
    <n v="1E-3"/>
    <n v="39.299999999999997"/>
    <x v="15"/>
    <x v="1"/>
    <s v="Urban"/>
  </r>
  <r>
    <s v="Lake Angel Drainage Improvements"/>
    <s v="City of Orlando"/>
    <s v="Wet detention pond"/>
    <s v="Expand the permanent pool volume of Lake Angel and install three baffle boxes in the main inflow pipes."/>
    <n v="94.5"/>
    <n v="2000000"/>
    <s v="Unknown"/>
    <s v="City of Orlando Stormwater Utility + EPA Grant"/>
    <s v="Planned and Funded"/>
    <s v="February 2014"/>
    <s v="December 2014"/>
    <n v="0.5"/>
    <n v="5.0000000000000001E-4"/>
    <n v="16.600000000000001"/>
    <x v="16"/>
    <x v="1"/>
    <s v="Urban"/>
  </r>
  <r>
    <s v="Cemex-South Division Avenue Roadway and Drainage Improvements"/>
    <s v="City of Orlando"/>
    <s v="2nd generation baffle box"/>
    <s v="Pave unimproved access road to industrial park and install baffle box to capture sediment; install curbing along additional areas of Division Avenue to allow street sweepers to effectively capture more sediment in the Lake Holden basin."/>
    <n v="52.6"/>
    <n v="1500000"/>
    <s v="Unknown"/>
    <s v="City of Orlando Stormwater Utility"/>
    <s v="Planned and Funded"/>
    <s v="July 2014"/>
    <s v="April 2015"/>
    <n v="1.3"/>
    <n v="1.2999999999999999E-3"/>
    <n v="12.7"/>
    <x v="17"/>
    <x v="1"/>
    <s v="Urban"/>
  </r>
  <r>
    <s v="Lake Pineloch Basin Inlet Baskets"/>
    <s v="City of Orlando"/>
    <s v="Catch basin inserts/inlet filters"/>
    <s v="32 inlet baskets installed to remove gross pollutants, including organic debris, sediment and litter.  27.7 cubic yards/yr of material collected."/>
    <s v="N/A"/>
    <n v="40480"/>
    <n v="10444"/>
    <s v="City of Orlando Stormwater Utility"/>
    <s v="Ongoing"/>
    <s v="N/A"/>
    <s v="Ongoing"/>
    <n v="5.8"/>
    <n v="5.7999999999999996E-3"/>
    <n v="17.2"/>
    <x v="18"/>
    <x v="1"/>
    <s v="Urban"/>
  </r>
  <r>
    <s v="Clear Lake Basin Inlet Baskets"/>
    <s v="City of Orlando"/>
    <s v="Catch basin inserts/inlet filters"/>
    <s v="29 inlet baskets installed to remove gross pollutants, including organic debris, sediment and litter.  32.39cubic yards/year of material collected."/>
    <s v="N/A"/>
    <n v="8550"/>
    <n v="9400"/>
    <s v="City of Orlando"/>
    <s v="Ongoing"/>
    <s v="N/A"/>
    <s v="Ongoing"/>
    <n v="6.7"/>
    <n v="6.7000000000000002E-3"/>
    <n v="20.2"/>
    <x v="19"/>
    <x v="1"/>
    <s v="Urban"/>
  </r>
  <r>
    <s v="Lake Lorna Doone Basin Inlet Baskets"/>
    <s v="City of Orlando"/>
    <s v="Catch basin inserts/inlet filters"/>
    <s v="16 inlet baskets installed to remove gross pollutants, including organic debris, sediment and litter.  31.53 cubic yards/yr of material collected."/>
    <s v="N/A"/>
    <n v="17755"/>
    <n v="5222"/>
    <s v="City of Orlando"/>
    <s v="Ongoing"/>
    <s v="N/A"/>
    <s v="Ongoing"/>
    <n v="6.5"/>
    <n v="6.4999999999999997E-3"/>
    <n v="19.600000000000001"/>
    <x v="20"/>
    <x v="1"/>
    <s v="Urban"/>
  </r>
  <r>
    <s v="Lake Mann Basin Inlet Baskets"/>
    <s v="City of Orlando"/>
    <s v="Catch basin inserts/inlet filters"/>
    <s v="44 inlet baskets installed to remove gross pollutants, including organic debris, sediment and litter.  53.29 cubic yards/yr of material collected."/>
    <s v="N/A"/>
    <n v="48826"/>
    <n v="143616"/>
    <s v="City of Orlando"/>
    <s v="Ongoing"/>
    <s v="N/A"/>
    <s v="Ongoing"/>
    <n v="11"/>
    <n v="1.0999999999999999E-2"/>
    <n v="33.200000000000003"/>
    <x v="21"/>
    <x v="1"/>
    <s v="Urban"/>
  </r>
  <r>
    <s v="Lake Rabama Basin Inlet Baskets"/>
    <s v="City of Orlando"/>
    <s v="Catch basin inserts/inlet filters"/>
    <s v="16 inlet baskets installed to remove gross pollutants, including organic debris, sediment and litter.  24.5cubic yards/yr of material collected."/>
    <s v="N/A"/>
    <n v="14720"/>
    <n v="5222"/>
    <s v="City of Orlando"/>
    <s v="Ongoing"/>
    <s v="N/A"/>
    <s v="Ongoing"/>
    <n v="5.0999999999999996"/>
    <n v="5.0999999999999995E-3"/>
    <n v="15.2"/>
    <x v="22"/>
    <x v="1"/>
    <s v="Urban"/>
  </r>
  <r>
    <s v="Rock Lake Basin Inlet Baskets"/>
    <s v="City of Orlando"/>
    <s v="Catch basin inserts/inlet filters"/>
    <s v="10 inlet baskets installed to remove gross pollutants, including organic debris, sediment and litter.  20.06 cubic yards/yr of material collected."/>
    <s v="N/A"/>
    <n v="8550"/>
    <n v="3264"/>
    <s v="City of Orlando"/>
    <s v="Ongoing"/>
    <s v="N/A"/>
    <s v="Ongoing"/>
    <n v="4.2"/>
    <n v="4.2000000000000006E-3"/>
    <n v="12.5"/>
    <x v="23"/>
    <x v="1"/>
    <s v="Urban"/>
  </r>
  <r>
    <s v="Lake Sunset Basin Inlet Baskets"/>
    <s v="City of Orlando"/>
    <s v="Catch basin inserts/inlet filters"/>
    <s v="8 inlet baskets installed to remove gross pollutants, including organic debris, sediment and litter.  36.45 cubic yards/yr of material collected."/>
    <s v="N/A"/>
    <n v="8550"/>
    <n v="2611"/>
    <s v="City of Orlando"/>
    <s v="Ongoing"/>
    <s v="N/A"/>
    <s v="Ongoing"/>
    <n v="7.6"/>
    <n v="7.6E-3"/>
    <n v="22.7"/>
    <x v="24"/>
    <x v="1"/>
    <s v="Urban"/>
  </r>
  <r>
    <s v="Walker Lagoon Basin Inlet Baskets "/>
    <s v="City of Orlando"/>
    <s v="Catch basin inserts/inlet filters"/>
    <s v="16 inlet baskets installed to remove gross pollutants, including organic debris, sediment and litter.  31.9 cubic yards/yr of material collected."/>
    <s v="N/A"/>
    <n v="17755"/>
    <n v="5222"/>
    <s v="City Orlando"/>
    <s v="Ongoing"/>
    <s v="N/A"/>
    <s v="Ongoing"/>
    <n v="6.6"/>
    <n v="6.6E-3"/>
    <n v="19.899999999999999"/>
    <x v="25"/>
    <x v="1"/>
    <s v="Urban"/>
  </r>
  <r>
    <s v="Street Sweeping"/>
    <s v="City of Orlando"/>
    <s v="Street sweeping"/>
    <s v="Street sweeping within all public roads in city limits.  2,682,8967 lbs/yr of material collected."/>
    <s v="N/A"/>
    <s v="See annual O&amp;M"/>
    <n v="1800000"/>
    <s v="City of Orlando Stormwater Utility"/>
    <s v="Ongoing"/>
    <s v="N/A"/>
    <s v="Ongoing"/>
    <n v="89.6"/>
    <n v="8.9599999999999999E-2"/>
    <n v="257.60000000000002"/>
    <x v="26"/>
    <x v="1"/>
    <s v="Urban"/>
  </r>
  <r>
    <s v="Public Education"/>
    <s v="City of Orlando"/>
    <s v="Public education"/>
    <s v="FYN; landscaping, irrigation, and pet waste management ordinances; PSAs; pamphlets; website; and illicit discharge program."/>
    <s v="N/A"/>
    <s v="See annual O&amp;M"/>
    <n v="80000"/>
    <s v="City of Orlando Stormwater Utility"/>
    <s v="Ongoing"/>
    <s v="N/A"/>
    <s v="Ongoing"/>
    <n v="206.7"/>
    <n v="0.20669999999999999"/>
    <n v="3440"/>
    <x v="27"/>
    <x v="1"/>
    <s v="Urban"/>
  </r>
  <r>
    <s v="Little Lake Jackson Off-line Alum Injection Stormwater Treatment"/>
    <s v="City of Sebring/ Highlands County"/>
    <s v="Alum injection"/>
    <s v="Stormwater is diverted through underground culvert, alum is injected and the water settles for 7 days in a detention pond. Treated water is released to Little Lake Jackson."/>
    <m/>
    <n v="231494"/>
    <n v="18500"/>
    <s v="Department 319 grant, SWFWMD, City of Sebring, and Highlands County Board of County Commissioners"/>
    <s v="Ongoing"/>
    <s v="N/A"/>
    <s v="July 2011"/>
    <m/>
    <n v="0"/>
    <m/>
    <x v="8"/>
    <x v="0"/>
    <s v="Urban"/>
  </r>
  <r>
    <s v="Street Sweeping "/>
    <s v="City of Sebring"/>
    <s v="Street sweeping"/>
    <s v="Street sweeping to collect 602,940 lbs/yr of material."/>
    <s v="N/A"/>
    <s v="See annual O&amp;M"/>
    <n v="35000"/>
    <s v="City of Sebring"/>
    <s v="Ongoing"/>
    <s v="N/A"/>
    <s v="Ongoing"/>
    <n v="50.9"/>
    <n v="5.0900000000000001E-2"/>
    <n v="118.4"/>
    <x v="28"/>
    <x v="0"/>
    <s v="Urban"/>
  </r>
  <r>
    <s v="Lemkin Creek"/>
    <s v="FDACS"/>
    <s v="Hybrid wetland treatment technology (HWTT)"/>
    <s v="HWTT is a combination of wetland and chemical treatment technologies designed mainly to remove phosphorus at the sub-basin and parcel scales."/>
    <n v="1522"/>
    <s v="Unknown"/>
    <s v="Unknown"/>
    <s v="FDACS/ SFWMD"/>
    <s v="Operational"/>
    <s v="N/A"/>
    <n v="2009"/>
    <n v="151.6"/>
    <n v="0.15159999999999998"/>
    <n v="652.1"/>
    <x v="29"/>
    <x v="4"/>
    <s v="Agriculture"/>
  </r>
  <r>
    <s v="Wolff Ditch"/>
    <s v="FDACS"/>
    <s v="HWTT"/>
    <s v="HWTT is a combination of wetland and chemical treatment technologies designed mainly to remove phosphorus at the sub-basin and parcel scales."/>
    <n v="1930"/>
    <s v="Unknown"/>
    <s v="Unknown"/>
    <s v="FDACS/ SFWMD"/>
    <s v="Operational"/>
    <s v="N/A"/>
    <n v="2009"/>
    <n v="845.5"/>
    <n v="0.84550000000000003"/>
    <n v="1722"/>
    <x v="30"/>
    <x v="4"/>
    <s v="Agriculture"/>
  </r>
  <r>
    <s v="Grassy Island"/>
    <s v="FDACS"/>
    <s v="HWTT"/>
    <s v="HWTT is a combination of wetland and chemical treatment technologies designed mainly to remove phosphorus at the sub-basin and parcel scales."/>
    <n v="37802"/>
    <s v="Unknown"/>
    <s v="Unknown"/>
    <s v="FDACS/ SFWMD"/>
    <s v="Completed"/>
    <s v="N/A"/>
    <n v="2010"/>
    <n v="5547.3"/>
    <n v="5.5472999999999999"/>
    <n v="8373.1"/>
    <x v="31"/>
    <x v="4"/>
    <s v="Agriculture"/>
  </r>
  <r>
    <s v="Fisheating Creek"/>
    <s v="FDACS"/>
    <s v="Floating aquatic vegetation treatment (FAVT)"/>
    <s v="Fully aquatic vegetation treatment."/>
    <s v="N/A"/>
    <s v="Unknown"/>
    <s v="Unknown"/>
    <s v="FDACS/ SFWMD"/>
    <s v="In Progress"/>
    <s v="N/A"/>
    <s v="Unknown"/>
    <n v="8594.9"/>
    <n v="8.5948999999999991"/>
    <n v="29174.3"/>
    <x v="32"/>
    <x v="2"/>
    <s v="Agriculture"/>
  </r>
  <r>
    <s v="Nubbin Slough "/>
    <s v="FDACS"/>
    <s v="HWTT"/>
    <s v="HWTT is a combination of wetland and chemical treatment technologies designed mainly to remove phosphorus at the sub-basin and parcel scales."/>
    <s v="N/A"/>
    <s v="Unknown"/>
    <s v="Unknown"/>
    <s v="FDACS/ SFWMD"/>
    <s v="Completed"/>
    <s v="N/A"/>
    <s v="Unknown"/>
    <n v="554.6"/>
    <n v="0.55459999999999998"/>
    <n v="370.9"/>
    <x v="33"/>
    <x v="4"/>
    <s v="Agriculture"/>
  </r>
  <r>
    <s v="Mosquito Creek"/>
    <s v="FDACS"/>
    <s v="HWTT"/>
    <s v="HWTT is a combination of wetland and chemical treatment technologies designed mainly to remove phosphorus at the sub-basin and parcel scales."/>
    <s v="N/A"/>
    <s v="Unknown"/>
    <s v="Unknown"/>
    <s v="FDACS/ SFWMD"/>
    <s v="Completed"/>
    <s v="N/A"/>
    <s v="Unknown"/>
    <n v="475.6"/>
    <n v="0.47560000000000002"/>
    <n v="602.1"/>
    <x v="34"/>
    <x v="4"/>
    <s v="Agriculture"/>
  </r>
  <r>
    <s v="State Road 70 from 34th Avenue to 80th Avenue"/>
    <s v="FDOT District 1"/>
    <s v="Wet detention pond"/>
    <s v="Six wet detention ponds."/>
    <n v="57.4"/>
    <n v="22041000"/>
    <s v="Unknown"/>
    <s v="FDOT"/>
    <s v="Planned and Funded"/>
    <s v="April 2014"/>
    <s v="Unknown"/>
    <n v="22.6"/>
    <n v="2.2600000000000002E-2"/>
    <n v="42.6"/>
    <x v="35"/>
    <x v="4"/>
    <s v="Urban"/>
  </r>
  <r>
    <s v="State Road 70 from 80th Avenue to St. Lucie County Line"/>
    <s v="FDOT District 1"/>
    <s v="Wet detention pond"/>
    <s v="Three wet detention ponds and three dry retention swales."/>
    <n v="31.4"/>
    <n v="8746000"/>
    <s v="Unknown"/>
    <s v="FDOT"/>
    <s v="Planned and Funded"/>
    <s v="April 2014"/>
    <s v="Unknown"/>
    <n v="17.5"/>
    <n v="1.7500000000000002E-2"/>
    <n v="39.4"/>
    <x v="36"/>
    <x v="4"/>
    <s v="Urban"/>
  </r>
  <r>
    <s v="Street Sweeping"/>
    <s v="FDOT District 1"/>
    <s v="Street sweeping "/>
    <s v="Street sweeping."/>
    <s v="N/A"/>
    <s v="Unknown"/>
    <s v="Unknown"/>
    <s v="FDOT"/>
    <s v="Ongoing"/>
    <s v="N/A"/>
    <s v="Ongoing"/>
    <n v="61.3"/>
    <n v="6.13E-2"/>
    <n v="55.3"/>
    <x v="37"/>
    <x v="4"/>
    <s v="Urban"/>
  </r>
  <r>
    <s v="239266-B State Road 15 (Hoffner Road) From North of Lee Vista Boulevard to West of State Road 436 (Pond 2)"/>
    <s v="FDOT District 5"/>
    <s v="Wet detention pond"/>
    <s v="Add lanes and reconstruct."/>
    <n v="4.8"/>
    <s v="Unknown"/>
    <s v="Unknown"/>
    <s v="Florida Legislative"/>
    <s v="Planned and Funded"/>
    <s v="Estimated Start – Summer 2015"/>
    <s v="Unknown"/>
    <n v="0.1"/>
    <n v="1E-4"/>
    <n v="0.3"/>
    <x v="38"/>
    <x v="1"/>
    <s v="Urban"/>
  </r>
  <r>
    <s v="239266-A State Road 15 Hoffner Ave From West of State Road 436 to Conway Road (Pond 1)"/>
    <s v="FDOT District 5"/>
    <s v="Wet detention pond"/>
    <s v="Add lanes and reconstruct."/>
    <n v="3.6"/>
    <s v="Unknown"/>
    <s v="Unknown"/>
    <s v="Florida Legislative"/>
    <s v="Planned and Funded"/>
    <s v="Estimated Start – Summer 2015"/>
    <s v="Unknown"/>
    <n v="0.1"/>
    <n v="1E-4"/>
    <n v="0.9"/>
    <x v="39"/>
    <x v="1"/>
    <s v="Urban"/>
  </r>
  <r>
    <s v="239266-C State Road 15 Hoffner Avenue From West of State 436 to Conway Road (Pond 3)"/>
    <s v="FDOT District 5"/>
    <s v="Wet detention pond"/>
    <s v="Add lanes and reconstruct."/>
    <n v="11.9"/>
    <s v="Unknown"/>
    <s v="Unknown"/>
    <s v="Florida Legislative"/>
    <s v="Planned and Funded"/>
    <s v="Estimated Start – Summer 2015"/>
    <s v="Unknown"/>
    <n v="0.5"/>
    <n v="5.0000000000000001E-4"/>
    <n v="6.7"/>
    <x v="40"/>
    <x v="1"/>
    <s v="Urban"/>
  </r>
  <r>
    <s v="239266-D State Road 15 Hoffner Avenue From West of State Road 436 to Conway Road (Pond 4)"/>
    <s v="FDOT District 5"/>
    <s v="Wet detention pond"/>
    <s v="Add lanes and reconstruct."/>
    <n v="11.4"/>
    <s v="Unknown"/>
    <s v="Unknown"/>
    <s v="Florida Legislative"/>
    <s v="Planned and Funded"/>
    <s v="Estimated Start – Summer 2015"/>
    <s v="Unknown"/>
    <n v="0.4"/>
    <n v="4.0000000000000002E-4"/>
    <n v="10.4"/>
    <x v="41"/>
    <x v="1"/>
    <s v="Urban"/>
  </r>
  <r>
    <s v="239535-F State Road 50 From Good Homes Road to Pine Hills Road (Pond 4)"/>
    <s v="FDOT District 5"/>
    <s v="Dry retention"/>
    <s v="Add lanes and reconstruct."/>
    <n v="16.399999999999999"/>
    <s v="Unknown"/>
    <s v="Unknown"/>
    <s v="Florida Legislative"/>
    <s v="Completed"/>
    <s v="Unknown"/>
    <s v="Unknown"/>
    <n v="0.7"/>
    <n v="6.9999999999999999E-4"/>
    <n v="3.9"/>
    <x v="42"/>
    <x v="1"/>
    <s v="Urban"/>
  </r>
  <r>
    <s v="416518-A Interstate-4 Braided Ramp from US 192 Interchange to Osceola Parkway Interchange (Pond SE-1)"/>
    <s v="FDOT District 5"/>
    <s v="Wet detention pond"/>
    <s v="New road construction."/>
    <n v="13.8"/>
    <s v="Unknown"/>
    <s v="Unknown"/>
    <s v="Florida Legislative"/>
    <s v="Completed"/>
    <s v="Unknown"/>
    <s v="Unknown"/>
    <n v="0.5"/>
    <n v="5.0000000000000001E-4"/>
    <n v="2.2999999999999998"/>
    <x v="43"/>
    <x v="1"/>
    <s v="Urban"/>
  </r>
  <r>
    <s v="416518-B Interstate-4 Braided Ramp from US 192 Interchange to Osceola Parkway Interchange (Pond SE-2)"/>
    <s v="FDOT District 5"/>
    <s v="Wet detention pond"/>
    <s v="New road construction."/>
    <n v="6.1"/>
    <s v="Unknown"/>
    <s v="Unknown"/>
    <s v="Florida Legislative"/>
    <s v="Completed"/>
    <s v="Unknown"/>
    <s v="Unknown"/>
    <n v="0.2"/>
    <n v="2.0000000000000001E-4"/>
    <n v="0.7"/>
    <x v="44"/>
    <x v="1"/>
    <s v="Urban"/>
  </r>
  <r>
    <s v="239682-A State Road 500 (US 17-92) From Aeronautical Drive to Budinger Avenue (Pond 1)"/>
    <s v="FDOT District 5"/>
    <s v="Wet detention pond"/>
    <s v="Add lanes and rehabilitate pavement."/>
    <n v="26.5"/>
    <s v="Unknown"/>
    <s v="Unknown"/>
    <s v="Florida Legislative"/>
    <s v="Planned and Funded"/>
    <s v="Estimated Start – Summer 2015"/>
    <s v="Unknown"/>
    <n v="0.9"/>
    <n v="8.9999999999999998E-4"/>
    <n v="6.1"/>
    <x v="45"/>
    <x v="1"/>
    <s v="Urban"/>
  </r>
  <r>
    <s v="239682-B State Road 500 (US 17-92) From Aeronautical Drive to Budinger Avenue (Pond 2)"/>
    <s v="FDOT District 5"/>
    <s v="Wet detention pond"/>
    <s v="Add lanes and rehabilitate pavement."/>
    <n v="13.4"/>
    <s v="Unknown"/>
    <s v="Unknown"/>
    <s v="Florida Legislative"/>
    <s v="Planned and Funded"/>
    <s v="Estimated Start – Summer 2015"/>
    <s v="Unknown"/>
    <n v="0.5"/>
    <n v="5.0000000000000001E-4"/>
    <n v="3.5"/>
    <x v="46"/>
    <x v="1"/>
    <s v="Urban"/>
  </r>
  <r>
    <s v="239682-C State Road 500 (US 17-92) From Aeronautical Drive to Budinger Avenue (Pond 3)"/>
    <s v="FDOT District 5"/>
    <s v="Wet detention pond"/>
    <s v="Add lanes and rehabilitate pavement."/>
    <n v="15.8"/>
    <s v="Unknown"/>
    <s v="Unknown"/>
    <s v="Florida Legislative"/>
    <s v="Planned and Funded"/>
    <s v="Estimated Start – Summer 2015"/>
    <s v="Unknown"/>
    <n v="0.6"/>
    <n v="5.9999999999999995E-4"/>
    <n v="3.4"/>
    <x v="47"/>
    <x v="1"/>
    <s v="Urban"/>
  </r>
  <r>
    <s v="239682-D State Road 500 (US 17-92) From Aeronautical Drive to Budinger Avenue (Pond 4)"/>
    <s v="FDOT District 5"/>
    <s v="Wet detention pond"/>
    <s v="Add lanes and rehabilitate pavement."/>
    <n v="33.700000000000003"/>
    <s v="Unknown"/>
    <s v="Unknown"/>
    <s v="Florida Legislative"/>
    <s v="Planned and Funded"/>
    <s v="Estimated Start – Summer 2015"/>
    <s v="Unknown"/>
    <n v="1.1000000000000001"/>
    <n v="1.1000000000000001E-3"/>
    <n v="6.7"/>
    <x v="40"/>
    <x v="1"/>
    <s v="Urban"/>
  </r>
  <r>
    <s v="418403-A, B State Road 600 (US 17/92) JYP From South of Portage Street to North of Vine Street (US192) (Ponds East and West)"/>
    <s v="FDOT District 5"/>
    <s v="Wet detention pond"/>
    <s v="Add lanes and reconstruct."/>
    <n v="14.2"/>
    <s v="Unknown"/>
    <s v="Unknown"/>
    <s v="Florida Legislative"/>
    <s v="Planned and Funded"/>
    <s v="Estimated Start – Summer 2015"/>
    <s v="Unknown"/>
    <n v="0.5"/>
    <n v="5.0000000000000001E-4"/>
    <n v="3.4"/>
    <x v="47"/>
    <x v="1"/>
    <s v="Urban"/>
  </r>
  <r>
    <s v="239454-A Widening of SR436 from SR528 to SR552 (Pond A)"/>
    <s v="FDOT District 5"/>
    <s v="Wet detention pond"/>
    <s v="Add lanes and reconstruct."/>
    <n v="38.799999999999997"/>
    <s v="Unknown"/>
    <s v="Unknown"/>
    <s v="Florida Legislative"/>
    <s v="Completed"/>
    <s v="N/A"/>
    <s v="July 2010"/>
    <n v="0.3"/>
    <n v="2.9999999999999997E-4"/>
    <n v="0.9"/>
    <x v="39"/>
    <x v="1"/>
    <s v="Urban"/>
  </r>
  <r>
    <s v="239635-A New Bridge State Road 500 at Reedy Creek (Pond 1)"/>
    <s v="FDOT District 5"/>
    <s v="Dry retention"/>
    <s v="New bridge."/>
    <n v="4.0999999999999996"/>
    <s v="Unknown"/>
    <s v="Unknown"/>
    <s v="Florida Legislative"/>
    <s v="Completed"/>
    <s v="N/A"/>
    <s v="July 2010"/>
    <n v="0"/>
    <n v="0"/>
    <n v="0.6"/>
    <x v="48"/>
    <x v="1"/>
    <s v="Urban"/>
  </r>
  <r>
    <s v="239635-B New Bridge State Road 500 at Reedy Creek (Pond 2)"/>
    <s v="FDOT District 5"/>
    <s v="Wet detention pond"/>
    <s v="New bridge."/>
    <n v="7.6"/>
    <s v="Unknown"/>
    <s v="Unknown"/>
    <s v="Florida Legislative"/>
    <s v="Completed"/>
    <s v="N/A"/>
    <s v="July 2010"/>
    <n v="0.2"/>
    <n v="2.0000000000000001E-4"/>
    <n v="3.4"/>
    <x v="47"/>
    <x v="1"/>
    <s v="Urban"/>
  </r>
  <r>
    <s v="239663-A Widening of State Road 530 from State Road 535 to Hoagland Boulevard (Pond 1)"/>
    <s v="FDOT District 5"/>
    <s v="Wet detention pond"/>
    <s v="Add lanes and reconstruct."/>
    <n v="14.6"/>
    <s v="Unknown"/>
    <s v="Unknown"/>
    <s v="Florida Legislative"/>
    <s v="Completed"/>
    <s v="N/A"/>
    <s v="June 2010"/>
    <n v="0.6"/>
    <n v="5.9999999999999995E-4"/>
    <n v="2.1"/>
    <x v="49"/>
    <x v="1"/>
    <s v="Urban"/>
  </r>
  <r>
    <s v="239663-B Widening of State Road 530 from State Road 535 to Hoagland Boulevard (Pond 2)"/>
    <s v="FDOT District 5"/>
    <s v="Wet detention pond"/>
    <s v="Add lanes and reconstruct."/>
    <n v="17.899999999999999"/>
    <s v="Unknown"/>
    <s v="Unknown"/>
    <s v="Florida Legislative"/>
    <s v="Completed"/>
    <s v="N/A"/>
    <s v="June 2010"/>
    <n v="0.7"/>
    <n v="6.9999999999999999E-4"/>
    <n v="2.6"/>
    <x v="50"/>
    <x v="1"/>
    <s v="Urban"/>
  </r>
  <r>
    <s v="239663-C Widening of State Road 530 from State Road 535 to Hoagland Boulevard (Pond 3)"/>
    <s v="FDOT District 5"/>
    <s v="Wet detention pond"/>
    <s v="Add lanes and reconstruct."/>
    <n v="16.899999999999999"/>
    <s v="Unknown"/>
    <s v="Unknown"/>
    <s v="Florida Legislative"/>
    <s v="Completed"/>
    <s v="N/A"/>
    <s v="June 2010"/>
    <n v="0.7"/>
    <n v="6.9999999999999999E-4"/>
    <n v="2.2999999999999998"/>
    <x v="43"/>
    <x v="1"/>
    <s v="Urban"/>
  </r>
  <r>
    <s v="239663-D Widening of State Road 530 from State Road 535 to Hoagland Boulevard (Pond 4)"/>
    <s v="FDOT District 5"/>
    <s v="Wet detention pond"/>
    <s v="Add lanes and reconstruct."/>
    <n v="12.6"/>
    <s v="Unknown"/>
    <s v="Unknown"/>
    <s v="Florida Legislative"/>
    <s v="Completed"/>
    <s v="N/A"/>
    <s v="June 2010"/>
    <n v="0.5"/>
    <n v="5.0000000000000001E-4"/>
    <n v="2.2000000000000002"/>
    <x v="51"/>
    <x v="1"/>
    <s v="Urban"/>
  </r>
  <r>
    <s v="242436-A State Road 400 Ramps at Gore Avenue Retention Pits (Pond 1 and 2)"/>
    <s v="FDOT District 5"/>
    <s v="Online dry retention"/>
    <s v="Ramps."/>
    <n v="9.8000000000000007"/>
    <s v="Unknown"/>
    <s v="Unknown"/>
    <s v="Florida Legislative"/>
    <s v="Completed"/>
    <s v="N/A"/>
    <s v="May 2011"/>
    <n v="0.2"/>
    <n v="2.0000000000000001E-4"/>
    <n v="2.6"/>
    <x v="50"/>
    <x v="1"/>
    <s v="Urban"/>
  </r>
  <r>
    <s v="242484-A Widening of State Road 400 from Universal Boulevard to South Street (Pond 4)"/>
    <s v="FDOT District 5"/>
    <s v="Wet detention pond"/>
    <s v="Add lanes and reconstruct."/>
    <n v="21.8"/>
    <s v="Unknown"/>
    <s v="Unknown"/>
    <s v="Florida Legislative"/>
    <s v="Completed"/>
    <s v="N/A"/>
    <s v="May 2011"/>
    <n v="0.6"/>
    <n v="5.9999999999999995E-4"/>
    <n v="3.1"/>
    <x v="52"/>
    <x v="1"/>
    <s v="Urban"/>
  </r>
  <r>
    <s v="405515-A and B State Road 400 Wet Detention Pond (Pond 1 and 2)"/>
    <s v="FDOT District 5"/>
    <s v="Wet retention"/>
    <s v="Add lanes and reconstruct."/>
    <n v="14.8"/>
    <s v="Unknown"/>
    <s v="Unknown"/>
    <s v="Florida Legislative"/>
    <s v="Completed"/>
    <s v="N/A"/>
    <s v="June 2011"/>
    <n v="0.2"/>
    <n v="2.0000000000000001E-4"/>
    <n v="1.2"/>
    <x v="11"/>
    <x v="1"/>
    <s v="Urban"/>
  </r>
  <r>
    <s v="410732-B State Road 400 Swales"/>
    <s v="FDOT District 5"/>
    <s v="Dry detention"/>
    <s v="Add lanes and reconstruct."/>
    <n v="32.200000000000003"/>
    <s v="Unknown"/>
    <s v="Unknown"/>
    <s v="Florida Legislative"/>
    <s v="Completed"/>
    <s v="N/A"/>
    <s v="November 2010"/>
    <n v="0.2"/>
    <n v="2.0000000000000001E-4"/>
    <n v="1.3"/>
    <x v="53"/>
    <x v="1"/>
    <s v="Urban"/>
  </r>
  <r>
    <s v="Street Sweeping"/>
    <s v="FDOT District 5"/>
    <s v="Street sweeping"/>
    <s v="Street sweeping to collect 1,507,453 lbs/yr of material."/>
    <s v="N/A"/>
    <s v="See annual O&amp;M"/>
    <s v="Unknown"/>
    <s v="Florida Legislative"/>
    <s v="Ongoing"/>
    <s v="N/A"/>
    <s v="Ongoing"/>
    <n v="50.3"/>
    <n v="5.0299999999999997E-2"/>
    <n v="144.80000000000001"/>
    <x v="54"/>
    <x v="1"/>
    <s v="Urban"/>
  </r>
  <r>
    <s v="Education and Outreach"/>
    <s v="FDOT District 5"/>
    <s v="Public education"/>
    <s v="Funding for Orange County Water Atlas website, and illicit discharge inspection and training program."/>
    <s v="N/A"/>
    <s v="See annual O&amp;M"/>
    <s v="Unknown"/>
    <s v="Florida Legislative"/>
    <s v="Ongoing"/>
    <s v="N/A"/>
    <s v="Ongoing"/>
    <n v="1.7"/>
    <n v="1.6999999999999999E-3"/>
    <n v="19.8"/>
    <x v="55"/>
    <x v="1"/>
    <s v="Urban"/>
  </r>
  <r>
    <s v="Education and Outreach"/>
    <s v="Highlands County"/>
    <s v="Public education"/>
    <s v="FYN, landscaping and irrigation ordinances, PSAs, and pamphlets."/>
    <s v="N/A"/>
    <s v="Unknown"/>
    <s v="Unknown"/>
    <s v="Highlands County"/>
    <s v="Ongoing"/>
    <s v="N/A"/>
    <s v="Ongoing"/>
    <n v="29.5"/>
    <n v="2.9499999999999998E-2"/>
    <n v="362.3"/>
    <x v="56"/>
    <x v="2"/>
    <s v="Urban"/>
  </r>
  <r>
    <s v="Education and Outreach"/>
    <s v="Highlands County"/>
    <s v="Public education"/>
    <s v="FYN, landscaping and irrigation ordinances, PSAs, and pamphlets."/>
    <s v="N/A"/>
    <s v="Unknown"/>
    <s v="Unknown"/>
    <s v="Highlands County"/>
    <s v="Ongoing"/>
    <s v="N/A"/>
    <s v="Ongoing"/>
    <n v="29.6"/>
    <n v="2.9600000000000001E-2"/>
    <n v="415.2"/>
    <x v="57"/>
    <x v="3"/>
    <s v="Urban"/>
  </r>
  <r>
    <s v="Education and Outreach"/>
    <s v="Highlands County"/>
    <s v="Public education"/>
    <s v="FYN, landscaping and irrigation ordinances, PSAs, and pamphlets."/>
    <s v="N/A"/>
    <s v="Unknown"/>
    <s v="Unknown"/>
    <s v="Highlands County"/>
    <s v="Ongoing"/>
    <s v="N/A"/>
    <s v="Ongoing"/>
    <n v="155.19999999999999"/>
    <n v="0.15519999999999998"/>
    <n v="6580.7"/>
    <x v="58"/>
    <x v="0"/>
    <s v="Urban"/>
  </r>
  <r>
    <s v="Education and Outreach"/>
    <s v="Highlands County"/>
    <s v="Public education"/>
    <s v="FYN, landscaping and irrigation ordinances, PSAs, and pamphlets."/>
    <s v="N/A"/>
    <s v="Unknown"/>
    <s v="Unknown"/>
    <s v="Highlands County"/>
    <s v="Ongoing"/>
    <s v="N/A"/>
    <s v="Ongoing"/>
    <n v="136"/>
    <n v="0.13600000000000001"/>
    <n v="538.6"/>
    <x v="59"/>
    <x v="5"/>
    <s v="Urban"/>
  </r>
  <r>
    <s v="Lake June Stormwater Project"/>
    <s v="Highlands County/ SWFWMD"/>
    <s v="Online retention"/>
    <s v="The conceptual plan includes the installation of 450 feet of 24-inch French drain in four contributing basins."/>
    <n v="43.3"/>
    <n v="440000"/>
    <s v="Unknown"/>
    <s v="SWFWMD and Highlands County"/>
    <s v="Planned and Funded"/>
    <s v="Unknown"/>
    <s v="Unknown"/>
    <m/>
    <n v="0"/>
    <m/>
    <x v="8"/>
    <x v="0"/>
    <s v="Urban"/>
  </r>
  <r>
    <s v="Lake Clay Stormwater Project"/>
    <s v="Highlands County/ SWFWMD"/>
    <s v="Online retention"/>
    <s v="600 feet of 24-inch on-line French drain for parking lot subbasin; 300 feet of 24-inch on-line French drain will treat the street subbasin."/>
    <n v="26.6"/>
    <n v="330000"/>
    <n v="1973"/>
    <s v="SWFWMD and Highlands County"/>
    <s v="Completed"/>
    <s v="N/A"/>
    <s v="January 2013"/>
    <n v="1.3"/>
    <n v="1.2999999999999999E-3"/>
    <n v="24.1"/>
    <x v="60"/>
    <x v="0"/>
    <s v="Urban"/>
  </r>
  <r>
    <s v="Istokpoga Marsh Watershed Improvement District"/>
    <s v="Istokpoga Marsh Watershed Improvement District/ Highlands County, SWFWMD, Department, FDACS"/>
    <s v="STA"/>
    <s v="Stormwater treatment area."/>
    <n v="711"/>
    <s v="Unknown"/>
    <s v="Unknown"/>
    <s v="Unknown"/>
    <s v="Planned and Funded"/>
    <s v="Unknown"/>
    <s v="Unknown"/>
    <n v="698"/>
    <n v="0.69799999999999995"/>
    <s v="Not quantified"/>
    <x v="61"/>
    <x v="3"/>
    <s v="Special District"/>
  </r>
  <r>
    <s v="Douglas Park North"/>
    <s v="Okeechobee County"/>
    <s v="Dry detention and CDS unit"/>
    <s v="New roadside swales and addition of three vortex separators to the existing swales for water quality improvement."/>
    <n v="66.3"/>
    <s v="Unknown"/>
    <s v="Unknown"/>
    <s v="Unknown"/>
    <s v="Unknown"/>
    <s v="Unknown"/>
    <s v="Unknown"/>
    <n v="2.7"/>
    <n v="2.7000000000000001E-3"/>
    <n v="15.2"/>
    <x v="22"/>
    <x v="4"/>
    <s v="Urban"/>
  </r>
  <r>
    <s v="Oak Park"/>
    <s v="Okeechobee County"/>
    <s v="Dry detention and CDS unit"/>
    <s v="Roadside swales with raised inlets and two vortex separators."/>
    <n v="56.4"/>
    <s v="Unknown"/>
    <s v="Unknown"/>
    <s v="Unknown"/>
    <s v="Unknown"/>
    <s v="Unknown"/>
    <s v="Unknown"/>
    <n v="2.2000000000000002"/>
    <n v="2.2000000000000001E-3"/>
    <n v="14.4"/>
    <x v="62"/>
    <x v="4"/>
    <s v="Urban"/>
  </r>
  <r>
    <s v="Southwest 21st Street"/>
    <s v="Okeechobee County"/>
    <s v="Dry detention"/>
    <s v="Dry detention roadside swales with raised inlets."/>
    <n v="2.1"/>
    <s v="Unknown"/>
    <s v="Unknown"/>
    <s v="Unknown"/>
    <s v="Unknown"/>
    <s v="Unknown"/>
    <s v="Unknown"/>
    <n v="0.1"/>
    <n v="1E-4"/>
    <n v="0.5"/>
    <x v="63"/>
    <x v="4"/>
    <s v="Urban"/>
  </r>
  <r>
    <s v="Southwest Drainage Area Improvements"/>
    <s v="Okeechobee County"/>
    <s v="Baffle box"/>
    <s v="Installation of sediment control boxes."/>
    <n v="32.200000000000003"/>
    <s v="Unknown"/>
    <s v="Unknown"/>
    <s v="Unknown"/>
    <s v="Unknown"/>
    <s v="Unknown"/>
    <s v="Unknown"/>
    <n v="0.4"/>
    <n v="4.0000000000000002E-4"/>
    <n v="0.3"/>
    <x v="38"/>
    <x v="4"/>
    <s v="Urban"/>
  </r>
  <r>
    <s v="Okeechobee County 2008 Disaster Recovery Community Development Block Grant"/>
    <s v="Okeechobee County"/>
    <s v="Dry detention"/>
    <s v="Dry detention area to improve water quality and alleviate flooding."/>
    <n v="17.2"/>
    <s v="Unknown"/>
    <s v="Unknown"/>
    <s v="Unknown"/>
    <s v="Unknown"/>
    <s v="Unknown"/>
    <s v="Unknown"/>
    <n v="0.2"/>
    <n v="2.0000000000000001E-4"/>
    <n v="4.2"/>
    <x v="64"/>
    <x v="4"/>
    <s v="Urban"/>
  </r>
  <r>
    <s v="Education and Outreach"/>
    <s v="Orange County"/>
    <s v="Public education"/>
    <s v="FYN; landscaping, irrigation, fertilizer, and pet waste management ordinances; PSAs; pamphlets; Water Atlas website; and illicit discharge program."/>
    <s v="N/A"/>
    <s v="Unknown"/>
    <s v="Unknown"/>
    <s v="Orange County"/>
    <s v="Ongoing"/>
    <s v="N/A"/>
    <s v="Ongoing"/>
    <n v="586.1"/>
    <n v="0.58610000000000007"/>
    <n v="13247.4"/>
    <x v="65"/>
    <x v="1"/>
    <s v="Urban"/>
  </r>
  <r>
    <s v="Lake Conway Street Sweeping "/>
    <s v="Orange County"/>
    <s v="Street sweeping"/>
    <s v="Street sweeping of 3,827 curb miles annually."/>
    <s v="N/A"/>
    <s v="See annual O&amp;M"/>
    <n v="44015"/>
    <s v="Lake Conway Taxing District (MSTU)"/>
    <s v="Ongoing"/>
    <s v="N/A"/>
    <s v="Ongoing"/>
    <n v="9.3000000000000007"/>
    <n v="9.300000000000001E-3"/>
    <n v="26.7"/>
    <x v="66"/>
    <x v="1"/>
    <s v="Urban"/>
  </r>
  <r>
    <s v="Lake Holden Street Sweeping"/>
    <s v="Orange County"/>
    <s v="Street sweeping"/>
    <s v="Street sweeping of 942 curb miles annually."/>
    <s v="N/A"/>
    <s v="See annual O&amp;M"/>
    <n v="15198"/>
    <s v="Lake Holden Taxing District (MSTU)"/>
    <s v="Ongoing"/>
    <s v="N/A"/>
    <s v="Ongoing"/>
    <n v="2.2999999999999998"/>
    <n v="2.3E-3"/>
    <n v="6.6"/>
    <x v="67"/>
    <x v="1"/>
    <s v="Urban"/>
  </r>
  <r>
    <s v="Lake Jessamine Street Sweeping"/>
    <s v="Orange County"/>
    <s v="Street sweeping"/>
    <s v="Street sweeping of 692 curb miles annually."/>
    <s v="N/A"/>
    <s v="See annual O&amp;M"/>
    <n v="11003"/>
    <s v="Lake Jessamine Taxing District (MSTU)"/>
    <s v="Ongoing"/>
    <s v="N/A"/>
    <s v="Ongoing"/>
    <n v="1.7"/>
    <n v="1.6999999999999999E-3"/>
    <n v="4.8"/>
    <x v="68"/>
    <x v="1"/>
    <s v="Urban"/>
  </r>
  <r>
    <s v="Shingle/Boggy/Hart Basin Street Sweeping"/>
    <s v="Orange County"/>
    <s v="Street sweeping"/>
    <s v="County-wide street sweeping."/>
    <s v="N/A"/>
    <s v="See annual O&amp;M"/>
    <s v="Unknown"/>
    <s v="Orange County"/>
    <s v="Ongoing"/>
    <s v="N/A"/>
    <s v="Ongoing"/>
    <n v="0.7"/>
    <n v="6.9999999999999999E-4"/>
    <n v="2.1"/>
    <x v="49"/>
    <x v="1"/>
    <s v="Urban"/>
  </r>
  <r>
    <s v="Lake Odell Curb Inlet Basket (CIB)"/>
    <s v="Orange County"/>
    <s v="CIB"/>
    <s v="Curb or grate inlet filter baskets to collect 902 lbs/yr of material."/>
    <s v="N/A"/>
    <n v="3000"/>
    <n v="666"/>
    <s v="Orange County "/>
    <s v="Ongoing"/>
    <s v="N/A"/>
    <s v="Ongoing"/>
    <n v="0"/>
    <n v="0"/>
    <n v="0.1"/>
    <x v="69"/>
    <x v="1"/>
    <s v="Urban"/>
  </r>
  <r>
    <s v="Lake Conway CIB Existing "/>
    <s v="Orange County"/>
    <s v="CIB"/>
    <s v="Curb or grate inlet filter baskets to collect 16,169 lbs/yr of material."/>
    <s v="N/A"/>
    <n v="50000"/>
    <n v="11000"/>
    <s v="Lake Conway Taxing District (MSTU)"/>
    <s v="Ongoing"/>
    <s v="N/A"/>
    <s v="Ongoing"/>
    <n v="0.4"/>
    <n v="4.0000000000000002E-4"/>
    <n v="2"/>
    <x v="70"/>
    <x v="1"/>
    <s v="Urban"/>
  </r>
  <r>
    <s v="Lake Conway CIB New"/>
    <s v="Orange County"/>
    <s v="CIB"/>
    <s v="Curb or grate inlet filter baskets to collect 16,872 lbs/yr of material."/>
    <s v="N/A"/>
    <n v="37000"/>
    <n v="5328"/>
    <s v="Lake Conway Taxing District (MSTU)"/>
    <s v="Planned and Funded"/>
    <s v="N/A"/>
    <s v="Ongoing"/>
    <n v="0.5"/>
    <n v="5.0000000000000001E-4"/>
    <n v="2"/>
    <x v="70"/>
    <x v="1"/>
    <s v="Urban"/>
  </r>
  <r>
    <s v="Lake Pineloch CIB "/>
    <s v="Orange County"/>
    <s v="CIB"/>
    <s v="Curb or grate inlet filter baskets to collect 4,158 lbs/yr of material."/>
    <s v="N/A"/>
    <n v="18000"/>
    <n v="2592"/>
    <s v="Orange County General Fund"/>
    <s v="Ongoing"/>
    <s v="N/A"/>
    <s v="Ongoing"/>
    <n v="0.1"/>
    <n v="1E-4"/>
    <n v="0.5"/>
    <x v="63"/>
    <x v="1"/>
    <s v="Urban"/>
  </r>
  <r>
    <s v="Lake Anderson CIB"/>
    <s v="Orange County"/>
    <s v="CIB"/>
    <s v="Curb or grate inlet filter baskets to collect 3,364 lbs/yr of material."/>
    <s v="N/A"/>
    <n v="10000"/>
    <n v="1440"/>
    <s v="Lake Anderson MSTU"/>
    <s v="Ongoing"/>
    <s v="N/A"/>
    <s v="Ongoing"/>
    <n v="0.1"/>
    <n v="1E-4"/>
    <n v="0.4"/>
    <x v="71"/>
    <x v="1"/>
    <s v="Urban"/>
  </r>
  <r>
    <s v="Lake Holden CIB"/>
    <s v="Orange County"/>
    <s v="CIB"/>
    <s v="Curb or grate inlet filter baskets to collect 27,602 lbs/yr of material."/>
    <s v="N/A"/>
    <n v="41000"/>
    <n v="9102"/>
    <s v="Lake Holden Taxing District (MSTU)"/>
    <s v="Ongoing"/>
    <s v="N/A"/>
    <s v="Ongoing"/>
    <n v="0.7"/>
    <n v="6.9999999999999999E-4"/>
    <n v="3.3"/>
    <x v="12"/>
    <x v="1"/>
    <s v="Urban"/>
  </r>
  <r>
    <s v="Lake Jessamine CIB"/>
    <s v="Orange County"/>
    <s v="CIB"/>
    <s v="Curb or grate inlet filter baskets to collect 13,025 lbs/yr of material."/>
    <s v="N/A"/>
    <n v="110000"/>
    <n v="24420"/>
    <s v="Lake Jessamine Taxing District (MSTU)"/>
    <s v="Ongoing"/>
    <s v="N/A"/>
    <s v="Ongoing"/>
    <n v="0.3"/>
    <n v="2.9999999999999997E-4"/>
    <n v="1.6"/>
    <x v="72"/>
    <x v="1"/>
    <s v="Urban"/>
  </r>
  <r>
    <s v="Lake Floy CIB"/>
    <s v="Orange County"/>
    <s v="CIB"/>
    <s v="Curb or grate inlet filter baskets to collect 4,835 lbs/yr of material."/>
    <s v="N/A"/>
    <n v="10000"/>
    <n v="1440"/>
    <s v="Lake Floy MSTU"/>
    <s v="Ongoing"/>
    <s v="N/A"/>
    <s v="Ongoing"/>
    <n v="0.1"/>
    <n v="1E-4"/>
    <n v="0.6"/>
    <x v="48"/>
    <x v="1"/>
    <s v="Urban"/>
  </r>
  <r>
    <s v="Lake Cane CIB "/>
    <s v="Orange County"/>
    <s v="CIB"/>
    <s v="Curb or grate inlet filter baskets to collect 3,845 lbs/yr of material."/>
    <s v="N/A"/>
    <n v="14000"/>
    <n v="2016"/>
    <s v="Orange County General Fund"/>
    <s v="Ongoing"/>
    <s v="N/A"/>
    <s v="Ongoing"/>
    <n v="0.1"/>
    <n v="1E-4"/>
    <n v="0.5"/>
    <x v="63"/>
    <x v="1"/>
    <s v="Urban"/>
  </r>
  <r>
    <s v="Lake Odell CIB"/>
    <s v="Orange County"/>
    <s v="CIB"/>
    <s v="Curb or grate inlet filter baskets to collect 904 lbs/yr of material."/>
    <s v="N/A"/>
    <n v="3000"/>
    <n v="432"/>
    <s v="Orange County General Fund"/>
    <s v="Ongoing"/>
    <s v="N/A"/>
    <s v="Ongoing"/>
    <n v="0"/>
    <n v="0"/>
    <n v="0.1"/>
    <x v="69"/>
    <x v="1"/>
    <s v="Urban"/>
  </r>
  <r>
    <s v="Lake Tyler CIB"/>
    <s v="Orange County"/>
    <s v="CIB"/>
    <s v="Curb or grate inlet filter baskets."/>
    <s v="N/A"/>
    <n v="11000"/>
    <n v="1440"/>
    <s v="Unknown"/>
    <s v="Ongoing"/>
    <s v="N/A"/>
    <s v="Ongoing"/>
    <m/>
    <n v="0"/>
    <m/>
    <x v="8"/>
    <x v="1"/>
    <s v="Urban"/>
  </r>
  <r>
    <s v="Lake Down CIB"/>
    <s v="Orange County"/>
    <s v="CIB"/>
    <s v="Curb or grate inlet filter baskets to collect 16,934 lbs/yr of material."/>
    <s v="N/A"/>
    <n v="56000"/>
    <s v="Unknown"/>
    <s v="Windermere Water and Navigation Control District (MSTU)"/>
    <s v="Planned and Funded"/>
    <s v="October 2013"/>
    <s v="Unknown"/>
    <n v="0.5"/>
    <n v="5.0000000000000001E-4"/>
    <n v="2"/>
    <x v="70"/>
    <x v="1"/>
    <s v="Urban"/>
  </r>
  <r>
    <s v="Lake Tibet CIB"/>
    <s v="Orange County"/>
    <s v="CIB"/>
    <s v="Curb or grate inlet filter baskets to collect 13,494 lbs/yr of material."/>
    <s v="N/A"/>
    <n v="31000"/>
    <s v="Unknown"/>
    <s v="Windermere Water and Navigation Control District (MSTU)"/>
    <s v="Planned and Funded"/>
    <s v="October 2013"/>
    <s v="Unknown"/>
    <n v="0.4"/>
    <n v="4.0000000000000002E-4"/>
    <n v="1.6"/>
    <x v="72"/>
    <x v="1"/>
    <s v="Urban"/>
  </r>
  <r>
    <s v="Lisa Waterway CDS"/>
    <s v="Orange County"/>
    <s v="CDS unit"/>
    <s v="Treats runoff from Orange Avenue."/>
    <s v="N/A"/>
    <n v="225000"/>
    <n v="5362"/>
    <s v="Lake Conway Taxing District (MSTU)"/>
    <s v="Ongoing"/>
    <s v="N/A"/>
    <s v="Ongoing"/>
    <n v="0.3"/>
    <n v="2.9999999999999997E-4"/>
    <n v="1.5"/>
    <x v="73"/>
    <x v="1"/>
    <s v="Urban"/>
  </r>
  <r>
    <s v="Randolph Avenue Continuous Deflective Separation (CDS) Unit"/>
    <s v="Orange County"/>
    <s v="CDS unit"/>
    <s v="Treats runoff from Randolph Avenue."/>
    <m/>
    <s v="Unknown"/>
    <s v="Unknown"/>
    <s v="Unknown"/>
    <s v="Completed"/>
    <s v="N/A"/>
    <s v="Completed"/>
    <n v="0"/>
    <n v="0"/>
    <n v="0"/>
    <x v="8"/>
    <x v="1"/>
    <s v="Urban"/>
  </r>
  <r>
    <s v="Randolph Avenue Stormceptor"/>
    <s v="Orange County"/>
    <s v="Stormceptor"/>
    <s v="Stormceptor."/>
    <m/>
    <s v="Unknown"/>
    <s v="Unknown"/>
    <s v="Unknown"/>
    <s v="Completed"/>
    <s v="N/A"/>
    <s v="Completed"/>
    <n v="0"/>
    <n v="0"/>
    <n v="0.1"/>
    <x v="69"/>
    <x v="1"/>
    <s v="Urban"/>
  </r>
  <r>
    <s v="Randolph Avenue Pond"/>
    <s v="Orange County"/>
    <s v="Dry detention"/>
    <s v="Dry detention pond."/>
    <m/>
    <s v="Unknown"/>
    <s v="Unknown"/>
    <s v="Unknown"/>
    <s v="Completed"/>
    <s v="N/A"/>
    <s v="Completed"/>
    <n v="0"/>
    <n v="0"/>
    <n v="0.4"/>
    <x v="71"/>
    <x v="1"/>
    <s v="Urban"/>
  </r>
  <r>
    <s v="Lake Mary Jess Pond"/>
    <s v="Orange County/ FDOT District 5, City of Edgewood, Department"/>
    <s v="Wet detention pond"/>
    <s v="Wet retention pond created from canal."/>
    <n v="31.2"/>
    <n v="534795"/>
    <n v="8000"/>
    <s v="FDOT District 5, City of Edgewood"/>
    <s v="Completed"/>
    <s v="N/A"/>
    <s v="June 2013"/>
    <n v="2.9"/>
    <n v="2.8999999999999998E-3"/>
    <n v="13.1"/>
    <x v="74"/>
    <x v="1"/>
    <s v="Urban"/>
  </r>
  <r>
    <s v="Lake Odell Sediment Sump"/>
    <s v="Orange County"/>
    <s v="Retention BMPs"/>
    <s v="Small sump that collects sediment from roadway, with an estimate of 12,000 lbs/yr of material."/>
    <s v="N/A"/>
    <n v="33300"/>
    <n v="1500"/>
    <s v="Orange County General Fund"/>
    <s v="Planned and Funded"/>
    <n v="2013"/>
    <n v="2014"/>
    <n v="0.4"/>
    <n v="4.0000000000000002E-4"/>
    <n v="1.2"/>
    <x v="11"/>
    <x v="1"/>
    <s v="Urban"/>
  </r>
  <r>
    <s v="Lake Jennie Jewel Baffle Box"/>
    <s v="Orange County"/>
    <s v="2nd generation baffle box"/>
    <s v="2nd generation baffle box."/>
    <m/>
    <n v="175000"/>
    <s v="Unknown"/>
    <s v="Unknown"/>
    <s v="Envisioned, Not Funded"/>
    <n v="2015"/>
    <s v="Unknown"/>
    <n v="0.3"/>
    <n v="2.9999999999999997E-4"/>
    <n v="22.1"/>
    <x v="75"/>
    <x v="1"/>
    <s v="Urban"/>
  </r>
  <r>
    <s v="Lake Anderson Mobile Alum Injection"/>
    <s v="Orange County"/>
    <s v="Alum injection"/>
    <s v="Storm pond enhancement with alum."/>
    <m/>
    <n v="75000"/>
    <n v="11000"/>
    <s v="Orange County General Fund"/>
    <s v="Planned and Funded"/>
    <n v="2014"/>
    <n v="2016"/>
    <n v="12.2"/>
    <n v="1.2199999999999999E-2"/>
    <n v="257.60000000000002"/>
    <x v="26"/>
    <x v="1"/>
    <s v="Urban"/>
  </r>
  <r>
    <s v="Lake Jessamine Surface Alum "/>
    <s v="Orange County"/>
    <s v="Alum injection"/>
    <s v="Whole-lake alum treatment."/>
    <m/>
    <n v="246000"/>
    <s v="Unknown"/>
    <s v="Lake Jessamine Taxing District (MSTU)"/>
    <s v="Completed"/>
    <s v="N/A"/>
    <n v="2013"/>
    <n v="4.5"/>
    <n v="4.4999999999999997E-3"/>
    <n v="71.7"/>
    <x v="76"/>
    <x v="1"/>
    <s v="Urban"/>
  </r>
  <r>
    <s v="Lake Down Alum  Treatment Facility"/>
    <s v="Orange County"/>
    <s v="Alum injection"/>
    <s v="Off-line pond and alum injection system."/>
    <n v="378.8"/>
    <n v="1800000"/>
    <s v="Unknown"/>
    <s v="Windermere Water and Navigation Control District (MSTU) &amp; FDEP Grant"/>
    <s v="Started"/>
    <s v="May 2014"/>
    <s v="October 2014"/>
    <n v="21.3"/>
    <n v="2.1299999999999999E-2"/>
    <n v="555.1"/>
    <x v="77"/>
    <x v="1"/>
    <s v="Urban"/>
  </r>
  <r>
    <s v="Narcoossee Road IB Pond 2 and 3"/>
    <s v="Osceola County"/>
    <s v="Wet detention pond"/>
    <s v="Roadway widening."/>
    <n v="29.3"/>
    <s v="Unknown"/>
    <s v="Unknown"/>
    <s v="Unknown"/>
    <s v="Completed"/>
    <s v="N/A"/>
    <s v="September 2011"/>
    <n v="0.2"/>
    <n v="2.0000000000000001E-4"/>
    <n v="5.7"/>
    <x v="9"/>
    <x v="1"/>
    <s v="Urban"/>
  </r>
  <r>
    <s v="Narcoossee Rodd III Pond C3A &amp; C3B"/>
    <s v="Osceola County"/>
    <s v="Wet detention pond"/>
    <s v="Roadway widening."/>
    <n v="20.5"/>
    <s v="Unknown"/>
    <s v="Unknown"/>
    <s v="Unknown"/>
    <s v="Completed"/>
    <s v="N/A"/>
    <n v="2012"/>
    <n v="0.1"/>
    <n v="1E-4"/>
    <n v="3.8"/>
    <x v="78"/>
    <x v="1"/>
    <s v="Urban"/>
  </r>
  <r>
    <s v="Narcoossee Road III Pond D3 Comp"/>
    <s v="Osceola County"/>
    <s v="Wet detention pond"/>
    <s v="Roadway widening."/>
    <n v="24.3"/>
    <s v="Unknown"/>
    <s v="Unknown"/>
    <s v="Unknown"/>
    <s v="Completed"/>
    <s v="N/A"/>
    <n v="2012"/>
    <n v="0.2"/>
    <n v="2.0000000000000001E-4"/>
    <n v="3.7"/>
    <x v="79"/>
    <x v="1"/>
    <s v="Urban"/>
  </r>
  <r>
    <s v="Narcoossee Road III Pond E1 Comp"/>
    <s v="Osceola County"/>
    <s v="Wet detention pond"/>
    <s v="Roadway widening."/>
    <n v="22.4"/>
    <s v="Unknown"/>
    <s v="Unknown"/>
    <s v="Unknown"/>
    <s v="Completed"/>
    <s v="N/A"/>
    <n v="2012"/>
    <n v="0.1"/>
    <n v="1E-4"/>
    <n v="2.4"/>
    <x v="80"/>
    <x v="1"/>
    <s v="Urban"/>
  </r>
  <r>
    <s v="Neptune Road I - Ponds 100, 200, and 300"/>
    <s v="Osceola County"/>
    <s v="Wet detention pond"/>
    <s v="Road improvement."/>
    <n v="226.8"/>
    <s v="Unknown"/>
    <s v="Unknown"/>
    <s v="Unknown"/>
    <s v="Completed"/>
    <s v="N/A"/>
    <s v="October 2010"/>
    <n v="8.3000000000000007"/>
    <n v="8.3000000000000001E-3"/>
    <n v="219.3"/>
    <x v="81"/>
    <x v="1"/>
    <s v="Urban"/>
  </r>
  <r>
    <s v="Old Wilson Road Pond D002-P"/>
    <s v="Osceola County"/>
    <s v="Online retention"/>
    <s v="Road improvement."/>
    <n v="55.8"/>
    <s v="Unknown"/>
    <s v="Unknown"/>
    <s v="Unknown"/>
    <s v="Completed"/>
    <s v="N/A"/>
    <n v="2012"/>
    <n v="0.6"/>
    <n v="5.9999999999999995E-4"/>
    <n v="18.899999999999999"/>
    <x v="82"/>
    <x v="1"/>
    <s v="Urban"/>
  </r>
  <r>
    <s v="Old Wilson Road Pond D004-P"/>
    <s v="Osceola County"/>
    <s v="Online retention"/>
    <s v="Road improvement."/>
    <n v="18.7"/>
    <s v="Unknown"/>
    <s v="Unknown"/>
    <s v="Unknown"/>
    <s v="Completed"/>
    <s v="N/A"/>
    <n v="2012"/>
    <n v="0.3"/>
    <n v="2.9999999999999997E-4"/>
    <n v="19.8"/>
    <x v="55"/>
    <x v="1"/>
    <s v="Urban"/>
  </r>
  <r>
    <s v="Old Wilson Road Pond E002-P"/>
    <s v="Osceola County"/>
    <s v="Online retention"/>
    <s v="Road improvement."/>
    <n v="12.5"/>
    <s v="Unknown"/>
    <s v="Unknown"/>
    <s v="Unknown"/>
    <s v="Completed"/>
    <s v="N/A"/>
    <n v="2012"/>
    <n v="0.7"/>
    <n v="6.9999999999999999E-4"/>
    <n v="21.3"/>
    <x v="83"/>
    <x v="1"/>
    <s v="Urban"/>
  </r>
  <r>
    <s v="Stewart Street Regional Pond Retrofit"/>
    <s v="Osceola County"/>
    <s v="Wet detention pond"/>
    <s v="Regional pond retrofit."/>
    <n v="2249.1999999999998"/>
    <s v="Unknown"/>
    <s v="Unknown"/>
    <s v="Unknown"/>
    <s v="Completed"/>
    <s v="N/A"/>
    <n v="2009"/>
    <n v="70.400000000000006"/>
    <n v="7.0400000000000004E-2"/>
    <n v="1747"/>
    <x v="84"/>
    <x v="1"/>
    <s v="Urban"/>
  </r>
  <r>
    <s v="Education"/>
    <s v="Osceola County"/>
    <s v="Public education"/>
    <s v="FYN; landscaping, irrigation, fertilizer, and pet waste management ordinances; PSAs; pamphlets; website; and illicit discharge program."/>
    <s v="N/A"/>
    <s v="Unknown"/>
    <s v="Unknown"/>
    <s v="Unknown"/>
    <s v="Ongoing"/>
    <s v="N/A"/>
    <s v="Ongoing"/>
    <n v="321.60000000000002"/>
    <n v="0.3216"/>
    <n v="10612.3"/>
    <x v="85"/>
    <x v="1"/>
    <s v="Urban"/>
  </r>
  <r>
    <s v="Education"/>
    <s v="Osceola County"/>
    <s v="Public education"/>
    <s v="FYN; landscaping, irrigation, fertilizer, and pet waste management ordinances; PSAs; pamphlets; website; and illicit discharge program."/>
    <s v="N/A"/>
    <s v="Unknown"/>
    <s v="Unknown"/>
    <s v="Unknown"/>
    <s v="Ongoing"/>
    <s v="N/A"/>
    <s v="Ongoing"/>
    <n v="2.5"/>
    <n v="2.5000000000000001E-3"/>
    <n v="24.4"/>
    <x v="86"/>
    <x v="5"/>
    <s v="Urban"/>
  </r>
  <r>
    <s v="East Lake Reserve Stormwater Reuse"/>
    <s v="Osceola County"/>
    <s v="Stormwater reuse"/>
    <s v="Stormwater reuse for landscape irrigation from pond A1 (9.1A)."/>
    <n v="130.80000000000001"/>
    <s v="See annual O&amp;M"/>
    <s v="Unknown"/>
    <s v="Homeowners Association"/>
    <s v="Ongoing"/>
    <s v="N/A"/>
    <s v="Ongoing"/>
    <n v="5.5"/>
    <n v="5.4999999999999997E-3"/>
    <n v="365.4"/>
    <x v="87"/>
    <x v="1"/>
    <s v="Urban"/>
  </r>
  <r>
    <s v="Neptune Road Stormwater Reuse"/>
    <s v="Osceola County"/>
    <s v="Stormwater reuse"/>
    <s v="Stormwater reuse for landscape irrigation from Ponds 100/101 and 300."/>
    <n v="35.700000000000003"/>
    <n v="640689.59"/>
    <n v="26000"/>
    <s v="Operations"/>
    <s v="Ongoing"/>
    <s v="N/A"/>
    <s v="Ongoing"/>
    <n v="1.1000000000000001"/>
    <n v="1.1000000000000001E-3"/>
    <n v="24.9"/>
    <x v="88"/>
    <x v="1"/>
    <s v="Urban"/>
  </r>
  <r>
    <s v="Bellalago and Isles of Bellalago Stormwater Reuse"/>
    <s v="Osceola County"/>
    <s v="Stormwater reuse"/>
    <s v="Stormwater reuse for landscape irrigation (197A)."/>
    <n v="1386.8"/>
    <s v="See annual O&amp;M"/>
    <s v="Unknown"/>
    <s v="Homeowners Association"/>
    <s v="Ongoing"/>
    <s v="N/A"/>
    <s v="Ongoing"/>
    <n v="63.8"/>
    <n v="6.3799999999999996E-2"/>
    <n v="3071.7"/>
    <x v="89"/>
    <x v="1"/>
    <s v="Urban"/>
  </r>
  <r>
    <s v="Poinciana Commerce Center Reuse"/>
    <s v="Osceola County"/>
    <s v="Stormwater reuse"/>
    <s v="Stormwater reuse for landscape irrigation from Pond 1."/>
    <n v="10.199999999999999"/>
    <s v="See annual O&amp;M"/>
    <s v="Unknown"/>
    <s v="Private"/>
    <s v="Started, Partially Funded"/>
    <s v="July 2008"/>
    <s v="Unknown"/>
    <n v="0.5"/>
    <n v="5.0000000000000001E-4"/>
    <n v="13.8"/>
    <x v="90"/>
    <x v="1"/>
    <s v="Urban"/>
  </r>
  <r>
    <s v="Kissimmee Bay Reuse"/>
    <s v="Osceola County"/>
    <s v="Stormwater reuse"/>
    <s v="Stormwater reuse 20-year duration for 84.5 acres of golf course and five-year duration for 45.5 acres of landscape irrigation."/>
    <n v="271"/>
    <s v="See annual O&amp;M"/>
    <s v="Unknown"/>
    <s v="Private"/>
    <s v="Ongoing"/>
    <s v="N/A"/>
    <s v="Ongoing"/>
    <n v="19.600000000000001"/>
    <n v="1.9600000000000003E-2"/>
    <n v="910.1"/>
    <x v="91"/>
    <x v="1"/>
    <s v="Urban"/>
  </r>
  <r>
    <s v="Remington"/>
    <s v="Osceola County"/>
    <s v="Stormwater reuse"/>
    <s v="Stormwater reuse for golf course irrigation from Ponds 12, 13, 14A, and 14B."/>
    <n v="149.4"/>
    <s v="See annual O&amp;M"/>
    <s v="Unknown"/>
    <s v="Private"/>
    <s v="Ongoing"/>
    <s v="N/A"/>
    <s v="November 2015"/>
    <n v="12.1"/>
    <n v="1.21E-2"/>
    <n v="523.4"/>
    <x v="92"/>
    <x v="1"/>
    <s v="Urban"/>
  </r>
  <r>
    <s v="Eagle Lake"/>
    <s v="Osceola County"/>
    <s v="Stormwater reuse"/>
    <s v="Stormwater reuse for turf irrigation."/>
    <n v="435.1"/>
    <s v="See annual O&amp;M"/>
    <s v="Unknown"/>
    <s v="Private"/>
    <s v="Ongoing"/>
    <s v="N/A"/>
    <s v="Ongoing"/>
    <n v="19.2"/>
    <n v="1.9199999999999998E-2"/>
    <n v="873.9"/>
    <x v="93"/>
    <x v="1"/>
    <s v="Urban"/>
  </r>
  <r>
    <s v="La Quinta Inn"/>
    <s v="Osceola County"/>
    <s v="Stormwater reuse"/>
    <s v="Stormwater reuse for turf irrigation."/>
    <n v="12.5"/>
    <s v="See annual O&amp;M"/>
    <s v="Unknown"/>
    <s v="Private"/>
    <s v="Ongoing"/>
    <s v="N/A"/>
    <s v="Ongoing"/>
    <n v="1.7"/>
    <n v="1.6999999999999999E-3"/>
    <n v="14.2"/>
    <x v="94"/>
    <x v="1"/>
    <s v="Urban"/>
  </r>
  <r>
    <s v="Lake Toho Regional Water Storage Facility (Judge Farms)"/>
    <s v="Osceola County/ City of Kissimmee"/>
    <s v="Stormwater reuse"/>
    <s v="Stormwater reuse."/>
    <n v="5882.9941153560885"/>
    <s v="See annual O&amp;M"/>
    <s v="Unknown"/>
    <s v="Multiple"/>
    <s v="Planned and Funded"/>
    <s v="December 2015"/>
    <s v="June 2016"/>
    <n v="412.1"/>
    <n v="0.41210000000000002"/>
    <n v="8775.2999999999993"/>
    <x v="95"/>
    <x v="1"/>
    <s v="Urban"/>
  </r>
  <r>
    <s v="Street Sweeping"/>
    <s v="Osceola County"/>
    <s v="Street sweeping"/>
    <s v="Monthly street sweeping."/>
    <s v="N/A"/>
    <s v="See annual O&amp;M"/>
    <n v="60000"/>
    <s v="Osceola County"/>
    <s v="Ongoing"/>
    <s v="N/A"/>
    <s v="Ongoing"/>
    <n v="16.100000000000001"/>
    <n v="1.61E-2"/>
    <n v="46.2"/>
    <x v="96"/>
    <x v="1"/>
    <s v="Urban"/>
  </r>
  <r>
    <s v="Buenaventura Lakes Golf Course Ponds"/>
    <s v="Osceola County"/>
    <s v="Wet detention pond"/>
    <s v="Two new lakes at golf course."/>
    <n v="517.70000000000005"/>
    <s v="Unknown"/>
    <s v="Unknown"/>
    <s v="Osceola County"/>
    <s v="Completed"/>
    <s v="Unknown"/>
    <n v="2011"/>
    <n v="2"/>
    <n v="2E-3"/>
    <n v="6"/>
    <x v="97"/>
    <x v="1"/>
    <s v="Urban"/>
  </r>
  <r>
    <s v="Slaman"/>
    <s v="Osceola County"/>
    <s v="Conservation area"/>
    <s v="Conservation areas."/>
    <n v="32.200000000000003"/>
    <s v="See annual O&amp;M"/>
    <s v="Unknown"/>
    <s v="Osceola County"/>
    <s v="Completed"/>
    <s v="N/A"/>
    <s v="Completed"/>
    <n v="0"/>
    <n v="0"/>
    <n v="0.33035130351040465"/>
    <x v="98"/>
    <x v="1"/>
    <s v="Urban"/>
  </r>
  <r>
    <s v="Jim Yates"/>
    <s v="Osceola County"/>
    <s v="Conservation area"/>
    <s v="Conservation areas."/>
    <n v="5.3"/>
    <s v="See annual O&amp;M"/>
    <s v="Unknown"/>
    <s v="Osceola County"/>
    <s v="Completed"/>
    <s v="N/A"/>
    <s v="Completed"/>
    <n v="0.53702187976825999"/>
    <n v="5.3702187976826003E-4"/>
    <n v="3.1513197993192001"/>
    <x v="99"/>
    <x v="1"/>
    <s v="Urban"/>
  </r>
  <r>
    <s v="Udstad"/>
    <s v="Osceola County"/>
    <s v="Conservation area"/>
    <s v="Conservation areas."/>
    <n v="5.9"/>
    <s v="See annual O&amp;M"/>
    <s v="Unknown"/>
    <s v="Osceola County"/>
    <s v="Completed"/>
    <s v="N/A"/>
    <s v="Completed"/>
    <n v="0.53627998021229328"/>
    <n v="5.3627998021229324E-4"/>
    <n v="7.6546603440000016"/>
    <x v="100"/>
    <x v="1"/>
    <s v="Urban"/>
  </r>
  <r>
    <s v="Proctor"/>
    <s v="Osceola County"/>
    <s v="Conservation area"/>
    <s v="Conservation areas."/>
    <n v="0.7"/>
    <s v="See annual O&amp;M"/>
    <s v="Unknown"/>
    <s v="Osceola County"/>
    <s v="Completed"/>
    <s v="N/A"/>
    <s v="Completed"/>
    <n v="9.3648325752223802E-2"/>
    <n v="9.3648325752223802E-5"/>
    <n v="0.33312225376880011"/>
    <x v="101"/>
    <x v="1"/>
    <s v="Urban"/>
  </r>
  <r>
    <s v="Twin Oaks"/>
    <s v="Osceola County"/>
    <s v="Conservation area"/>
    <s v="Conservation areas."/>
    <n v="399.6"/>
    <s v="See annual O&amp;M"/>
    <s v="Unknown"/>
    <s v="Osceola County"/>
    <s v="Completed"/>
    <s v="N/A"/>
    <s v="Completed"/>
    <n v="46.970597278937703"/>
    <n v="4.6970597278937702E-2"/>
    <n v="264.92863347008404"/>
    <x v="102"/>
    <x v="1"/>
    <s v="Urban"/>
  </r>
  <r>
    <s v="Cherokee Point"/>
    <s v="Osceola County"/>
    <s v="Conservation area"/>
    <s v="Conservation areas."/>
    <n v="178.6"/>
    <s v="See annual O&amp;M"/>
    <s v="Unknown"/>
    <s v="Osceola County"/>
    <s v="Completed"/>
    <s v="N/A"/>
    <s v="Completed"/>
    <n v="1.2251792917542215"/>
    <n v="1.2251792917542215E-3"/>
    <n v="6.7441802702641667"/>
    <x v="103"/>
    <x v="1"/>
    <s v="Urban"/>
  </r>
  <r>
    <s v="Encatada Resort"/>
    <s v="Osceola County"/>
    <s v="Stormwater reuse"/>
    <s v="Stormwater reuse."/>
    <n v="57.6"/>
    <s v="See annual O&amp;M"/>
    <s v="Unknown"/>
    <s v="Homeowners Association"/>
    <s v="Ongoing"/>
    <s v="N/A"/>
    <s v="Unknown"/>
    <n v="3.1"/>
    <n v="3.0999999999999999E-3"/>
    <n v="33.200000000000003"/>
    <x v="21"/>
    <x v="1"/>
    <s v="Urban"/>
  </r>
  <r>
    <s v="Cypress Palms Condos"/>
    <s v="Osceola County"/>
    <s v="Stormwater reuse"/>
    <s v="Stormwater reuse."/>
    <n v="12.4"/>
    <s v="See annual O&amp;M"/>
    <s v="Unknown"/>
    <s v="Homeowners Association"/>
    <s v="Planned and Funded"/>
    <s v="March 2012"/>
    <s v="Unknown"/>
    <n v="1"/>
    <n v="1E-3"/>
    <n v="10.4"/>
    <x v="41"/>
    <x v="1"/>
    <s v="Urban"/>
  </r>
  <r>
    <s v="Lake Pointe"/>
    <s v="Osceola County"/>
    <s v="Stormwater reuse"/>
    <s v="Stormwater reuse."/>
    <n v="150.19999999999999"/>
    <s v="See annual O&amp;M"/>
    <s v="Unknown"/>
    <s v="Homeowners Association"/>
    <s v="Planned and Funded"/>
    <s v="May 2012"/>
    <s v="Unknown"/>
    <n v="5.9"/>
    <n v="5.9000000000000007E-3"/>
    <n v="322.3"/>
    <x v="104"/>
    <x v="1"/>
    <s v="Urban"/>
  </r>
  <r>
    <s v="Traditions at Westside"/>
    <s v="Osceola County"/>
    <s v="Stormwater reuse"/>
    <s v="Stormwater reuse."/>
    <n v="21.7"/>
    <s v="See annual O&amp;M"/>
    <s v="Unknown"/>
    <s v="Homeowners Association"/>
    <s v="Planned and Funded"/>
    <s v="February 2011"/>
    <s v="Unknown"/>
    <n v="2.2999999999999998"/>
    <n v="2.3E-3"/>
    <n v="19.7"/>
    <x v="105"/>
    <x v="1"/>
    <s v="Urban"/>
  </r>
  <r>
    <s v="Education and Outreach"/>
    <s v="Polk County"/>
    <s v="Public education"/>
    <s v="FYN, fertilizer ordinance, PSAs, pamphlets, website, and illicit discharge inspection program."/>
    <s v="N/A"/>
    <s v="Unknown"/>
    <s v="Unknown"/>
    <s v="Polk County"/>
    <s v="Ongoing"/>
    <s v="N/A"/>
    <s v="Ongoing"/>
    <n v="38.799999999999997"/>
    <n v="3.8799999999999994E-2"/>
    <n v="1086.9000000000001"/>
    <x v="106"/>
    <x v="0"/>
    <s v="Urban"/>
  </r>
  <r>
    <s v="Education and Outreach"/>
    <s v="Polk County"/>
    <s v="Public education"/>
    <s v="FYN, fertilizer ordinance, PSAs, pamphlets, website, and illicit discharge inspection program."/>
    <s v="N/A"/>
    <s v="Unknown"/>
    <s v="Unknown"/>
    <s v="Polk County"/>
    <s v="Ongoing"/>
    <s v="N/A"/>
    <s v="Ongoing"/>
    <n v="22.7"/>
    <n v="2.2699999999999998E-2"/>
    <n v="408.9"/>
    <x v="107"/>
    <x v="5"/>
    <s v="Urban"/>
  </r>
  <r>
    <s v="Education and Outreach"/>
    <s v="Polk County"/>
    <s v="Public education"/>
    <s v="FYN, fertilizer ordinance, PSAs, pamphlets, website, and illicit discharge inspection program."/>
    <s v="N/A"/>
    <s v="Unknown"/>
    <s v="Unknown"/>
    <s v="Polk County"/>
    <s v="Ongoing"/>
    <s v="N/A"/>
    <s v="Ongoing"/>
    <n v="118.8"/>
    <n v="0.1188"/>
    <n v="4438.1000000000004"/>
    <x v="108"/>
    <x v="1"/>
    <s v="Urban"/>
  </r>
  <r>
    <s v="Sumica Preserve Water Storage/ Hydrologic Restoration"/>
    <s v="Polk County/ SFWMD"/>
    <s v="DWM"/>
    <s v="Construction of a gravel berm to store water on-site for wetland restoration."/>
    <n v="4077.4"/>
    <n v="42850"/>
    <n v="13000"/>
    <s v="SFWMD"/>
    <s v="Operational"/>
    <s v="N/A"/>
    <s v="November 2010"/>
    <n v="7.5"/>
    <n v="7.4999999999999997E-3"/>
    <s v="Not quantified"/>
    <x v="61"/>
    <x v="1"/>
    <s v="Urban"/>
  </r>
  <r>
    <s v="Taylor Creek"/>
    <s v="SFWMD"/>
    <s v="STA"/>
    <s v="The Taylor Creek STA is a two-celled STA. "/>
    <n v="118"/>
    <n v="26900000"/>
    <n v="50000"/>
    <s v="SFWMD and USACE"/>
    <s v="Completed"/>
    <s v="N/A"/>
    <n v="2009"/>
    <n v="1802.5"/>
    <n v="1.8025"/>
    <s v="Not quantified"/>
    <x v="61"/>
    <x v="4"/>
    <s v="Public/Private"/>
  </r>
  <r>
    <s v="Nubbin Slough "/>
    <s v="SFWMD"/>
    <s v="STA"/>
    <s v="The Nubbin Slough STA is the larger of the two pilot STAs constructed north of the lake. It is a two-celled enclosure."/>
    <n v="773"/>
    <s v="Included in SFWMD-1"/>
    <n v="100000"/>
    <s v="SFWMD and USACE"/>
    <s v="Completed, Not Operational"/>
    <s v="Unknown"/>
    <s v="Unknown"/>
    <n v="6193.6"/>
    <n v="6.1936"/>
    <s v="Not quantified"/>
    <x v="61"/>
    <x v="4"/>
    <s v="Public/Private"/>
  </r>
  <r>
    <s v="Lakeside Ranch Phase I"/>
    <s v="SFWMD"/>
    <s v="STA"/>
    <s v="Phase I included construction of a 1,200-acre STA, canal improvements, and the installation of the S-650 pump station. "/>
    <s v="N/A"/>
    <n v="22800000"/>
    <n v="341000"/>
    <s v="SFWMD"/>
    <s v="Completed "/>
    <s v="N/A"/>
    <n v="2012"/>
    <n v="13978.8"/>
    <n v="13.9788"/>
    <s v="Not quantified"/>
    <x v="61"/>
    <x v="4"/>
    <s v="Public/Private"/>
  </r>
  <r>
    <s v="Otter Slough Restoration"/>
    <s v="SFWMD"/>
    <s v="Restoration"/>
    <s v="Includes five ditch plugs and removal of two berms. It helps attenuate regional stormwater runoff, as well as providing nutrient reductions due to plant uptake from overland flows.  In 2011 LOPP, it was estimated to create 71 acre-ft of storage."/>
    <s v="N/A"/>
    <s v="Unknown"/>
    <s v="Unknown"/>
    <s v="SFWMD"/>
    <s v="Completed"/>
    <s v="N/A"/>
    <n v="2009"/>
    <n v="5.5839999999999996"/>
    <n v="5.5839999999999996E-3"/>
    <s v="Not quantified"/>
    <x v="61"/>
    <x v="5"/>
    <s v="Public/Private"/>
  </r>
  <r>
    <s v="Kissimmee River Restoration"/>
    <s v="SFWMD"/>
    <s v="Restoration"/>
    <s v="Restore ecological integrity by restoring 40 miles of meandering river and more than 12,000 miles of wetlands through the design and construction of physical project features coupled with application of optimized hydrologic conditions."/>
    <n v="26500"/>
    <n v="780000000"/>
    <s v="Unknown"/>
    <s v="SFWMD and USACE"/>
    <s v="Under Construction"/>
    <m/>
    <s v="2017-2020"/>
    <n v="17748"/>
    <n v="17.748000000000001"/>
    <s v="Not quantified"/>
    <x v="61"/>
    <x v="5"/>
    <s v="Public/Private"/>
  </r>
  <r>
    <s v="Phase I Rolling Meadows"/>
    <s v="SFWMD"/>
    <s v="Restoration"/>
    <s v="The goal of this project is to restore historic Lake Hatchineha floodplain wetlands and habitat within the Rolling Meadows property which was purchased jointly with the Department. "/>
    <n v="1900"/>
    <n v="43200000"/>
    <s v="Unknown"/>
    <s v="SFWMD and Department"/>
    <s v="Planned and Funded"/>
    <n v="2014"/>
    <s v="2015-2016"/>
    <n v="65.099999999999994"/>
    <n v="6.5099999999999991E-2"/>
    <s v="Not quantified"/>
    <x v="61"/>
    <x v="1"/>
    <s v="Public/Private"/>
  </r>
  <r>
    <s v="Gardner-Cobb Marsh"/>
    <s v="SFWMD"/>
    <s v="Restoration"/>
    <s v="Located south of Cypress Lake and includes 23 ditch plugs, berm removal, exotic treatment, and culvert replacement. It helps attenuate regional stormwater runoff and provide incidental nutrient reductions due to plant uptake from overland flows in the marsh."/>
    <n v="2000"/>
    <s v="Unknown"/>
    <s v="Unknown"/>
    <s v="SFWMD"/>
    <s v="Started"/>
    <n v="2009"/>
    <s v="Unknown"/>
    <n v="5.2"/>
    <n v="5.1999999999999998E-3"/>
    <s v="Not quantified"/>
    <x v="61"/>
    <x v="1"/>
    <s v="Public/Private"/>
  </r>
  <r>
    <s v="Rough Island "/>
    <s v="SFWMD"/>
    <s v="Restoration"/>
    <s v="Located southwest of Cypress Lake and west of the C-36 Canal.  The project includes 31 ditch plugs and exotic removal. It helps attenuate regional stormwater runoff and provides incidental nutrient reductions due to plant uptake from overland flows.  Estimated to create 215 acre-ft of storage"/>
    <n v="1000"/>
    <s v="Unknown"/>
    <s v="Unknown"/>
    <s v="SFWMD"/>
    <s v="Started"/>
    <n v="2009"/>
    <s v="Unknown"/>
    <n v="60.8"/>
    <n v="6.08E-2"/>
    <s v="Not quantified"/>
    <x v="61"/>
    <x v="1"/>
    <s v="Public/Private"/>
  </r>
  <r>
    <s v="Oasis Marsh Restoration"/>
    <s v="SFWMD"/>
    <s v="Restoration"/>
    <s v="The Oasis wetlands are located in floodplain of the southwest corner of Lake Kissimmee and the site is a mosaic of dewatered wetlands and uplands. To restore the floodplain function, four ditches totaling 2.4 acres in size were filled with 3,144 cubic yards of sediment material from a levee adjacent to the site in spring 2010. The restoration of the topography of Oasis Marsh will restore approximately 77 acres of wetlands and reconnect them to the littoral zone of Lake Kissimmee."/>
    <n v="77"/>
    <s v="Unknown"/>
    <s v="Unknown"/>
    <s v="SFWMD"/>
    <s v="Started"/>
    <n v="2009"/>
    <s v="Unknown"/>
    <n v="195.3"/>
    <n v="0.1953"/>
    <s v="Not quantified"/>
    <x v="61"/>
    <x v="1"/>
    <s v="Public/Private"/>
  </r>
  <r>
    <s v="West Waterhole Marsh"/>
    <s v="SFWMD"/>
    <s v="DWM"/>
    <s v="Storage of 5,000 ac-ft of water through above ground impoundment."/>
    <s v="N/A"/>
    <n v="50000"/>
    <n v="493750"/>
    <s v="FRESP"/>
    <s v="Operational"/>
    <s v="N/A"/>
    <s v="Unknown"/>
    <n v="4166.3999999999996"/>
    <n v="4.1663999999999994"/>
    <n v="20619.5"/>
    <x v="109"/>
    <x v="3"/>
    <s v="Public/Private"/>
  </r>
  <r>
    <s v="Rafter T Ranch"/>
    <s v="SFWMD"/>
    <s v="DWM"/>
    <s v="Storage of 1,145 ac-ft of water through above ground impoundment and pasture."/>
    <s v="N/A"/>
    <n v="431524"/>
    <n v="92490"/>
    <s v="FRESP"/>
    <s v="Operational"/>
    <s v="N/A"/>
    <s v="Unknown"/>
    <n v="89.8"/>
    <n v="8.9799999999999991E-2"/>
    <s v="Not quantified"/>
    <x v="61"/>
    <x v="0"/>
    <s v="Public/Private"/>
  </r>
  <r>
    <s v="Buck Island Ranch"/>
    <s v="SFWMD"/>
    <s v="DWM"/>
    <s v="Storage of 1,573 ac-ft of water through pasture."/>
    <s v="N/A"/>
    <n v="1928"/>
    <n v="173600"/>
    <s v="SFWMD"/>
    <s v="Operational"/>
    <s v="N/A"/>
    <s v="Unknown"/>
    <n v="1087.2"/>
    <n v="1.0871999999999999"/>
    <s v="Not quantified"/>
    <x v="61"/>
    <x v="3"/>
    <s v="Public/Private"/>
  </r>
  <r>
    <s v="Dixie West"/>
    <s v="SFWMD"/>
    <s v="DWM"/>
    <s v="Storage of 315 ac-ft of water through pasture."/>
    <s v="N/A"/>
    <n v="7228"/>
    <n v="51500"/>
    <s v="SFWMD"/>
    <s v="Operational"/>
    <s v="N/A"/>
    <s v="Unknown"/>
    <n v="230.5"/>
    <n v="0.23050000000000001"/>
    <s v="Not quantified"/>
    <x v="61"/>
    <x v="5"/>
    <s v="Public/Private"/>
  </r>
  <r>
    <s v="Dixie Ranch"/>
    <s v="SFWMD"/>
    <s v="DWM"/>
    <s v="Storage of 856 ac-ft of water through pasture."/>
    <s v="N/A"/>
    <n v="17015"/>
    <n v="146500"/>
    <s v="SFWMD"/>
    <s v="Operational"/>
    <s v="N/A"/>
    <s v="Unknown"/>
    <n v="133.69999999999999"/>
    <n v="0.13369999999999999"/>
    <s v="Not quantified"/>
    <x v="61"/>
    <x v="5"/>
    <s v="Public/Private"/>
  </r>
  <r>
    <s v="Dixie Ranch"/>
    <s v="SFWMD"/>
    <s v="DWM"/>
    <s v="Storage of 856 ac-ft of water through pasture."/>
    <s v="N/A"/>
    <n v="17015"/>
    <n v="146500"/>
    <s v="SFWMD"/>
    <s v="Completed "/>
    <s v="N/A"/>
    <s v="Unknown"/>
    <n v="205.9"/>
    <n v="0.2059"/>
    <s v="Not quantified"/>
    <x v="61"/>
    <x v="4"/>
    <s v="Public/Private"/>
  </r>
  <r>
    <s v="Lost Oak Ranch"/>
    <s v="SFWMD"/>
    <s v="DWM"/>
    <s v="Storage of 374 ac-ft of water through pasture."/>
    <s v="N/A"/>
    <n v="61030"/>
    <n v="55000"/>
    <s v="SFWMD"/>
    <s v="Started"/>
    <s v="N/A"/>
    <s v="Unknown"/>
    <n v="28"/>
    <n v="2.8000000000000001E-2"/>
    <s v="Not quantified"/>
    <x v="61"/>
    <x v="1"/>
    <s v="Public/Private"/>
  </r>
  <r>
    <s v="Willaway Cattle &amp; Sod"/>
    <s v="SFWMD"/>
    <s v="DWM"/>
    <s v="Storage of 229 ac-ft of water through above ground impoundment."/>
    <s v="N/A"/>
    <n v="325494"/>
    <n v="1879"/>
    <s v="SFWMD"/>
    <s v="Completed "/>
    <s v="N/A"/>
    <s v="Unknown"/>
    <n v="114.4"/>
    <n v="0.1144"/>
    <s v="Not quantified"/>
    <x v="61"/>
    <x v="5"/>
    <s v="Public/Private"/>
  </r>
  <r>
    <s v="XL Ranch (Lightsey)"/>
    <s v="SFWMD"/>
    <s v="DWM"/>
    <s v="Storage of 887 ac-ft of water through above ground impoundment and pasture."/>
    <s v="N/A"/>
    <n v="52415"/>
    <n v="130150"/>
    <s v="SFWMD"/>
    <s v="Operational"/>
    <s v="N/A"/>
    <s v="Unknown"/>
    <n v="70.900000000000006"/>
    <n v="7.0900000000000005E-2"/>
    <s v="Not quantified"/>
    <x v="61"/>
    <x v="2"/>
    <s v="Public/Private"/>
  </r>
  <r>
    <s v="Triple A Ranch"/>
    <s v="SFWMD"/>
    <s v="DWM"/>
    <s v="Storage of 397 ac-ft of water through above ground impoundment."/>
    <s v="N/A"/>
    <n v="322186"/>
    <n v="28500"/>
    <s v="SFWMD"/>
    <s v="Under Construction"/>
    <s v="Unknown"/>
    <s v="Unknown"/>
    <n v="78.599999999999994"/>
    <n v="7.8599999999999989E-2"/>
    <s v="Not quantified"/>
    <x v="61"/>
    <x v="5"/>
    <s v="Public/Private"/>
  </r>
  <r>
    <s v="Blue Head Ranch"/>
    <s v="SFWMD"/>
    <s v="DWM"/>
    <s v="Storage of 3,462 ac-ft of water through pasture."/>
    <s v="N/A"/>
    <n v="193750"/>
    <n v="361200"/>
    <s v="SFWMD"/>
    <s v="Design/ Permitting"/>
    <s v="Unknown"/>
    <s v="Unknown"/>
    <n v="724.2"/>
    <n v="0.72420000000000007"/>
    <s v="Not quantified"/>
    <x v="61"/>
    <x v="2"/>
    <s v="Public/Private"/>
  </r>
  <r>
    <s v="Nicodemus Slough"/>
    <s v="SFWMD"/>
    <s v="DWM"/>
    <s v="Storage of 34,000 ac-ft of water through above ground impoundment and pasture."/>
    <s v="N/A"/>
    <n v="4900000"/>
    <n v="2968328"/>
    <s v="SFWMD"/>
    <s v="Under Construction"/>
    <s v="Unknown"/>
    <s v="Unknown"/>
    <n v="3248.5"/>
    <n v="3.2484999999999999"/>
    <s v="Not quantified"/>
    <x v="61"/>
    <x v="2"/>
    <s v="Public/Private"/>
  </r>
  <r>
    <s v="Kissimmee River Headwaters Restoration"/>
    <s v="SFWMD"/>
    <s v="Restoration"/>
    <s v="Land use change to wetlands in the project area."/>
    <n v="40875"/>
    <s v="Unknown"/>
    <s v="Unknown"/>
    <s v="SFWMD"/>
    <s v="Started"/>
    <s v="Unknown"/>
    <s v="Unknown"/>
    <n v="566.4"/>
    <n v="0.56640000000000001"/>
    <s v="Not quantified"/>
    <x v="61"/>
    <x v="1"/>
    <s v="Public/Private"/>
  </r>
  <r>
    <s v="Spring Lake Improvement District Improvements"/>
    <s v="Spring Lake Improvement District"/>
    <s v="STA"/>
    <s v="Treatment of runoff through a stormwater treatment area."/>
    <n v="2308"/>
    <n v="4262105"/>
    <s v="Unknown"/>
    <s v="SLID and Department Section 319 Grant"/>
    <s v="Planned and Funded"/>
    <s v="Unknown"/>
    <s v="Unknown"/>
    <n v="4.5"/>
    <n v="4.4999999999999997E-3"/>
    <n v="32.9"/>
    <x v="110"/>
    <x v="0"/>
    <s v="Special District"/>
  </r>
  <r>
    <m/>
    <m/>
    <m/>
    <m/>
    <m/>
    <m/>
    <m/>
    <m/>
    <m/>
    <m/>
    <m/>
    <m/>
    <n v="70.618246726756382"/>
    <m/>
    <x v="111"/>
    <x v="6"/>
    <m/>
  </r>
  <r>
    <m/>
    <m/>
    <m/>
    <m/>
    <m/>
    <m/>
    <m/>
    <m/>
    <m/>
    <m/>
    <s v="Total Urban and Regional Projects (kg/yr)"/>
    <n v="70618.246726756392"/>
    <m/>
    <m/>
    <x v="111"/>
    <x v="6"/>
    <m/>
  </r>
  <r>
    <m/>
    <m/>
    <m/>
    <m/>
    <m/>
    <m/>
    <m/>
    <m/>
    <m/>
    <m/>
    <s v="Agricultural BMPs (kg/yr)"/>
    <n v="32822.5"/>
    <m/>
    <m/>
    <x v="111"/>
    <x v="6"/>
    <m/>
  </r>
  <r>
    <m/>
    <m/>
    <m/>
    <m/>
    <m/>
    <m/>
    <m/>
    <m/>
    <m/>
    <m/>
    <s v="Total Estimated TP Reductions (kg/yr)"/>
    <n v="103440.74672675639"/>
    <m/>
    <m/>
    <x v="111"/>
    <x v="6"/>
    <m/>
  </r>
  <r>
    <m/>
    <m/>
    <m/>
    <m/>
    <m/>
    <m/>
    <m/>
    <m/>
    <m/>
    <m/>
    <m/>
    <m/>
    <m/>
    <m/>
    <x v="111"/>
    <x v="6"/>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pivotTable1.xml><?xml version="1.0" encoding="utf-8"?>
<pivotTableDefinition xmlns="http://schemas.openxmlformats.org/spreadsheetml/2006/main" name="PivotTable2" cacheId="1" applyNumberFormats="0" applyBorderFormats="0" applyFontFormats="0" applyPatternFormats="0" applyAlignmentFormats="0" applyWidthHeightFormats="1" dataCaption="Values" updatedVersion="5" minRefreshableVersion="3" useAutoFormatting="1" itemPrintTitles="1" createdVersion="5" indent="0" outline="1" outlineData="1" multipleFieldFilters="0">
  <location ref="E3:F17" firstHeaderRow="1" firstDataRow="1" firstDataCol="1"/>
  <pivotFields count="18">
    <pivotField showAll="0"/>
    <pivotField showAll="0"/>
    <pivotField showAll="0"/>
    <pivotField showAll="0"/>
    <pivotField showAll="0"/>
    <pivotField showAll="0"/>
    <pivotField showAll="0"/>
    <pivotField dataField="1" showAll="0"/>
    <pivotField showAll="0"/>
    <pivotField axis="axisRow" showAll="0">
      <items count="14">
        <item x="3"/>
        <item x="10"/>
        <item x="9"/>
        <item x="12"/>
        <item x="1"/>
        <item x="6"/>
        <item x="0"/>
        <item x="5"/>
        <item x="4"/>
        <item x="2"/>
        <item x="11"/>
        <item x="7"/>
        <item x="8"/>
        <item t="default"/>
      </items>
    </pivotField>
    <pivotField showAll="0"/>
    <pivotField showAll="0"/>
    <pivotField showAll="0"/>
    <pivotField showAll="0"/>
    <pivotField showAll="0"/>
    <pivotField showAll="0"/>
    <pivotField showAll="0"/>
    <pivotField showAll="0"/>
  </pivotFields>
  <rowFields count="1">
    <field x="9"/>
  </rowFields>
  <rowItems count="14">
    <i>
      <x/>
    </i>
    <i>
      <x v="1"/>
    </i>
    <i>
      <x v="2"/>
    </i>
    <i>
      <x v="3"/>
    </i>
    <i>
      <x v="4"/>
    </i>
    <i>
      <x v="5"/>
    </i>
    <i>
      <x v="6"/>
    </i>
    <i>
      <x v="7"/>
    </i>
    <i>
      <x v="8"/>
    </i>
    <i>
      <x v="9"/>
    </i>
    <i>
      <x v="10"/>
    </i>
    <i>
      <x v="11"/>
    </i>
    <i>
      <x v="12"/>
    </i>
    <i t="grand">
      <x/>
    </i>
  </rowItems>
  <colItems count="1">
    <i/>
  </colItems>
  <dataFields count="1">
    <dataField name="Sum of Annual O&amp;M Cost" fld="7" baseField="9" baseItem="0"/>
  </dataFields>
  <formats count="2">
    <format dxfId="14">
      <pivotArea collapsedLevelsAreSubtotals="1" fieldPosition="0">
        <references count="1">
          <reference field="9" count="0"/>
        </references>
      </pivotArea>
    </format>
    <format dxfId="13">
      <pivotArea grandRow="1" outline="0" collapsedLevelsAreSubtotals="1"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2.xml><?xml version="1.0" encoding="utf-8"?>
<pivotTableDefinition xmlns="http://schemas.openxmlformats.org/spreadsheetml/2006/main" name="PivotTable3" cacheId="2" applyNumberFormats="0" applyBorderFormats="0" applyFontFormats="0" applyPatternFormats="0" applyAlignmentFormats="0" applyWidthHeightFormats="1" dataCaption="Values" updatedVersion="5" minRefreshableVersion="3" useAutoFormatting="1" itemPrintTitles="1" createdVersion="5" indent="0" outline="1" outlineData="1" multipleFieldFilters="0">
  <location ref="I3:K10" firstHeaderRow="0" firstDataRow="1" firstDataCol="1" rowPageCount="1" colPageCount="1"/>
  <pivotFields count="17">
    <pivotField showAll="0"/>
    <pivotField showAll="0"/>
    <pivotField showAll="0"/>
    <pivotField showAll="0"/>
    <pivotField showAll="0"/>
    <pivotField showAll="0"/>
    <pivotField showAll="0"/>
    <pivotField showAll="0"/>
    <pivotField showAll="0"/>
    <pivotField showAll="0"/>
    <pivotField showAll="0"/>
    <pivotField showAll="0"/>
    <pivotField showAll="0"/>
    <pivotField dataField="1" showAll="0"/>
    <pivotField axis="axisPage" dataField="1" multipleItemSelectionAllowed="1" showAll="0">
      <items count="113">
        <item x="8"/>
        <item x="69"/>
        <item x="38"/>
        <item x="98"/>
        <item x="101"/>
        <item x="71"/>
        <item x="63"/>
        <item x="48"/>
        <item x="44"/>
        <item x="39"/>
        <item x="11"/>
        <item x="53"/>
        <item x="73"/>
        <item x="72"/>
        <item x="70"/>
        <item x="49"/>
        <item x="51"/>
        <item x="43"/>
        <item x="80"/>
        <item x="50"/>
        <item x="14"/>
        <item x="52"/>
        <item x="99"/>
        <item x="12"/>
        <item x="47"/>
        <item x="46"/>
        <item x="79"/>
        <item x="78"/>
        <item x="42"/>
        <item x="64"/>
        <item x="68"/>
        <item x="2"/>
        <item x="9"/>
        <item x="97"/>
        <item x="45"/>
        <item x="67"/>
        <item x="40"/>
        <item x="103"/>
        <item x="13"/>
        <item x="100"/>
        <item x="10"/>
        <item x="41"/>
        <item x="0"/>
        <item x="23"/>
        <item x="17"/>
        <item x="74"/>
        <item x="90"/>
        <item x="94"/>
        <item x="62"/>
        <item x="22"/>
        <item x="1"/>
        <item x="16"/>
        <item x="18"/>
        <item x="3"/>
        <item x="82"/>
        <item x="20"/>
        <item x="105"/>
        <item x="55"/>
        <item x="25"/>
        <item x="19"/>
        <item x="83"/>
        <item x="75"/>
        <item x="24"/>
        <item x="60"/>
        <item x="86"/>
        <item x="88"/>
        <item x="66"/>
        <item x="110"/>
        <item x="21"/>
        <item x="15"/>
        <item x="36"/>
        <item x="35"/>
        <item x="96"/>
        <item x="37"/>
        <item x="76"/>
        <item x="4"/>
        <item x="28"/>
        <item x="54"/>
        <item x="6"/>
        <item x="81"/>
        <item x="26"/>
        <item x="102"/>
        <item x="7"/>
        <item x="104"/>
        <item x="56"/>
        <item x="87"/>
        <item x="33"/>
        <item x="107"/>
        <item x="5"/>
        <item x="57"/>
        <item x="92"/>
        <item x="59"/>
        <item x="77"/>
        <item x="34"/>
        <item x="29"/>
        <item x="93"/>
        <item x="91"/>
        <item x="106"/>
        <item x="30"/>
        <item x="84"/>
        <item x="89"/>
        <item x="27"/>
        <item x="108"/>
        <item x="58"/>
        <item x="31"/>
        <item x="95"/>
        <item x="85"/>
        <item x="65"/>
        <item x="109"/>
        <item x="32"/>
        <item h="1" x="61"/>
        <item h="1" x="111"/>
        <item t="default"/>
      </items>
    </pivotField>
    <pivotField axis="axisRow" showAll="0">
      <items count="8">
        <item x="2"/>
        <item x="3"/>
        <item x="0"/>
        <item x="5"/>
        <item x="4"/>
        <item x="1"/>
        <item x="6"/>
        <item t="default"/>
      </items>
    </pivotField>
    <pivotField showAll="0"/>
  </pivotFields>
  <rowFields count="1">
    <field x="15"/>
  </rowFields>
  <rowItems count="7">
    <i>
      <x/>
    </i>
    <i>
      <x v="1"/>
    </i>
    <i>
      <x v="2"/>
    </i>
    <i>
      <x v="3"/>
    </i>
    <i>
      <x v="4"/>
    </i>
    <i>
      <x v="5"/>
    </i>
    <i t="grand">
      <x/>
    </i>
  </rowItems>
  <colFields count="1">
    <field x="-2"/>
  </colFields>
  <colItems count="2">
    <i>
      <x/>
    </i>
    <i i="1">
      <x v="1"/>
    </i>
  </colItems>
  <pageFields count="1">
    <pageField fld="14" hier="-1"/>
  </pageFields>
  <dataFields count="2">
    <dataField name="Sum of TN Reduction (MT/yr)" fld="14" baseField="15" baseItem="0"/>
    <dataField name="Sum of TN Reduction (kg/yr)" fld="13" baseField="15" baseItem="0"/>
  </dataFields>
  <formats count="1">
    <format dxfId="15">
      <pivotArea outline="0" collapsedLevelsAreSubtotals="1"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3.xml><?xml version="1.0" encoding="utf-8"?>
<pivotTableDefinition xmlns="http://schemas.openxmlformats.org/spreadsheetml/2006/main" name="PivotTable1" cacheId="0" applyNumberFormats="0" applyBorderFormats="0" applyFontFormats="0" applyPatternFormats="0" applyAlignmentFormats="0" applyWidthHeightFormats="1" dataCaption="Values" updatedVersion="5" minRefreshableVersion="3" useAutoFormatting="1" itemPrintTitles="1" createdVersion="5" indent="0" outline="1" outlineData="1" multipleFieldFilters="0">
  <location ref="A3:B18" firstHeaderRow="1" firstDataRow="1" firstDataCol="1"/>
  <pivotFields count="18">
    <pivotField showAll="0"/>
    <pivotField showAll="0"/>
    <pivotField showAll="0"/>
    <pivotField showAll="0"/>
    <pivotField showAll="0"/>
    <pivotField showAll="0"/>
    <pivotField dataField="1" showAll="0"/>
    <pivotField showAll="0"/>
    <pivotField showAll="0"/>
    <pivotField axis="axisRow" showAll="0">
      <items count="15">
        <item x="3"/>
        <item x="10"/>
        <item x="9"/>
        <item x="12"/>
        <item x="1"/>
        <item x="6"/>
        <item x="0"/>
        <item x="5"/>
        <item x="4"/>
        <item x="2"/>
        <item x="11"/>
        <item x="7"/>
        <item x="13"/>
        <item x="8"/>
        <item t="default"/>
      </items>
    </pivotField>
    <pivotField showAll="0"/>
    <pivotField showAll="0"/>
    <pivotField showAll="0"/>
    <pivotField showAll="0"/>
    <pivotField showAll="0"/>
    <pivotField showAll="0"/>
    <pivotField showAll="0"/>
    <pivotField showAll="0"/>
  </pivotFields>
  <rowFields count="1">
    <field x="9"/>
  </rowFields>
  <rowItems count="15">
    <i>
      <x/>
    </i>
    <i>
      <x v="1"/>
    </i>
    <i>
      <x v="2"/>
    </i>
    <i>
      <x v="3"/>
    </i>
    <i>
      <x v="4"/>
    </i>
    <i>
      <x v="5"/>
    </i>
    <i>
      <x v="6"/>
    </i>
    <i>
      <x v="7"/>
    </i>
    <i>
      <x v="8"/>
    </i>
    <i>
      <x v="9"/>
    </i>
    <i>
      <x v="10"/>
    </i>
    <i>
      <x v="11"/>
    </i>
    <i>
      <x v="12"/>
    </i>
    <i>
      <x v="13"/>
    </i>
    <i t="grand">
      <x/>
    </i>
  </rowItems>
  <colItems count="1">
    <i/>
  </colItems>
  <dataFields count="1">
    <dataField name="Sum of Cost" fld="6" baseField="9" baseItem="1"/>
  </dataFields>
  <formats count="2">
    <format dxfId="17">
      <pivotArea collapsedLevelsAreSubtotals="1" fieldPosition="0">
        <references count="1">
          <reference field="9" count="12">
            <x v="0"/>
            <x v="1"/>
            <x v="2"/>
            <x v="3"/>
            <x v="4"/>
            <x v="5"/>
            <x v="6"/>
            <x v="7"/>
            <x v="8"/>
            <x v="9"/>
            <x v="10"/>
            <x v="11"/>
          </reference>
        </references>
      </pivotArea>
    </format>
    <format dxfId="16">
      <pivotArea grandRow="1" outline="0" collapsedLevelsAreSubtotals="1"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4.xml><?xml version="1.0" encoding="utf-8"?>
<pivotTableDefinition xmlns="http://schemas.openxmlformats.org/spreadsheetml/2006/main" name="PivotTable1" cacheId="1" applyNumberFormats="0" applyBorderFormats="0" applyFontFormats="0" applyPatternFormats="0" applyAlignmentFormats="0" applyWidthHeightFormats="1" dataCaption="Values" updatedVersion="5" minRefreshableVersion="3" useAutoFormatting="1" itemPrintTitles="1" createdVersion="5" indent="0" outline="1" outlineData="1" multipleFieldFilters="0">
  <location ref="A3:B85" firstHeaderRow="1" firstDataRow="1" firstDataCol="1"/>
  <pivotFields count="18">
    <pivotField dataField="1" showAll="0"/>
    <pivotField showAll="0"/>
    <pivotField axis="axisRow" showAll="0">
      <items count="24">
        <item x="0"/>
        <item x="1"/>
        <item x="2"/>
        <item x="4"/>
        <item x="5"/>
        <item x="7"/>
        <item x="6"/>
        <item x="8"/>
        <item x="9"/>
        <item x="10"/>
        <item x="3"/>
        <item x="11"/>
        <item x="12"/>
        <item x="13"/>
        <item x="14"/>
        <item x="15"/>
        <item x="16"/>
        <item x="17"/>
        <item x="18"/>
        <item x="19"/>
        <item x="20"/>
        <item x="21"/>
        <item x="22"/>
        <item t="default"/>
      </items>
    </pivotField>
    <pivotField showAll="0"/>
    <pivotField showAll="0"/>
    <pivotField showAll="0"/>
    <pivotField showAll="0"/>
    <pivotField showAll="0"/>
    <pivotField showAll="0"/>
    <pivotField showAll="0"/>
    <pivotField showAll="0"/>
    <pivotField axis="axisRow" showAll="0">
      <items count="32">
        <item sd="0" x="9"/>
        <item sd="0" x="10"/>
        <item sd="0" x="28"/>
        <item sd="0" x="24"/>
        <item sd="0" x="21"/>
        <item sd="0" x="19"/>
        <item sd="0" x="2"/>
        <item sd="0" x="20"/>
        <item sd="0" x="30"/>
        <item sd="0" x="29"/>
        <item sd="0" x="7"/>
        <item sd="0" x="3"/>
        <item sd="0" x="17"/>
        <item sd="0" x="6"/>
        <item sd="0" x="5"/>
        <item sd="0" x="16"/>
        <item x="11"/>
        <item x="8"/>
        <item x="12"/>
        <item x="14"/>
        <item x="18"/>
        <item x="27"/>
        <item x="4"/>
        <item x="13"/>
        <item x="15"/>
        <item x="26"/>
        <item x="25"/>
        <item x="22"/>
        <item x="0"/>
        <item x="23"/>
        <item x="1"/>
        <item t="default"/>
      </items>
    </pivotField>
    <pivotField showAll="0"/>
    <pivotField showAll="0"/>
    <pivotField showAll="0"/>
    <pivotField showAll="0"/>
    <pivotField showAll="0"/>
    <pivotField showAll="0"/>
  </pivotFields>
  <rowFields count="2">
    <field x="2"/>
    <field x="11"/>
  </rowFields>
  <rowItems count="82">
    <i>
      <x/>
    </i>
    <i r="1">
      <x v="28"/>
    </i>
    <i>
      <x v="1"/>
    </i>
    <i r="1">
      <x v="30"/>
    </i>
    <i>
      <x v="2"/>
    </i>
    <i r="1">
      <x v="28"/>
    </i>
    <i>
      <x v="3"/>
    </i>
    <i r="1">
      <x v="6"/>
    </i>
    <i r="1">
      <x v="28"/>
    </i>
    <i r="1">
      <x v="30"/>
    </i>
    <i>
      <x v="4"/>
    </i>
    <i r="1">
      <x v="10"/>
    </i>
    <i r="1">
      <x v="11"/>
    </i>
    <i r="1">
      <x v="13"/>
    </i>
    <i r="1">
      <x v="14"/>
    </i>
    <i r="1">
      <x v="22"/>
    </i>
    <i r="1">
      <x v="28"/>
    </i>
    <i>
      <x v="5"/>
    </i>
    <i r="1">
      <x v="28"/>
    </i>
    <i>
      <x v="6"/>
    </i>
    <i r="1">
      <x v="17"/>
    </i>
    <i>
      <x v="7"/>
    </i>
    <i r="1">
      <x/>
    </i>
    <i r="1">
      <x v="1"/>
    </i>
    <i r="1">
      <x v="30"/>
    </i>
    <i>
      <x v="8"/>
    </i>
    <i r="1">
      <x v="28"/>
    </i>
    <i r="1">
      <x v="30"/>
    </i>
    <i>
      <x v="9"/>
    </i>
    <i r="1">
      <x v="16"/>
    </i>
    <i r="1">
      <x v="18"/>
    </i>
    <i r="1">
      <x v="19"/>
    </i>
    <i r="1">
      <x v="23"/>
    </i>
    <i r="1">
      <x v="24"/>
    </i>
    <i r="1">
      <x v="28"/>
    </i>
    <i r="1">
      <x v="30"/>
    </i>
    <i>
      <x v="10"/>
    </i>
    <i r="1">
      <x v="28"/>
    </i>
    <i>
      <x v="11"/>
    </i>
    <i r="1">
      <x v="28"/>
    </i>
    <i>
      <x v="12"/>
    </i>
    <i r="1">
      <x v="15"/>
    </i>
    <i r="1">
      <x v="30"/>
    </i>
    <i>
      <x v="13"/>
    </i>
    <i r="1">
      <x v="30"/>
    </i>
    <i>
      <x v="14"/>
    </i>
    <i r="1">
      <x v="30"/>
    </i>
    <i>
      <x v="15"/>
    </i>
    <i r="1">
      <x v="4"/>
    </i>
    <i r="1">
      <x v="5"/>
    </i>
    <i r="1">
      <x v="7"/>
    </i>
    <i r="1">
      <x v="12"/>
    </i>
    <i r="1">
      <x v="27"/>
    </i>
    <i r="1">
      <x v="28"/>
    </i>
    <i r="1">
      <x v="30"/>
    </i>
    <i>
      <x v="16"/>
    </i>
    <i r="1">
      <x v="20"/>
    </i>
    <i>
      <x v="17"/>
    </i>
    <i r="1">
      <x/>
    </i>
    <i r="1">
      <x v="2"/>
    </i>
    <i r="1">
      <x v="3"/>
    </i>
    <i r="1">
      <x v="12"/>
    </i>
    <i r="1">
      <x v="25"/>
    </i>
    <i r="1">
      <x v="26"/>
    </i>
    <i r="1">
      <x v="28"/>
    </i>
    <i r="1">
      <x v="29"/>
    </i>
    <i r="1">
      <x v="30"/>
    </i>
    <i>
      <x v="18"/>
    </i>
    <i r="1">
      <x v="21"/>
    </i>
    <i>
      <x v="19"/>
    </i>
    <i r="1">
      <x v="28"/>
    </i>
    <i>
      <x v="20"/>
    </i>
    <i r="1">
      <x v="24"/>
    </i>
    <i>
      <x v="21"/>
    </i>
    <i r="1">
      <x/>
    </i>
    <i r="1">
      <x v="3"/>
    </i>
    <i r="1">
      <x v="8"/>
    </i>
    <i r="1">
      <x v="9"/>
    </i>
    <i r="1">
      <x v="30"/>
    </i>
    <i>
      <x v="22"/>
    </i>
    <i r="1">
      <x v="30"/>
    </i>
    <i t="grand">
      <x/>
    </i>
  </rowItems>
  <colItems count="1">
    <i/>
  </colItems>
  <dataFields count="1">
    <dataField name="Count of Project Number" fld="0" subtotal="count" baseField="0" baseItem="0"/>
  </dataFields>
  <formats count="13">
    <format dxfId="12">
      <pivotArea field="2" type="button" dataOnly="0" labelOnly="1" outline="0" axis="axisRow" fieldPosition="0"/>
    </format>
    <format dxfId="11">
      <pivotArea dataOnly="0" labelOnly="1" fieldPosition="0">
        <references count="1">
          <reference field="2" count="0"/>
        </references>
      </pivotArea>
    </format>
    <format dxfId="10">
      <pivotArea dataOnly="0" labelOnly="1" grandRow="1" outline="0" fieldPosition="0"/>
    </format>
    <format dxfId="9">
      <pivotArea dataOnly="0" labelOnly="1" fieldPosition="0">
        <references count="2">
          <reference field="2" count="1" selected="0">
            <x v="0"/>
          </reference>
          <reference field="11" count="27">
            <x v="0"/>
            <x v="1"/>
            <x v="2"/>
            <x v="3"/>
            <x v="4"/>
            <x v="5"/>
            <x v="6"/>
            <x v="7"/>
            <x v="10"/>
            <x v="11"/>
            <x v="12"/>
            <x v="13"/>
            <x v="14"/>
            <x v="15"/>
            <x v="16"/>
            <x v="17"/>
            <x v="18"/>
            <x v="19"/>
            <x v="20"/>
            <x v="22"/>
            <x v="23"/>
            <x v="24"/>
            <x v="25"/>
            <x v="26"/>
            <x v="27"/>
            <x v="28"/>
            <x v="30"/>
          </reference>
        </references>
      </pivotArea>
    </format>
    <format dxfId="8">
      <pivotArea dataOnly="0" labelOnly="1" fieldPosition="0">
        <references count="2">
          <reference field="2" count="1" selected="0">
            <x v="17"/>
          </reference>
          <reference field="11" count="9">
            <x v="0"/>
            <x v="3"/>
            <x v="8"/>
            <x v="9"/>
            <x v="21"/>
            <x v="24"/>
            <x v="28"/>
            <x v="29"/>
            <x v="30"/>
          </reference>
        </references>
      </pivotArea>
    </format>
    <format dxfId="7">
      <pivotArea type="all" dataOnly="0" outline="0" fieldPosition="0"/>
    </format>
    <format dxfId="6">
      <pivotArea outline="0" collapsedLevelsAreSubtotals="1" fieldPosition="0"/>
    </format>
    <format dxfId="5">
      <pivotArea field="2" type="button" dataOnly="0" labelOnly="1" outline="0" axis="axisRow" fieldPosition="0"/>
    </format>
    <format dxfId="4">
      <pivotArea dataOnly="0" labelOnly="1" outline="0" axis="axisValues" fieldPosition="0"/>
    </format>
    <format dxfId="3">
      <pivotArea dataOnly="0" labelOnly="1" fieldPosition="0">
        <references count="1">
          <reference field="2" count="0"/>
        </references>
      </pivotArea>
    </format>
    <format dxfId="2">
      <pivotArea dataOnly="0" labelOnly="1" grandRow="1" outline="0" fieldPosition="0"/>
    </format>
    <format dxfId="1">
      <pivotArea dataOnly="0" labelOnly="1" fieldPosition="0">
        <references count="2">
          <reference field="2" count="1" selected="0">
            <x v="0"/>
          </reference>
          <reference field="11" count="27">
            <x v="0"/>
            <x v="1"/>
            <x v="2"/>
            <x v="3"/>
            <x v="4"/>
            <x v="5"/>
            <x v="6"/>
            <x v="7"/>
            <x v="10"/>
            <x v="11"/>
            <x v="12"/>
            <x v="13"/>
            <x v="14"/>
            <x v="15"/>
            <x v="16"/>
            <x v="17"/>
            <x v="18"/>
            <x v="19"/>
            <x v="20"/>
            <x v="22"/>
            <x v="23"/>
            <x v="24"/>
            <x v="25"/>
            <x v="26"/>
            <x v="27"/>
            <x v="28"/>
            <x v="30"/>
          </reference>
        </references>
      </pivotArea>
    </format>
    <format dxfId="0">
      <pivotArea dataOnly="0" labelOnly="1" fieldPosition="0">
        <references count="2">
          <reference field="2" count="1" selected="0">
            <x v="17"/>
          </reference>
          <reference field="11" count="9">
            <x v="0"/>
            <x v="3"/>
            <x v="8"/>
            <x v="9"/>
            <x v="21"/>
            <x v="24"/>
            <x v="28"/>
            <x v="29"/>
            <x v="30"/>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3.xml.rels><?xml version="1.0" encoding="UTF-8" standalone="yes"?>
<Relationships xmlns="http://schemas.openxmlformats.org/package/2006/relationships"><Relationship Id="rId3" Type="http://schemas.openxmlformats.org/officeDocument/2006/relationships/pivotTable" Target="../pivotTables/pivotTable3.xml"/><Relationship Id="rId2" Type="http://schemas.openxmlformats.org/officeDocument/2006/relationships/pivotTable" Target="../pivotTables/pivotTable2.xml"/><Relationship Id="rId1" Type="http://schemas.openxmlformats.org/officeDocument/2006/relationships/pivotTable" Target="../pivotTables/pivotTable1.xml"/></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pivotTable" Target="../pivotTables/pivotTable4.xml"/></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44.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hyperlink" Target="http://people.sc.fsu.edu/~mye/ArcNLET/index.html" TargetMode="External"/></Relationships>
</file>

<file path=xl/worksheets/_rels/sheet45.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23.bin"/></Relationships>
</file>

<file path=xl/worksheets/_rels/sheet46.xml.rels><?xml version="1.0" encoding="UTF-8" standalone="yes"?>
<Relationships xmlns="http://schemas.openxmlformats.org/package/2006/relationships"><Relationship Id="rId2" Type="http://schemas.openxmlformats.org/officeDocument/2006/relationships/comments" Target="../comments9.xml"/><Relationship Id="rId1" Type="http://schemas.openxmlformats.org/officeDocument/2006/relationships/vmlDrawing" Target="../drawings/vmlDrawing9.vml"/></Relationships>
</file>

<file path=xl/worksheets/_rels/sheet47.xml.rels><?xml version="1.0" encoding="UTF-8" standalone="yes"?>
<Relationships xmlns="http://schemas.openxmlformats.org/package/2006/relationships"><Relationship Id="rId2" Type="http://schemas.openxmlformats.org/officeDocument/2006/relationships/comments" Target="../comments10.xml"/><Relationship Id="rId1" Type="http://schemas.openxmlformats.org/officeDocument/2006/relationships/vmlDrawing" Target="../drawings/vmlDrawing10.vml"/></Relationships>
</file>

<file path=xl/worksheets/_rels/sheet49.xml.rels><?xml version="1.0" encoding="UTF-8" standalone="yes"?>
<Relationships xmlns="http://schemas.openxmlformats.org/package/2006/relationships"><Relationship Id="rId2" Type="http://schemas.openxmlformats.org/officeDocument/2006/relationships/comments" Target="../comments11.xml"/><Relationship Id="rId1" Type="http://schemas.openxmlformats.org/officeDocument/2006/relationships/vmlDrawing" Target="../drawings/vmlDrawing11.vml"/></Relationships>
</file>

<file path=xl/worksheets/_rels/sheet5.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50.xml.rels><?xml version="1.0" encoding="UTF-8" standalone="yes"?>
<Relationships xmlns="http://schemas.openxmlformats.org/package/2006/relationships"><Relationship Id="rId2" Type="http://schemas.openxmlformats.org/officeDocument/2006/relationships/comments" Target="../comments12.xml"/><Relationship Id="rId1" Type="http://schemas.openxmlformats.org/officeDocument/2006/relationships/vmlDrawing" Target="../drawings/vmlDrawing12.v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T169"/>
  <sheetViews>
    <sheetView topLeftCell="B1" zoomScale="80" zoomScaleNormal="80" workbookViewId="0">
      <pane ySplit="1" topLeftCell="A2" activePane="bottomLeft" state="frozen"/>
      <selection pane="bottomLeft" activeCell="B1" sqref="B1:R1048576"/>
    </sheetView>
  </sheetViews>
  <sheetFormatPr defaultColWidth="9.140625" defaultRowHeight="12" x14ac:dyDescent="0.2"/>
  <cols>
    <col min="1" max="1" width="11.5703125" style="74" customWidth="1"/>
    <col min="2" max="2" width="17.140625" style="70" customWidth="1"/>
    <col min="3" max="3" width="13.42578125" style="70" customWidth="1"/>
    <col min="4" max="4" width="12.42578125" style="70" customWidth="1"/>
    <col min="5" max="5" width="25.140625" style="70" customWidth="1"/>
    <col min="6" max="6" width="9.140625" style="70" customWidth="1"/>
    <col min="7" max="7" width="16.7109375" style="75" bestFit="1" customWidth="1"/>
    <col min="8" max="8" width="12.42578125" style="75" customWidth="1"/>
    <col min="9" max="12" width="12.42578125" style="70" customWidth="1"/>
    <col min="13" max="14" width="11.85546875" style="70" customWidth="1"/>
    <col min="15" max="15" width="13.5703125" style="76" customWidth="1"/>
    <col min="16" max="16" width="9.140625" style="76" customWidth="1"/>
    <col min="17" max="17" width="12.42578125" style="70" customWidth="1"/>
    <col min="18" max="18" width="13.42578125" style="70" customWidth="1"/>
    <col min="19" max="16384" width="9.140625" style="70"/>
  </cols>
  <sheetData>
    <row r="1" spans="1:20" ht="37.5" thickTop="1" thickBot="1" x14ac:dyDescent="0.25">
      <c r="A1" s="1" t="s">
        <v>0</v>
      </c>
      <c r="B1" s="2" t="s">
        <v>1</v>
      </c>
      <c r="C1" s="2" t="s">
        <v>277</v>
      </c>
      <c r="D1" s="2" t="s">
        <v>284</v>
      </c>
      <c r="E1" s="2" t="s">
        <v>278</v>
      </c>
      <c r="F1" s="3" t="s">
        <v>2</v>
      </c>
      <c r="G1" s="4" t="s">
        <v>279</v>
      </c>
      <c r="H1" s="4" t="s">
        <v>280</v>
      </c>
      <c r="I1" s="3" t="s">
        <v>281</v>
      </c>
      <c r="J1" s="3" t="s">
        <v>282</v>
      </c>
      <c r="K1" s="3" t="s">
        <v>471</v>
      </c>
      <c r="L1" s="3" t="s">
        <v>283</v>
      </c>
      <c r="M1" s="5" t="s">
        <v>4</v>
      </c>
      <c r="N1" s="6" t="s">
        <v>592</v>
      </c>
      <c r="O1" s="7" t="s">
        <v>5</v>
      </c>
      <c r="P1" s="7" t="s">
        <v>593</v>
      </c>
      <c r="Q1" s="3" t="s">
        <v>3</v>
      </c>
      <c r="R1" s="2" t="s">
        <v>570</v>
      </c>
      <c r="T1" s="76"/>
    </row>
    <row r="2" spans="1:20" s="72" customFormat="1" ht="24.75" thickTop="1" x14ac:dyDescent="0.2">
      <c r="A2" s="8" t="s">
        <v>6</v>
      </c>
      <c r="B2" s="9" t="s">
        <v>293</v>
      </c>
      <c r="C2" s="9" t="s">
        <v>7</v>
      </c>
      <c r="D2" s="10" t="s">
        <v>8</v>
      </c>
      <c r="E2" s="10" t="s">
        <v>342</v>
      </c>
      <c r="F2" s="11" t="s">
        <v>14</v>
      </c>
      <c r="G2" s="13" t="s">
        <v>287</v>
      </c>
      <c r="H2" s="13" t="s">
        <v>287</v>
      </c>
      <c r="I2" s="9" t="s">
        <v>7</v>
      </c>
      <c r="J2" s="9" t="s">
        <v>285</v>
      </c>
      <c r="K2" s="9" t="s">
        <v>14</v>
      </c>
      <c r="L2" s="9" t="s">
        <v>285</v>
      </c>
      <c r="M2" s="14">
        <v>4.5</v>
      </c>
      <c r="N2" s="15">
        <f t="shared" ref="N2:N33" si="0">M2/1000</f>
        <v>4.4999999999999997E-3</v>
      </c>
      <c r="O2" s="16">
        <v>11.2</v>
      </c>
      <c r="P2" s="77">
        <f t="shared" ref="P2:P33" si="1">O2/1000</f>
        <v>1.12E-2</v>
      </c>
      <c r="Q2" s="12" t="s">
        <v>9</v>
      </c>
      <c r="R2" s="9" t="s">
        <v>571</v>
      </c>
    </row>
    <row r="3" spans="1:20" ht="60" x14ac:dyDescent="0.2">
      <c r="A3" s="17" t="s">
        <v>10</v>
      </c>
      <c r="B3" s="18" t="s">
        <v>11</v>
      </c>
      <c r="C3" s="18" t="s">
        <v>12</v>
      </c>
      <c r="D3" s="19" t="s">
        <v>13</v>
      </c>
      <c r="E3" s="19" t="s">
        <v>288</v>
      </c>
      <c r="F3" s="20">
        <v>32.1</v>
      </c>
      <c r="G3" s="21" t="s">
        <v>287</v>
      </c>
      <c r="H3" s="21" t="s">
        <v>287</v>
      </c>
      <c r="I3" s="18" t="s">
        <v>12</v>
      </c>
      <c r="J3" s="271" t="s">
        <v>286</v>
      </c>
      <c r="K3" s="19" t="s">
        <v>287</v>
      </c>
      <c r="L3" s="19" t="s">
        <v>287</v>
      </c>
      <c r="M3" s="22">
        <v>1.7</v>
      </c>
      <c r="N3" s="15">
        <f t="shared" si="0"/>
        <v>1.6999999999999999E-3</v>
      </c>
      <c r="O3" s="23">
        <v>16.2</v>
      </c>
      <c r="P3" s="77">
        <f t="shared" si="1"/>
        <v>1.6199999999999999E-2</v>
      </c>
      <c r="Q3" s="19" t="s">
        <v>9</v>
      </c>
      <c r="R3" s="18" t="s">
        <v>571</v>
      </c>
    </row>
    <row r="4" spans="1:20" ht="72" x14ac:dyDescent="0.2">
      <c r="A4" s="17" t="s">
        <v>15</v>
      </c>
      <c r="B4" s="18" t="s">
        <v>16</v>
      </c>
      <c r="C4" s="18" t="s">
        <v>12</v>
      </c>
      <c r="D4" s="19" t="s">
        <v>17</v>
      </c>
      <c r="E4" s="19" t="s">
        <v>461</v>
      </c>
      <c r="F4" s="20">
        <v>37.1</v>
      </c>
      <c r="G4" s="21" t="s">
        <v>287</v>
      </c>
      <c r="H4" s="21" t="s">
        <v>287</v>
      </c>
      <c r="I4" s="18" t="s">
        <v>12</v>
      </c>
      <c r="J4" s="271" t="s">
        <v>286</v>
      </c>
      <c r="K4" s="19" t="s">
        <v>287</v>
      </c>
      <c r="L4" s="19" t="s">
        <v>287</v>
      </c>
      <c r="M4" s="22">
        <v>0.5</v>
      </c>
      <c r="N4" s="15">
        <f t="shared" si="0"/>
        <v>5.0000000000000001E-4</v>
      </c>
      <c r="O4" s="23">
        <v>4.9000000000000004</v>
      </c>
      <c r="P4" s="77">
        <f t="shared" si="1"/>
        <v>4.9000000000000007E-3</v>
      </c>
      <c r="Q4" s="19" t="s">
        <v>9</v>
      </c>
      <c r="R4" s="18" t="s">
        <v>571</v>
      </c>
    </row>
    <row r="5" spans="1:20" s="30" customFormat="1" ht="84" x14ac:dyDescent="0.2">
      <c r="A5" s="24" t="s">
        <v>20</v>
      </c>
      <c r="B5" s="25" t="s">
        <v>299</v>
      </c>
      <c r="C5" s="25" t="s">
        <v>21</v>
      </c>
      <c r="D5" s="25" t="s">
        <v>18</v>
      </c>
      <c r="E5" s="25" t="s">
        <v>558</v>
      </c>
      <c r="F5" s="26" t="s">
        <v>14</v>
      </c>
      <c r="G5" s="277" t="s">
        <v>1220</v>
      </c>
      <c r="H5" s="27">
        <v>1000</v>
      </c>
      <c r="I5" s="25" t="s">
        <v>300</v>
      </c>
      <c r="J5" s="25" t="s">
        <v>285</v>
      </c>
      <c r="K5" s="25" t="s">
        <v>14</v>
      </c>
      <c r="L5" s="25" t="s">
        <v>285</v>
      </c>
      <c r="M5" s="28">
        <v>0.6</v>
      </c>
      <c r="N5" s="220">
        <f t="shared" si="0"/>
        <v>5.9999999999999995E-4</v>
      </c>
      <c r="O5" s="29">
        <v>17.3</v>
      </c>
      <c r="P5" s="77">
        <f t="shared" si="1"/>
        <v>1.7299999999999999E-2</v>
      </c>
      <c r="Q5" s="25" t="s">
        <v>19</v>
      </c>
      <c r="R5" s="25" t="s">
        <v>571</v>
      </c>
    </row>
    <row r="6" spans="1:20" s="30" customFormat="1" ht="48" x14ac:dyDescent="0.2">
      <c r="A6" s="24" t="s">
        <v>580</v>
      </c>
      <c r="B6" s="25" t="s">
        <v>23</v>
      </c>
      <c r="C6" s="25" t="s">
        <v>582</v>
      </c>
      <c r="D6" s="25" t="s">
        <v>18</v>
      </c>
      <c r="E6" s="25" t="s">
        <v>583</v>
      </c>
      <c r="F6" s="26" t="s">
        <v>14</v>
      </c>
      <c r="G6" s="21" t="s">
        <v>287</v>
      </c>
      <c r="H6" s="21" t="s">
        <v>287</v>
      </c>
      <c r="I6" s="25" t="s">
        <v>582</v>
      </c>
      <c r="J6" s="25" t="s">
        <v>285</v>
      </c>
      <c r="K6" s="25" t="s">
        <v>14</v>
      </c>
      <c r="L6" s="25" t="s">
        <v>285</v>
      </c>
      <c r="M6" s="28">
        <v>13.7</v>
      </c>
      <c r="N6" s="220">
        <f t="shared" si="0"/>
        <v>1.3699999999999999E-2</v>
      </c>
      <c r="O6" s="29">
        <v>79.099999999999994</v>
      </c>
      <c r="P6" s="71">
        <f t="shared" si="1"/>
        <v>7.909999999999999E-2</v>
      </c>
      <c r="Q6" s="25" t="s">
        <v>102</v>
      </c>
      <c r="R6" s="25" t="s">
        <v>571</v>
      </c>
    </row>
    <row r="7" spans="1:20" s="30" customFormat="1" ht="48" x14ac:dyDescent="0.2">
      <c r="A7" s="24" t="s">
        <v>581</v>
      </c>
      <c r="B7" s="25" t="s">
        <v>23</v>
      </c>
      <c r="C7" s="25" t="s">
        <v>582</v>
      </c>
      <c r="D7" s="25" t="s">
        <v>18</v>
      </c>
      <c r="E7" s="25" t="s">
        <v>583</v>
      </c>
      <c r="F7" s="26" t="s">
        <v>14</v>
      </c>
      <c r="G7" s="21" t="s">
        <v>287</v>
      </c>
      <c r="H7" s="21" t="s">
        <v>287</v>
      </c>
      <c r="I7" s="25" t="s">
        <v>582</v>
      </c>
      <c r="J7" s="25" t="s">
        <v>285</v>
      </c>
      <c r="K7" s="25" t="s">
        <v>14</v>
      </c>
      <c r="L7" s="25" t="s">
        <v>285</v>
      </c>
      <c r="M7" s="28">
        <v>38.5</v>
      </c>
      <c r="N7" s="220">
        <f t="shared" si="0"/>
        <v>3.85E-2</v>
      </c>
      <c r="O7" s="29">
        <v>413.9</v>
      </c>
      <c r="P7" s="77">
        <f t="shared" si="1"/>
        <v>0.41389999999999999</v>
      </c>
      <c r="Q7" s="25" t="s">
        <v>104</v>
      </c>
      <c r="R7" s="25" t="s">
        <v>571</v>
      </c>
    </row>
    <row r="8" spans="1:20" s="30" customFormat="1" ht="48" x14ac:dyDescent="0.2">
      <c r="A8" s="24" t="s">
        <v>22</v>
      </c>
      <c r="B8" s="25" t="s">
        <v>23</v>
      </c>
      <c r="C8" s="25" t="s">
        <v>34</v>
      </c>
      <c r="D8" s="25" t="s">
        <v>18</v>
      </c>
      <c r="E8" s="25" t="s">
        <v>462</v>
      </c>
      <c r="F8" s="26" t="s">
        <v>14</v>
      </c>
      <c r="G8" s="27">
        <v>65000</v>
      </c>
      <c r="H8" s="277" t="s">
        <v>287</v>
      </c>
      <c r="I8" s="25" t="s">
        <v>301</v>
      </c>
      <c r="J8" s="25" t="s">
        <v>285</v>
      </c>
      <c r="K8" s="25" t="s">
        <v>14</v>
      </c>
      <c r="L8" s="25" t="s">
        <v>285</v>
      </c>
      <c r="M8" s="28">
        <v>8.3000000000000007</v>
      </c>
      <c r="N8" s="220">
        <f t="shared" si="0"/>
        <v>8.3000000000000001E-3</v>
      </c>
      <c r="O8" s="29">
        <v>199.9</v>
      </c>
      <c r="P8" s="77">
        <f t="shared" si="1"/>
        <v>0.19989999999999999</v>
      </c>
      <c r="Q8" s="25" t="s">
        <v>19</v>
      </c>
      <c r="R8" s="25" t="s">
        <v>571</v>
      </c>
    </row>
    <row r="9" spans="1:20" s="30" customFormat="1" ht="60" x14ac:dyDescent="0.2">
      <c r="A9" s="24" t="s">
        <v>24</v>
      </c>
      <c r="B9" s="25" t="s">
        <v>67</v>
      </c>
      <c r="C9" s="25" t="s">
        <v>34</v>
      </c>
      <c r="D9" s="25" t="s">
        <v>8</v>
      </c>
      <c r="E9" s="25" t="s">
        <v>559</v>
      </c>
      <c r="F9" s="26" t="s">
        <v>14</v>
      </c>
      <c r="G9" s="27">
        <v>50000</v>
      </c>
      <c r="H9" s="277" t="s">
        <v>287</v>
      </c>
      <c r="I9" s="25" t="s">
        <v>301</v>
      </c>
      <c r="J9" s="25" t="s">
        <v>285</v>
      </c>
      <c r="K9" s="25" t="s">
        <v>14</v>
      </c>
      <c r="L9" s="25" t="s">
        <v>285</v>
      </c>
      <c r="M9" s="28">
        <v>100.4</v>
      </c>
      <c r="N9" s="220">
        <f t="shared" si="0"/>
        <v>0.1004</v>
      </c>
      <c r="O9" s="29">
        <v>277.60000000000002</v>
      </c>
      <c r="P9" s="77">
        <f t="shared" si="1"/>
        <v>0.27760000000000001</v>
      </c>
      <c r="Q9" s="25" t="s">
        <v>19</v>
      </c>
      <c r="R9" s="25" t="s">
        <v>571</v>
      </c>
    </row>
    <row r="10" spans="1:20" s="30" customFormat="1" ht="60" x14ac:dyDescent="0.2">
      <c r="A10" s="31" t="s">
        <v>25</v>
      </c>
      <c r="B10" s="32" t="s">
        <v>463</v>
      </c>
      <c r="C10" s="32" t="s">
        <v>34</v>
      </c>
      <c r="D10" s="32" t="s">
        <v>17</v>
      </c>
      <c r="E10" s="32" t="s">
        <v>560</v>
      </c>
      <c r="F10" s="33">
        <v>132.80000000000001</v>
      </c>
      <c r="G10" s="34">
        <v>300000</v>
      </c>
      <c r="H10" s="277" t="s">
        <v>287</v>
      </c>
      <c r="I10" s="32" t="s">
        <v>287</v>
      </c>
      <c r="J10" s="32" t="s">
        <v>286</v>
      </c>
      <c r="K10" s="32" t="s">
        <v>287</v>
      </c>
      <c r="L10" s="32" t="s">
        <v>287</v>
      </c>
      <c r="M10" s="35"/>
      <c r="N10" s="220">
        <f t="shared" si="0"/>
        <v>0</v>
      </c>
      <c r="O10" s="36"/>
      <c r="P10" s="77">
        <f t="shared" si="1"/>
        <v>0</v>
      </c>
      <c r="Q10" s="32" t="s">
        <v>19</v>
      </c>
      <c r="R10" s="32" t="s">
        <v>571</v>
      </c>
    </row>
    <row r="11" spans="1:20" s="30" customFormat="1" ht="36" x14ac:dyDescent="0.2">
      <c r="A11" s="24" t="s">
        <v>26</v>
      </c>
      <c r="B11" s="25" t="s">
        <v>27</v>
      </c>
      <c r="C11" s="25" t="s">
        <v>34</v>
      </c>
      <c r="D11" s="25" t="s">
        <v>28</v>
      </c>
      <c r="E11" s="25" t="s">
        <v>302</v>
      </c>
      <c r="F11" s="26">
        <v>14.2</v>
      </c>
      <c r="G11" s="27">
        <v>500000</v>
      </c>
      <c r="H11" s="277" t="s">
        <v>287</v>
      </c>
      <c r="I11" s="25" t="s">
        <v>304</v>
      </c>
      <c r="J11" s="25" t="s">
        <v>305</v>
      </c>
      <c r="K11" s="25">
        <v>2013</v>
      </c>
      <c r="L11" s="25">
        <v>2015</v>
      </c>
      <c r="M11" s="28">
        <v>0.2</v>
      </c>
      <c r="N11" s="220">
        <f t="shared" si="0"/>
        <v>2.0000000000000001E-4</v>
      </c>
      <c r="O11" s="29">
        <v>5.7</v>
      </c>
      <c r="P11" s="77">
        <f t="shared" si="1"/>
        <v>5.7000000000000002E-3</v>
      </c>
      <c r="Q11" s="25" t="s">
        <v>19</v>
      </c>
      <c r="R11" s="25" t="s">
        <v>571</v>
      </c>
    </row>
    <row r="12" spans="1:20" s="30" customFormat="1" ht="60" x14ac:dyDescent="0.2">
      <c r="A12" s="24" t="s">
        <v>29</v>
      </c>
      <c r="B12" s="25" t="s">
        <v>30</v>
      </c>
      <c r="C12" s="25" t="s">
        <v>34</v>
      </c>
      <c r="D12" s="267" t="s">
        <v>31</v>
      </c>
      <c r="E12" s="25" t="s">
        <v>561</v>
      </c>
      <c r="F12" s="26">
        <v>14.2</v>
      </c>
      <c r="G12" s="27" t="s">
        <v>306</v>
      </c>
      <c r="H12" s="277" t="s">
        <v>287</v>
      </c>
      <c r="I12" s="25" t="s">
        <v>301</v>
      </c>
      <c r="J12" s="25" t="s">
        <v>305</v>
      </c>
      <c r="K12" s="25">
        <v>2012</v>
      </c>
      <c r="L12" s="25">
        <v>2015</v>
      </c>
      <c r="M12" s="28">
        <v>0.2</v>
      </c>
      <c r="N12" s="220">
        <f t="shared" si="0"/>
        <v>2.0000000000000001E-4</v>
      </c>
      <c r="O12" s="29">
        <v>9.8000000000000007</v>
      </c>
      <c r="P12" s="77">
        <f t="shared" si="1"/>
        <v>9.8000000000000014E-3</v>
      </c>
      <c r="Q12" s="25" t="s">
        <v>19</v>
      </c>
      <c r="R12" s="25" t="s">
        <v>571</v>
      </c>
    </row>
    <row r="13" spans="1:20" s="30" customFormat="1" ht="60" x14ac:dyDescent="0.2">
      <c r="A13" s="24" t="s">
        <v>32</v>
      </c>
      <c r="B13" s="25" t="s">
        <v>33</v>
      </c>
      <c r="C13" s="25" t="s">
        <v>34</v>
      </c>
      <c r="D13" s="25" t="s">
        <v>28</v>
      </c>
      <c r="E13" s="25" t="s">
        <v>303</v>
      </c>
      <c r="F13" s="26">
        <v>5.5</v>
      </c>
      <c r="G13" s="27">
        <v>1500000</v>
      </c>
      <c r="H13" s="277" t="s">
        <v>287</v>
      </c>
      <c r="I13" s="25" t="s">
        <v>301</v>
      </c>
      <c r="J13" s="25" t="s">
        <v>305</v>
      </c>
      <c r="K13" s="25">
        <v>2013</v>
      </c>
      <c r="L13" s="25">
        <v>2015</v>
      </c>
      <c r="M13" s="28">
        <v>0.1</v>
      </c>
      <c r="N13" s="220">
        <f t="shared" si="0"/>
        <v>1E-4</v>
      </c>
      <c r="O13" s="29">
        <v>1.2</v>
      </c>
      <c r="P13" s="77">
        <f t="shared" si="1"/>
        <v>1.1999999999999999E-3</v>
      </c>
      <c r="Q13" s="25" t="s">
        <v>19</v>
      </c>
      <c r="R13" s="25" t="s">
        <v>571</v>
      </c>
    </row>
    <row r="14" spans="1:20" ht="72" x14ac:dyDescent="0.2">
      <c r="A14" s="24" t="s">
        <v>35</v>
      </c>
      <c r="B14" s="25" t="s">
        <v>500</v>
      </c>
      <c r="C14" s="25" t="s">
        <v>57</v>
      </c>
      <c r="D14" s="25" t="s">
        <v>31</v>
      </c>
      <c r="E14" s="25" t="s">
        <v>307</v>
      </c>
      <c r="F14" s="26">
        <v>4.5999999999999996</v>
      </c>
      <c r="G14" s="27">
        <v>578138</v>
      </c>
      <c r="H14" s="277" t="s">
        <v>287</v>
      </c>
      <c r="I14" s="25" t="s">
        <v>314</v>
      </c>
      <c r="J14" s="25" t="s">
        <v>296</v>
      </c>
      <c r="K14" s="25" t="s">
        <v>14</v>
      </c>
      <c r="L14" s="37" t="s">
        <v>320</v>
      </c>
      <c r="M14" s="26">
        <v>0</v>
      </c>
      <c r="N14" s="220">
        <f t="shared" si="0"/>
        <v>0</v>
      </c>
      <c r="O14" s="29">
        <v>3.3</v>
      </c>
      <c r="P14" s="77">
        <f t="shared" si="1"/>
        <v>3.3E-3</v>
      </c>
      <c r="Q14" s="25" t="s">
        <v>19</v>
      </c>
      <c r="R14" s="25" t="s">
        <v>571</v>
      </c>
    </row>
    <row r="15" spans="1:20" ht="72" x14ac:dyDescent="0.2">
      <c r="A15" s="24" t="s">
        <v>36</v>
      </c>
      <c r="B15" s="25" t="s">
        <v>501</v>
      </c>
      <c r="C15" s="25" t="s">
        <v>57</v>
      </c>
      <c r="D15" s="25" t="s">
        <v>31</v>
      </c>
      <c r="E15" s="25" t="s">
        <v>307</v>
      </c>
      <c r="F15" s="26">
        <v>9.9</v>
      </c>
      <c r="G15" s="27" t="s">
        <v>318</v>
      </c>
      <c r="H15" s="277" t="s">
        <v>287</v>
      </c>
      <c r="I15" s="25" t="s">
        <v>314</v>
      </c>
      <c r="J15" s="25" t="s">
        <v>296</v>
      </c>
      <c r="K15" s="25" t="s">
        <v>14</v>
      </c>
      <c r="L15" s="37" t="s">
        <v>320</v>
      </c>
      <c r="M15" s="26">
        <v>0.1</v>
      </c>
      <c r="N15" s="220">
        <f t="shared" si="0"/>
        <v>1E-4</v>
      </c>
      <c r="O15" s="29">
        <v>7.1</v>
      </c>
      <c r="P15" s="77">
        <f t="shared" si="1"/>
        <v>7.0999999999999995E-3</v>
      </c>
      <c r="Q15" s="25" t="s">
        <v>19</v>
      </c>
      <c r="R15" s="25" t="s">
        <v>571</v>
      </c>
    </row>
    <row r="16" spans="1:20" ht="60" x14ac:dyDescent="0.2">
      <c r="A16" s="24" t="s">
        <v>37</v>
      </c>
      <c r="B16" s="25" t="s">
        <v>38</v>
      </c>
      <c r="C16" s="25" t="s">
        <v>57</v>
      </c>
      <c r="D16" s="25" t="s">
        <v>31</v>
      </c>
      <c r="E16" s="25" t="s">
        <v>308</v>
      </c>
      <c r="F16" s="26">
        <v>11.5</v>
      </c>
      <c r="G16" s="27">
        <v>577822</v>
      </c>
      <c r="H16" s="277" t="s">
        <v>287</v>
      </c>
      <c r="I16" s="25" t="s">
        <v>315</v>
      </c>
      <c r="J16" s="25" t="s">
        <v>296</v>
      </c>
      <c r="K16" s="25" t="s">
        <v>14</v>
      </c>
      <c r="L16" s="37" t="s">
        <v>321</v>
      </c>
      <c r="M16" s="26">
        <v>0.3</v>
      </c>
      <c r="N16" s="220">
        <f t="shared" si="0"/>
        <v>2.9999999999999997E-4</v>
      </c>
      <c r="O16" s="29">
        <v>2.8</v>
      </c>
      <c r="P16" s="77">
        <f t="shared" si="1"/>
        <v>2.8E-3</v>
      </c>
      <c r="Q16" s="25" t="s">
        <v>19</v>
      </c>
      <c r="R16" s="25" t="s">
        <v>571</v>
      </c>
    </row>
    <row r="17" spans="1:18" ht="96" x14ac:dyDescent="0.2">
      <c r="A17" s="31" t="s">
        <v>39</v>
      </c>
      <c r="B17" s="32" t="s">
        <v>502</v>
      </c>
      <c r="C17" s="32" t="s">
        <v>57</v>
      </c>
      <c r="D17" s="267" t="s">
        <v>40</v>
      </c>
      <c r="E17" s="32" t="s">
        <v>503</v>
      </c>
      <c r="F17" s="33">
        <v>0</v>
      </c>
      <c r="G17" s="34">
        <v>3522911</v>
      </c>
      <c r="H17" s="277" t="s">
        <v>287</v>
      </c>
      <c r="I17" s="32" t="s">
        <v>464</v>
      </c>
      <c r="J17" s="32" t="s">
        <v>296</v>
      </c>
      <c r="K17" s="32" t="s">
        <v>14</v>
      </c>
      <c r="L17" s="38" t="s">
        <v>322</v>
      </c>
      <c r="M17" s="33">
        <v>0</v>
      </c>
      <c r="N17" s="220">
        <f t="shared" si="0"/>
        <v>0</v>
      </c>
      <c r="O17" s="36"/>
      <c r="P17" s="77">
        <f t="shared" si="1"/>
        <v>0</v>
      </c>
      <c r="Q17" s="32" t="s">
        <v>19</v>
      </c>
      <c r="R17" s="32" t="s">
        <v>571</v>
      </c>
    </row>
    <row r="18" spans="1:18" ht="96" x14ac:dyDescent="0.2">
      <c r="A18" s="24" t="s">
        <v>41</v>
      </c>
      <c r="B18" s="25" t="s">
        <v>504</v>
      </c>
      <c r="C18" s="25" t="s">
        <v>57</v>
      </c>
      <c r="D18" s="25" t="s">
        <v>31</v>
      </c>
      <c r="E18" s="25" t="s">
        <v>309</v>
      </c>
      <c r="F18" s="26">
        <v>76.400000000000006</v>
      </c>
      <c r="G18" s="27" t="s">
        <v>319</v>
      </c>
      <c r="H18" s="277" t="s">
        <v>287</v>
      </c>
      <c r="I18" s="25" t="s">
        <v>464</v>
      </c>
      <c r="J18" s="25" t="s">
        <v>296</v>
      </c>
      <c r="K18" s="25" t="s">
        <v>14</v>
      </c>
      <c r="L18" s="37" t="s">
        <v>322</v>
      </c>
      <c r="M18" s="26">
        <v>1</v>
      </c>
      <c r="N18" s="220">
        <f t="shared" si="0"/>
        <v>1E-3</v>
      </c>
      <c r="O18" s="29">
        <v>39.299999999999997</v>
      </c>
      <c r="P18" s="77">
        <f t="shared" si="1"/>
        <v>3.9299999999999995E-2</v>
      </c>
      <c r="Q18" s="25" t="s">
        <v>19</v>
      </c>
      <c r="R18" s="25" t="s">
        <v>571</v>
      </c>
    </row>
    <row r="19" spans="1:18" ht="48" x14ac:dyDescent="0.2">
      <c r="A19" s="24" t="s">
        <v>42</v>
      </c>
      <c r="B19" s="25" t="s">
        <v>43</v>
      </c>
      <c r="C19" s="25" t="s">
        <v>57</v>
      </c>
      <c r="D19" s="267" t="s">
        <v>17</v>
      </c>
      <c r="E19" s="25" t="s">
        <v>310</v>
      </c>
      <c r="F19" s="26">
        <v>94.5</v>
      </c>
      <c r="G19" s="27">
        <v>2000000</v>
      </c>
      <c r="H19" s="277" t="s">
        <v>287</v>
      </c>
      <c r="I19" s="25" t="s">
        <v>316</v>
      </c>
      <c r="J19" s="267" t="s">
        <v>295</v>
      </c>
      <c r="K19" s="39" t="s">
        <v>473</v>
      </c>
      <c r="L19" s="37" t="s">
        <v>323</v>
      </c>
      <c r="M19" s="26">
        <v>0.5</v>
      </c>
      <c r="N19" s="220">
        <f t="shared" si="0"/>
        <v>5.0000000000000001E-4</v>
      </c>
      <c r="O19" s="29">
        <v>16.600000000000001</v>
      </c>
      <c r="P19" s="77">
        <f t="shared" si="1"/>
        <v>1.66E-2</v>
      </c>
      <c r="Q19" s="25" t="s">
        <v>19</v>
      </c>
      <c r="R19" s="25" t="s">
        <v>571</v>
      </c>
    </row>
    <row r="20" spans="1:18" ht="96" x14ac:dyDescent="0.2">
      <c r="A20" s="24" t="s">
        <v>44</v>
      </c>
      <c r="B20" s="25" t="s">
        <v>505</v>
      </c>
      <c r="C20" s="25" t="s">
        <v>57</v>
      </c>
      <c r="D20" s="25" t="s">
        <v>31</v>
      </c>
      <c r="E20" s="25" t="s">
        <v>311</v>
      </c>
      <c r="F20" s="26">
        <v>52.6</v>
      </c>
      <c r="G20" s="27">
        <v>1500000</v>
      </c>
      <c r="H20" s="277" t="s">
        <v>287</v>
      </c>
      <c r="I20" s="25" t="s">
        <v>317</v>
      </c>
      <c r="J20" s="267" t="s">
        <v>295</v>
      </c>
      <c r="K20" s="37" t="s">
        <v>472</v>
      </c>
      <c r="L20" s="37" t="s">
        <v>324</v>
      </c>
      <c r="M20" s="26">
        <v>1.3</v>
      </c>
      <c r="N20" s="220">
        <f t="shared" si="0"/>
        <v>1.2999999999999999E-3</v>
      </c>
      <c r="O20" s="29">
        <v>12.7</v>
      </c>
      <c r="P20" s="77">
        <f t="shared" si="1"/>
        <v>1.2699999999999999E-2</v>
      </c>
      <c r="Q20" s="25" t="s">
        <v>19</v>
      </c>
      <c r="R20" s="25" t="s">
        <v>571</v>
      </c>
    </row>
    <row r="21" spans="1:18" ht="60" x14ac:dyDescent="0.2">
      <c r="A21" s="24" t="s">
        <v>45</v>
      </c>
      <c r="B21" s="25" t="s">
        <v>313</v>
      </c>
      <c r="C21" s="25" t="s">
        <v>57</v>
      </c>
      <c r="D21" s="25" t="s">
        <v>46</v>
      </c>
      <c r="E21" s="25" t="s">
        <v>312</v>
      </c>
      <c r="F21" s="26" t="s">
        <v>14</v>
      </c>
      <c r="G21" s="27">
        <v>40480</v>
      </c>
      <c r="H21" s="27">
        <v>10444</v>
      </c>
      <c r="I21" s="25" t="s">
        <v>317</v>
      </c>
      <c r="J21" s="25" t="s">
        <v>285</v>
      </c>
      <c r="K21" s="25" t="s">
        <v>14</v>
      </c>
      <c r="L21" s="25" t="s">
        <v>285</v>
      </c>
      <c r="M21" s="26">
        <v>5.8</v>
      </c>
      <c r="N21" s="220">
        <f t="shared" si="0"/>
        <v>5.7999999999999996E-3</v>
      </c>
      <c r="O21" s="29">
        <v>17.2</v>
      </c>
      <c r="P21" s="77">
        <f t="shared" si="1"/>
        <v>1.72E-2</v>
      </c>
      <c r="Q21" s="25" t="s">
        <v>19</v>
      </c>
      <c r="R21" s="25" t="s">
        <v>571</v>
      </c>
    </row>
    <row r="22" spans="1:18" ht="60" x14ac:dyDescent="0.2">
      <c r="A22" s="24" t="s">
        <v>47</v>
      </c>
      <c r="B22" s="25" t="s">
        <v>325</v>
      </c>
      <c r="C22" s="25" t="s">
        <v>57</v>
      </c>
      <c r="D22" s="25" t="s">
        <v>46</v>
      </c>
      <c r="E22" s="25" t="s">
        <v>562</v>
      </c>
      <c r="F22" s="26" t="s">
        <v>14</v>
      </c>
      <c r="G22" s="27">
        <v>8550</v>
      </c>
      <c r="H22" s="27">
        <v>9400</v>
      </c>
      <c r="I22" s="25" t="s">
        <v>57</v>
      </c>
      <c r="J22" s="25" t="s">
        <v>285</v>
      </c>
      <c r="K22" s="25" t="s">
        <v>14</v>
      </c>
      <c r="L22" s="25" t="s">
        <v>285</v>
      </c>
      <c r="M22" s="26">
        <v>6.7</v>
      </c>
      <c r="N22" s="220">
        <f t="shared" si="0"/>
        <v>6.7000000000000002E-3</v>
      </c>
      <c r="O22" s="29">
        <v>20.2</v>
      </c>
      <c r="P22" s="77">
        <f t="shared" si="1"/>
        <v>2.0199999999999999E-2</v>
      </c>
      <c r="Q22" s="25" t="s">
        <v>19</v>
      </c>
      <c r="R22" s="25" t="s">
        <v>571</v>
      </c>
    </row>
    <row r="23" spans="1:18" ht="60" x14ac:dyDescent="0.2">
      <c r="A23" s="24" t="s">
        <v>48</v>
      </c>
      <c r="B23" s="25" t="s">
        <v>327</v>
      </c>
      <c r="C23" s="25" t="s">
        <v>57</v>
      </c>
      <c r="D23" s="25" t="s">
        <v>46</v>
      </c>
      <c r="E23" s="25" t="s">
        <v>326</v>
      </c>
      <c r="F23" s="26" t="s">
        <v>14</v>
      </c>
      <c r="G23" s="27">
        <v>17755</v>
      </c>
      <c r="H23" s="27">
        <v>5222</v>
      </c>
      <c r="I23" s="25" t="s">
        <v>57</v>
      </c>
      <c r="J23" s="25" t="s">
        <v>285</v>
      </c>
      <c r="K23" s="25" t="s">
        <v>14</v>
      </c>
      <c r="L23" s="25" t="s">
        <v>285</v>
      </c>
      <c r="M23" s="26">
        <v>6.5</v>
      </c>
      <c r="N23" s="220">
        <f t="shared" si="0"/>
        <v>6.4999999999999997E-3</v>
      </c>
      <c r="O23" s="29">
        <v>19.600000000000001</v>
      </c>
      <c r="P23" s="77">
        <f t="shared" si="1"/>
        <v>1.9600000000000003E-2</v>
      </c>
      <c r="Q23" s="25" t="s">
        <v>19</v>
      </c>
      <c r="R23" s="25" t="s">
        <v>571</v>
      </c>
    </row>
    <row r="24" spans="1:18" ht="60" x14ac:dyDescent="0.2">
      <c r="A24" s="24" t="s">
        <v>49</v>
      </c>
      <c r="B24" s="25" t="s">
        <v>329</v>
      </c>
      <c r="C24" s="25" t="s">
        <v>57</v>
      </c>
      <c r="D24" s="25" t="s">
        <v>46</v>
      </c>
      <c r="E24" s="25" t="s">
        <v>328</v>
      </c>
      <c r="F24" s="26" t="s">
        <v>14</v>
      </c>
      <c r="G24" s="27">
        <v>48826</v>
      </c>
      <c r="H24" s="27">
        <v>143616</v>
      </c>
      <c r="I24" s="25" t="s">
        <v>57</v>
      </c>
      <c r="J24" s="25" t="s">
        <v>285</v>
      </c>
      <c r="K24" s="25" t="s">
        <v>14</v>
      </c>
      <c r="L24" s="25" t="s">
        <v>285</v>
      </c>
      <c r="M24" s="26">
        <v>11</v>
      </c>
      <c r="N24" s="220">
        <f t="shared" si="0"/>
        <v>1.0999999999999999E-2</v>
      </c>
      <c r="O24" s="29">
        <v>33.200000000000003</v>
      </c>
      <c r="P24" s="77">
        <f t="shared" si="1"/>
        <v>3.32E-2</v>
      </c>
      <c r="Q24" s="25" t="s">
        <v>19</v>
      </c>
      <c r="R24" s="25" t="s">
        <v>571</v>
      </c>
    </row>
    <row r="25" spans="1:18" ht="60" x14ac:dyDescent="0.2">
      <c r="A25" s="24" t="s">
        <v>50</v>
      </c>
      <c r="B25" s="25" t="s">
        <v>331</v>
      </c>
      <c r="C25" s="25" t="s">
        <v>57</v>
      </c>
      <c r="D25" s="25" t="s">
        <v>46</v>
      </c>
      <c r="E25" s="25" t="s">
        <v>330</v>
      </c>
      <c r="F25" s="26" t="s">
        <v>14</v>
      </c>
      <c r="G25" s="27">
        <v>14720</v>
      </c>
      <c r="H25" s="27">
        <v>5222</v>
      </c>
      <c r="I25" s="25" t="s">
        <v>57</v>
      </c>
      <c r="J25" s="25" t="s">
        <v>285</v>
      </c>
      <c r="K25" s="25" t="s">
        <v>14</v>
      </c>
      <c r="L25" s="25" t="s">
        <v>285</v>
      </c>
      <c r="M25" s="26">
        <v>5.0999999999999996</v>
      </c>
      <c r="N25" s="220">
        <f t="shared" si="0"/>
        <v>5.0999999999999995E-3</v>
      </c>
      <c r="O25" s="29">
        <v>15.2</v>
      </c>
      <c r="P25" s="77">
        <f t="shared" si="1"/>
        <v>1.52E-2</v>
      </c>
      <c r="Q25" s="25" t="s">
        <v>19</v>
      </c>
      <c r="R25" s="25" t="s">
        <v>571</v>
      </c>
    </row>
    <row r="26" spans="1:18" ht="60" x14ac:dyDescent="0.2">
      <c r="A26" s="24" t="s">
        <v>51</v>
      </c>
      <c r="B26" s="25" t="s">
        <v>332</v>
      </c>
      <c r="C26" s="25" t="s">
        <v>57</v>
      </c>
      <c r="D26" s="25" t="s">
        <v>46</v>
      </c>
      <c r="E26" s="25" t="s">
        <v>563</v>
      </c>
      <c r="F26" s="26" t="s">
        <v>14</v>
      </c>
      <c r="G26" s="27">
        <v>8550</v>
      </c>
      <c r="H26" s="27">
        <v>3264</v>
      </c>
      <c r="I26" s="25" t="s">
        <v>57</v>
      </c>
      <c r="J26" s="25" t="s">
        <v>285</v>
      </c>
      <c r="K26" s="25" t="s">
        <v>14</v>
      </c>
      <c r="L26" s="25" t="s">
        <v>285</v>
      </c>
      <c r="M26" s="26">
        <v>4.2</v>
      </c>
      <c r="N26" s="220">
        <f t="shared" si="0"/>
        <v>4.2000000000000006E-3</v>
      </c>
      <c r="O26" s="29">
        <v>12.5</v>
      </c>
      <c r="P26" s="77">
        <f t="shared" si="1"/>
        <v>1.2500000000000001E-2</v>
      </c>
      <c r="Q26" s="25" t="s">
        <v>19</v>
      </c>
      <c r="R26" s="25" t="s">
        <v>571</v>
      </c>
    </row>
    <row r="27" spans="1:18" ht="60" x14ac:dyDescent="0.2">
      <c r="A27" s="24" t="s">
        <v>52</v>
      </c>
      <c r="B27" s="25" t="s">
        <v>334</v>
      </c>
      <c r="C27" s="25" t="s">
        <v>57</v>
      </c>
      <c r="D27" s="25" t="s">
        <v>46</v>
      </c>
      <c r="E27" s="25" t="s">
        <v>333</v>
      </c>
      <c r="F27" s="26" t="s">
        <v>14</v>
      </c>
      <c r="G27" s="27">
        <v>8550</v>
      </c>
      <c r="H27" s="27">
        <v>2611</v>
      </c>
      <c r="I27" s="25" t="s">
        <v>57</v>
      </c>
      <c r="J27" s="25" t="s">
        <v>285</v>
      </c>
      <c r="K27" s="25" t="s">
        <v>14</v>
      </c>
      <c r="L27" s="25" t="s">
        <v>285</v>
      </c>
      <c r="M27" s="26">
        <v>7.6</v>
      </c>
      <c r="N27" s="220">
        <f t="shared" si="0"/>
        <v>7.6E-3</v>
      </c>
      <c r="O27" s="29">
        <v>22.7</v>
      </c>
      <c r="P27" s="77">
        <f t="shared" si="1"/>
        <v>2.2699999999999998E-2</v>
      </c>
      <c r="Q27" s="25" t="s">
        <v>19</v>
      </c>
      <c r="R27" s="25" t="s">
        <v>571</v>
      </c>
    </row>
    <row r="28" spans="1:18" ht="60" x14ac:dyDescent="0.2">
      <c r="A28" s="24" t="s">
        <v>53</v>
      </c>
      <c r="B28" s="25" t="s">
        <v>336</v>
      </c>
      <c r="C28" s="25" t="s">
        <v>57</v>
      </c>
      <c r="D28" s="25" t="s">
        <v>46</v>
      </c>
      <c r="E28" s="25" t="s">
        <v>335</v>
      </c>
      <c r="F28" s="26" t="s">
        <v>14</v>
      </c>
      <c r="G28" s="27">
        <v>17755</v>
      </c>
      <c r="H28" s="27">
        <v>5222</v>
      </c>
      <c r="I28" s="25" t="s">
        <v>339</v>
      </c>
      <c r="J28" s="25" t="s">
        <v>285</v>
      </c>
      <c r="K28" s="25" t="s">
        <v>14</v>
      </c>
      <c r="L28" s="25" t="s">
        <v>285</v>
      </c>
      <c r="M28" s="26">
        <v>6.6</v>
      </c>
      <c r="N28" s="220">
        <f t="shared" si="0"/>
        <v>6.6E-3</v>
      </c>
      <c r="O28" s="29">
        <v>19.899999999999999</v>
      </c>
      <c r="P28" s="77">
        <f t="shared" si="1"/>
        <v>1.9899999999999998E-2</v>
      </c>
      <c r="Q28" s="25" t="s">
        <v>19</v>
      </c>
      <c r="R28" s="25" t="s">
        <v>571</v>
      </c>
    </row>
    <row r="29" spans="1:18" ht="36" x14ac:dyDescent="0.2">
      <c r="A29" s="24" t="s">
        <v>54</v>
      </c>
      <c r="B29" s="25" t="s">
        <v>67</v>
      </c>
      <c r="C29" s="25" t="s">
        <v>57</v>
      </c>
      <c r="D29" s="267" t="s">
        <v>8</v>
      </c>
      <c r="E29" s="25" t="s">
        <v>337</v>
      </c>
      <c r="F29" s="26" t="s">
        <v>14</v>
      </c>
      <c r="G29" s="277" t="s">
        <v>1220</v>
      </c>
      <c r="H29" s="27">
        <v>1800000</v>
      </c>
      <c r="I29" s="25" t="s">
        <v>317</v>
      </c>
      <c r="J29" s="25" t="s">
        <v>285</v>
      </c>
      <c r="K29" s="25" t="s">
        <v>14</v>
      </c>
      <c r="L29" s="25" t="s">
        <v>285</v>
      </c>
      <c r="M29" s="26">
        <v>89.6</v>
      </c>
      <c r="N29" s="220">
        <f t="shared" si="0"/>
        <v>8.9599999999999999E-2</v>
      </c>
      <c r="O29" s="29">
        <v>257.60000000000002</v>
      </c>
      <c r="P29" s="77">
        <f t="shared" si="1"/>
        <v>0.2576</v>
      </c>
      <c r="Q29" s="25" t="s">
        <v>19</v>
      </c>
      <c r="R29" s="25" t="s">
        <v>571</v>
      </c>
    </row>
    <row r="30" spans="1:18" ht="48" x14ac:dyDescent="0.2">
      <c r="A30" s="24" t="s">
        <v>55</v>
      </c>
      <c r="B30" s="25" t="s">
        <v>56</v>
      </c>
      <c r="C30" s="25" t="s">
        <v>57</v>
      </c>
      <c r="D30" s="25" t="s">
        <v>18</v>
      </c>
      <c r="E30" s="25" t="s">
        <v>338</v>
      </c>
      <c r="F30" s="26" t="s">
        <v>14</v>
      </c>
      <c r="G30" s="277" t="s">
        <v>1220</v>
      </c>
      <c r="H30" s="27">
        <v>80000</v>
      </c>
      <c r="I30" s="25" t="s">
        <v>317</v>
      </c>
      <c r="J30" s="25" t="s">
        <v>285</v>
      </c>
      <c r="K30" s="25" t="s">
        <v>14</v>
      </c>
      <c r="L30" s="25" t="s">
        <v>285</v>
      </c>
      <c r="M30" s="26">
        <v>206.7</v>
      </c>
      <c r="N30" s="220">
        <f t="shared" si="0"/>
        <v>0.20669999999999999</v>
      </c>
      <c r="O30" s="29">
        <v>3440</v>
      </c>
      <c r="P30" s="77">
        <f t="shared" si="1"/>
        <v>3.44</v>
      </c>
      <c r="Q30" s="25" t="s">
        <v>19</v>
      </c>
      <c r="R30" s="25" t="s">
        <v>571</v>
      </c>
    </row>
    <row r="31" spans="1:18" ht="96" x14ac:dyDescent="0.2">
      <c r="A31" s="31" t="s">
        <v>58</v>
      </c>
      <c r="B31" s="32" t="s">
        <v>59</v>
      </c>
      <c r="C31" s="32" t="s">
        <v>289</v>
      </c>
      <c r="D31" s="32" t="s">
        <v>61</v>
      </c>
      <c r="E31" s="32" t="s">
        <v>290</v>
      </c>
      <c r="F31" s="33"/>
      <c r="G31" s="34">
        <v>231494</v>
      </c>
      <c r="H31" s="34">
        <v>18500</v>
      </c>
      <c r="I31" s="32" t="s">
        <v>564</v>
      </c>
      <c r="J31" s="35" t="s">
        <v>285</v>
      </c>
      <c r="K31" s="35" t="s">
        <v>14</v>
      </c>
      <c r="L31" s="40" t="s">
        <v>291</v>
      </c>
      <c r="M31" s="33"/>
      <c r="N31" s="15">
        <f t="shared" si="0"/>
        <v>0</v>
      </c>
      <c r="O31" s="36"/>
      <c r="P31" s="77">
        <f t="shared" si="1"/>
        <v>0</v>
      </c>
      <c r="Q31" s="32" t="s">
        <v>9</v>
      </c>
      <c r="R31" s="32" t="s">
        <v>571</v>
      </c>
    </row>
    <row r="32" spans="1:18" ht="24" x14ac:dyDescent="0.2">
      <c r="A32" s="24" t="s">
        <v>62</v>
      </c>
      <c r="B32" s="25" t="s">
        <v>506</v>
      </c>
      <c r="C32" s="25" t="s">
        <v>60</v>
      </c>
      <c r="D32" s="25" t="s">
        <v>8</v>
      </c>
      <c r="E32" s="25" t="s">
        <v>292</v>
      </c>
      <c r="F32" s="26" t="s">
        <v>14</v>
      </c>
      <c r="G32" s="277" t="s">
        <v>1220</v>
      </c>
      <c r="H32" s="27">
        <v>35000</v>
      </c>
      <c r="I32" s="25" t="s">
        <v>60</v>
      </c>
      <c r="J32" s="28" t="s">
        <v>285</v>
      </c>
      <c r="K32" s="28" t="s">
        <v>14</v>
      </c>
      <c r="L32" s="28" t="s">
        <v>285</v>
      </c>
      <c r="M32" s="26">
        <v>50.9</v>
      </c>
      <c r="N32" s="15">
        <f t="shared" si="0"/>
        <v>5.0900000000000001E-2</v>
      </c>
      <c r="O32" s="29">
        <v>118.4</v>
      </c>
      <c r="P32" s="77">
        <f t="shared" si="1"/>
        <v>0.11840000000000001</v>
      </c>
      <c r="Q32" s="25" t="s">
        <v>9</v>
      </c>
      <c r="R32" s="25" t="s">
        <v>571</v>
      </c>
    </row>
    <row r="33" spans="1:18" ht="60" x14ac:dyDescent="0.2">
      <c r="A33" s="266" t="s">
        <v>482</v>
      </c>
      <c r="B33" s="267" t="s">
        <v>244</v>
      </c>
      <c r="C33" s="18" t="s">
        <v>485</v>
      </c>
      <c r="D33" s="18" t="s">
        <v>565</v>
      </c>
      <c r="E33" s="18" t="s">
        <v>447</v>
      </c>
      <c r="F33" s="42">
        <v>1522</v>
      </c>
      <c r="G33" s="43" t="s">
        <v>287</v>
      </c>
      <c r="H33" s="43" t="s">
        <v>287</v>
      </c>
      <c r="I33" s="18" t="s">
        <v>498</v>
      </c>
      <c r="J33" s="267" t="s">
        <v>596</v>
      </c>
      <c r="K33" s="18" t="s">
        <v>14</v>
      </c>
      <c r="L33" s="18">
        <v>2009</v>
      </c>
      <c r="M33" s="22">
        <v>151.6</v>
      </c>
      <c r="N33" s="220">
        <f t="shared" si="0"/>
        <v>0.15159999999999998</v>
      </c>
      <c r="O33" s="23">
        <v>652.1</v>
      </c>
      <c r="P33" s="77">
        <f t="shared" si="1"/>
        <v>0.65210000000000001</v>
      </c>
      <c r="Q33" s="18" t="s">
        <v>64</v>
      </c>
      <c r="R33" s="18" t="s">
        <v>572</v>
      </c>
    </row>
    <row r="34" spans="1:18" ht="60" x14ac:dyDescent="0.2">
      <c r="A34" s="266" t="s">
        <v>483</v>
      </c>
      <c r="B34" s="267" t="s">
        <v>247</v>
      </c>
      <c r="C34" s="18" t="s">
        <v>485</v>
      </c>
      <c r="D34" s="18" t="s">
        <v>245</v>
      </c>
      <c r="E34" s="18" t="s">
        <v>447</v>
      </c>
      <c r="F34" s="42">
        <v>1930</v>
      </c>
      <c r="G34" s="43" t="s">
        <v>287</v>
      </c>
      <c r="H34" s="43" t="s">
        <v>287</v>
      </c>
      <c r="I34" s="18" t="s">
        <v>498</v>
      </c>
      <c r="J34" s="267" t="s">
        <v>596</v>
      </c>
      <c r="K34" s="18" t="s">
        <v>14</v>
      </c>
      <c r="L34" s="18">
        <v>2009</v>
      </c>
      <c r="M34" s="44">
        <v>845.5</v>
      </c>
      <c r="N34" s="220">
        <f t="shared" ref="N34:N55" si="2">M34/1000</f>
        <v>0.84550000000000003</v>
      </c>
      <c r="O34" s="45">
        <f>ROUND(3922.6*(1-0.561),1)</f>
        <v>1722</v>
      </c>
      <c r="P34" s="77">
        <f t="shared" ref="P34:P55" si="3">O34/1000</f>
        <v>1.722</v>
      </c>
      <c r="Q34" s="18" t="s">
        <v>64</v>
      </c>
      <c r="R34" s="18" t="s">
        <v>572</v>
      </c>
    </row>
    <row r="35" spans="1:18" ht="60" x14ac:dyDescent="0.2">
      <c r="A35" s="266" t="s">
        <v>484</v>
      </c>
      <c r="B35" s="267" t="s">
        <v>249</v>
      </c>
      <c r="C35" s="18" t="s">
        <v>485</v>
      </c>
      <c r="D35" s="18" t="s">
        <v>245</v>
      </c>
      <c r="E35" s="18" t="s">
        <v>447</v>
      </c>
      <c r="F35" s="42">
        <v>37802</v>
      </c>
      <c r="G35" s="43" t="s">
        <v>287</v>
      </c>
      <c r="H35" s="43" t="s">
        <v>287</v>
      </c>
      <c r="I35" s="18" t="s">
        <v>498</v>
      </c>
      <c r="J35" s="18" t="s">
        <v>296</v>
      </c>
      <c r="K35" s="18" t="s">
        <v>14</v>
      </c>
      <c r="L35" s="18">
        <v>2010</v>
      </c>
      <c r="M35" s="44">
        <f>ROUND(7299.1*(1-0.24),1)</f>
        <v>5547.3</v>
      </c>
      <c r="N35" s="220">
        <f t="shared" si="2"/>
        <v>5.5472999999999999</v>
      </c>
      <c r="O35" s="45">
        <f>ROUND(19073.2*(1-0.561),1)</f>
        <v>8373.1</v>
      </c>
      <c r="P35" s="77">
        <f t="shared" si="3"/>
        <v>8.3731000000000009</v>
      </c>
      <c r="Q35" s="18" t="s">
        <v>64</v>
      </c>
      <c r="R35" s="18" t="s">
        <v>572</v>
      </c>
    </row>
    <row r="36" spans="1:18" ht="48" x14ac:dyDescent="0.2">
      <c r="A36" s="41" t="s">
        <v>486</v>
      </c>
      <c r="B36" s="18" t="s">
        <v>102</v>
      </c>
      <c r="C36" s="18" t="s">
        <v>485</v>
      </c>
      <c r="D36" s="18" t="s">
        <v>579</v>
      </c>
      <c r="E36" s="18" t="s">
        <v>499</v>
      </c>
      <c r="F36" s="42" t="s">
        <v>14</v>
      </c>
      <c r="G36" s="43" t="s">
        <v>287</v>
      </c>
      <c r="H36" s="43" t="s">
        <v>287</v>
      </c>
      <c r="I36" s="18" t="s">
        <v>498</v>
      </c>
      <c r="J36" s="18" t="s">
        <v>594</v>
      </c>
      <c r="K36" s="18" t="s">
        <v>14</v>
      </c>
      <c r="L36" s="18" t="s">
        <v>287</v>
      </c>
      <c r="M36" s="22">
        <v>8594.9</v>
      </c>
      <c r="N36" s="220">
        <f t="shared" si="2"/>
        <v>8.5948999999999991</v>
      </c>
      <c r="O36" s="23">
        <v>29174.3</v>
      </c>
      <c r="P36" s="71">
        <f t="shared" si="3"/>
        <v>29.174299999999999</v>
      </c>
      <c r="Q36" s="18" t="s">
        <v>102</v>
      </c>
      <c r="R36" s="18" t="s">
        <v>572</v>
      </c>
    </row>
    <row r="37" spans="1:18" ht="60" x14ac:dyDescent="0.2">
      <c r="A37" s="266" t="s">
        <v>575</v>
      </c>
      <c r="B37" s="267" t="s">
        <v>234</v>
      </c>
      <c r="C37" s="18" t="s">
        <v>485</v>
      </c>
      <c r="D37" s="18" t="s">
        <v>245</v>
      </c>
      <c r="E37" s="18" t="s">
        <v>447</v>
      </c>
      <c r="F37" s="42" t="s">
        <v>14</v>
      </c>
      <c r="G37" s="43" t="s">
        <v>287</v>
      </c>
      <c r="H37" s="43" t="s">
        <v>287</v>
      </c>
      <c r="I37" s="18" t="s">
        <v>498</v>
      </c>
      <c r="J37" s="18" t="s">
        <v>296</v>
      </c>
      <c r="K37" s="18" t="s">
        <v>14</v>
      </c>
      <c r="L37" s="18" t="s">
        <v>287</v>
      </c>
      <c r="M37" s="22">
        <v>554.6</v>
      </c>
      <c r="N37" s="220">
        <f t="shared" si="2"/>
        <v>0.55459999999999998</v>
      </c>
      <c r="O37" s="23">
        <v>370.9</v>
      </c>
      <c r="P37" s="77">
        <f t="shared" si="3"/>
        <v>0.37089999999999995</v>
      </c>
      <c r="Q37" s="18" t="s">
        <v>64</v>
      </c>
      <c r="R37" s="18" t="s">
        <v>572</v>
      </c>
    </row>
    <row r="38" spans="1:18" ht="60" x14ac:dyDescent="0.2">
      <c r="A38" s="266" t="s">
        <v>576</v>
      </c>
      <c r="B38" s="267" t="s">
        <v>577</v>
      </c>
      <c r="C38" s="18" t="s">
        <v>485</v>
      </c>
      <c r="D38" s="18" t="s">
        <v>245</v>
      </c>
      <c r="E38" s="18" t="s">
        <v>447</v>
      </c>
      <c r="F38" s="42" t="s">
        <v>14</v>
      </c>
      <c r="G38" s="43" t="s">
        <v>287</v>
      </c>
      <c r="H38" s="43" t="s">
        <v>287</v>
      </c>
      <c r="I38" s="18" t="s">
        <v>498</v>
      </c>
      <c r="J38" s="18" t="s">
        <v>296</v>
      </c>
      <c r="K38" s="18" t="s">
        <v>14</v>
      </c>
      <c r="L38" s="18" t="s">
        <v>287</v>
      </c>
      <c r="M38" s="22">
        <v>475.6</v>
      </c>
      <c r="N38" s="220">
        <f t="shared" si="2"/>
        <v>0.47560000000000002</v>
      </c>
      <c r="O38" s="23">
        <v>602.1</v>
      </c>
      <c r="P38" s="77">
        <f t="shared" si="3"/>
        <v>0.60209999999999997</v>
      </c>
      <c r="Q38" s="18" t="s">
        <v>64</v>
      </c>
      <c r="R38" s="18" t="s">
        <v>572</v>
      </c>
    </row>
    <row r="39" spans="1:18" ht="36" x14ac:dyDescent="0.2">
      <c r="A39" s="24" t="s">
        <v>63</v>
      </c>
      <c r="B39" s="25" t="s">
        <v>507</v>
      </c>
      <c r="C39" s="25" t="s">
        <v>69</v>
      </c>
      <c r="D39" s="25" t="s">
        <v>17</v>
      </c>
      <c r="E39" s="25" t="s">
        <v>340</v>
      </c>
      <c r="F39" s="26">
        <v>57.4</v>
      </c>
      <c r="G39" s="27">
        <v>22041000</v>
      </c>
      <c r="H39" s="277" t="s">
        <v>287</v>
      </c>
      <c r="I39" s="25" t="s">
        <v>343</v>
      </c>
      <c r="J39" s="25" t="s">
        <v>295</v>
      </c>
      <c r="K39" s="37" t="s">
        <v>474</v>
      </c>
      <c r="L39" s="25" t="s">
        <v>287</v>
      </c>
      <c r="M39" s="28">
        <f>ROUND(22.5976,1)</f>
        <v>22.6</v>
      </c>
      <c r="N39" s="220">
        <f t="shared" si="2"/>
        <v>2.2600000000000002E-2</v>
      </c>
      <c r="O39" s="29">
        <v>42.6</v>
      </c>
      <c r="P39" s="77">
        <f t="shared" si="3"/>
        <v>4.2599999999999999E-2</v>
      </c>
      <c r="Q39" s="25" t="s">
        <v>64</v>
      </c>
      <c r="R39" s="25" t="s">
        <v>571</v>
      </c>
    </row>
    <row r="40" spans="1:18" ht="36" x14ac:dyDescent="0.2">
      <c r="A40" s="24" t="s">
        <v>65</v>
      </c>
      <c r="B40" s="25" t="s">
        <v>508</v>
      </c>
      <c r="C40" s="25" t="s">
        <v>69</v>
      </c>
      <c r="D40" s="25" t="s">
        <v>17</v>
      </c>
      <c r="E40" s="25" t="s">
        <v>341</v>
      </c>
      <c r="F40" s="26">
        <v>31.4</v>
      </c>
      <c r="G40" s="27">
        <v>8746000</v>
      </c>
      <c r="H40" s="277" t="s">
        <v>287</v>
      </c>
      <c r="I40" s="25" t="s">
        <v>343</v>
      </c>
      <c r="J40" s="25" t="s">
        <v>295</v>
      </c>
      <c r="K40" s="37" t="s">
        <v>474</v>
      </c>
      <c r="L40" s="25" t="s">
        <v>287</v>
      </c>
      <c r="M40" s="28">
        <v>17.5</v>
      </c>
      <c r="N40" s="220">
        <f t="shared" si="2"/>
        <v>1.7500000000000002E-2</v>
      </c>
      <c r="O40" s="29">
        <v>39.4</v>
      </c>
      <c r="P40" s="77">
        <f t="shared" si="3"/>
        <v>3.9399999999999998E-2</v>
      </c>
      <c r="Q40" s="25" t="s">
        <v>64</v>
      </c>
      <c r="R40" s="25" t="s">
        <v>571</v>
      </c>
    </row>
    <row r="41" spans="1:18" ht="24" x14ac:dyDescent="0.2">
      <c r="A41" s="24" t="s">
        <v>66</v>
      </c>
      <c r="B41" s="25" t="s">
        <v>67</v>
      </c>
      <c r="C41" s="25" t="s">
        <v>69</v>
      </c>
      <c r="D41" s="25" t="s">
        <v>68</v>
      </c>
      <c r="E41" s="25" t="s">
        <v>342</v>
      </c>
      <c r="F41" s="26" t="s">
        <v>14</v>
      </c>
      <c r="G41" s="27" t="s">
        <v>287</v>
      </c>
      <c r="H41" s="277" t="s">
        <v>287</v>
      </c>
      <c r="I41" s="25" t="s">
        <v>343</v>
      </c>
      <c r="J41" s="25" t="s">
        <v>285</v>
      </c>
      <c r="K41" s="25" t="s">
        <v>14</v>
      </c>
      <c r="L41" s="25" t="s">
        <v>285</v>
      </c>
      <c r="M41" s="28">
        <f>ROUND(61.256,1)</f>
        <v>61.3</v>
      </c>
      <c r="N41" s="220">
        <f t="shared" si="2"/>
        <v>6.13E-2</v>
      </c>
      <c r="O41" s="29">
        <f>ROUND(55.2701,1)</f>
        <v>55.3</v>
      </c>
      <c r="P41" s="77">
        <f t="shared" si="3"/>
        <v>5.5299999999999995E-2</v>
      </c>
      <c r="Q41" s="25" t="s">
        <v>64</v>
      </c>
      <c r="R41" s="25" t="s">
        <v>571</v>
      </c>
    </row>
    <row r="42" spans="1:18" ht="72" x14ac:dyDescent="0.2">
      <c r="A42" s="24" t="s">
        <v>70</v>
      </c>
      <c r="B42" s="25" t="s">
        <v>520</v>
      </c>
      <c r="C42" s="25" t="s">
        <v>99</v>
      </c>
      <c r="D42" s="25" t="s">
        <v>17</v>
      </c>
      <c r="E42" s="25" t="s">
        <v>344</v>
      </c>
      <c r="F42" s="26">
        <v>4.8</v>
      </c>
      <c r="G42" s="27" t="s">
        <v>287</v>
      </c>
      <c r="H42" s="277" t="s">
        <v>287</v>
      </c>
      <c r="I42" s="25" t="s">
        <v>347</v>
      </c>
      <c r="J42" s="267" t="s">
        <v>295</v>
      </c>
      <c r="K42" s="267" t="s">
        <v>1225</v>
      </c>
      <c r="L42" s="25" t="s">
        <v>287</v>
      </c>
      <c r="M42" s="26">
        <v>0.1</v>
      </c>
      <c r="N42" s="15">
        <f t="shared" si="2"/>
        <v>1E-4</v>
      </c>
      <c r="O42" s="47">
        <v>0.3</v>
      </c>
      <c r="P42" s="77">
        <f t="shared" si="3"/>
        <v>2.9999999999999997E-4</v>
      </c>
      <c r="Q42" s="25" t="s">
        <v>19</v>
      </c>
      <c r="R42" s="25" t="s">
        <v>571</v>
      </c>
    </row>
    <row r="43" spans="1:18" ht="60" x14ac:dyDescent="0.2">
      <c r="A43" s="24" t="s">
        <v>71</v>
      </c>
      <c r="B43" s="25" t="s">
        <v>530</v>
      </c>
      <c r="C43" s="25" t="s">
        <v>99</v>
      </c>
      <c r="D43" s="25" t="s">
        <v>17</v>
      </c>
      <c r="E43" s="25" t="s">
        <v>344</v>
      </c>
      <c r="F43" s="26">
        <v>3.6</v>
      </c>
      <c r="G43" s="27" t="s">
        <v>287</v>
      </c>
      <c r="H43" s="277" t="s">
        <v>287</v>
      </c>
      <c r="I43" s="25" t="s">
        <v>347</v>
      </c>
      <c r="J43" s="267" t="s">
        <v>295</v>
      </c>
      <c r="K43" s="267" t="s">
        <v>1225</v>
      </c>
      <c r="L43" s="25" t="s">
        <v>287</v>
      </c>
      <c r="M43" s="26">
        <v>0.1</v>
      </c>
      <c r="N43" s="15">
        <f t="shared" si="2"/>
        <v>1E-4</v>
      </c>
      <c r="O43" s="47">
        <v>0.9</v>
      </c>
      <c r="P43" s="77">
        <f t="shared" si="3"/>
        <v>8.9999999999999998E-4</v>
      </c>
      <c r="Q43" s="25" t="s">
        <v>19</v>
      </c>
      <c r="R43" s="25" t="s">
        <v>571</v>
      </c>
    </row>
    <row r="44" spans="1:18" ht="60" x14ac:dyDescent="0.2">
      <c r="A44" s="24" t="s">
        <v>72</v>
      </c>
      <c r="B44" s="25" t="s">
        <v>537</v>
      </c>
      <c r="C44" s="25" t="s">
        <v>99</v>
      </c>
      <c r="D44" s="25" t="s">
        <v>17</v>
      </c>
      <c r="E44" s="25" t="s">
        <v>344</v>
      </c>
      <c r="F44" s="26">
        <v>11.9</v>
      </c>
      <c r="G44" s="27" t="s">
        <v>287</v>
      </c>
      <c r="H44" s="277" t="s">
        <v>287</v>
      </c>
      <c r="I44" s="25" t="s">
        <v>347</v>
      </c>
      <c r="J44" s="267" t="s">
        <v>295</v>
      </c>
      <c r="K44" s="267" t="s">
        <v>1225</v>
      </c>
      <c r="L44" s="25" t="s">
        <v>287</v>
      </c>
      <c r="M44" s="26">
        <v>0.5</v>
      </c>
      <c r="N44" s="15">
        <f t="shared" si="2"/>
        <v>5.0000000000000001E-4</v>
      </c>
      <c r="O44" s="47">
        <v>6.7</v>
      </c>
      <c r="P44" s="77">
        <f t="shared" si="3"/>
        <v>6.7000000000000002E-3</v>
      </c>
      <c r="Q44" s="25" t="s">
        <v>19</v>
      </c>
      <c r="R44" s="25" t="s">
        <v>571</v>
      </c>
    </row>
    <row r="45" spans="1:18" ht="60" x14ac:dyDescent="0.2">
      <c r="A45" s="24" t="s">
        <v>73</v>
      </c>
      <c r="B45" s="25" t="s">
        <v>538</v>
      </c>
      <c r="C45" s="25" t="s">
        <v>99</v>
      </c>
      <c r="D45" s="25" t="s">
        <v>17</v>
      </c>
      <c r="E45" s="25" t="s">
        <v>344</v>
      </c>
      <c r="F45" s="26">
        <v>11.4</v>
      </c>
      <c r="G45" s="27" t="s">
        <v>287</v>
      </c>
      <c r="H45" s="277" t="s">
        <v>287</v>
      </c>
      <c r="I45" s="25" t="s">
        <v>347</v>
      </c>
      <c r="J45" s="267" t="s">
        <v>295</v>
      </c>
      <c r="K45" s="267" t="s">
        <v>1225</v>
      </c>
      <c r="L45" s="25" t="s">
        <v>287</v>
      </c>
      <c r="M45" s="26">
        <v>0.4</v>
      </c>
      <c r="N45" s="15">
        <f t="shared" si="2"/>
        <v>4.0000000000000002E-4</v>
      </c>
      <c r="O45" s="47">
        <v>10.4</v>
      </c>
      <c r="P45" s="77">
        <f t="shared" si="3"/>
        <v>1.04E-2</v>
      </c>
      <c r="Q45" s="25" t="s">
        <v>19</v>
      </c>
      <c r="R45" s="25" t="s">
        <v>571</v>
      </c>
    </row>
    <row r="46" spans="1:18" ht="48" x14ac:dyDescent="0.2">
      <c r="A46" s="24" t="s">
        <v>74</v>
      </c>
      <c r="B46" s="25" t="s">
        <v>510</v>
      </c>
      <c r="C46" s="25" t="s">
        <v>99</v>
      </c>
      <c r="D46" s="267" t="s">
        <v>96</v>
      </c>
      <c r="E46" s="25" t="s">
        <v>344</v>
      </c>
      <c r="F46" s="26">
        <v>16.399999999999999</v>
      </c>
      <c r="G46" s="27" t="s">
        <v>287</v>
      </c>
      <c r="H46" s="277" t="s">
        <v>287</v>
      </c>
      <c r="I46" s="25" t="s">
        <v>347</v>
      </c>
      <c r="J46" s="267" t="s">
        <v>296</v>
      </c>
      <c r="K46" s="25" t="s">
        <v>287</v>
      </c>
      <c r="L46" s="25" t="s">
        <v>287</v>
      </c>
      <c r="M46" s="26">
        <v>0.7</v>
      </c>
      <c r="N46" s="15">
        <f t="shared" si="2"/>
        <v>6.9999999999999999E-4</v>
      </c>
      <c r="O46" s="47">
        <v>3.9</v>
      </c>
      <c r="P46" s="77">
        <f t="shared" si="3"/>
        <v>3.8999999999999998E-3</v>
      </c>
      <c r="Q46" s="25" t="s">
        <v>19</v>
      </c>
      <c r="R46" s="25" t="s">
        <v>571</v>
      </c>
    </row>
    <row r="47" spans="1:18" ht="72" x14ac:dyDescent="0.2">
      <c r="A47" s="24" t="s">
        <v>75</v>
      </c>
      <c r="B47" s="25" t="s">
        <v>511</v>
      </c>
      <c r="C47" s="25" t="s">
        <v>99</v>
      </c>
      <c r="D47" s="25" t="s">
        <v>17</v>
      </c>
      <c r="E47" s="25" t="s">
        <v>345</v>
      </c>
      <c r="F47" s="26">
        <v>13.8</v>
      </c>
      <c r="G47" s="27" t="s">
        <v>287</v>
      </c>
      <c r="H47" s="277" t="s">
        <v>287</v>
      </c>
      <c r="I47" s="25" t="s">
        <v>347</v>
      </c>
      <c r="J47" s="267" t="s">
        <v>296</v>
      </c>
      <c r="K47" s="25" t="s">
        <v>287</v>
      </c>
      <c r="L47" s="25" t="s">
        <v>287</v>
      </c>
      <c r="M47" s="26">
        <v>0.5</v>
      </c>
      <c r="N47" s="15">
        <f t="shared" si="2"/>
        <v>5.0000000000000001E-4</v>
      </c>
      <c r="O47" s="47">
        <v>2.2999999999999998</v>
      </c>
      <c r="P47" s="77">
        <f t="shared" si="3"/>
        <v>2.3E-3</v>
      </c>
      <c r="Q47" s="25" t="s">
        <v>19</v>
      </c>
      <c r="R47" s="25" t="s">
        <v>571</v>
      </c>
    </row>
    <row r="48" spans="1:18" ht="72" x14ac:dyDescent="0.2">
      <c r="A48" s="24" t="s">
        <v>76</v>
      </c>
      <c r="B48" s="25" t="s">
        <v>512</v>
      </c>
      <c r="C48" s="25" t="s">
        <v>99</v>
      </c>
      <c r="D48" s="25" t="s">
        <v>17</v>
      </c>
      <c r="E48" s="25" t="s">
        <v>345</v>
      </c>
      <c r="F48" s="26">
        <v>6.1</v>
      </c>
      <c r="G48" s="27" t="s">
        <v>287</v>
      </c>
      <c r="H48" s="277" t="s">
        <v>287</v>
      </c>
      <c r="I48" s="25" t="s">
        <v>347</v>
      </c>
      <c r="J48" s="267" t="s">
        <v>296</v>
      </c>
      <c r="K48" s="25" t="s">
        <v>287</v>
      </c>
      <c r="L48" s="25" t="s">
        <v>287</v>
      </c>
      <c r="M48" s="26">
        <v>0.2</v>
      </c>
      <c r="N48" s="15">
        <f t="shared" si="2"/>
        <v>2.0000000000000001E-4</v>
      </c>
      <c r="O48" s="47">
        <v>0.7</v>
      </c>
      <c r="P48" s="77">
        <f t="shared" si="3"/>
        <v>6.9999999999999999E-4</v>
      </c>
      <c r="Q48" s="25" t="s">
        <v>19</v>
      </c>
      <c r="R48" s="25" t="s">
        <v>571</v>
      </c>
    </row>
    <row r="49" spans="1:18" ht="60" x14ac:dyDescent="0.2">
      <c r="A49" s="24" t="s">
        <v>77</v>
      </c>
      <c r="B49" s="25" t="s">
        <v>513</v>
      </c>
      <c r="C49" s="25" t="s">
        <v>99</v>
      </c>
      <c r="D49" s="25" t="s">
        <v>17</v>
      </c>
      <c r="E49" s="25" t="s">
        <v>346</v>
      </c>
      <c r="F49" s="26">
        <v>26.5</v>
      </c>
      <c r="G49" s="27" t="s">
        <v>287</v>
      </c>
      <c r="H49" s="277" t="s">
        <v>287</v>
      </c>
      <c r="I49" s="25" t="s">
        <v>347</v>
      </c>
      <c r="J49" s="267" t="s">
        <v>295</v>
      </c>
      <c r="K49" s="267" t="s">
        <v>1225</v>
      </c>
      <c r="L49" s="25" t="s">
        <v>287</v>
      </c>
      <c r="M49" s="26">
        <v>0.9</v>
      </c>
      <c r="N49" s="15">
        <f t="shared" si="2"/>
        <v>8.9999999999999998E-4</v>
      </c>
      <c r="O49" s="47">
        <v>6.1</v>
      </c>
      <c r="P49" s="77">
        <f t="shared" si="3"/>
        <v>6.0999999999999995E-3</v>
      </c>
      <c r="Q49" s="25" t="s">
        <v>19</v>
      </c>
      <c r="R49" s="25" t="s">
        <v>571</v>
      </c>
    </row>
    <row r="50" spans="1:18" ht="60" x14ac:dyDescent="0.2">
      <c r="A50" s="24" t="s">
        <v>78</v>
      </c>
      <c r="B50" s="25" t="s">
        <v>514</v>
      </c>
      <c r="C50" s="25" t="s">
        <v>99</v>
      </c>
      <c r="D50" s="25" t="s">
        <v>17</v>
      </c>
      <c r="E50" s="25" t="s">
        <v>346</v>
      </c>
      <c r="F50" s="26">
        <v>13.4</v>
      </c>
      <c r="G50" s="27" t="s">
        <v>287</v>
      </c>
      <c r="H50" s="277" t="s">
        <v>287</v>
      </c>
      <c r="I50" s="25" t="s">
        <v>347</v>
      </c>
      <c r="J50" s="267" t="s">
        <v>295</v>
      </c>
      <c r="K50" s="267" t="s">
        <v>1225</v>
      </c>
      <c r="L50" s="25" t="s">
        <v>287</v>
      </c>
      <c r="M50" s="26">
        <v>0.5</v>
      </c>
      <c r="N50" s="15">
        <f t="shared" si="2"/>
        <v>5.0000000000000001E-4</v>
      </c>
      <c r="O50" s="47">
        <v>3.5</v>
      </c>
      <c r="P50" s="77">
        <f t="shared" si="3"/>
        <v>3.5000000000000001E-3</v>
      </c>
      <c r="Q50" s="25" t="s">
        <v>19</v>
      </c>
      <c r="R50" s="25" t="s">
        <v>571</v>
      </c>
    </row>
    <row r="51" spans="1:18" ht="60" x14ac:dyDescent="0.2">
      <c r="A51" s="24" t="s">
        <v>79</v>
      </c>
      <c r="B51" s="25" t="s">
        <v>515</v>
      </c>
      <c r="C51" s="25" t="s">
        <v>99</v>
      </c>
      <c r="D51" s="25" t="s">
        <v>17</v>
      </c>
      <c r="E51" s="25" t="s">
        <v>346</v>
      </c>
      <c r="F51" s="26">
        <v>15.8</v>
      </c>
      <c r="G51" s="27" t="s">
        <v>287</v>
      </c>
      <c r="H51" s="277" t="s">
        <v>287</v>
      </c>
      <c r="I51" s="25" t="s">
        <v>347</v>
      </c>
      <c r="J51" s="267" t="s">
        <v>295</v>
      </c>
      <c r="K51" s="267" t="s">
        <v>1225</v>
      </c>
      <c r="L51" s="25" t="s">
        <v>287</v>
      </c>
      <c r="M51" s="26">
        <v>0.6</v>
      </c>
      <c r="N51" s="15">
        <f t="shared" si="2"/>
        <v>5.9999999999999995E-4</v>
      </c>
      <c r="O51" s="47">
        <v>3.4</v>
      </c>
      <c r="P51" s="77">
        <f t="shared" si="3"/>
        <v>3.3999999999999998E-3</v>
      </c>
      <c r="Q51" s="25" t="s">
        <v>19</v>
      </c>
      <c r="R51" s="25" t="s">
        <v>571</v>
      </c>
    </row>
    <row r="52" spans="1:18" ht="60" x14ac:dyDescent="0.2">
      <c r="A52" s="24" t="s">
        <v>80</v>
      </c>
      <c r="B52" s="25" t="s">
        <v>516</v>
      </c>
      <c r="C52" s="25" t="s">
        <v>99</v>
      </c>
      <c r="D52" s="25" t="s">
        <v>17</v>
      </c>
      <c r="E52" s="25" t="s">
        <v>346</v>
      </c>
      <c r="F52" s="26">
        <v>33.700000000000003</v>
      </c>
      <c r="G52" s="27" t="s">
        <v>287</v>
      </c>
      <c r="H52" s="277" t="s">
        <v>287</v>
      </c>
      <c r="I52" s="25" t="s">
        <v>347</v>
      </c>
      <c r="J52" s="267" t="s">
        <v>295</v>
      </c>
      <c r="K52" s="267" t="s">
        <v>1225</v>
      </c>
      <c r="L52" s="25" t="s">
        <v>287</v>
      </c>
      <c r="M52" s="26">
        <v>1.1000000000000001</v>
      </c>
      <c r="N52" s="15">
        <f t="shared" si="2"/>
        <v>1.1000000000000001E-3</v>
      </c>
      <c r="O52" s="47">
        <v>6.7</v>
      </c>
      <c r="P52" s="77">
        <f t="shared" si="3"/>
        <v>6.7000000000000002E-3</v>
      </c>
      <c r="Q52" s="25" t="s">
        <v>19</v>
      </c>
      <c r="R52" s="25" t="s">
        <v>571</v>
      </c>
    </row>
    <row r="53" spans="1:18" ht="72" x14ac:dyDescent="0.2">
      <c r="A53" s="24" t="s">
        <v>81</v>
      </c>
      <c r="B53" s="25" t="s">
        <v>517</v>
      </c>
      <c r="C53" s="25" t="s">
        <v>99</v>
      </c>
      <c r="D53" s="25" t="s">
        <v>17</v>
      </c>
      <c r="E53" s="25" t="s">
        <v>344</v>
      </c>
      <c r="F53" s="26">
        <v>14.2</v>
      </c>
      <c r="G53" s="27" t="s">
        <v>287</v>
      </c>
      <c r="H53" s="277" t="s">
        <v>287</v>
      </c>
      <c r="I53" s="25" t="s">
        <v>347</v>
      </c>
      <c r="J53" s="267" t="s">
        <v>295</v>
      </c>
      <c r="K53" s="267" t="s">
        <v>1225</v>
      </c>
      <c r="L53" s="25" t="s">
        <v>287</v>
      </c>
      <c r="M53" s="26">
        <v>0.5</v>
      </c>
      <c r="N53" s="15">
        <f t="shared" si="2"/>
        <v>5.0000000000000001E-4</v>
      </c>
      <c r="O53" s="47">
        <v>3.4</v>
      </c>
      <c r="P53" s="77">
        <f t="shared" si="3"/>
        <v>3.3999999999999998E-3</v>
      </c>
      <c r="Q53" s="25" t="s">
        <v>19</v>
      </c>
      <c r="R53" s="25" t="s">
        <v>571</v>
      </c>
    </row>
    <row r="54" spans="1:18" ht="36" x14ac:dyDescent="0.2">
      <c r="A54" s="24" t="s">
        <v>82</v>
      </c>
      <c r="B54" s="25" t="s">
        <v>94</v>
      </c>
      <c r="C54" s="25" t="s">
        <v>99</v>
      </c>
      <c r="D54" s="25" t="s">
        <v>17</v>
      </c>
      <c r="E54" s="25" t="s">
        <v>344</v>
      </c>
      <c r="F54" s="26">
        <v>38.799999999999997</v>
      </c>
      <c r="G54" s="27" t="s">
        <v>287</v>
      </c>
      <c r="H54" s="277" t="s">
        <v>287</v>
      </c>
      <c r="I54" s="25" t="s">
        <v>347</v>
      </c>
      <c r="J54" s="25" t="s">
        <v>296</v>
      </c>
      <c r="K54" s="25" t="s">
        <v>14</v>
      </c>
      <c r="L54" s="37" t="s">
        <v>351</v>
      </c>
      <c r="M54" s="26">
        <v>0.3</v>
      </c>
      <c r="N54" s="15">
        <f t="shared" si="2"/>
        <v>2.9999999999999997E-4</v>
      </c>
      <c r="O54" s="47">
        <v>0.9</v>
      </c>
      <c r="P54" s="77">
        <f t="shared" si="3"/>
        <v>8.9999999999999998E-4</v>
      </c>
      <c r="Q54" s="25" t="s">
        <v>19</v>
      </c>
      <c r="R54" s="25" t="s">
        <v>571</v>
      </c>
    </row>
    <row r="55" spans="1:18" ht="36" x14ac:dyDescent="0.2">
      <c r="A55" s="24" t="s">
        <v>83</v>
      </c>
      <c r="B55" s="25" t="s">
        <v>525</v>
      </c>
      <c r="C55" s="25" t="s">
        <v>99</v>
      </c>
      <c r="D55" s="267" t="s">
        <v>96</v>
      </c>
      <c r="E55" s="25" t="s">
        <v>348</v>
      </c>
      <c r="F55" s="26">
        <v>4.0999999999999996</v>
      </c>
      <c r="G55" s="27" t="s">
        <v>287</v>
      </c>
      <c r="H55" s="277" t="s">
        <v>287</v>
      </c>
      <c r="I55" s="25" t="s">
        <v>347</v>
      </c>
      <c r="J55" s="25" t="s">
        <v>296</v>
      </c>
      <c r="K55" s="25" t="s">
        <v>14</v>
      </c>
      <c r="L55" s="37" t="s">
        <v>351</v>
      </c>
      <c r="M55" s="26">
        <v>0</v>
      </c>
      <c r="N55" s="15">
        <f t="shared" si="2"/>
        <v>0</v>
      </c>
      <c r="O55" s="47">
        <v>0.6</v>
      </c>
      <c r="P55" s="77">
        <f t="shared" si="3"/>
        <v>5.9999999999999995E-4</v>
      </c>
      <c r="Q55" s="25" t="s">
        <v>19</v>
      </c>
      <c r="R55" s="25" t="s">
        <v>571</v>
      </c>
    </row>
    <row r="56" spans="1:18" ht="36" x14ac:dyDescent="0.2">
      <c r="A56" s="24" t="s">
        <v>84</v>
      </c>
      <c r="B56" s="25" t="s">
        <v>526</v>
      </c>
      <c r="C56" s="25" t="s">
        <v>99</v>
      </c>
      <c r="D56" s="25" t="s">
        <v>17</v>
      </c>
      <c r="E56" s="25" t="s">
        <v>348</v>
      </c>
      <c r="F56" s="26">
        <v>7.6</v>
      </c>
      <c r="G56" s="27" t="s">
        <v>287</v>
      </c>
      <c r="H56" s="277" t="s">
        <v>287</v>
      </c>
      <c r="I56" s="25" t="s">
        <v>347</v>
      </c>
      <c r="J56" s="25" t="s">
        <v>296</v>
      </c>
      <c r="K56" s="25" t="s">
        <v>14</v>
      </c>
      <c r="L56" s="37" t="s">
        <v>351</v>
      </c>
      <c r="M56" s="26">
        <v>0.2</v>
      </c>
      <c r="N56" s="15">
        <f t="shared" ref="N56:N120" si="4">M56/1000</f>
        <v>2.0000000000000001E-4</v>
      </c>
      <c r="O56" s="47">
        <v>3.4</v>
      </c>
      <c r="P56" s="77">
        <f t="shared" ref="P56:P120" si="5">O56/1000</f>
        <v>3.3999999999999998E-3</v>
      </c>
      <c r="Q56" s="25" t="s">
        <v>19</v>
      </c>
      <c r="R56" s="25" t="s">
        <v>571</v>
      </c>
    </row>
    <row r="57" spans="1:18" ht="60" x14ac:dyDescent="0.2">
      <c r="A57" s="24" t="s">
        <v>85</v>
      </c>
      <c r="B57" s="25" t="s">
        <v>527</v>
      </c>
      <c r="C57" s="25" t="s">
        <v>99</v>
      </c>
      <c r="D57" s="25" t="s">
        <v>17</v>
      </c>
      <c r="E57" s="25" t="s">
        <v>344</v>
      </c>
      <c r="F57" s="26">
        <v>14.6</v>
      </c>
      <c r="G57" s="27" t="s">
        <v>287</v>
      </c>
      <c r="H57" s="277" t="s">
        <v>287</v>
      </c>
      <c r="I57" s="25" t="s">
        <v>347</v>
      </c>
      <c r="J57" s="25" t="s">
        <v>296</v>
      </c>
      <c r="K57" s="25" t="s">
        <v>14</v>
      </c>
      <c r="L57" s="37" t="s">
        <v>352</v>
      </c>
      <c r="M57" s="26">
        <v>0.6</v>
      </c>
      <c r="N57" s="15">
        <f t="shared" si="4"/>
        <v>5.9999999999999995E-4</v>
      </c>
      <c r="O57" s="47">
        <v>2.1</v>
      </c>
      <c r="P57" s="77">
        <f t="shared" si="5"/>
        <v>2.1000000000000003E-3</v>
      </c>
      <c r="Q57" s="25" t="s">
        <v>19</v>
      </c>
      <c r="R57" s="25" t="s">
        <v>571</v>
      </c>
    </row>
    <row r="58" spans="1:18" ht="60" x14ac:dyDescent="0.2">
      <c r="A58" s="24" t="s">
        <v>86</v>
      </c>
      <c r="B58" s="25" t="s">
        <v>528</v>
      </c>
      <c r="C58" s="25" t="s">
        <v>99</v>
      </c>
      <c r="D58" s="25" t="s">
        <v>17</v>
      </c>
      <c r="E58" s="25" t="s">
        <v>344</v>
      </c>
      <c r="F58" s="26">
        <v>17.899999999999999</v>
      </c>
      <c r="G58" s="27" t="s">
        <v>287</v>
      </c>
      <c r="H58" s="277" t="s">
        <v>287</v>
      </c>
      <c r="I58" s="25" t="s">
        <v>347</v>
      </c>
      <c r="J58" s="25" t="s">
        <v>296</v>
      </c>
      <c r="K58" s="25" t="s">
        <v>14</v>
      </c>
      <c r="L58" s="37" t="s">
        <v>352</v>
      </c>
      <c r="M58" s="26">
        <v>0.7</v>
      </c>
      <c r="N58" s="15">
        <f t="shared" si="4"/>
        <v>6.9999999999999999E-4</v>
      </c>
      <c r="O58" s="47">
        <v>2.6</v>
      </c>
      <c r="P58" s="77">
        <f t="shared" si="5"/>
        <v>2.5999999999999999E-3</v>
      </c>
      <c r="Q58" s="25" t="s">
        <v>19</v>
      </c>
      <c r="R58" s="25" t="s">
        <v>571</v>
      </c>
    </row>
    <row r="59" spans="1:18" ht="60" x14ac:dyDescent="0.2">
      <c r="A59" s="24" t="s">
        <v>87</v>
      </c>
      <c r="B59" s="25" t="s">
        <v>529</v>
      </c>
      <c r="C59" s="25" t="s">
        <v>99</v>
      </c>
      <c r="D59" s="25" t="s">
        <v>17</v>
      </c>
      <c r="E59" s="25" t="s">
        <v>344</v>
      </c>
      <c r="F59" s="26">
        <v>16.899999999999999</v>
      </c>
      <c r="G59" s="27" t="s">
        <v>287</v>
      </c>
      <c r="H59" s="277" t="s">
        <v>287</v>
      </c>
      <c r="I59" s="25" t="s">
        <v>347</v>
      </c>
      <c r="J59" s="25" t="s">
        <v>296</v>
      </c>
      <c r="K59" s="25" t="s">
        <v>14</v>
      </c>
      <c r="L59" s="37" t="s">
        <v>352</v>
      </c>
      <c r="M59" s="26">
        <v>0.7</v>
      </c>
      <c r="N59" s="15">
        <f t="shared" si="4"/>
        <v>6.9999999999999999E-4</v>
      </c>
      <c r="O59" s="47">
        <v>2.2999999999999998</v>
      </c>
      <c r="P59" s="77">
        <f t="shared" si="5"/>
        <v>2.3E-3</v>
      </c>
      <c r="Q59" s="25" t="s">
        <v>19</v>
      </c>
      <c r="R59" s="25" t="s">
        <v>571</v>
      </c>
    </row>
    <row r="60" spans="1:18" ht="60" x14ac:dyDescent="0.2">
      <c r="A60" s="24" t="s">
        <v>88</v>
      </c>
      <c r="B60" s="25" t="s">
        <v>531</v>
      </c>
      <c r="C60" s="25" t="s">
        <v>99</v>
      </c>
      <c r="D60" s="25" t="s">
        <v>17</v>
      </c>
      <c r="E60" s="25" t="s">
        <v>344</v>
      </c>
      <c r="F60" s="26">
        <v>12.6</v>
      </c>
      <c r="G60" s="27" t="s">
        <v>287</v>
      </c>
      <c r="H60" s="277" t="s">
        <v>287</v>
      </c>
      <c r="I60" s="25" t="s">
        <v>347</v>
      </c>
      <c r="J60" s="25" t="s">
        <v>296</v>
      </c>
      <c r="K60" s="25" t="s">
        <v>14</v>
      </c>
      <c r="L60" s="37" t="s">
        <v>352</v>
      </c>
      <c r="M60" s="26">
        <v>0.5</v>
      </c>
      <c r="N60" s="15">
        <f t="shared" si="4"/>
        <v>5.0000000000000001E-4</v>
      </c>
      <c r="O60" s="47">
        <v>2.2000000000000002</v>
      </c>
      <c r="P60" s="77">
        <f t="shared" si="5"/>
        <v>2.2000000000000001E-3</v>
      </c>
      <c r="Q60" s="25" t="s">
        <v>19</v>
      </c>
      <c r="R60" s="25" t="s">
        <v>571</v>
      </c>
    </row>
    <row r="61" spans="1:18" ht="48" x14ac:dyDescent="0.2">
      <c r="A61" s="24" t="s">
        <v>89</v>
      </c>
      <c r="B61" s="25" t="s">
        <v>532</v>
      </c>
      <c r="C61" s="25" t="s">
        <v>99</v>
      </c>
      <c r="D61" s="267" t="s">
        <v>97</v>
      </c>
      <c r="E61" s="25" t="s">
        <v>349</v>
      </c>
      <c r="F61" s="26">
        <v>9.8000000000000007</v>
      </c>
      <c r="G61" s="27" t="s">
        <v>287</v>
      </c>
      <c r="H61" s="277" t="s">
        <v>287</v>
      </c>
      <c r="I61" s="25" t="s">
        <v>347</v>
      </c>
      <c r="J61" s="25" t="s">
        <v>296</v>
      </c>
      <c r="K61" s="25" t="s">
        <v>14</v>
      </c>
      <c r="L61" s="37" t="s">
        <v>353</v>
      </c>
      <c r="M61" s="26">
        <v>0.2</v>
      </c>
      <c r="N61" s="15">
        <f t="shared" si="4"/>
        <v>2.0000000000000001E-4</v>
      </c>
      <c r="O61" s="47">
        <v>2.6</v>
      </c>
      <c r="P61" s="77">
        <f t="shared" si="5"/>
        <v>2.5999999999999999E-3</v>
      </c>
      <c r="Q61" s="25" t="s">
        <v>19</v>
      </c>
      <c r="R61" s="25" t="s">
        <v>571</v>
      </c>
    </row>
    <row r="62" spans="1:18" ht="48" x14ac:dyDescent="0.2">
      <c r="A62" s="24" t="s">
        <v>90</v>
      </c>
      <c r="B62" s="25" t="s">
        <v>533</v>
      </c>
      <c r="C62" s="25" t="s">
        <v>99</v>
      </c>
      <c r="D62" s="25" t="s">
        <v>17</v>
      </c>
      <c r="E62" s="25" t="s">
        <v>344</v>
      </c>
      <c r="F62" s="26">
        <v>21.8</v>
      </c>
      <c r="G62" s="27" t="s">
        <v>287</v>
      </c>
      <c r="H62" s="277" t="s">
        <v>287</v>
      </c>
      <c r="I62" s="25" t="s">
        <v>347</v>
      </c>
      <c r="J62" s="25" t="s">
        <v>296</v>
      </c>
      <c r="K62" s="25" t="s">
        <v>14</v>
      </c>
      <c r="L62" s="37" t="s">
        <v>353</v>
      </c>
      <c r="M62" s="26">
        <v>0.6</v>
      </c>
      <c r="N62" s="15">
        <f t="shared" si="4"/>
        <v>5.9999999999999995E-4</v>
      </c>
      <c r="O62" s="47">
        <v>3.1</v>
      </c>
      <c r="P62" s="77">
        <f t="shared" si="5"/>
        <v>3.0999999999999999E-3</v>
      </c>
      <c r="Q62" s="25" t="s">
        <v>19</v>
      </c>
      <c r="R62" s="25" t="s">
        <v>571</v>
      </c>
    </row>
    <row r="63" spans="1:18" ht="48" x14ac:dyDescent="0.2">
      <c r="A63" s="24" t="s">
        <v>91</v>
      </c>
      <c r="B63" s="25" t="s">
        <v>534</v>
      </c>
      <c r="C63" s="25" t="s">
        <v>99</v>
      </c>
      <c r="D63" s="267" t="s">
        <v>98</v>
      </c>
      <c r="E63" s="25" t="s">
        <v>344</v>
      </c>
      <c r="F63" s="26">
        <v>14.8</v>
      </c>
      <c r="G63" s="27" t="s">
        <v>287</v>
      </c>
      <c r="H63" s="277" t="s">
        <v>287</v>
      </c>
      <c r="I63" s="25" t="s">
        <v>347</v>
      </c>
      <c r="J63" s="25" t="s">
        <v>296</v>
      </c>
      <c r="K63" s="25" t="s">
        <v>14</v>
      </c>
      <c r="L63" s="37" t="s">
        <v>354</v>
      </c>
      <c r="M63" s="26">
        <v>0.2</v>
      </c>
      <c r="N63" s="15">
        <f t="shared" si="4"/>
        <v>2.0000000000000001E-4</v>
      </c>
      <c r="O63" s="47">
        <v>1.2</v>
      </c>
      <c r="P63" s="77">
        <f t="shared" si="5"/>
        <v>1.1999999999999999E-3</v>
      </c>
      <c r="Q63" s="25" t="s">
        <v>19</v>
      </c>
      <c r="R63" s="25" t="s">
        <v>571</v>
      </c>
    </row>
    <row r="64" spans="1:18" ht="24" x14ac:dyDescent="0.2">
      <c r="A64" s="24" t="s">
        <v>92</v>
      </c>
      <c r="B64" s="25" t="s">
        <v>535</v>
      </c>
      <c r="C64" s="25" t="s">
        <v>99</v>
      </c>
      <c r="D64" s="25" t="s">
        <v>28</v>
      </c>
      <c r="E64" s="25" t="s">
        <v>344</v>
      </c>
      <c r="F64" s="26">
        <v>32.200000000000003</v>
      </c>
      <c r="G64" s="27" t="s">
        <v>287</v>
      </c>
      <c r="H64" s="277" t="s">
        <v>287</v>
      </c>
      <c r="I64" s="25" t="s">
        <v>347</v>
      </c>
      <c r="J64" s="25" t="s">
        <v>296</v>
      </c>
      <c r="K64" s="25" t="s">
        <v>14</v>
      </c>
      <c r="L64" s="37" t="s">
        <v>355</v>
      </c>
      <c r="M64" s="26">
        <v>0.2</v>
      </c>
      <c r="N64" s="15">
        <f t="shared" si="4"/>
        <v>2.0000000000000001E-4</v>
      </c>
      <c r="O64" s="47">
        <v>1.3</v>
      </c>
      <c r="P64" s="77">
        <f t="shared" si="5"/>
        <v>1.2999999999999999E-3</v>
      </c>
      <c r="Q64" s="25" t="s">
        <v>19</v>
      </c>
      <c r="R64" s="25" t="s">
        <v>571</v>
      </c>
    </row>
    <row r="65" spans="1:18" ht="24" x14ac:dyDescent="0.2">
      <c r="A65" s="24" t="s">
        <v>93</v>
      </c>
      <c r="B65" s="25" t="s">
        <v>67</v>
      </c>
      <c r="C65" s="25" t="s">
        <v>99</v>
      </c>
      <c r="D65" s="25" t="s">
        <v>8</v>
      </c>
      <c r="E65" s="25" t="s">
        <v>536</v>
      </c>
      <c r="F65" s="26" t="s">
        <v>14</v>
      </c>
      <c r="G65" s="277" t="s">
        <v>1220</v>
      </c>
      <c r="H65" s="27" t="s">
        <v>287</v>
      </c>
      <c r="I65" s="25" t="s">
        <v>347</v>
      </c>
      <c r="J65" s="25" t="s">
        <v>285</v>
      </c>
      <c r="K65" s="25" t="s">
        <v>14</v>
      </c>
      <c r="L65" s="25" t="s">
        <v>285</v>
      </c>
      <c r="M65" s="26">
        <v>50.3</v>
      </c>
      <c r="N65" s="15">
        <f t="shared" si="4"/>
        <v>5.0299999999999997E-2</v>
      </c>
      <c r="O65" s="47">
        <v>144.80000000000001</v>
      </c>
      <c r="P65" s="77">
        <f t="shared" si="5"/>
        <v>0.14480000000000001</v>
      </c>
      <c r="Q65" s="25" t="s">
        <v>19</v>
      </c>
      <c r="R65" s="25" t="s">
        <v>571</v>
      </c>
    </row>
    <row r="66" spans="1:18" ht="36" x14ac:dyDescent="0.2">
      <c r="A66" s="266" t="s">
        <v>95</v>
      </c>
      <c r="B66" s="267" t="s">
        <v>23</v>
      </c>
      <c r="C66" s="267" t="s">
        <v>99</v>
      </c>
      <c r="D66" s="267" t="s">
        <v>18</v>
      </c>
      <c r="E66" s="267" t="s">
        <v>1226</v>
      </c>
      <c r="F66" s="274" t="s">
        <v>14</v>
      </c>
      <c r="G66" s="277" t="s">
        <v>1220</v>
      </c>
      <c r="H66" s="277" t="s">
        <v>287</v>
      </c>
      <c r="I66" s="267" t="s">
        <v>347</v>
      </c>
      <c r="J66" s="267" t="s">
        <v>285</v>
      </c>
      <c r="K66" s="267" t="s">
        <v>14</v>
      </c>
      <c r="L66" s="267" t="s">
        <v>285</v>
      </c>
      <c r="M66" s="274">
        <v>1.7</v>
      </c>
      <c r="N66" s="275">
        <f t="shared" si="4"/>
        <v>1.6999999999999999E-3</v>
      </c>
      <c r="O66" s="286">
        <v>19.8</v>
      </c>
      <c r="P66" s="287">
        <f t="shared" si="5"/>
        <v>1.9800000000000002E-2</v>
      </c>
      <c r="Q66" s="267" t="s">
        <v>19</v>
      </c>
      <c r="R66" s="267" t="s">
        <v>571</v>
      </c>
    </row>
    <row r="67" spans="1:18" ht="24" x14ac:dyDescent="0.2">
      <c r="A67" s="24" t="s">
        <v>100</v>
      </c>
      <c r="B67" s="25" t="s">
        <v>23</v>
      </c>
      <c r="C67" s="25" t="s">
        <v>101</v>
      </c>
      <c r="D67" s="25" t="s">
        <v>18</v>
      </c>
      <c r="E67" s="25" t="s">
        <v>298</v>
      </c>
      <c r="F67" s="26" t="s">
        <v>14</v>
      </c>
      <c r="G67" s="27" t="s">
        <v>287</v>
      </c>
      <c r="H67" s="27" t="s">
        <v>287</v>
      </c>
      <c r="I67" s="25" t="s">
        <v>101</v>
      </c>
      <c r="J67" s="25" t="s">
        <v>285</v>
      </c>
      <c r="K67" s="25" t="s">
        <v>14</v>
      </c>
      <c r="L67" s="25" t="s">
        <v>285</v>
      </c>
      <c r="M67" s="28">
        <v>29.5</v>
      </c>
      <c r="N67" s="220">
        <f t="shared" si="4"/>
        <v>2.9499999999999998E-2</v>
      </c>
      <c r="O67" s="47">
        <v>362.3</v>
      </c>
      <c r="P67" s="71">
        <f t="shared" si="5"/>
        <v>0.36230000000000001</v>
      </c>
      <c r="Q67" s="25" t="s">
        <v>102</v>
      </c>
      <c r="R67" s="25" t="s">
        <v>571</v>
      </c>
    </row>
    <row r="68" spans="1:18" ht="24" x14ac:dyDescent="0.2">
      <c r="A68" s="24" t="s">
        <v>103</v>
      </c>
      <c r="B68" s="25" t="s">
        <v>23</v>
      </c>
      <c r="C68" s="25" t="s">
        <v>101</v>
      </c>
      <c r="D68" s="25" t="s">
        <v>18</v>
      </c>
      <c r="E68" s="25" t="s">
        <v>298</v>
      </c>
      <c r="F68" s="26" t="s">
        <v>14</v>
      </c>
      <c r="G68" s="27" t="s">
        <v>287</v>
      </c>
      <c r="H68" s="27" t="s">
        <v>287</v>
      </c>
      <c r="I68" s="25" t="s">
        <v>101</v>
      </c>
      <c r="J68" s="25" t="s">
        <v>285</v>
      </c>
      <c r="K68" s="25" t="s">
        <v>14</v>
      </c>
      <c r="L68" s="25" t="s">
        <v>285</v>
      </c>
      <c r="M68" s="28">
        <v>29.6</v>
      </c>
      <c r="N68" s="220">
        <f t="shared" si="4"/>
        <v>2.9600000000000001E-2</v>
      </c>
      <c r="O68" s="47">
        <v>415.2</v>
      </c>
      <c r="P68" s="77">
        <f t="shared" si="5"/>
        <v>0.41520000000000001</v>
      </c>
      <c r="Q68" s="25" t="s">
        <v>104</v>
      </c>
      <c r="R68" s="25" t="s">
        <v>571</v>
      </c>
    </row>
    <row r="69" spans="1:18" ht="24" x14ac:dyDescent="0.2">
      <c r="A69" s="24" t="s">
        <v>105</v>
      </c>
      <c r="B69" s="25" t="s">
        <v>23</v>
      </c>
      <c r="C69" s="25" t="s">
        <v>101</v>
      </c>
      <c r="D69" s="25" t="s">
        <v>18</v>
      </c>
      <c r="E69" s="25" t="s">
        <v>298</v>
      </c>
      <c r="F69" s="26" t="s">
        <v>14</v>
      </c>
      <c r="G69" s="27" t="s">
        <v>287</v>
      </c>
      <c r="H69" s="27" t="s">
        <v>287</v>
      </c>
      <c r="I69" s="25" t="s">
        <v>101</v>
      </c>
      <c r="J69" s="25" t="s">
        <v>285</v>
      </c>
      <c r="K69" s="25" t="s">
        <v>14</v>
      </c>
      <c r="L69" s="25" t="s">
        <v>285</v>
      </c>
      <c r="M69" s="28">
        <v>155.19999999999999</v>
      </c>
      <c r="N69" s="15">
        <f t="shared" si="4"/>
        <v>0.15519999999999998</v>
      </c>
      <c r="O69" s="47">
        <v>6580.7</v>
      </c>
      <c r="P69" s="77">
        <f t="shared" si="5"/>
        <v>6.5807000000000002</v>
      </c>
      <c r="Q69" s="25" t="s">
        <v>9</v>
      </c>
      <c r="R69" s="25" t="s">
        <v>571</v>
      </c>
    </row>
    <row r="70" spans="1:18" s="30" customFormat="1" ht="24" x14ac:dyDescent="0.2">
      <c r="A70" s="24" t="s">
        <v>106</v>
      </c>
      <c r="B70" s="25" t="s">
        <v>23</v>
      </c>
      <c r="C70" s="25" t="s">
        <v>101</v>
      </c>
      <c r="D70" s="25" t="s">
        <v>18</v>
      </c>
      <c r="E70" s="25" t="s">
        <v>298</v>
      </c>
      <c r="F70" s="26" t="s">
        <v>14</v>
      </c>
      <c r="G70" s="27" t="s">
        <v>287</v>
      </c>
      <c r="H70" s="27" t="s">
        <v>287</v>
      </c>
      <c r="I70" s="25" t="s">
        <v>101</v>
      </c>
      <c r="J70" s="25" t="s">
        <v>285</v>
      </c>
      <c r="K70" s="25" t="s">
        <v>14</v>
      </c>
      <c r="L70" s="25" t="s">
        <v>285</v>
      </c>
      <c r="M70" s="48">
        <v>136</v>
      </c>
      <c r="N70" s="220">
        <f t="shared" si="4"/>
        <v>0.13600000000000001</v>
      </c>
      <c r="O70" s="47">
        <v>538.6</v>
      </c>
      <c r="P70" s="71">
        <f t="shared" si="5"/>
        <v>0.53859999999999997</v>
      </c>
      <c r="Q70" s="25" t="s">
        <v>107</v>
      </c>
      <c r="R70" s="25" t="s">
        <v>571</v>
      </c>
    </row>
    <row r="71" spans="1:18" s="30" customFormat="1" ht="48" x14ac:dyDescent="0.2">
      <c r="A71" s="31" t="s">
        <v>108</v>
      </c>
      <c r="B71" s="32" t="s">
        <v>109</v>
      </c>
      <c r="C71" s="32" t="s">
        <v>110</v>
      </c>
      <c r="D71" s="32" t="s">
        <v>173</v>
      </c>
      <c r="E71" s="32" t="s">
        <v>465</v>
      </c>
      <c r="F71" s="33">
        <v>43.3</v>
      </c>
      <c r="G71" s="34">
        <v>440000</v>
      </c>
      <c r="H71" s="277" t="s">
        <v>287</v>
      </c>
      <c r="I71" s="32" t="s">
        <v>294</v>
      </c>
      <c r="J71" s="267" t="s">
        <v>295</v>
      </c>
      <c r="K71" s="32" t="s">
        <v>287</v>
      </c>
      <c r="L71" s="32" t="s">
        <v>287</v>
      </c>
      <c r="M71" s="35"/>
      <c r="N71" s="15">
        <f t="shared" si="4"/>
        <v>0</v>
      </c>
      <c r="O71" s="46"/>
      <c r="P71" s="77">
        <f t="shared" si="5"/>
        <v>0</v>
      </c>
      <c r="Q71" s="32" t="s">
        <v>9</v>
      </c>
      <c r="R71" s="32" t="s">
        <v>571</v>
      </c>
    </row>
    <row r="72" spans="1:18" s="30" customFormat="1" ht="48" x14ac:dyDescent="0.2">
      <c r="A72" s="24" t="s">
        <v>111</v>
      </c>
      <c r="B72" s="25" t="s">
        <v>112</v>
      </c>
      <c r="C72" s="25" t="s">
        <v>110</v>
      </c>
      <c r="D72" s="25" t="s">
        <v>173</v>
      </c>
      <c r="E72" s="25" t="s">
        <v>466</v>
      </c>
      <c r="F72" s="26">
        <v>26.6</v>
      </c>
      <c r="G72" s="27">
        <v>330000</v>
      </c>
      <c r="H72" s="27">
        <v>1973</v>
      </c>
      <c r="I72" s="25" t="s">
        <v>294</v>
      </c>
      <c r="J72" s="25" t="s">
        <v>296</v>
      </c>
      <c r="K72" s="25" t="s">
        <v>14</v>
      </c>
      <c r="L72" s="37" t="s">
        <v>297</v>
      </c>
      <c r="M72" s="28">
        <v>1.3</v>
      </c>
      <c r="N72" s="15">
        <f t="shared" si="4"/>
        <v>1.2999999999999999E-3</v>
      </c>
      <c r="O72" s="47">
        <v>24.1</v>
      </c>
      <c r="P72" s="77">
        <f t="shared" si="5"/>
        <v>2.41E-2</v>
      </c>
      <c r="Q72" s="25" t="s">
        <v>9</v>
      </c>
      <c r="R72" s="25" t="s">
        <v>571</v>
      </c>
    </row>
    <row r="73" spans="1:18" s="73" customFormat="1" ht="108" x14ac:dyDescent="0.2">
      <c r="A73" s="41" t="s">
        <v>113</v>
      </c>
      <c r="B73" s="18" t="s">
        <v>114</v>
      </c>
      <c r="C73" s="267" t="s">
        <v>1217</v>
      </c>
      <c r="D73" s="267" t="s">
        <v>231</v>
      </c>
      <c r="E73" s="267" t="s">
        <v>578</v>
      </c>
      <c r="F73" s="42">
        <v>711</v>
      </c>
      <c r="G73" s="43" t="s">
        <v>287</v>
      </c>
      <c r="H73" s="43" t="s">
        <v>287</v>
      </c>
      <c r="I73" s="18" t="s">
        <v>287</v>
      </c>
      <c r="J73" s="18" t="s">
        <v>295</v>
      </c>
      <c r="K73" s="18" t="s">
        <v>287</v>
      </c>
      <c r="L73" s="18" t="s">
        <v>287</v>
      </c>
      <c r="M73" s="274">
        <v>698</v>
      </c>
      <c r="N73" s="275">
        <f t="shared" si="4"/>
        <v>0.69799999999999995</v>
      </c>
      <c r="O73" s="49" t="s">
        <v>232</v>
      </c>
      <c r="P73" s="77" t="e">
        <f t="shared" si="5"/>
        <v>#VALUE!</v>
      </c>
      <c r="Q73" s="18" t="s">
        <v>104</v>
      </c>
      <c r="R73" s="18" t="s">
        <v>573</v>
      </c>
    </row>
    <row r="74" spans="1:18" s="30" customFormat="1" ht="48" x14ac:dyDescent="0.2">
      <c r="A74" s="41" t="s">
        <v>115</v>
      </c>
      <c r="B74" s="18" t="s">
        <v>116</v>
      </c>
      <c r="C74" s="18" t="s">
        <v>125</v>
      </c>
      <c r="D74" s="18" t="s">
        <v>584</v>
      </c>
      <c r="E74" s="18" t="s">
        <v>585</v>
      </c>
      <c r="F74" s="42">
        <v>66.3</v>
      </c>
      <c r="G74" s="43" t="s">
        <v>287</v>
      </c>
      <c r="H74" s="43" t="s">
        <v>287</v>
      </c>
      <c r="I74" s="18" t="s">
        <v>287</v>
      </c>
      <c r="J74" s="267" t="s">
        <v>287</v>
      </c>
      <c r="K74" s="18" t="s">
        <v>287</v>
      </c>
      <c r="L74" s="18" t="s">
        <v>287</v>
      </c>
      <c r="M74" s="42">
        <v>2.7</v>
      </c>
      <c r="N74" s="220">
        <f t="shared" si="4"/>
        <v>2.7000000000000001E-3</v>
      </c>
      <c r="O74" s="50">
        <v>15.2</v>
      </c>
      <c r="P74" s="77">
        <f t="shared" si="5"/>
        <v>1.52E-2</v>
      </c>
      <c r="Q74" s="18" t="s">
        <v>64</v>
      </c>
      <c r="R74" s="18" t="s">
        <v>571</v>
      </c>
    </row>
    <row r="75" spans="1:18" ht="24" x14ac:dyDescent="0.2">
      <c r="A75" s="41" t="s">
        <v>118</v>
      </c>
      <c r="B75" s="51" t="s">
        <v>120</v>
      </c>
      <c r="C75" s="18" t="s">
        <v>125</v>
      </c>
      <c r="D75" s="18" t="s">
        <v>584</v>
      </c>
      <c r="E75" s="18" t="s">
        <v>428</v>
      </c>
      <c r="F75" s="52">
        <v>56.4</v>
      </c>
      <c r="G75" s="43" t="s">
        <v>287</v>
      </c>
      <c r="H75" s="43" t="s">
        <v>287</v>
      </c>
      <c r="I75" s="18" t="s">
        <v>287</v>
      </c>
      <c r="J75" s="267" t="s">
        <v>287</v>
      </c>
      <c r="K75" s="18" t="s">
        <v>287</v>
      </c>
      <c r="L75" s="18" t="s">
        <v>287</v>
      </c>
      <c r="M75" s="53">
        <v>2.2000000000000002</v>
      </c>
      <c r="N75" s="220">
        <f t="shared" si="4"/>
        <v>2.2000000000000001E-3</v>
      </c>
      <c r="O75" s="50">
        <v>14.4</v>
      </c>
      <c r="P75" s="77">
        <f t="shared" si="5"/>
        <v>1.44E-2</v>
      </c>
      <c r="Q75" s="18" t="s">
        <v>64</v>
      </c>
      <c r="R75" s="18" t="s">
        <v>571</v>
      </c>
    </row>
    <row r="76" spans="1:18" ht="24" x14ac:dyDescent="0.2">
      <c r="A76" s="41" t="s">
        <v>119</v>
      </c>
      <c r="B76" s="51" t="s">
        <v>122</v>
      </c>
      <c r="C76" s="18" t="s">
        <v>125</v>
      </c>
      <c r="D76" s="18" t="s">
        <v>28</v>
      </c>
      <c r="E76" s="18" t="s">
        <v>429</v>
      </c>
      <c r="F76" s="52">
        <v>2.1</v>
      </c>
      <c r="G76" s="43" t="s">
        <v>287</v>
      </c>
      <c r="H76" s="43" t="s">
        <v>287</v>
      </c>
      <c r="I76" s="18" t="s">
        <v>287</v>
      </c>
      <c r="J76" s="267" t="s">
        <v>287</v>
      </c>
      <c r="K76" s="18" t="s">
        <v>287</v>
      </c>
      <c r="L76" s="18" t="s">
        <v>287</v>
      </c>
      <c r="M76" s="53">
        <v>0.1</v>
      </c>
      <c r="N76" s="220">
        <f t="shared" si="4"/>
        <v>1E-4</v>
      </c>
      <c r="O76" s="50">
        <v>0.5</v>
      </c>
      <c r="P76" s="77">
        <f t="shared" si="5"/>
        <v>5.0000000000000001E-4</v>
      </c>
      <c r="Q76" s="18" t="s">
        <v>64</v>
      </c>
      <c r="R76" s="18" t="s">
        <v>571</v>
      </c>
    </row>
    <row r="77" spans="1:18" ht="24" x14ac:dyDescent="0.2">
      <c r="A77" s="41" t="s">
        <v>121</v>
      </c>
      <c r="B77" s="51" t="s">
        <v>467</v>
      </c>
      <c r="C77" s="18" t="s">
        <v>125</v>
      </c>
      <c r="D77" s="18" t="s">
        <v>124</v>
      </c>
      <c r="E77" s="18" t="s">
        <v>430</v>
      </c>
      <c r="F77" s="52">
        <v>32.200000000000003</v>
      </c>
      <c r="G77" s="43" t="s">
        <v>287</v>
      </c>
      <c r="H77" s="43" t="s">
        <v>287</v>
      </c>
      <c r="I77" s="18" t="s">
        <v>287</v>
      </c>
      <c r="J77" s="267" t="s">
        <v>287</v>
      </c>
      <c r="K77" s="18" t="s">
        <v>287</v>
      </c>
      <c r="L77" s="18" t="s">
        <v>287</v>
      </c>
      <c r="M77" s="42">
        <v>0.4</v>
      </c>
      <c r="N77" s="220">
        <f t="shared" si="4"/>
        <v>4.0000000000000002E-4</v>
      </c>
      <c r="O77" s="50">
        <v>0.3</v>
      </c>
      <c r="P77" s="77">
        <f t="shared" si="5"/>
        <v>2.9999999999999997E-4</v>
      </c>
      <c r="Q77" s="18" t="s">
        <v>64</v>
      </c>
      <c r="R77" s="18" t="s">
        <v>571</v>
      </c>
    </row>
    <row r="78" spans="1:18" s="72" customFormat="1" ht="60" x14ac:dyDescent="0.2">
      <c r="A78" s="41" t="s">
        <v>123</v>
      </c>
      <c r="B78" s="51" t="s">
        <v>543</v>
      </c>
      <c r="C78" s="18" t="s">
        <v>125</v>
      </c>
      <c r="D78" s="18" t="s">
        <v>28</v>
      </c>
      <c r="E78" s="18" t="s">
        <v>431</v>
      </c>
      <c r="F78" s="52">
        <v>17.2</v>
      </c>
      <c r="G78" s="43" t="s">
        <v>287</v>
      </c>
      <c r="H78" s="43" t="s">
        <v>287</v>
      </c>
      <c r="I78" s="18" t="s">
        <v>287</v>
      </c>
      <c r="J78" s="267" t="s">
        <v>287</v>
      </c>
      <c r="K78" s="18" t="s">
        <v>287</v>
      </c>
      <c r="L78" s="18" t="s">
        <v>287</v>
      </c>
      <c r="M78" s="53">
        <v>0.2</v>
      </c>
      <c r="N78" s="220">
        <f t="shared" si="4"/>
        <v>2.0000000000000001E-4</v>
      </c>
      <c r="O78" s="50">
        <v>4.2</v>
      </c>
      <c r="P78" s="77">
        <f t="shared" si="5"/>
        <v>4.2000000000000006E-3</v>
      </c>
      <c r="Q78" s="18" t="s">
        <v>64</v>
      </c>
      <c r="R78" s="18" t="s">
        <v>571</v>
      </c>
    </row>
    <row r="79" spans="1:18" ht="60" x14ac:dyDescent="0.2">
      <c r="A79" s="24" t="s">
        <v>126</v>
      </c>
      <c r="B79" s="25" t="s">
        <v>23</v>
      </c>
      <c r="C79" s="25" t="s">
        <v>163</v>
      </c>
      <c r="D79" s="25" t="s">
        <v>18</v>
      </c>
      <c r="E79" s="25" t="s">
        <v>357</v>
      </c>
      <c r="F79" s="26" t="s">
        <v>14</v>
      </c>
      <c r="G79" s="27" t="s">
        <v>287</v>
      </c>
      <c r="H79" s="27" t="s">
        <v>287</v>
      </c>
      <c r="I79" s="25" t="s">
        <v>163</v>
      </c>
      <c r="J79" s="25" t="s">
        <v>285</v>
      </c>
      <c r="K79" s="25" t="s">
        <v>14</v>
      </c>
      <c r="L79" s="25" t="s">
        <v>285</v>
      </c>
      <c r="M79" s="26">
        <v>586.1</v>
      </c>
      <c r="N79" s="15">
        <f t="shared" si="4"/>
        <v>0.58610000000000007</v>
      </c>
      <c r="O79" s="29">
        <v>13247.4</v>
      </c>
      <c r="P79" s="77">
        <f t="shared" si="5"/>
        <v>13.247399999999999</v>
      </c>
      <c r="Q79" s="25" t="s">
        <v>19</v>
      </c>
      <c r="R79" s="25" t="s">
        <v>571</v>
      </c>
    </row>
    <row r="80" spans="1:18" ht="36" x14ac:dyDescent="0.2">
      <c r="A80" s="24" t="s">
        <v>128</v>
      </c>
      <c r="B80" s="25" t="s">
        <v>363</v>
      </c>
      <c r="C80" s="25" t="s">
        <v>163</v>
      </c>
      <c r="D80" s="25" t="s">
        <v>8</v>
      </c>
      <c r="E80" s="25" t="s">
        <v>359</v>
      </c>
      <c r="F80" s="26" t="s">
        <v>14</v>
      </c>
      <c r="G80" s="277" t="s">
        <v>1220</v>
      </c>
      <c r="H80" s="27">
        <v>44015</v>
      </c>
      <c r="I80" s="25" t="s">
        <v>367</v>
      </c>
      <c r="J80" s="25" t="s">
        <v>285</v>
      </c>
      <c r="K80" s="25" t="s">
        <v>14</v>
      </c>
      <c r="L80" s="25" t="s">
        <v>285</v>
      </c>
      <c r="M80" s="26">
        <v>9.3000000000000007</v>
      </c>
      <c r="N80" s="15">
        <f t="shared" si="4"/>
        <v>9.300000000000001E-3</v>
      </c>
      <c r="O80" s="47">
        <v>26.7</v>
      </c>
      <c r="P80" s="77">
        <f t="shared" si="5"/>
        <v>2.6699999999999998E-2</v>
      </c>
      <c r="Q80" s="25" t="s">
        <v>19</v>
      </c>
      <c r="R80" s="25" t="s">
        <v>571</v>
      </c>
    </row>
    <row r="81" spans="1:18" ht="36" x14ac:dyDescent="0.2">
      <c r="A81" s="24" t="s">
        <v>129</v>
      </c>
      <c r="B81" s="25" t="s">
        <v>364</v>
      </c>
      <c r="C81" s="25" t="s">
        <v>163</v>
      </c>
      <c r="D81" s="25" t="s">
        <v>8</v>
      </c>
      <c r="E81" s="25" t="s">
        <v>360</v>
      </c>
      <c r="F81" s="26" t="s">
        <v>14</v>
      </c>
      <c r="G81" s="277" t="s">
        <v>1220</v>
      </c>
      <c r="H81" s="27">
        <v>15198</v>
      </c>
      <c r="I81" s="25" t="s">
        <v>368</v>
      </c>
      <c r="J81" s="25" t="s">
        <v>285</v>
      </c>
      <c r="K81" s="25" t="s">
        <v>14</v>
      </c>
      <c r="L81" s="25" t="s">
        <v>285</v>
      </c>
      <c r="M81" s="26">
        <v>2.2999999999999998</v>
      </c>
      <c r="N81" s="15">
        <f t="shared" si="4"/>
        <v>2.3E-3</v>
      </c>
      <c r="O81" s="47">
        <v>6.6</v>
      </c>
      <c r="P81" s="77">
        <f t="shared" si="5"/>
        <v>6.6E-3</v>
      </c>
      <c r="Q81" s="25" t="s">
        <v>19</v>
      </c>
      <c r="R81" s="25" t="s">
        <v>571</v>
      </c>
    </row>
    <row r="82" spans="1:18" ht="36" x14ac:dyDescent="0.2">
      <c r="A82" s="24" t="s">
        <v>130</v>
      </c>
      <c r="B82" s="25" t="s">
        <v>365</v>
      </c>
      <c r="C82" s="25" t="s">
        <v>163</v>
      </c>
      <c r="D82" s="25" t="s">
        <v>8</v>
      </c>
      <c r="E82" s="25" t="s">
        <v>361</v>
      </c>
      <c r="F82" s="26" t="s">
        <v>14</v>
      </c>
      <c r="G82" s="277" t="s">
        <v>1220</v>
      </c>
      <c r="H82" s="27">
        <v>11003</v>
      </c>
      <c r="I82" s="25" t="s">
        <v>369</v>
      </c>
      <c r="J82" s="25" t="s">
        <v>285</v>
      </c>
      <c r="K82" s="25" t="s">
        <v>14</v>
      </c>
      <c r="L82" s="25" t="s">
        <v>285</v>
      </c>
      <c r="M82" s="26">
        <v>1.7</v>
      </c>
      <c r="N82" s="15">
        <f t="shared" si="4"/>
        <v>1.6999999999999999E-3</v>
      </c>
      <c r="O82" s="47">
        <v>4.8</v>
      </c>
      <c r="P82" s="77">
        <f t="shared" si="5"/>
        <v>4.7999999999999996E-3</v>
      </c>
      <c r="Q82" s="25" t="s">
        <v>19</v>
      </c>
      <c r="R82" s="25" t="s">
        <v>571</v>
      </c>
    </row>
    <row r="83" spans="1:18" ht="24" x14ac:dyDescent="0.2">
      <c r="A83" s="24" t="s">
        <v>131</v>
      </c>
      <c r="B83" s="25" t="s">
        <v>366</v>
      </c>
      <c r="C83" s="25" t="s">
        <v>163</v>
      </c>
      <c r="D83" s="25" t="s">
        <v>8</v>
      </c>
      <c r="E83" s="25" t="s">
        <v>362</v>
      </c>
      <c r="F83" s="26" t="s">
        <v>14</v>
      </c>
      <c r="G83" s="277" t="s">
        <v>1220</v>
      </c>
      <c r="H83" s="27" t="s">
        <v>287</v>
      </c>
      <c r="I83" s="25" t="s">
        <v>163</v>
      </c>
      <c r="J83" s="25" t="s">
        <v>285</v>
      </c>
      <c r="K83" s="25" t="s">
        <v>14</v>
      </c>
      <c r="L83" s="25" t="s">
        <v>285</v>
      </c>
      <c r="M83" s="26">
        <v>0.7</v>
      </c>
      <c r="N83" s="15">
        <f t="shared" si="4"/>
        <v>6.9999999999999999E-4</v>
      </c>
      <c r="O83" s="47">
        <v>2.1</v>
      </c>
      <c r="P83" s="77">
        <f t="shared" si="5"/>
        <v>2.1000000000000003E-3</v>
      </c>
      <c r="Q83" s="25" t="s">
        <v>19</v>
      </c>
      <c r="R83" s="25" t="s">
        <v>571</v>
      </c>
    </row>
    <row r="84" spans="1:18" ht="24" x14ac:dyDescent="0.2">
      <c r="A84" s="24" t="s">
        <v>132</v>
      </c>
      <c r="B84" s="25" t="s">
        <v>370</v>
      </c>
      <c r="C84" s="25" t="s">
        <v>163</v>
      </c>
      <c r="D84" s="267" t="s">
        <v>556</v>
      </c>
      <c r="E84" s="25" t="s">
        <v>374</v>
      </c>
      <c r="F84" s="26" t="s">
        <v>14</v>
      </c>
      <c r="G84" s="27">
        <v>3000</v>
      </c>
      <c r="H84" s="27">
        <v>666</v>
      </c>
      <c r="I84" s="25" t="s">
        <v>398</v>
      </c>
      <c r="J84" s="25" t="s">
        <v>285</v>
      </c>
      <c r="K84" s="25" t="s">
        <v>14</v>
      </c>
      <c r="L84" s="25" t="s">
        <v>285</v>
      </c>
      <c r="M84" s="26">
        <v>0</v>
      </c>
      <c r="N84" s="15">
        <f t="shared" si="4"/>
        <v>0</v>
      </c>
      <c r="O84" s="47">
        <v>0.1</v>
      </c>
      <c r="P84" s="77">
        <f t="shared" si="5"/>
        <v>1E-4</v>
      </c>
      <c r="Q84" s="25" t="s">
        <v>19</v>
      </c>
      <c r="R84" s="25" t="s">
        <v>571</v>
      </c>
    </row>
    <row r="85" spans="1:18" ht="36" x14ac:dyDescent="0.2">
      <c r="A85" s="24" t="s">
        <v>133</v>
      </c>
      <c r="B85" s="25" t="s">
        <v>371</v>
      </c>
      <c r="C85" s="25" t="s">
        <v>163</v>
      </c>
      <c r="D85" s="267" t="s">
        <v>556</v>
      </c>
      <c r="E85" s="25" t="s">
        <v>373</v>
      </c>
      <c r="F85" s="26" t="s">
        <v>14</v>
      </c>
      <c r="G85" s="27">
        <v>50000</v>
      </c>
      <c r="H85" s="27">
        <v>11000</v>
      </c>
      <c r="I85" s="25" t="s">
        <v>367</v>
      </c>
      <c r="J85" s="25" t="s">
        <v>285</v>
      </c>
      <c r="K85" s="25" t="s">
        <v>14</v>
      </c>
      <c r="L85" s="25" t="s">
        <v>285</v>
      </c>
      <c r="M85" s="26">
        <v>0.4</v>
      </c>
      <c r="N85" s="15">
        <f t="shared" si="4"/>
        <v>4.0000000000000002E-4</v>
      </c>
      <c r="O85" s="54">
        <v>2</v>
      </c>
      <c r="P85" s="77">
        <f t="shared" si="5"/>
        <v>2E-3</v>
      </c>
      <c r="Q85" s="25" t="s">
        <v>19</v>
      </c>
      <c r="R85" s="25" t="s">
        <v>571</v>
      </c>
    </row>
    <row r="86" spans="1:18" ht="36" x14ac:dyDescent="0.2">
      <c r="A86" s="24" t="s">
        <v>134</v>
      </c>
      <c r="B86" s="25" t="s">
        <v>372</v>
      </c>
      <c r="C86" s="25" t="s">
        <v>163</v>
      </c>
      <c r="D86" s="267" t="s">
        <v>556</v>
      </c>
      <c r="E86" s="25" t="s">
        <v>375</v>
      </c>
      <c r="F86" s="26" t="s">
        <v>14</v>
      </c>
      <c r="G86" s="27">
        <v>37000</v>
      </c>
      <c r="H86" s="27">
        <v>5328</v>
      </c>
      <c r="I86" s="25" t="s">
        <v>367</v>
      </c>
      <c r="J86" s="267" t="s">
        <v>295</v>
      </c>
      <c r="K86" s="25" t="s">
        <v>14</v>
      </c>
      <c r="L86" s="25" t="s">
        <v>285</v>
      </c>
      <c r="M86" s="26">
        <v>0.5</v>
      </c>
      <c r="N86" s="15">
        <f t="shared" si="4"/>
        <v>5.0000000000000001E-4</v>
      </c>
      <c r="O86" s="54">
        <v>2</v>
      </c>
      <c r="P86" s="77">
        <f t="shared" si="5"/>
        <v>2E-3</v>
      </c>
      <c r="Q86" s="25" t="s">
        <v>19</v>
      </c>
      <c r="R86" s="25" t="s">
        <v>571</v>
      </c>
    </row>
    <row r="87" spans="1:18" ht="24" x14ac:dyDescent="0.2">
      <c r="A87" s="24" t="s">
        <v>135</v>
      </c>
      <c r="B87" s="25" t="s">
        <v>377</v>
      </c>
      <c r="C87" s="25" t="s">
        <v>163</v>
      </c>
      <c r="D87" s="267" t="s">
        <v>556</v>
      </c>
      <c r="E87" s="25" t="s">
        <v>376</v>
      </c>
      <c r="F87" s="26" t="s">
        <v>14</v>
      </c>
      <c r="G87" s="27">
        <v>18000</v>
      </c>
      <c r="H87" s="27">
        <v>2592</v>
      </c>
      <c r="I87" s="25" t="s">
        <v>401</v>
      </c>
      <c r="J87" s="25" t="s">
        <v>285</v>
      </c>
      <c r="K87" s="25" t="s">
        <v>14</v>
      </c>
      <c r="L87" s="25" t="s">
        <v>285</v>
      </c>
      <c r="M87" s="26">
        <v>0.1</v>
      </c>
      <c r="N87" s="15">
        <f t="shared" si="4"/>
        <v>1E-4</v>
      </c>
      <c r="O87" s="47">
        <v>0.5</v>
      </c>
      <c r="P87" s="77">
        <f t="shared" si="5"/>
        <v>5.0000000000000001E-4</v>
      </c>
      <c r="Q87" s="25" t="s">
        <v>19</v>
      </c>
      <c r="R87" s="25" t="s">
        <v>571</v>
      </c>
    </row>
    <row r="88" spans="1:18" ht="24" x14ac:dyDescent="0.2">
      <c r="A88" s="24" t="s">
        <v>136</v>
      </c>
      <c r="B88" s="25" t="s">
        <v>384</v>
      </c>
      <c r="C88" s="25" t="s">
        <v>163</v>
      </c>
      <c r="D88" s="267" t="s">
        <v>556</v>
      </c>
      <c r="E88" s="25" t="s">
        <v>378</v>
      </c>
      <c r="F88" s="26" t="s">
        <v>14</v>
      </c>
      <c r="G88" s="27">
        <v>10000</v>
      </c>
      <c r="H88" s="27">
        <v>1440</v>
      </c>
      <c r="I88" s="25" t="s">
        <v>399</v>
      </c>
      <c r="J88" s="25" t="s">
        <v>285</v>
      </c>
      <c r="K88" s="25" t="s">
        <v>14</v>
      </c>
      <c r="L88" s="25" t="s">
        <v>285</v>
      </c>
      <c r="M88" s="26">
        <v>0.1</v>
      </c>
      <c r="N88" s="15">
        <f t="shared" si="4"/>
        <v>1E-4</v>
      </c>
      <c r="O88" s="47">
        <v>0.4</v>
      </c>
      <c r="P88" s="77">
        <f t="shared" si="5"/>
        <v>4.0000000000000002E-4</v>
      </c>
      <c r="Q88" s="25" t="s">
        <v>19</v>
      </c>
      <c r="R88" s="25" t="s">
        <v>571</v>
      </c>
    </row>
    <row r="89" spans="1:18" ht="36" x14ac:dyDescent="0.2">
      <c r="A89" s="24" t="s">
        <v>137</v>
      </c>
      <c r="B89" s="25" t="s">
        <v>385</v>
      </c>
      <c r="C89" s="25" t="s">
        <v>163</v>
      </c>
      <c r="D89" s="267" t="s">
        <v>556</v>
      </c>
      <c r="E89" s="25" t="s">
        <v>379</v>
      </c>
      <c r="F89" s="26" t="s">
        <v>14</v>
      </c>
      <c r="G89" s="27">
        <v>41000</v>
      </c>
      <c r="H89" s="27">
        <v>9102</v>
      </c>
      <c r="I89" s="25" t="s">
        <v>368</v>
      </c>
      <c r="J89" s="25" t="s">
        <v>285</v>
      </c>
      <c r="K89" s="25" t="s">
        <v>14</v>
      </c>
      <c r="L89" s="25" t="s">
        <v>285</v>
      </c>
      <c r="M89" s="26">
        <v>0.7</v>
      </c>
      <c r="N89" s="15">
        <f t="shared" si="4"/>
        <v>6.9999999999999999E-4</v>
      </c>
      <c r="O89" s="47">
        <v>3.3</v>
      </c>
      <c r="P89" s="77">
        <f t="shared" si="5"/>
        <v>3.3E-3</v>
      </c>
      <c r="Q89" s="25" t="s">
        <v>19</v>
      </c>
      <c r="R89" s="25" t="s">
        <v>571</v>
      </c>
    </row>
    <row r="90" spans="1:18" ht="36" x14ac:dyDescent="0.2">
      <c r="A90" s="24" t="s">
        <v>138</v>
      </c>
      <c r="B90" s="25" t="s">
        <v>386</v>
      </c>
      <c r="C90" s="25" t="s">
        <v>163</v>
      </c>
      <c r="D90" s="267" t="s">
        <v>556</v>
      </c>
      <c r="E90" s="25" t="s">
        <v>380</v>
      </c>
      <c r="F90" s="26" t="s">
        <v>14</v>
      </c>
      <c r="G90" s="27">
        <v>110000</v>
      </c>
      <c r="H90" s="27">
        <v>24420</v>
      </c>
      <c r="I90" s="25" t="s">
        <v>369</v>
      </c>
      <c r="J90" s="25" t="s">
        <v>285</v>
      </c>
      <c r="K90" s="25" t="s">
        <v>14</v>
      </c>
      <c r="L90" s="25" t="s">
        <v>285</v>
      </c>
      <c r="M90" s="26">
        <v>0.3</v>
      </c>
      <c r="N90" s="15">
        <f t="shared" si="4"/>
        <v>2.9999999999999997E-4</v>
      </c>
      <c r="O90" s="47">
        <v>1.6</v>
      </c>
      <c r="P90" s="77">
        <f t="shared" si="5"/>
        <v>1.6000000000000001E-3</v>
      </c>
      <c r="Q90" s="25" t="s">
        <v>19</v>
      </c>
      <c r="R90" s="25" t="s">
        <v>571</v>
      </c>
    </row>
    <row r="91" spans="1:18" ht="24" x14ac:dyDescent="0.2">
      <c r="A91" s="24" t="s">
        <v>139</v>
      </c>
      <c r="B91" s="25" t="s">
        <v>387</v>
      </c>
      <c r="C91" s="25" t="s">
        <v>163</v>
      </c>
      <c r="D91" s="267" t="s">
        <v>556</v>
      </c>
      <c r="E91" s="25" t="s">
        <v>381</v>
      </c>
      <c r="F91" s="26" t="s">
        <v>14</v>
      </c>
      <c r="G91" s="27">
        <v>10000</v>
      </c>
      <c r="H91" s="27">
        <v>1440</v>
      </c>
      <c r="I91" s="25" t="s">
        <v>400</v>
      </c>
      <c r="J91" s="25" t="s">
        <v>285</v>
      </c>
      <c r="K91" s="25" t="s">
        <v>14</v>
      </c>
      <c r="L91" s="25" t="s">
        <v>285</v>
      </c>
      <c r="M91" s="26">
        <v>0.1</v>
      </c>
      <c r="N91" s="15">
        <f t="shared" si="4"/>
        <v>1E-4</v>
      </c>
      <c r="O91" s="47">
        <v>0.6</v>
      </c>
      <c r="P91" s="77">
        <f t="shared" si="5"/>
        <v>5.9999999999999995E-4</v>
      </c>
      <c r="Q91" s="25" t="s">
        <v>19</v>
      </c>
      <c r="R91" s="25" t="s">
        <v>571</v>
      </c>
    </row>
    <row r="92" spans="1:18" ht="24" x14ac:dyDescent="0.2">
      <c r="A92" s="24" t="s">
        <v>140</v>
      </c>
      <c r="B92" s="25" t="s">
        <v>388</v>
      </c>
      <c r="C92" s="25" t="s">
        <v>163</v>
      </c>
      <c r="D92" s="267" t="s">
        <v>556</v>
      </c>
      <c r="E92" s="25" t="s">
        <v>382</v>
      </c>
      <c r="F92" s="26" t="s">
        <v>14</v>
      </c>
      <c r="G92" s="27">
        <v>14000</v>
      </c>
      <c r="H92" s="27">
        <v>2016</v>
      </c>
      <c r="I92" s="25" t="s">
        <v>401</v>
      </c>
      <c r="J92" s="25" t="s">
        <v>285</v>
      </c>
      <c r="K92" s="25" t="s">
        <v>14</v>
      </c>
      <c r="L92" s="25" t="s">
        <v>285</v>
      </c>
      <c r="M92" s="26">
        <v>0.1</v>
      </c>
      <c r="N92" s="15">
        <f t="shared" si="4"/>
        <v>1E-4</v>
      </c>
      <c r="O92" s="47">
        <v>0.5</v>
      </c>
      <c r="P92" s="77">
        <f t="shared" si="5"/>
        <v>5.0000000000000001E-4</v>
      </c>
      <c r="Q92" s="25" t="s">
        <v>19</v>
      </c>
      <c r="R92" s="25" t="s">
        <v>571</v>
      </c>
    </row>
    <row r="93" spans="1:18" ht="24" x14ac:dyDescent="0.2">
      <c r="A93" s="24" t="s">
        <v>141</v>
      </c>
      <c r="B93" s="25" t="s">
        <v>389</v>
      </c>
      <c r="C93" s="25" t="s">
        <v>163</v>
      </c>
      <c r="D93" s="267" t="s">
        <v>556</v>
      </c>
      <c r="E93" s="25" t="s">
        <v>383</v>
      </c>
      <c r="F93" s="26" t="s">
        <v>14</v>
      </c>
      <c r="G93" s="27">
        <v>3000</v>
      </c>
      <c r="H93" s="27">
        <v>432</v>
      </c>
      <c r="I93" s="25" t="s">
        <v>401</v>
      </c>
      <c r="J93" s="25" t="s">
        <v>285</v>
      </c>
      <c r="K93" s="25" t="s">
        <v>14</v>
      </c>
      <c r="L93" s="25" t="s">
        <v>285</v>
      </c>
      <c r="M93" s="26">
        <v>0</v>
      </c>
      <c r="N93" s="15">
        <f t="shared" si="4"/>
        <v>0</v>
      </c>
      <c r="O93" s="47">
        <v>0.1</v>
      </c>
      <c r="P93" s="77">
        <f t="shared" si="5"/>
        <v>1E-4</v>
      </c>
      <c r="Q93" s="25" t="s">
        <v>19</v>
      </c>
      <c r="R93" s="25" t="s">
        <v>571</v>
      </c>
    </row>
    <row r="94" spans="1:18" ht="24" x14ac:dyDescent="0.2">
      <c r="A94" s="31" t="s">
        <v>142</v>
      </c>
      <c r="B94" s="32" t="s">
        <v>143</v>
      </c>
      <c r="C94" s="32" t="s">
        <v>163</v>
      </c>
      <c r="D94" s="267" t="s">
        <v>556</v>
      </c>
      <c r="E94" s="32" t="s">
        <v>390</v>
      </c>
      <c r="F94" s="33" t="s">
        <v>14</v>
      </c>
      <c r="G94" s="34">
        <v>11000</v>
      </c>
      <c r="H94" s="34">
        <v>1440</v>
      </c>
      <c r="I94" s="32" t="s">
        <v>287</v>
      </c>
      <c r="J94" s="32" t="s">
        <v>285</v>
      </c>
      <c r="K94" s="32" t="s">
        <v>14</v>
      </c>
      <c r="L94" s="32" t="s">
        <v>285</v>
      </c>
      <c r="M94" s="33"/>
      <c r="N94" s="15">
        <f t="shared" si="4"/>
        <v>0</v>
      </c>
      <c r="O94" s="46"/>
      <c r="P94" s="77">
        <f t="shared" si="5"/>
        <v>0</v>
      </c>
      <c r="Q94" s="32" t="s">
        <v>19</v>
      </c>
      <c r="R94" s="32" t="s">
        <v>571</v>
      </c>
    </row>
    <row r="95" spans="1:18" ht="60" x14ac:dyDescent="0.2">
      <c r="A95" s="24" t="s">
        <v>144</v>
      </c>
      <c r="B95" s="25" t="s">
        <v>393</v>
      </c>
      <c r="C95" s="25" t="s">
        <v>163</v>
      </c>
      <c r="D95" s="267" t="s">
        <v>556</v>
      </c>
      <c r="E95" s="25" t="s">
        <v>391</v>
      </c>
      <c r="F95" s="26" t="s">
        <v>14</v>
      </c>
      <c r="G95" s="27">
        <v>56000</v>
      </c>
      <c r="H95" s="277" t="s">
        <v>287</v>
      </c>
      <c r="I95" s="25" t="s">
        <v>402</v>
      </c>
      <c r="J95" s="267" t="s">
        <v>295</v>
      </c>
      <c r="K95" s="37" t="s">
        <v>475</v>
      </c>
      <c r="L95" s="25" t="s">
        <v>287</v>
      </c>
      <c r="M95" s="26">
        <v>0.5</v>
      </c>
      <c r="N95" s="15">
        <f t="shared" si="4"/>
        <v>5.0000000000000001E-4</v>
      </c>
      <c r="O95" s="54">
        <v>2</v>
      </c>
      <c r="P95" s="77">
        <f t="shared" si="5"/>
        <v>2E-3</v>
      </c>
      <c r="Q95" s="25" t="s">
        <v>19</v>
      </c>
      <c r="R95" s="25" t="s">
        <v>571</v>
      </c>
    </row>
    <row r="96" spans="1:18" ht="60" x14ac:dyDescent="0.2">
      <c r="A96" s="24" t="s">
        <v>145</v>
      </c>
      <c r="B96" s="25" t="s">
        <v>394</v>
      </c>
      <c r="C96" s="25" t="s">
        <v>163</v>
      </c>
      <c r="D96" s="267" t="s">
        <v>556</v>
      </c>
      <c r="E96" s="25" t="s">
        <v>392</v>
      </c>
      <c r="F96" s="26" t="s">
        <v>14</v>
      </c>
      <c r="G96" s="27">
        <v>31000</v>
      </c>
      <c r="H96" s="277" t="s">
        <v>287</v>
      </c>
      <c r="I96" s="25" t="s">
        <v>402</v>
      </c>
      <c r="J96" s="267" t="s">
        <v>295</v>
      </c>
      <c r="K96" s="37" t="s">
        <v>475</v>
      </c>
      <c r="L96" s="25" t="s">
        <v>287</v>
      </c>
      <c r="M96" s="26">
        <v>0.4</v>
      </c>
      <c r="N96" s="15">
        <f t="shared" si="4"/>
        <v>4.0000000000000002E-4</v>
      </c>
      <c r="O96" s="47">
        <v>1.6</v>
      </c>
      <c r="P96" s="77">
        <f t="shared" si="5"/>
        <v>1.6000000000000001E-3</v>
      </c>
      <c r="Q96" s="25" t="s">
        <v>19</v>
      </c>
      <c r="R96" s="25" t="s">
        <v>571</v>
      </c>
    </row>
    <row r="97" spans="1:18" ht="36" x14ac:dyDescent="0.2">
      <c r="A97" s="24" t="s">
        <v>146</v>
      </c>
      <c r="B97" s="25" t="s">
        <v>396</v>
      </c>
      <c r="C97" s="25" t="s">
        <v>163</v>
      </c>
      <c r="D97" s="267" t="s">
        <v>117</v>
      </c>
      <c r="E97" s="25" t="s">
        <v>395</v>
      </c>
      <c r="F97" s="26" t="s">
        <v>14</v>
      </c>
      <c r="G97" s="27">
        <v>225000</v>
      </c>
      <c r="H97" s="27">
        <v>5362</v>
      </c>
      <c r="I97" s="25" t="s">
        <v>367</v>
      </c>
      <c r="J97" s="25" t="s">
        <v>285</v>
      </c>
      <c r="K97" s="25" t="s">
        <v>14</v>
      </c>
      <c r="L97" s="25" t="s">
        <v>285</v>
      </c>
      <c r="M97" s="26">
        <v>0.3</v>
      </c>
      <c r="N97" s="15">
        <f t="shared" si="4"/>
        <v>2.9999999999999997E-4</v>
      </c>
      <c r="O97" s="47">
        <v>1.5</v>
      </c>
      <c r="P97" s="77">
        <f t="shared" si="5"/>
        <v>1.5E-3</v>
      </c>
      <c r="Q97" s="25" t="s">
        <v>19</v>
      </c>
      <c r="R97" s="25" t="s">
        <v>571</v>
      </c>
    </row>
    <row r="98" spans="1:18" ht="36" x14ac:dyDescent="0.2">
      <c r="A98" s="41" t="s">
        <v>147</v>
      </c>
      <c r="B98" s="18" t="s">
        <v>544</v>
      </c>
      <c r="C98" s="18" t="s">
        <v>163</v>
      </c>
      <c r="D98" s="267" t="s">
        <v>117</v>
      </c>
      <c r="E98" s="18" t="s">
        <v>397</v>
      </c>
      <c r="F98" s="42"/>
      <c r="G98" s="43" t="s">
        <v>287</v>
      </c>
      <c r="H98" s="43" t="s">
        <v>287</v>
      </c>
      <c r="I98" s="18" t="s">
        <v>287</v>
      </c>
      <c r="J98" s="18" t="s">
        <v>296</v>
      </c>
      <c r="K98" s="25" t="s">
        <v>14</v>
      </c>
      <c r="L98" s="18" t="s">
        <v>296</v>
      </c>
      <c r="M98" s="42">
        <v>0</v>
      </c>
      <c r="N98" s="15">
        <f t="shared" si="4"/>
        <v>0</v>
      </c>
      <c r="O98" s="55">
        <v>0</v>
      </c>
      <c r="P98" s="77">
        <f t="shared" si="5"/>
        <v>0</v>
      </c>
      <c r="Q98" s="18" t="s">
        <v>19</v>
      </c>
      <c r="R98" s="25" t="s">
        <v>571</v>
      </c>
    </row>
    <row r="99" spans="1:18" ht="24" x14ac:dyDescent="0.2">
      <c r="A99" s="41" t="s">
        <v>148</v>
      </c>
      <c r="B99" s="18" t="s">
        <v>545</v>
      </c>
      <c r="C99" s="18" t="s">
        <v>163</v>
      </c>
      <c r="D99" s="267" t="s">
        <v>149</v>
      </c>
      <c r="E99" s="18" t="s">
        <v>468</v>
      </c>
      <c r="F99" s="42"/>
      <c r="G99" s="43" t="s">
        <v>287</v>
      </c>
      <c r="H99" s="43" t="s">
        <v>287</v>
      </c>
      <c r="I99" s="18" t="s">
        <v>287</v>
      </c>
      <c r="J99" s="18" t="s">
        <v>296</v>
      </c>
      <c r="K99" s="25" t="s">
        <v>14</v>
      </c>
      <c r="L99" s="18" t="s">
        <v>296</v>
      </c>
      <c r="M99" s="42">
        <v>0</v>
      </c>
      <c r="N99" s="15">
        <f t="shared" si="4"/>
        <v>0</v>
      </c>
      <c r="O99" s="50">
        <v>0.1</v>
      </c>
      <c r="P99" s="77">
        <f t="shared" si="5"/>
        <v>1E-4</v>
      </c>
      <c r="Q99" s="18" t="s">
        <v>19</v>
      </c>
      <c r="R99" s="25" t="s">
        <v>571</v>
      </c>
    </row>
    <row r="100" spans="1:18" ht="24" x14ac:dyDescent="0.2">
      <c r="A100" s="41" t="s">
        <v>150</v>
      </c>
      <c r="B100" s="18" t="s">
        <v>546</v>
      </c>
      <c r="C100" s="18" t="s">
        <v>163</v>
      </c>
      <c r="D100" s="18" t="s">
        <v>28</v>
      </c>
      <c r="E100" s="18" t="s">
        <v>403</v>
      </c>
      <c r="F100" s="42"/>
      <c r="G100" s="43" t="s">
        <v>287</v>
      </c>
      <c r="H100" s="43" t="s">
        <v>287</v>
      </c>
      <c r="I100" s="18" t="s">
        <v>287</v>
      </c>
      <c r="J100" s="18" t="s">
        <v>296</v>
      </c>
      <c r="K100" s="25" t="s">
        <v>14</v>
      </c>
      <c r="L100" s="18" t="s">
        <v>296</v>
      </c>
      <c r="M100" s="42">
        <v>0</v>
      </c>
      <c r="N100" s="15">
        <f t="shared" si="4"/>
        <v>0</v>
      </c>
      <c r="O100" s="50">
        <v>0.4</v>
      </c>
      <c r="P100" s="77">
        <f t="shared" si="5"/>
        <v>4.0000000000000002E-4</v>
      </c>
      <c r="Q100" s="18" t="s">
        <v>19</v>
      </c>
      <c r="R100" s="25" t="s">
        <v>571</v>
      </c>
    </row>
    <row r="101" spans="1:18" ht="60" x14ac:dyDescent="0.2">
      <c r="A101" s="24" t="s">
        <v>151</v>
      </c>
      <c r="B101" s="25" t="s">
        <v>152</v>
      </c>
      <c r="C101" s="267" t="s">
        <v>358</v>
      </c>
      <c r="D101" s="25" t="s">
        <v>17</v>
      </c>
      <c r="E101" s="25" t="s">
        <v>566</v>
      </c>
      <c r="F101" s="26">
        <v>31.2</v>
      </c>
      <c r="G101" s="27">
        <v>534795</v>
      </c>
      <c r="H101" s="27">
        <v>8000</v>
      </c>
      <c r="I101" s="25" t="s">
        <v>404</v>
      </c>
      <c r="J101" s="25" t="s">
        <v>296</v>
      </c>
      <c r="K101" s="25" t="s">
        <v>14</v>
      </c>
      <c r="L101" s="37" t="s">
        <v>405</v>
      </c>
      <c r="M101" s="26">
        <v>2.9</v>
      </c>
      <c r="N101" s="15">
        <f t="shared" si="4"/>
        <v>2.8999999999999998E-3</v>
      </c>
      <c r="O101" s="47">
        <v>13.1</v>
      </c>
      <c r="P101" s="77">
        <f t="shared" si="5"/>
        <v>1.3099999999999999E-2</v>
      </c>
      <c r="Q101" s="25" t="s">
        <v>19</v>
      </c>
      <c r="R101" s="25" t="s">
        <v>571</v>
      </c>
    </row>
    <row r="102" spans="1:18" ht="36" x14ac:dyDescent="0.2">
      <c r="A102" s="24" t="s">
        <v>153</v>
      </c>
      <c r="B102" s="25" t="s">
        <v>548</v>
      </c>
      <c r="C102" s="25" t="s">
        <v>163</v>
      </c>
      <c r="D102" s="267" t="s">
        <v>154</v>
      </c>
      <c r="E102" s="25" t="s">
        <v>547</v>
      </c>
      <c r="F102" s="26" t="s">
        <v>14</v>
      </c>
      <c r="G102" s="27">
        <v>33300</v>
      </c>
      <c r="H102" s="27">
        <v>1500</v>
      </c>
      <c r="I102" s="25" t="s">
        <v>401</v>
      </c>
      <c r="J102" s="267" t="s">
        <v>295</v>
      </c>
      <c r="K102" s="25">
        <v>2013</v>
      </c>
      <c r="L102" s="25">
        <v>2014</v>
      </c>
      <c r="M102" s="26">
        <v>0.4</v>
      </c>
      <c r="N102" s="15">
        <f t="shared" si="4"/>
        <v>4.0000000000000002E-4</v>
      </c>
      <c r="O102" s="47">
        <v>1.2</v>
      </c>
      <c r="P102" s="77">
        <f t="shared" si="5"/>
        <v>1.1999999999999999E-3</v>
      </c>
      <c r="Q102" s="25" t="s">
        <v>19</v>
      </c>
      <c r="R102" s="25" t="s">
        <v>571</v>
      </c>
    </row>
    <row r="103" spans="1:18" ht="24" x14ac:dyDescent="0.2">
      <c r="A103" s="41" t="s">
        <v>155</v>
      </c>
      <c r="B103" s="18" t="s">
        <v>156</v>
      </c>
      <c r="C103" s="18" t="s">
        <v>163</v>
      </c>
      <c r="D103" s="267" t="s">
        <v>31</v>
      </c>
      <c r="E103" s="18" t="s">
        <v>406</v>
      </c>
      <c r="F103" s="42"/>
      <c r="G103" s="43">
        <v>175000</v>
      </c>
      <c r="H103" s="43" t="s">
        <v>287</v>
      </c>
      <c r="I103" s="18" t="s">
        <v>287</v>
      </c>
      <c r="J103" s="267" t="s">
        <v>286</v>
      </c>
      <c r="K103" s="18">
        <v>2015</v>
      </c>
      <c r="L103" s="18" t="s">
        <v>287</v>
      </c>
      <c r="M103" s="42">
        <v>0.3</v>
      </c>
      <c r="N103" s="15">
        <f t="shared" si="4"/>
        <v>2.9999999999999997E-4</v>
      </c>
      <c r="O103" s="50">
        <v>22.1</v>
      </c>
      <c r="P103" s="77">
        <f t="shared" si="5"/>
        <v>2.2100000000000002E-2</v>
      </c>
      <c r="Q103" s="18" t="s">
        <v>19</v>
      </c>
      <c r="R103" s="18" t="s">
        <v>571</v>
      </c>
    </row>
    <row r="104" spans="1:18" ht="24" x14ac:dyDescent="0.2">
      <c r="A104" s="41" t="s">
        <v>157</v>
      </c>
      <c r="B104" s="18" t="s">
        <v>158</v>
      </c>
      <c r="C104" s="18" t="s">
        <v>163</v>
      </c>
      <c r="D104" s="267" t="s">
        <v>61</v>
      </c>
      <c r="E104" s="18" t="s">
        <v>407</v>
      </c>
      <c r="F104" s="42"/>
      <c r="G104" s="43">
        <v>75000</v>
      </c>
      <c r="H104" s="43">
        <v>11000</v>
      </c>
      <c r="I104" s="18" t="s">
        <v>401</v>
      </c>
      <c r="J104" s="267" t="s">
        <v>295</v>
      </c>
      <c r="K104" s="18">
        <v>2014</v>
      </c>
      <c r="L104" s="18">
        <v>2016</v>
      </c>
      <c r="M104" s="42">
        <v>12.2</v>
      </c>
      <c r="N104" s="15">
        <f t="shared" si="4"/>
        <v>1.2199999999999999E-2</v>
      </c>
      <c r="O104" s="50">
        <v>257.60000000000002</v>
      </c>
      <c r="P104" s="77">
        <f t="shared" si="5"/>
        <v>0.2576</v>
      </c>
      <c r="Q104" s="18" t="s">
        <v>19</v>
      </c>
      <c r="R104" s="18" t="s">
        <v>571</v>
      </c>
    </row>
    <row r="105" spans="1:18" ht="36" x14ac:dyDescent="0.2">
      <c r="A105" s="41" t="s">
        <v>159</v>
      </c>
      <c r="B105" s="18" t="s">
        <v>160</v>
      </c>
      <c r="C105" s="18" t="s">
        <v>163</v>
      </c>
      <c r="D105" s="267" t="s">
        <v>61</v>
      </c>
      <c r="E105" s="18" t="s">
        <v>408</v>
      </c>
      <c r="F105" s="42"/>
      <c r="G105" s="43">
        <v>246000</v>
      </c>
      <c r="H105" s="277" t="s">
        <v>287</v>
      </c>
      <c r="I105" s="18" t="s">
        <v>369</v>
      </c>
      <c r="J105" s="18" t="s">
        <v>296</v>
      </c>
      <c r="K105" s="18" t="s">
        <v>14</v>
      </c>
      <c r="L105" s="18">
        <v>2013</v>
      </c>
      <c r="M105" s="42">
        <v>4.5</v>
      </c>
      <c r="N105" s="15">
        <f t="shared" si="4"/>
        <v>4.4999999999999997E-3</v>
      </c>
      <c r="O105" s="50">
        <v>71.7</v>
      </c>
      <c r="P105" s="77">
        <f t="shared" si="5"/>
        <v>7.17E-2</v>
      </c>
      <c r="Q105" s="18" t="s">
        <v>19</v>
      </c>
      <c r="R105" s="18" t="s">
        <v>571</v>
      </c>
    </row>
    <row r="106" spans="1:18" ht="72" x14ac:dyDescent="0.2">
      <c r="A106" s="24" t="s">
        <v>161</v>
      </c>
      <c r="B106" s="25" t="s">
        <v>162</v>
      </c>
      <c r="C106" s="25" t="s">
        <v>163</v>
      </c>
      <c r="D106" s="267" t="s">
        <v>61</v>
      </c>
      <c r="E106" s="25" t="s">
        <v>409</v>
      </c>
      <c r="F106" s="26">
        <v>378.8</v>
      </c>
      <c r="G106" s="27">
        <v>1800000</v>
      </c>
      <c r="H106" s="277" t="s">
        <v>287</v>
      </c>
      <c r="I106" s="25" t="s">
        <v>469</v>
      </c>
      <c r="J106" s="25" t="s">
        <v>305</v>
      </c>
      <c r="K106" s="37" t="s">
        <v>476</v>
      </c>
      <c r="L106" s="37" t="s">
        <v>410</v>
      </c>
      <c r="M106" s="26">
        <v>21.3</v>
      </c>
      <c r="N106" s="15">
        <f t="shared" si="4"/>
        <v>2.1299999999999999E-2</v>
      </c>
      <c r="O106" s="47">
        <v>555.1</v>
      </c>
      <c r="P106" s="77">
        <f t="shared" si="5"/>
        <v>0.55510000000000004</v>
      </c>
      <c r="Q106" s="25" t="s">
        <v>19</v>
      </c>
      <c r="R106" s="18" t="s">
        <v>571</v>
      </c>
    </row>
    <row r="107" spans="1:18" ht="24" x14ac:dyDescent="0.2">
      <c r="A107" s="24" t="s">
        <v>164</v>
      </c>
      <c r="B107" s="25" t="s">
        <v>549</v>
      </c>
      <c r="C107" s="25" t="s">
        <v>221</v>
      </c>
      <c r="D107" s="25" t="s">
        <v>17</v>
      </c>
      <c r="E107" s="25" t="s">
        <v>412</v>
      </c>
      <c r="F107" s="26">
        <v>29.3</v>
      </c>
      <c r="G107" s="27" t="s">
        <v>287</v>
      </c>
      <c r="H107" s="27" t="s">
        <v>287</v>
      </c>
      <c r="I107" s="25" t="s">
        <v>287</v>
      </c>
      <c r="J107" s="25" t="s">
        <v>296</v>
      </c>
      <c r="K107" s="25" t="s">
        <v>14</v>
      </c>
      <c r="L107" s="37" t="s">
        <v>415</v>
      </c>
      <c r="M107" s="26">
        <v>0.2</v>
      </c>
      <c r="N107" s="15">
        <f t="shared" si="4"/>
        <v>2.0000000000000001E-4</v>
      </c>
      <c r="O107" s="29">
        <v>5.7</v>
      </c>
      <c r="P107" s="77">
        <f t="shared" si="5"/>
        <v>5.7000000000000002E-3</v>
      </c>
      <c r="Q107" s="25" t="s">
        <v>19</v>
      </c>
      <c r="R107" s="18" t="s">
        <v>571</v>
      </c>
    </row>
    <row r="108" spans="1:18" ht="24" x14ac:dyDescent="0.2">
      <c r="A108" s="24" t="s">
        <v>165</v>
      </c>
      <c r="B108" s="25" t="s">
        <v>550</v>
      </c>
      <c r="C108" s="25" t="s">
        <v>221</v>
      </c>
      <c r="D108" s="25" t="s">
        <v>17</v>
      </c>
      <c r="E108" s="25" t="s">
        <v>412</v>
      </c>
      <c r="F108" s="26">
        <v>20.5</v>
      </c>
      <c r="G108" s="27" t="s">
        <v>287</v>
      </c>
      <c r="H108" s="27" t="s">
        <v>287</v>
      </c>
      <c r="I108" s="25" t="s">
        <v>287</v>
      </c>
      <c r="J108" s="25" t="s">
        <v>296</v>
      </c>
      <c r="K108" s="25" t="s">
        <v>14</v>
      </c>
      <c r="L108" s="25">
        <v>2012</v>
      </c>
      <c r="M108" s="26">
        <v>0.1</v>
      </c>
      <c r="N108" s="15">
        <f t="shared" si="4"/>
        <v>1E-4</v>
      </c>
      <c r="O108" s="29">
        <v>3.8</v>
      </c>
      <c r="P108" s="77">
        <f t="shared" si="5"/>
        <v>3.8E-3</v>
      </c>
      <c r="Q108" s="25" t="s">
        <v>19</v>
      </c>
      <c r="R108" s="18" t="s">
        <v>571</v>
      </c>
    </row>
    <row r="109" spans="1:18" ht="24" x14ac:dyDescent="0.2">
      <c r="A109" s="24" t="s">
        <v>166</v>
      </c>
      <c r="B109" s="25" t="s">
        <v>551</v>
      </c>
      <c r="C109" s="25" t="s">
        <v>221</v>
      </c>
      <c r="D109" s="25" t="s">
        <v>17</v>
      </c>
      <c r="E109" s="25" t="s">
        <v>412</v>
      </c>
      <c r="F109" s="26">
        <v>24.3</v>
      </c>
      <c r="G109" s="27" t="s">
        <v>287</v>
      </c>
      <c r="H109" s="27" t="s">
        <v>287</v>
      </c>
      <c r="I109" s="25" t="s">
        <v>287</v>
      </c>
      <c r="J109" s="25" t="s">
        <v>296</v>
      </c>
      <c r="K109" s="25" t="s">
        <v>14</v>
      </c>
      <c r="L109" s="25">
        <v>2012</v>
      </c>
      <c r="M109" s="26">
        <v>0.2</v>
      </c>
      <c r="N109" s="15">
        <f t="shared" si="4"/>
        <v>2.0000000000000001E-4</v>
      </c>
      <c r="O109" s="29">
        <v>3.7</v>
      </c>
      <c r="P109" s="77">
        <f t="shared" si="5"/>
        <v>3.7000000000000002E-3</v>
      </c>
      <c r="Q109" s="25" t="s">
        <v>19</v>
      </c>
      <c r="R109" s="18" t="s">
        <v>571</v>
      </c>
    </row>
    <row r="110" spans="1:18" ht="24" x14ac:dyDescent="0.2">
      <c r="A110" s="24" t="s">
        <v>167</v>
      </c>
      <c r="B110" s="25" t="s">
        <v>552</v>
      </c>
      <c r="C110" s="25" t="s">
        <v>221</v>
      </c>
      <c r="D110" s="25" t="s">
        <v>17</v>
      </c>
      <c r="E110" s="25" t="s">
        <v>412</v>
      </c>
      <c r="F110" s="26">
        <v>22.4</v>
      </c>
      <c r="G110" s="27" t="s">
        <v>287</v>
      </c>
      <c r="H110" s="27" t="s">
        <v>287</v>
      </c>
      <c r="I110" s="25" t="s">
        <v>287</v>
      </c>
      <c r="J110" s="25" t="s">
        <v>296</v>
      </c>
      <c r="K110" s="25" t="s">
        <v>14</v>
      </c>
      <c r="L110" s="25">
        <v>2012</v>
      </c>
      <c r="M110" s="26">
        <v>0.1</v>
      </c>
      <c r="N110" s="15">
        <f t="shared" si="4"/>
        <v>1E-4</v>
      </c>
      <c r="O110" s="29">
        <v>2.4</v>
      </c>
      <c r="P110" s="77">
        <f t="shared" si="5"/>
        <v>2.3999999999999998E-3</v>
      </c>
      <c r="Q110" s="25" t="s">
        <v>19</v>
      </c>
      <c r="R110" s="18" t="s">
        <v>571</v>
      </c>
    </row>
    <row r="111" spans="1:18" ht="36" x14ac:dyDescent="0.2">
      <c r="A111" s="24" t="s">
        <v>168</v>
      </c>
      <c r="B111" s="25" t="s">
        <v>170</v>
      </c>
      <c r="C111" s="25" t="s">
        <v>221</v>
      </c>
      <c r="D111" s="25" t="s">
        <v>17</v>
      </c>
      <c r="E111" s="25" t="s">
        <v>413</v>
      </c>
      <c r="F111" s="26">
        <v>226.8</v>
      </c>
      <c r="G111" s="27" t="s">
        <v>287</v>
      </c>
      <c r="H111" s="27" t="s">
        <v>287</v>
      </c>
      <c r="I111" s="25" t="s">
        <v>287</v>
      </c>
      <c r="J111" s="25" t="s">
        <v>296</v>
      </c>
      <c r="K111" s="25" t="s">
        <v>14</v>
      </c>
      <c r="L111" s="37" t="s">
        <v>416</v>
      </c>
      <c r="M111" s="26">
        <v>8.3000000000000007</v>
      </c>
      <c r="N111" s="15">
        <f t="shared" si="4"/>
        <v>8.3000000000000001E-3</v>
      </c>
      <c r="O111" s="29">
        <v>219.3</v>
      </c>
      <c r="P111" s="77">
        <f t="shared" si="5"/>
        <v>0.21930000000000002</v>
      </c>
      <c r="Q111" s="25" t="s">
        <v>19</v>
      </c>
      <c r="R111" s="18" t="s">
        <v>571</v>
      </c>
    </row>
    <row r="112" spans="1:18" ht="24" x14ac:dyDescent="0.2">
      <c r="A112" s="24" t="s">
        <v>169</v>
      </c>
      <c r="B112" s="25" t="s">
        <v>172</v>
      </c>
      <c r="C112" s="25" t="s">
        <v>221</v>
      </c>
      <c r="D112" s="267" t="s">
        <v>173</v>
      </c>
      <c r="E112" s="25" t="s">
        <v>413</v>
      </c>
      <c r="F112" s="26">
        <v>55.8</v>
      </c>
      <c r="G112" s="27" t="s">
        <v>287</v>
      </c>
      <c r="H112" s="27" t="s">
        <v>287</v>
      </c>
      <c r="I112" s="25" t="s">
        <v>287</v>
      </c>
      <c r="J112" s="25" t="s">
        <v>296</v>
      </c>
      <c r="K112" s="25" t="s">
        <v>14</v>
      </c>
      <c r="L112" s="25">
        <v>2012</v>
      </c>
      <c r="M112" s="26">
        <v>0.6</v>
      </c>
      <c r="N112" s="15">
        <f t="shared" si="4"/>
        <v>5.9999999999999995E-4</v>
      </c>
      <c r="O112" s="29">
        <v>18.899999999999999</v>
      </c>
      <c r="P112" s="77">
        <f t="shared" si="5"/>
        <v>1.89E-2</v>
      </c>
      <c r="Q112" s="25" t="s">
        <v>19</v>
      </c>
      <c r="R112" s="18" t="s">
        <v>571</v>
      </c>
    </row>
    <row r="113" spans="1:18" ht="24" x14ac:dyDescent="0.2">
      <c r="A113" s="24" t="s">
        <v>171</v>
      </c>
      <c r="B113" s="25" t="s">
        <v>175</v>
      </c>
      <c r="C113" s="25" t="s">
        <v>221</v>
      </c>
      <c r="D113" s="267" t="s">
        <v>173</v>
      </c>
      <c r="E113" s="25" t="s">
        <v>413</v>
      </c>
      <c r="F113" s="26">
        <v>18.7</v>
      </c>
      <c r="G113" s="27" t="s">
        <v>287</v>
      </c>
      <c r="H113" s="27" t="s">
        <v>287</v>
      </c>
      <c r="I113" s="25" t="s">
        <v>287</v>
      </c>
      <c r="J113" s="25" t="s">
        <v>296</v>
      </c>
      <c r="K113" s="25" t="s">
        <v>14</v>
      </c>
      <c r="L113" s="25">
        <v>2012</v>
      </c>
      <c r="M113" s="26">
        <v>0.3</v>
      </c>
      <c r="N113" s="15">
        <f t="shared" si="4"/>
        <v>2.9999999999999997E-4</v>
      </c>
      <c r="O113" s="29">
        <v>19.8</v>
      </c>
      <c r="P113" s="77">
        <f t="shared" si="5"/>
        <v>1.9800000000000002E-2</v>
      </c>
      <c r="Q113" s="25" t="s">
        <v>19</v>
      </c>
      <c r="R113" s="18" t="s">
        <v>571</v>
      </c>
    </row>
    <row r="114" spans="1:18" ht="24" x14ac:dyDescent="0.2">
      <c r="A114" s="24" t="s">
        <v>174</v>
      </c>
      <c r="B114" s="25" t="s">
        <v>177</v>
      </c>
      <c r="C114" s="25" t="s">
        <v>221</v>
      </c>
      <c r="D114" s="267" t="s">
        <v>173</v>
      </c>
      <c r="E114" s="25" t="s">
        <v>413</v>
      </c>
      <c r="F114" s="26">
        <v>12.5</v>
      </c>
      <c r="G114" s="27" t="s">
        <v>287</v>
      </c>
      <c r="H114" s="27" t="s">
        <v>287</v>
      </c>
      <c r="I114" s="25" t="s">
        <v>287</v>
      </c>
      <c r="J114" s="25" t="s">
        <v>296</v>
      </c>
      <c r="K114" s="25" t="s">
        <v>14</v>
      </c>
      <c r="L114" s="25">
        <v>2012</v>
      </c>
      <c r="M114" s="26">
        <v>0.7</v>
      </c>
      <c r="N114" s="15">
        <f t="shared" si="4"/>
        <v>6.9999999999999999E-4</v>
      </c>
      <c r="O114" s="29">
        <v>21.3</v>
      </c>
      <c r="P114" s="77">
        <f t="shared" si="5"/>
        <v>2.1299999999999999E-2</v>
      </c>
      <c r="Q114" s="25" t="s">
        <v>19</v>
      </c>
      <c r="R114" s="18" t="s">
        <v>571</v>
      </c>
    </row>
    <row r="115" spans="1:18" ht="24" x14ac:dyDescent="0.2">
      <c r="A115" s="24" t="s">
        <v>176</v>
      </c>
      <c r="B115" s="25" t="s">
        <v>179</v>
      </c>
      <c r="C115" s="25" t="s">
        <v>221</v>
      </c>
      <c r="D115" s="25" t="s">
        <v>17</v>
      </c>
      <c r="E115" s="25" t="s">
        <v>414</v>
      </c>
      <c r="F115" s="26">
        <v>2249.1999999999998</v>
      </c>
      <c r="G115" s="27" t="s">
        <v>287</v>
      </c>
      <c r="H115" s="27" t="s">
        <v>287</v>
      </c>
      <c r="I115" s="25" t="s">
        <v>287</v>
      </c>
      <c r="J115" s="25" t="s">
        <v>296</v>
      </c>
      <c r="K115" s="25" t="s">
        <v>14</v>
      </c>
      <c r="L115" s="25">
        <v>2009</v>
      </c>
      <c r="M115" s="26">
        <v>70.400000000000006</v>
      </c>
      <c r="N115" s="15">
        <f t="shared" si="4"/>
        <v>7.0400000000000004E-2</v>
      </c>
      <c r="O115" s="29">
        <v>1747</v>
      </c>
      <c r="P115" s="77">
        <f t="shared" si="5"/>
        <v>1.7470000000000001</v>
      </c>
      <c r="Q115" s="25" t="s">
        <v>19</v>
      </c>
      <c r="R115" s="18" t="s">
        <v>571</v>
      </c>
    </row>
    <row r="116" spans="1:18" ht="60" x14ac:dyDescent="0.2">
      <c r="A116" s="24" t="s">
        <v>178</v>
      </c>
      <c r="B116" s="25" t="s">
        <v>127</v>
      </c>
      <c r="C116" s="25" t="s">
        <v>221</v>
      </c>
      <c r="D116" s="25" t="s">
        <v>18</v>
      </c>
      <c r="E116" s="25" t="s">
        <v>356</v>
      </c>
      <c r="F116" s="26" t="s">
        <v>14</v>
      </c>
      <c r="G116" s="27" t="s">
        <v>287</v>
      </c>
      <c r="H116" s="27" t="s">
        <v>287</v>
      </c>
      <c r="I116" s="25" t="s">
        <v>287</v>
      </c>
      <c r="J116" s="25" t="s">
        <v>285</v>
      </c>
      <c r="K116" s="25" t="s">
        <v>14</v>
      </c>
      <c r="L116" s="25" t="s">
        <v>285</v>
      </c>
      <c r="M116" s="26">
        <v>321.60000000000002</v>
      </c>
      <c r="N116" s="15">
        <f t="shared" si="4"/>
        <v>0.3216</v>
      </c>
      <c r="O116" s="29">
        <v>10612.3</v>
      </c>
      <c r="P116" s="77">
        <f t="shared" si="5"/>
        <v>10.612299999999999</v>
      </c>
      <c r="Q116" s="25" t="s">
        <v>19</v>
      </c>
      <c r="R116" s="18" t="s">
        <v>571</v>
      </c>
    </row>
    <row r="117" spans="1:18" ht="60" x14ac:dyDescent="0.2">
      <c r="A117" s="24" t="s">
        <v>180</v>
      </c>
      <c r="B117" s="25" t="s">
        <v>127</v>
      </c>
      <c r="C117" s="25" t="s">
        <v>221</v>
      </c>
      <c r="D117" s="25" t="s">
        <v>18</v>
      </c>
      <c r="E117" s="25" t="s">
        <v>356</v>
      </c>
      <c r="F117" s="26" t="s">
        <v>14</v>
      </c>
      <c r="G117" s="27" t="s">
        <v>287</v>
      </c>
      <c r="H117" s="27" t="s">
        <v>287</v>
      </c>
      <c r="I117" s="25" t="s">
        <v>287</v>
      </c>
      <c r="J117" s="25" t="s">
        <v>285</v>
      </c>
      <c r="K117" s="25" t="s">
        <v>14</v>
      </c>
      <c r="L117" s="25" t="s">
        <v>285</v>
      </c>
      <c r="M117" s="26">
        <v>2.5</v>
      </c>
      <c r="N117" s="220">
        <f t="shared" si="4"/>
        <v>2.5000000000000001E-3</v>
      </c>
      <c r="O117" s="29">
        <v>24.4</v>
      </c>
      <c r="P117" s="71">
        <f t="shared" si="5"/>
        <v>2.4399999999999998E-2</v>
      </c>
      <c r="Q117" s="25" t="s">
        <v>107</v>
      </c>
      <c r="R117" s="18" t="s">
        <v>571</v>
      </c>
    </row>
    <row r="118" spans="1:18" ht="24" x14ac:dyDescent="0.2">
      <c r="A118" s="24" t="s">
        <v>181</v>
      </c>
      <c r="B118" s="25" t="s">
        <v>183</v>
      </c>
      <c r="C118" s="25" t="s">
        <v>221</v>
      </c>
      <c r="D118" s="267" t="s">
        <v>184</v>
      </c>
      <c r="E118" s="25" t="s">
        <v>417</v>
      </c>
      <c r="F118" s="26">
        <v>130.80000000000001</v>
      </c>
      <c r="G118" s="277" t="s">
        <v>1220</v>
      </c>
      <c r="H118" s="277" t="s">
        <v>287</v>
      </c>
      <c r="I118" s="25" t="s">
        <v>425</v>
      </c>
      <c r="J118" s="25" t="s">
        <v>285</v>
      </c>
      <c r="K118" s="25" t="s">
        <v>14</v>
      </c>
      <c r="L118" s="363" t="s">
        <v>285</v>
      </c>
      <c r="M118" s="26">
        <v>5.5</v>
      </c>
      <c r="N118" s="15">
        <f t="shared" si="4"/>
        <v>5.4999999999999997E-3</v>
      </c>
      <c r="O118" s="29">
        <v>365.4</v>
      </c>
      <c r="P118" s="77">
        <f t="shared" si="5"/>
        <v>0.3654</v>
      </c>
      <c r="Q118" s="25" t="s">
        <v>19</v>
      </c>
      <c r="R118" s="18" t="s">
        <v>571</v>
      </c>
    </row>
    <row r="119" spans="1:18" ht="36" x14ac:dyDescent="0.2">
      <c r="A119" s="24" t="s">
        <v>182</v>
      </c>
      <c r="B119" s="25" t="s">
        <v>186</v>
      </c>
      <c r="C119" s="25" t="s">
        <v>221</v>
      </c>
      <c r="D119" s="267" t="s">
        <v>184</v>
      </c>
      <c r="E119" s="25" t="s">
        <v>567</v>
      </c>
      <c r="F119" s="26">
        <v>35.700000000000003</v>
      </c>
      <c r="G119" s="27">
        <v>640689.59</v>
      </c>
      <c r="H119" s="27">
        <v>26000</v>
      </c>
      <c r="I119" s="25" t="s">
        <v>423</v>
      </c>
      <c r="J119" s="25" t="s">
        <v>285</v>
      </c>
      <c r="K119" s="25" t="s">
        <v>14</v>
      </c>
      <c r="L119" s="37" t="s">
        <v>285</v>
      </c>
      <c r="M119" s="26">
        <v>1.1000000000000001</v>
      </c>
      <c r="N119" s="15">
        <f t="shared" si="4"/>
        <v>1.1000000000000001E-3</v>
      </c>
      <c r="O119" s="29">
        <v>24.9</v>
      </c>
      <c r="P119" s="77">
        <f t="shared" si="5"/>
        <v>2.4899999999999999E-2</v>
      </c>
      <c r="Q119" s="25" t="s">
        <v>19</v>
      </c>
      <c r="R119" s="18" t="s">
        <v>571</v>
      </c>
    </row>
    <row r="120" spans="1:18" ht="36" x14ac:dyDescent="0.2">
      <c r="A120" s="24" t="s">
        <v>185</v>
      </c>
      <c r="B120" s="25" t="s">
        <v>553</v>
      </c>
      <c r="C120" s="25" t="s">
        <v>221</v>
      </c>
      <c r="D120" s="267" t="s">
        <v>184</v>
      </c>
      <c r="E120" s="25" t="s">
        <v>418</v>
      </c>
      <c r="F120" s="26">
        <v>1386.8</v>
      </c>
      <c r="G120" s="277" t="s">
        <v>1220</v>
      </c>
      <c r="H120" s="277" t="s">
        <v>287</v>
      </c>
      <c r="I120" s="25" t="s">
        <v>425</v>
      </c>
      <c r="J120" s="25" t="s">
        <v>285</v>
      </c>
      <c r="K120" s="25" t="s">
        <v>14</v>
      </c>
      <c r="L120" s="37" t="s">
        <v>285</v>
      </c>
      <c r="M120" s="26">
        <v>63.8</v>
      </c>
      <c r="N120" s="15">
        <f t="shared" si="4"/>
        <v>6.3799999999999996E-2</v>
      </c>
      <c r="O120" s="29">
        <v>3071.7</v>
      </c>
      <c r="P120" s="77">
        <f t="shared" si="5"/>
        <v>3.0716999999999999</v>
      </c>
      <c r="Q120" s="25" t="s">
        <v>19</v>
      </c>
      <c r="R120" s="18" t="s">
        <v>571</v>
      </c>
    </row>
    <row r="121" spans="1:18" ht="24" x14ac:dyDescent="0.2">
      <c r="A121" s="24" t="s">
        <v>187</v>
      </c>
      <c r="B121" s="25" t="s">
        <v>189</v>
      </c>
      <c r="C121" s="25" t="s">
        <v>221</v>
      </c>
      <c r="D121" s="267" t="s">
        <v>184</v>
      </c>
      <c r="E121" s="25" t="s">
        <v>419</v>
      </c>
      <c r="F121" s="26">
        <v>10.199999999999999</v>
      </c>
      <c r="G121" s="277" t="s">
        <v>1220</v>
      </c>
      <c r="H121" s="277" t="s">
        <v>287</v>
      </c>
      <c r="I121" s="25" t="s">
        <v>424</v>
      </c>
      <c r="J121" s="267" t="s">
        <v>1409</v>
      </c>
      <c r="K121" s="37" t="s">
        <v>477</v>
      </c>
      <c r="L121" s="25" t="s">
        <v>287</v>
      </c>
      <c r="M121" s="26">
        <v>0.5</v>
      </c>
      <c r="N121" s="15">
        <f t="shared" ref="N121:N165" si="6">M121/1000</f>
        <v>5.0000000000000001E-4</v>
      </c>
      <c r="O121" s="29">
        <v>13.8</v>
      </c>
      <c r="P121" s="77">
        <f t="shared" ref="P121:P165" si="7">O121/1000</f>
        <v>1.3800000000000002E-2</v>
      </c>
      <c r="Q121" s="25" t="s">
        <v>19</v>
      </c>
      <c r="R121" s="18" t="s">
        <v>571</v>
      </c>
    </row>
    <row r="122" spans="1:18" ht="48" x14ac:dyDescent="0.2">
      <c r="A122" s="24" t="s">
        <v>188</v>
      </c>
      <c r="B122" s="25" t="s">
        <v>191</v>
      </c>
      <c r="C122" s="25" t="s">
        <v>221</v>
      </c>
      <c r="D122" s="267" t="s">
        <v>184</v>
      </c>
      <c r="E122" s="25" t="s">
        <v>470</v>
      </c>
      <c r="F122" s="26">
        <v>271</v>
      </c>
      <c r="G122" s="277" t="s">
        <v>1220</v>
      </c>
      <c r="H122" s="277" t="s">
        <v>287</v>
      </c>
      <c r="I122" s="25" t="s">
        <v>424</v>
      </c>
      <c r="J122" s="25" t="s">
        <v>285</v>
      </c>
      <c r="K122" s="25" t="s">
        <v>14</v>
      </c>
      <c r="L122" s="37" t="s">
        <v>285</v>
      </c>
      <c r="M122" s="26">
        <v>19.600000000000001</v>
      </c>
      <c r="N122" s="15">
        <f t="shared" si="6"/>
        <v>1.9600000000000003E-2</v>
      </c>
      <c r="O122" s="29">
        <v>910.1</v>
      </c>
      <c r="P122" s="77">
        <f t="shared" si="7"/>
        <v>0.91010000000000002</v>
      </c>
      <c r="Q122" s="25" t="s">
        <v>19</v>
      </c>
      <c r="R122" s="18" t="s">
        <v>571</v>
      </c>
    </row>
    <row r="123" spans="1:18" ht="36" x14ac:dyDescent="0.2">
      <c r="A123" s="24" t="s">
        <v>190</v>
      </c>
      <c r="B123" s="25" t="s">
        <v>193</v>
      </c>
      <c r="C123" s="25" t="s">
        <v>221</v>
      </c>
      <c r="D123" s="267" t="s">
        <v>184</v>
      </c>
      <c r="E123" s="25" t="s">
        <v>568</v>
      </c>
      <c r="F123" s="26">
        <v>149.4</v>
      </c>
      <c r="G123" s="277" t="s">
        <v>1220</v>
      </c>
      <c r="H123" s="277" t="s">
        <v>287</v>
      </c>
      <c r="I123" s="25" t="s">
        <v>424</v>
      </c>
      <c r="J123" s="25" t="s">
        <v>285</v>
      </c>
      <c r="K123" s="25" t="s">
        <v>14</v>
      </c>
      <c r="L123" s="37" t="s">
        <v>426</v>
      </c>
      <c r="M123" s="26">
        <v>12.1</v>
      </c>
      <c r="N123" s="15">
        <f t="shared" si="6"/>
        <v>1.21E-2</v>
      </c>
      <c r="O123" s="29">
        <v>523.4</v>
      </c>
      <c r="P123" s="77">
        <f t="shared" si="7"/>
        <v>0.52339999999999998</v>
      </c>
      <c r="Q123" s="25" t="s">
        <v>19</v>
      </c>
      <c r="R123" s="18" t="s">
        <v>571</v>
      </c>
    </row>
    <row r="124" spans="1:18" ht="24" x14ac:dyDescent="0.2">
      <c r="A124" s="24" t="s">
        <v>192</v>
      </c>
      <c r="B124" s="25" t="s">
        <v>195</v>
      </c>
      <c r="C124" s="25" t="s">
        <v>221</v>
      </c>
      <c r="D124" s="267" t="s">
        <v>184</v>
      </c>
      <c r="E124" s="25" t="s">
        <v>420</v>
      </c>
      <c r="F124" s="26">
        <v>435.1</v>
      </c>
      <c r="G124" s="277" t="s">
        <v>1220</v>
      </c>
      <c r="H124" s="277" t="s">
        <v>287</v>
      </c>
      <c r="I124" s="25" t="s">
        <v>424</v>
      </c>
      <c r="J124" s="25" t="s">
        <v>285</v>
      </c>
      <c r="K124" s="25" t="s">
        <v>14</v>
      </c>
      <c r="L124" s="37" t="s">
        <v>285</v>
      </c>
      <c r="M124" s="26">
        <v>19.2</v>
      </c>
      <c r="N124" s="15">
        <f t="shared" si="6"/>
        <v>1.9199999999999998E-2</v>
      </c>
      <c r="O124" s="29">
        <v>873.9</v>
      </c>
      <c r="P124" s="77">
        <f t="shared" si="7"/>
        <v>0.87390000000000001</v>
      </c>
      <c r="Q124" s="25" t="s">
        <v>19</v>
      </c>
      <c r="R124" s="18" t="s">
        <v>571</v>
      </c>
    </row>
    <row r="125" spans="1:18" ht="24" x14ac:dyDescent="0.2">
      <c r="A125" s="24" t="s">
        <v>194</v>
      </c>
      <c r="B125" s="25" t="s">
        <v>197</v>
      </c>
      <c r="C125" s="25" t="s">
        <v>221</v>
      </c>
      <c r="D125" s="267" t="s">
        <v>184</v>
      </c>
      <c r="E125" s="25" t="s">
        <v>420</v>
      </c>
      <c r="F125" s="26">
        <v>12.5</v>
      </c>
      <c r="G125" s="277" t="s">
        <v>1220</v>
      </c>
      <c r="H125" s="277" t="s">
        <v>287</v>
      </c>
      <c r="I125" s="25" t="s">
        <v>424</v>
      </c>
      <c r="J125" s="25" t="s">
        <v>285</v>
      </c>
      <c r="K125" s="25" t="s">
        <v>14</v>
      </c>
      <c r="L125" s="37" t="s">
        <v>285</v>
      </c>
      <c r="M125" s="26">
        <v>1.7</v>
      </c>
      <c r="N125" s="15">
        <f t="shared" si="6"/>
        <v>1.6999999999999999E-3</v>
      </c>
      <c r="O125" s="29">
        <v>14.2</v>
      </c>
      <c r="P125" s="77">
        <f t="shared" si="7"/>
        <v>1.4199999999999999E-2</v>
      </c>
      <c r="Q125" s="25" t="s">
        <v>19</v>
      </c>
      <c r="R125" s="18" t="s">
        <v>571</v>
      </c>
    </row>
    <row r="126" spans="1:18" ht="36" x14ac:dyDescent="0.2">
      <c r="A126" s="24" t="s">
        <v>196</v>
      </c>
      <c r="B126" s="25" t="s">
        <v>554</v>
      </c>
      <c r="C126" s="267" t="s">
        <v>222</v>
      </c>
      <c r="D126" s="267" t="s">
        <v>184</v>
      </c>
      <c r="E126" s="25" t="s">
        <v>411</v>
      </c>
      <c r="F126" s="26">
        <v>5882.9941153560885</v>
      </c>
      <c r="G126" s="277" t="s">
        <v>1220</v>
      </c>
      <c r="H126" s="277" t="s">
        <v>287</v>
      </c>
      <c r="I126" s="25" t="s">
        <v>1408</v>
      </c>
      <c r="J126" s="267" t="s">
        <v>295</v>
      </c>
      <c r="K126" s="37" t="s">
        <v>478</v>
      </c>
      <c r="L126" s="37" t="s">
        <v>427</v>
      </c>
      <c r="M126" s="26">
        <v>412.1</v>
      </c>
      <c r="N126" s="15">
        <f t="shared" si="6"/>
        <v>0.41210000000000002</v>
      </c>
      <c r="O126" s="29">
        <v>8775.2999999999993</v>
      </c>
      <c r="P126" s="77">
        <f t="shared" si="7"/>
        <v>8.7752999999999997</v>
      </c>
      <c r="Q126" s="25" t="s">
        <v>19</v>
      </c>
      <c r="R126" s="18" t="s">
        <v>571</v>
      </c>
    </row>
    <row r="127" spans="1:18" ht="24" x14ac:dyDescent="0.2">
      <c r="A127" s="24" t="s">
        <v>198</v>
      </c>
      <c r="B127" s="25" t="s">
        <v>67</v>
      </c>
      <c r="C127" s="25" t="s">
        <v>221</v>
      </c>
      <c r="D127" s="25" t="s">
        <v>8</v>
      </c>
      <c r="E127" s="25" t="s">
        <v>421</v>
      </c>
      <c r="F127" s="26" t="s">
        <v>14</v>
      </c>
      <c r="G127" s="277" t="s">
        <v>1220</v>
      </c>
      <c r="H127" s="277">
        <v>60000</v>
      </c>
      <c r="I127" s="352" t="s">
        <v>221</v>
      </c>
      <c r="J127" s="25" t="s">
        <v>285</v>
      </c>
      <c r="K127" s="25" t="s">
        <v>14</v>
      </c>
      <c r="L127" s="25" t="s">
        <v>285</v>
      </c>
      <c r="M127" s="26">
        <v>16.100000000000001</v>
      </c>
      <c r="N127" s="15">
        <f t="shared" si="6"/>
        <v>1.61E-2</v>
      </c>
      <c r="O127" s="29">
        <v>46.2</v>
      </c>
      <c r="P127" s="77">
        <f t="shared" si="7"/>
        <v>4.6200000000000005E-2</v>
      </c>
      <c r="Q127" s="25" t="s">
        <v>19</v>
      </c>
      <c r="R127" s="18" t="s">
        <v>571</v>
      </c>
    </row>
    <row r="128" spans="1:18" ht="24" x14ac:dyDescent="0.2">
      <c r="A128" s="24" t="s">
        <v>199</v>
      </c>
      <c r="B128" s="25" t="s">
        <v>201</v>
      </c>
      <c r="C128" s="25" t="s">
        <v>221</v>
      </c>
      <c r="D128" s="25" t="s">
        <v>17</v>
      </c>
      <c r="E128" s="25" t="s">
        <v>569</v>
      </c>
      <c r="F128" s="26">
        <v>517.70000000000005</v>
      </c>
      <c r="G128" s="277" t="s">
        <v>287</v>
      </c>
      <c r="H128" s="277" t="s">
        <v>287</v>
      </c>
      <c r="I128" s="25" t="s">
        <v>221</v>
      </c>
      <c r="J128" s="25" t="s">
        <v>296</v>
      </c>
      <c r="K128" s="25" t="s">
        <v>287</v>
      </c>
      <c r="L128" s="25">
        <v>2011</v>
      </c>
      <c r="M128" s="26">
        <v>2</v>
      </c>
      <c r="N128" s="15">
        <f t="shared" si="6"/>
        <v>2E-3</v>
      </c>
      <c r="O128" s="29">
        <v>6</v>
      </c>
      <c r="P128" s="77">
        <f t="shared" si="7"/>
        <v>6.0000000000000001E-3</v>
      </c>
      <c r="Q128" s="25" t="s">
        <v>19</v>
      </c>
      <c r="R128" s="18" t="s">
        <v>571</v>
      </c>
    </row>
    <row r="129" spans="1:18" ht="24" x14ac:dyDescent="0.2">
      <c r="A129" s="24" t="s">
        <v>200</v>
      </c>
      <c r="B129" s="25" t="s">
        <v>203</v>
      </c>
      <c r="C129" s="25" t="s">
        <v>221</v>
      </c>
      <c r="D129" s="267" t="s">
        <v>557</v>
      </c>
      <c r="E129" s="25" t="s">
        <v>422</v>
      </c>
      <c r="F129" s="26">
        <v>32.200000000000003</v>
      </c>
      <c r="G129" s="277" t="s">
        <v>1220</v>
      </c>
      <c r="H129" s="277" t="s">
        <v>287</v>
      </c>
      <c r="I129" s="25" t="s">
        <v>221</v>
      </c>
      <c r="J129" s="25" t="s">
        <v>296</v>
      </c>
      <c r="K129" s="25" t="s">
        <v>14</v>
      </c>
      <c r="L129" s="37" t="s">
        <v>296</v>
      </c>
      <c r="M129" s="26">
        <v>0</v>
      </c>
      <c r="N129" s="15">
        <f t="shared" si="6"/>
        <v>0</v>
      </c>
      <c r="O129" s="29">
        <v>0.33035130351040465</v>
      </c>
      <c r="P129" s="77">
        <f t="shared" si="7"/>
        <v>3.3035130351040463E-4</v>
      </c>
      <c r="Q129" s="25" t="s">
        <v>19</v>
      </c>
      <c r="R129" s="18" t="s">
        <v>571</v>
      </c>
    </row>
    <row r="130" spans="1:18" ht="24" x14ac:dyDescent="0.2">
      <c r="A130" s="24" t="s">
        <v>202</v>
      </c>
      <c r="B130" s="25" t="s">
        <v>205</v>
      </c>
      <c r="C130" s="25" t="s">
        <v>221</v>
      </c>
      <c r="D130" s="267" t="s">
        <v>557</v>
      </c>
      <c r="E130" s="25" t="s">
        <v>422</v>
      </c>
      <c r="F130" s="26">
        <v>5.3</v>
      </c>
      <c r="G130" s="277" t="s">
        <v>1220</v>
      </c>
      <c r="H130" s="277" t="s">
        <v>287</v>
      </c>
      <c r="I130" s="25" t="s">
        <v>221</v>
      </c>
      <c r="J130" s="25" t="s">
        <v>296</v>
      </c>
      <c r="K130" s="25" t="s">
        <v>14</v>
      </c>
      <c r="L130" s="25" t="s">
        <v>296</v>
      </c>
      <c r="M130" s="26">
        <v>0.53702187976825999</v>
      </c>
      <c r="N130" s="15">
        <f t="shared" si="6"/>
        <v>5.3702187976826003E-4</v>
      </c>
      <c r="O130" s="29">
        <v>3.1513197993192001</v>
      </c>
      <c r="P130" s="77">
        <f t="shared" si="7"/>
        <v>3.1513197993192003E-3</v>
      </c>
      <c r="Q130" s="25" t="s">
        <v>19</v>
      </c>
      <c r="R130" s="18" t="s">
        <v>571</v>
      </c>
    </row>
    <row r="131" spans="1:18" ht="24" x14ac:dyDescent="0.2">
      <c r="A131" s="24" t="s">
        <v>204</v>
      </c>
      <c r="B131" s="25" t="s">
        <v>207</v>
      </c>
      <c r="C131" s="25" t="s">
        <v>221</v>
      </c>
      <c r="D131" s="267" t="s">
        <v>557</v>
      </c>
      <c r="E131" s="25" t="s">
        <v>422</v>
      </c>
      <c r="F131" s="26">
        <v>5.9</v>
      </c>
      <c r="G131" s="277" t="s">
        <v>1220</v>
      </c>
      <c r="H131" s="277" t="s">
        <v>287</v>
      </c>
      <c r="I131" s="25" t="s">
        <v>221</v>
      </c>
      <c r="J131" s="25" t="s">
        <v>296</v>
      </c>
      <c r="K131" s="25" t="s">
        <v>14</v>
      </c>
      <c r="L131" s="25" t="s">
        <v>296</v>
      </c>
      <c r="M131" s="26">
        <v>0.53627998021229328</v>
      </c>
      <c r="N131" s="15">
        <f t="shared" si="6"/>
        <v>5.3627998021229324E-4</v>
      </c>
      <c r="O131" s="29">
        <v>7.6546603440000016</v>
      </c>
      <c r="P131" s="77">
        <f t="shared" si="7"/>
        <v>7.6546603440000019E-3</v>
      </c>
      <c r="Q131" s="25" t="s">
        <v>19</v>
      </c>
      <c r="R131" s="18" t="s">
        <v>571</v>
      </c>
    </row>
    <row r="132" spans="1:18" ht="24" x14ac:dyDescent="0.2">
      <c r="A132" s="24" t="s">
        <v>206</v>
      </c>
      <c r="B132" s="25" t="s">
        <v>209</v>
      </c>
      <c r="C132" s="25" t="s">
        <v>221</v>
      </c>
      <c r="D132" s="267" t="s">
        <v>557</v>
      </c>
      <c r="E132" s="25" t="s">
        <v>422</v>
      </c>
      <c r="F132" s="26">
        <v>0.7</v>
      </c>
      <c r="G132" s="277" t="s">
        <v>1220</v>
      </c>
      <c r="H132" s="277" t="s">
        <v>287</v>
      </c>
      <c r="I132" s="25" t="s">
        <v>221</v>
      </c>
      <c r="J132" s="25" t="s">
        <v>296</v>
      </c>
      <c r="K132" s="25" t="s">
        <v>14</v>
      </c>
      <c r="L132" s="25" t="s">
        <v>296</v>
      </c>
      <c r="M132" s="26">
        <v>9.3648325752223802E-2</v>
      </c>
      <c r="N132" s="15">
        <f t="shared" si="6"/>
        <v>9.3648325752223802E-5</v>
      </c>
      <c r="O132" s="29">
        <v>0.33312225376880011</v>
      </c>
      <c r="P132" s="77">
        <f t="shared" si="7"/>
        <v>3.3312225376880012E-4</v>
      </c>
      <c r="Q132" s="25" t="s">
        <v>19</v>
      </c>
      <c r="R132" s="18" t="s">
        <v>571</v>
      </c>
    </row>
    <row r="133" spans="1:18" ht="24" x14ac:dyDescent="0.2">
      <c r="A133" s="24" t="s">
        <v>208</v>
      </c>
      <c r="B133" s="25" t="s">
        <v>211</v>
      </c>
      <c r="C133" s="25" t="s">
        <v>221</v>
      </c>
      <c r="D133" s="267" t="s">
        <v>557</v>
      </c>
      <c r="E133" s="25" t="s">
        <v>422</v>
      </c>
      <c r="F133" s="26">
        <v>399.6</v>
      </c>
      <c r="G133" s="277" t="s">
        <v>1220</v>
      </c>
      <c r="H133" s="277" t="s">
        <v>287</v>
      </c>
      <c r="I133" s="25" t="s">
        <v>221</v>
      </c>
      <c r="J133" s="25" t="s">
        <v>296</v>
      </c>
      <c r="K133" s="25" t="s">
        <v>14</v>
      </c>
      <c r="L133" s="25" t="s">
        <v>296</v>
      </c>
      <c r="M133" s="26">
        <v>46.970597278937703</v>
      </c>
      <c r="N133" s="15">
        <f t="shared" si="6"/>
        <v>4.6970597278937702E-2</v>
      </c>
      <c r="O133" s="29">
        <v>264.92863347008404</v>
      </c>
      <c r="P133" s="77">
        <f t="shared" si="7"/>
        <v>0.26492863347008405</v>
      </c>
      <c r="Q133" s="25" t="s">
        <v>19</v>
      </c>
      <c r="R133" s="18" t="s">
        <v>571</v>
      </c>
    </row>
    <row r="134" spans="1:18" ht="24" x14ac:dyDescent="0.2">
      <c r="A134" s="24" t="s">
        <v>210</v>
      </c>
      <c r="B134" s="25" t="s">
        <v>213</v>
      </c>
      <c r="C134" s="25" t="s">
        <v>221</v>
      </c>
      <c r="D134" s="267" t="s">
        <v>557</v>
      </c>
      <c r="E134" s="25" t="s">
        <v>422</v>
      </c>
      <c r="F134" s="26">
        <v>178.6</v>
      </c>
      <c r="G134" s="277" t="s">
        <v>1220</v>
      </c>
      <c r="H134" s="277" t="s">
        <v>287</v>
      </c>
      <c r="I134" s="25" t="s">
        <v>221</v>
      </c>
      <c r="J134" s="25" t="s">
        <v>296</v>
      </c>
      <c r="K134" s="25" t="s">
        <v>14</v>
      </c>
      <c r="L134" s="25" t="s">
        <v>296</v>
      </c>
      <c r="M134" s="26">
        <v>1.2251792917542215</v>
      </c>
      <c r="N134" s="15">
        <f t="shared" si="6"/>
        <v>1.2251792917542215E-3</v>
      </c>
      <c r="O134" s="29">
        <v>6.7441802702641667</v>
      </c>
      <c r="P134" s="77">
        <f t="shared" si="7"/>
        <v>6.7441802702641667E-3</v>
      </c>
      <c r="Q134" s="25" t="s">
        <v>19</v>
      </c>
      <c r="R134" s="18" t="s">
        <v>571</v>
      </c>
    </row>
    <row r="135" spans="1:18" ht="24" x14ac:dyDescent="0.2">
      <c r="A135" s="24" t="s">
        <v>212</v>
      </c>
      <c r="B135" s="25" t="s">
        <v>215</v>
      </c>
      <c r="C135" s="25" t="s">
        <v>221</v>
      </c>
      <c r="D135" s="267" t="s">
        <v>184</v>
      </c>
      <c r="E135" s="25" t="s">
        <v>411</v>
      </c>
      <c r="F135" s="26">
        <v>57.6</v>
      </c>
      <c r="G135" s="277" t="s">
        <v>1220</v>
      </c>
      <c r="H135" s="277" t="s">
        <v>287</v>
      </c>
      <c r="I135" s="25" t="s">
        <v>425</v>
      </c>
      <c r="J135" s="25" t="s">
        <v>285</v>
      </c>
      <c r="K135" s="25" t="s">
        <v>14</v>
      </c>
      <c r="L135" s="504" t="s">
        <v>287</v>
      </c>
      <c r="M135" s="26">
        <v>3.1</v>
      </c>
      <c r="N135" s="15">
        <f t="shared" si="6"/>
        <v>3.0999999999999999E-3</v>
      </c>
      <c r="O135" s="29">
        <v>33.200000000000003</v>
      </c>
      <c r="P135" s="77">
        <f t="shared" si="7"/>
        <v>3.32E-2</v>
      </c>
      <c r="Q135" s="25" t="s">
        <v>19</v>
      </c>
      <c r="R135" s="18" t="s">
        <v>571</v>
      </c>
    </row>
    <row r="136" spans="1:18" ht="24" x14ac:dyDescent="0.2">
      <c r="A136" s="24" t="s">
        <v>214</v>
      </c>
      <c r="B136" s="25" t="s">
        <v>217</v>
      </c>
      <c r="C136" s="25" t="s">
        <v>221</v>
      </c>
      <c r="D136" s="267" t="s">
        <v>184</v>
      </c>
      <c r="E136" s="25" t="s">
        <v>411</v>
      </c>
      <c r="F136" s="26">
        <v>12.4</v>
      </c>
      <c r="G136" s="277" t="s">
        <v>1220</v>
      </c>
      <c r="H136" s="277" t="s">
        <v>287</v>
      </c>
      <c r="I136" s="25" t="s">
        <v>425</v>
      </c>
      <c r="J136" s="267" t="s">
        <v>295</v>
      </c>
      <c r="K136" s="37" t="s">
        <v>479</v>
      </c>
      <c r="L136" s="25" t="s">
        <v>287</v>
      </c>
      <c r="M136" s="26">
        <v>1</v>
      </c>
      <c r="N136" s="15">
        <f t="shared" si="6"/>
        <v>1E-3</v>
      </c>
      <c r="O136" s="29">
        <v>10.4</v>
      </c>
      <c r="P136" s="77">
        <f t="shared" si="7"/>
        <v>1.04E-2</v>
      </c>
      <c r="Q136" s="25" t="s">
        <v>19</v>
      </c>
      <c r="R136" s="18" t="s">
        <v>571</v>
      </c>
    </row>
    <row r="137" spans="1:18" ht="24" x14ac:dyDescent="0.2">
      <c r="A137" s="24" t="s">
        <v>216</v>
      </c>
      <c r="B137" s="25" t="s">
        <v>219</v>
      </c>
      <c r="C137" s="25" t="s">
        <v>221</v>
      </c>
      <c r="D137" s="267" t="s">
        <v>184</v>
      </c>
      <c r="E137" s="25" t="s">
        <v>411</v>
      </c>
      <c r="F137" s="26">
        <v>150.19999999999999</v>
      </c>
      <c r="G137" s="277" t="s">
        <v>1220</v>
      </c>
      <c r="H137" s="277" t="s">
        <v>287</v>
      </c>
      <c r="I137" s="25" t="s">
        <v>425</v>
      </c>
      <c r="J137" s="267" t="s">
        <v>295</v>
      </c>
      <c r="K137" s="37" t="s">
        <v>480</v>
      </c>
      <c r="L137" s="25" t="s">
        <v>287</v>
      </c>
      <c r="M137" s="26">
        <v>5.9</v>
      </c>
      <c r="N137" s="15">
        <f t="shared" si="6"/>
        <v>5.9000000000000007E-3</v>
      </c>
      <c r="O137" s="29">
        <v>322.3</v>
      </c>
      <c r="P137" s="77">
        <f t="shared" si="7"/>
        <v>0.32230000000000003</v>
      </c>
      <c r="Q137" s="25" t="s">
        <v>19</v>
      </c>
      <c r="R137" s="18" t="s">
        <v>571</v>
      </c>
    </row>
    <row r="138" spans="1:18" ht="24" x14ac:dyDescent="0.2">
      <c r="A138" s="24" t="s">
        <v>218</v>
      </c>
      <c r="B138" s="25" t="s">
        <v>220</v>
      </c>
      <c r="C138" s="25" t="s">
        <v>221</v>
      </c>
      <c r="D138" s="267" t="s">
        <v>184</v>
      </c>
      <c r="E138" s="25" t="s">
        <v>411</v>
      </c>
      <c r="F138" s="26">
        <v>21.7</v>
      </c>
      <c r="G138" s="277" t="s">
        <v>1220</v>
      </c>
      <c r="H138" s="277" t="s">
        <v>287</v>
      </c>
      <c r="I138" s="25" t="s">
        <v>425</v>
      </c>
      <c r="J138" s="267" t="s">
        <v>295</v>
      </c>
      <c r="K138" s="37" t="s">
        <v>481</v>
      </c>
      <c r="L138" s="25" t="s">
        <v>287</v>
      </c>
      <c r="M138" s="26">
        <v>2.2999999999999998</v>
      </c>
      <c r="N138" s="15">
        <f t="shared" si="6"/>
        <v>2.3E-3</v>
      </c>
      <c r="O138" s="29">
        <v>19.7</v>
      </c>
      <c r="P138" s="77">
        <f t="shared" si="7"/>
        <v>1.9699999999999999E-2</v>
      </c>
      <c r="Q138" s="25" t="s">
        <v>19</v>
      </c>
      <c r="R138" s="18" t="s">
        <v>571</v>
      </c>
    </row>
    <row r="139" spans="1:18" ht="36" x14ac:dyDescent="0.2">
      <c r="A139" s="24" t="s">
        <v>223</v>
      </c>
      <c r="B139" s="25" t="s">
        <v>23</v>
      </c>
      <c r="C139" s="25" t="s">
        <v>228</v>
      </c>
      <c r="D139" s="25" t="s">
        <v>18</v>
      </c>
      <c r="E139" s="25" t="s">
        <v>432</v>
      </c>
      <c r="F139" s="26" t="s">
        <v>14</v>
      </c>
      <c r="G139" s="27" t="s">
        <v>287</v>
      </c>
      <c r="H139" s="27" t="s">
        <v>287</v>
      </c>
      <c r="I139" s="25" t="s">
        <v>228</v>
      </c>
      <c r="J139" s="25" t="s">
        <v>285</v>
      </c>
      <c r="K139" s="25" t="s">
        <v>14</v>
      </c>
      <c r="L139" s="25" t="s">
        <v>285</v>
      </c>
      <c r="M139" s="26">
        <v>38.799999999999997</v>
      </c>
      <c r="N139" s="15">
        <f t="shared" si="6"/>
        <v>3.8799999999999994E-2</v>
      </c>
      <c r="O139" s="29">
        <v>1086.9000000000001</v>
      </c>
      <c r="P139" s="77">
        <f t="shared" si="7"/>
        <v>1.0869000000000002</v>
      </c>
      <c r="Q139" s="25" t="s">
        <v>9</v>
      </c>
      <c r="R139" s="18" t="s">
        <v>571</v>
      </c>
    </row>
    <row r="140" spans="1:18" ht="36" x14ac:dyDescent="0.2">
      <c r="A140" s="24" t="s">
        <v>224</v>
      </c>
      <c r="B140" s="25" t="s">
        <v>23</v>
      </c>
      <c r="C140" s="25" t="s">
        <v>228</v>
      </c>
      <c r="D140" s="25" t="s">
        <v>18</v>
      </c>
      <c r="E140" s="25" t="s">
        <v>432</v>
      </c>
      <c r="F140" s="26" t="s">
        <v>14</v>
      </c>
      <c r="G140" s="27" t="s">
        <v>287</v>
      </c>
      <c r="H140" s="27" t="s">
        <v>287</v>
      </c>
      <c r="I140" s="25" t="s">
        <v>228</v>
      </c>
      <c r="J140" s="25" t="s">
        <v>285</v>
      </c>
      <c r="K140" s="25" t="s">
        <v>14</v>
      </c>
      <c r="L140" s="25" t="s">
        <v>285</v>
      </c>
      <c r="M140" s="26">
        <v>22.7</v>
      </c>
      <c r="N140" s="220">
        <f t="shared" si="6"/>
        <v>2.2699999999999998E-2</v>
      </c>
      <c r="O140" s="29">
        <v>408.9</v>
      </c>
      <c r="P140" s="71">
        <f t="shared" si="7"/>
        <v>0.40889999999999999</v>
      </c>
      <c r="Q140" s="25" t="s">
        <v>107</v>
      </c>
      <c r="R140" s="18" t="s">
        <v>571</v>
      </c>
    </row>
    <row r="141" spans="1:18" ht="36" x14ac:dyDescent="0.2">
      <c r="A141" s="24" t="s">
        <v>225</v>
      </c>
      <c r="B141" s="25" t="s">
        <v>23</v>
      </c>
      <c r="C141" s="25" t="s">
        <v>228</v>
      </c>
      <c r="D141" s="25" t="s">
        <v>18</v>
      </c>
      <c r="E141" s="25" t="s">
        <v>432</v>
      </c>
      <c r="F141" s="26" t="s">
        <v>14</v>
      </c>
      <c r="G141" s="27" t="s">
        <v>287</v>
      </c>
      <c r="H141" s="27" t="s">
        <v>287</v>
      </c>
      <c r="I141" s="25" t="s">
        <v>228</v>
      </c>
      <c r="J141" s="25" t="s">
        <v>285</v>
      </c>
      <c r="K141" s="25" t="s">
        <v>14</v>
      </c>
      <c r="L141" s="25" t="s">
        <v>285</v>
      </c>
      <c r="M141" s="26">
        <v>118.8</v>
      </c>
      <c r="N141" s="15">
        <f t="shared" si="6"/>
        <v>0.1188</v>
      </c>
      <c r="O141" s="29">
        <v>4438.1000000000004</v>
      </c>
      <c r="P141" s="77">
        <f t="shared" si="7"/>
        <v>4.4381000000000004</v>
      </c>
      <c r="Q141" s="25" t="s">
        <v>19</v>
      </c>
      <c r="R141" s="18" t="s">
        <v>571</v>
      </c>
    </row>
    <row r="142" spans="1:18" s="72" customFormat="1" ht="36" x14ac:dyDescent="0.2">
      <c r="A142" s="41" t="s">
        <v>226</v>
      </c>
      <c r="B142" s="18" t="s">
        <v>227</v>
      </c>
      <c r="C142" s="18" t="s">
        <v>433</v>
      </c>
      <c r="D142" s="18" t="s">
        <v>253</v>
      </c>
      <c r="E142" s="18" t="s">
        <v>434</v>
      </c>
      <c r="F142" s="42">
        <v>4077.4</v>
      </c>
      <c r="G142" s="43">
        <v>42850</v>
      </c>
      <c r="H142" s="43">
        <v>13000</v>
      </c>
      <c r="I142" s="18" t="s">
        <v>274</v>
      </c>
      <c r="J142" s="267" t="s">
        <v>596</v>
      </c>
      <c r="K142" s="18" t="s">
        <v>14</v>
      </c>
      <c r="L142" s="56" t="s">
        <v>355</v>
      </c>
      <c r="M142" s="42">
        <v>7.5</v>
      </c>
      <c r="N142" s="220">
        <f t="shared" si="6"/>
        <v>7.4999999999999997E-3</v>
      </c>
      <c r="O142" s="49" t="s">
        <v>232</v>
      </c>
      <c r="P142" s="77" t="e">
        <f t="shared" si="7"/>
        <v>#VALUE!</v>
      </c>
      <c r="Q142" s="18" t="s">
        <v>19</v>
      </c>
      <c r="R142" s="18" t="s">
        <v>571</v>
      </c>
    </row>
    <row r="143" spans="1:18" ht="24" x14ac:dyDescent="0.2">
      <c r="A143" s="266" t="s">
        <v>229</v>
      </c>
      <c r="B143" s="267" t="s">
        <v>230</v>
      </c>
      <c r="C143" s="25" t="s">
        <v>274</v>
      </c>
      <c r="D143" s="25" t="s">
        <v>231</v>
      </c>
      <c r="E143" s="25" t="s">
        <v>444</v>
      </c>
      <c r="F143" s="26">
        <v>118</v>
      </c>
      <c r="G143" s="27">
        <v>26900000</v>
      </c>
      <c r="H143" s="27">
        <v>50000</v>
      </c>
      <c r="I143" s="25" t="s">
        <v>438</v>
      </c>
      <c r="J143" s="25" t="s">
        <v>296</v>
      </c>
      <c r="K143" s="25" t="s">
        <v>14</v>
      </c>
      <c r="L143" s="25">
        <v>2009</v>
      </c>
      <c r="M143" s="26">
        <v>1802.5</v>
      </c>
      <c r="N143" s="15">
        <f t="shared" si="6"/>
        <v>1.8025</v>
      </c>
      <c r="O143" s="29" t="s">
        <v>232</v>
      </c>
      <c r="P143" s="77" t="e">
        <f t="shared" si="7"/>
        <v>#VALUE!</v>
      </c>
      <c r="Q143" s="25" t="s">
        <v>64</v>
      </c>
      <c r="R143" s="25" t="s">
        <v>574</v>
      </c>
    </row>
    <row r="144" spans="1:18" ht="48" x14ac:dyDescent="0.2">
      <c r="A144" s="266" t="s">
        <v>233</v>
      </c>
      <c r="B144" s="267" t="s">
        <v>234</v>
      </c>
      <c r="C144" s="25" t="s">
        <v>274</v>
      </c>
      <c r="D144" s="25" t="s">
        <v>231</v>
      </c>
      <c r="E144" s="25" t="s">
        <v>445</v>
      </c>
      <c r="F144" s="26">
        <v>773</v>
      </c>
      <c r="G144" s="27" t="s">
        <v>443</v>
      </c>
      <c r="H144" s="27">
        <v>100000</v>
      </c>
      <c r="I144" s="25" t="s">
        <v>438</v>
      </c>
      <c r="J144" s="267" t="s">
        <v>619</v>
      </c>
      <c r="K144" s="25" t="s">
        <v>287</v>
      </c>
      <c r="L144" s="25" t="s">
        <v>287</v>
      </c>
      <c r="M144" s="26">
        <v>6193.6</v>
      </c>
      <c r="N144" s="220">
        <f t="shared" si="6"/>
        <v>6.1936</v>
      </c>
      <c r="O144" s="29" t="s">
        <v>232</v>
      </c>
      <c r="P144" s="77" t="e">
        <f t="shared" si="7"/>
        <v>#VALUE!</v>
      </c>
      <c r="Q144" s="25" t="s">
        <v>64</v>
      </c>
      <c r="R144" s="25" t="s">
        <v>574</v>
      </c>
    </row>
    <row r="145" spans="1:18" ht="48" x14ac:dyDescent="0.2">
      <c r="A145" s="266" t="s">
        <v>235</v>
      </c>
      <c r="B145" s="267" t="s">
        <v>236</v>
      </c>
      <c r="C145" s="25" t="s">
        <v>274</v>
      </c>
      <c r="D145" s="25" t="s">
        <v>231</v>
      </c>
      <c r="E145" s="25" t="s">
        <v>441</v>
      </c>
      <c r="F145" s="26" t="s">
        <v>14</v>
      </c>
      <c r="G145" s="27">
        <v>22800000</v>
      </c>
      <c r="H145" s="27">
        <v>341000</v>
      </c>
      <c r="I145" s="25" t="s">
        <v>274</v>
      </c>
      <c r="J145" s="25" t="s">
        <v>442</v>
      </c>
      <c r="K145" s="25" t="s">
        <v>14</v>
      </c>
      <c r="L145" s="25">
        <v>2012</v>
      </c>
      <c r="M145" s="26">
        <v>13978.8</v>
      </c>
      <c r="N145" s="220">
        <f t="shared" si="6"/>
        <v>13.9788</v>
      </c>
      <c r="O145" s="29" t="s">
        <v>232</v>
      </c>
      <c r="P145" s="77" t="e">
        <f t="shared" si="7"/>
        <v>#VALUE!</v>
      </c>
      <c r="Q145" s="25" t="s">
        <v>64</v>
      </c>
      <c r="R145" s="25" t="s">
        <v>574</v>
      </c>
    </row>
    <row r="146" spans="1:18" ht="96" x14ac:dyDescent="0.2">
      <c r="A146" s="24" t="s">
        <v>237</v>
      </c>
      <c r="B146" s="25" t="s">
        <v>238</v>
      </c>
      <c r="C146" s="25" t="s">
        <v>274</v>
      </c>
      <c r="D146" s="25" t="s">
        <v>239</v>
      </c>
      <c r="E146" s="25" t="s">
        <v>446</v>
      </c>
      <c r="F146" s="26" t="s">
        <v>14</v>
      </c>
      <c r="G146" s="27" t="s">
        <v>287</v>
      </c>
      <c r="H146" s="27" t="s">
        <v>287</v>
      </c>
      <c r="I146" s="25" t="s">
        <v>274</v>
      </c>
      <c r="J146" s="25" t="s">
        <v>296</v>
      </c>
      <c r="K146" s="25" t="s">
        <v>14</v>
      </c>
      <c r="L146" s="25">
        <v>2009</v>
      </c>
      <c r="M146" s="26">
        <v>5.5839999999999996</v>
      </c>
      <c r="N146" s="220">
        <f t="shared" si="6"/>
        <v>5.5839999999999996E-3</v>
      </c>
      <c r="O146" s="29" t="s">
        <v>232</v>
      </c>
      <c r="P146" s="71" t="e">
        <f t="shared" si="7"/>
        <v>#VALUE!</v>
      </c>
      <c r="Q146" s="25" t="s">
        <v>107</v>
      </c>
      <c r="R146" s="25" t="s">
        <v>574</v>
      </c>
    </row>
    <row r="147" spans="1:18" ht="96" x14ac:dyDescent="0.2">
      <c r="A147" s="24" t="s">
        <v>240</v>
      </c>
      <c r="B147" s="18" t="s">
        <v>242</v>
      </c>
      <c r="C147" s="18" t="s">
        <v>274</v>
      </c>
      <c r="D147" s="18" t="s">
        <v>239</v>
      </c>
      <c r="E147" s="18" t="s">
        <v>437</v>
      </c>
      <c r="F147" s="42">
        <v>26500</v>
      </c>
      <c r="G147" s="43">
        <v>780000000</v>
      </c>
      <c r="H147" s="277" t="s">
        <v>287</v>
      </c>
      <c r="I147" s="18" t="s">
        <v>438</v>
      </c>
      <c r="J147" s="18" t="s">
        <v>439</v>
      </c>
      <c r="K147" s="18"/>
      <c r="L147" s="18" t="s">
        <v>440</v>
      </c>
      <c r="M147" s="42">
        <v>17748</v>
      </c>
      <c r="N147" s="220">
        <f t="shared" si="6"/>
        <v>17.748000000000001</v>
      </c>
      <c r="O147" s="49" t="s">
        <v>232</v>
      </c>
      <c r="P147" s="71" t="e">
        <f t="shared" si="7"/>
        <v>#VALUE!</v>
      </c>
      <c r="Q147" s="18" t="s">
        <v>107</v>
      </c>
      <c r="R147" s="25" t="s">
        <v>574</v>
      </c>
    </row>
    <row r="148" spans="1:18" ht="72" x14ac:dyDescent="0.2">
      <c r="A148" s="41" t="s">
        <v>241</v>
      </c>
      <c r="B148" s="18" t="s">
        <v>487</v>
      </c>
      <c r="C148" s="18" t="s">
        <v>274</v>
      </c>
      <c r="D148" s="18" t="s">
        <v>239</v>
      </c>
      <c r="E148" s="18" t="s">
        <v>491</v>
      </c>
      <c r="F148" s="42">
        <v>1900</v>
      </c>
      <c r="G148" s="43">
        <v>43200000</v>
      </c>
      <c r="H148" s="43" t="s">
        <v>287</v>
      </c>
      <c r="I148" s="18" t="s">
        <v>492</v>
      </c>
      <c r="J148" s="18" t="s">
        <v>295</v>
      </c>
      <c r="K148" s="18">
        <v>2014</v>
      </c>
      <c r="L148" s="18" t="s">
        <v>494</v>
      </c>
      <c r="M148" s="42">
        <v>65.099999999999994</v>
      </c>
      <c r="N148" s="220">
        <f t="shared" si="6"/>
        <v>6.5099999999999991E-2</v>
      </c>
      <c r="O148" s="49" t="s">
        <v>232</v>
      </c>
      <c r="P148" s="77" t="e">
        <f t="shared" si="7"/>
        <v>#VALUE!</v>
      </c>
      <c r="Q148" s="18" t="s">
        <v>19</v>
      </c>
      <c r="R148" s="18" t="s">
        <v>574</v>
      </c>
    </row>
    <row r="149" spans="1:18" ht="108" x14ac:dyDescent="0.2">
      <c r="A149" s="24" t="s">
        <v>243</v>
      </c>
      <c r="B149" s="18" t="s">
        <v>488</v>
      </c>
      <c r="C149" s="18" t="s">
        <v>274</v>
      </c>
      <c r="D149" s="18" t="s">
        <v>239</v>
      </c>
      <c r="E149" s="18" t="s">
        <v>495</v>
      </c>
      <c r="F149" s="42">
        <v>2000</v>
      </c>
      <c r="G149" s="43" t="s">
        <v>287</v>
      </c>
      <c r="H149" s="43" t="s">
        <v>287</v>
      </c>
      <c r="I149" s="18" t="s">
        <v>274</v>
      </c>
      <c r="J149" s="18" t="s">
        <v>305</v>
      </c>
      <c r="K149" s="18">
        <v>2009</v>
      </c>
      <c r="L149" s="18" t="s">
        <v>287</v>
      </c>
      <c r="M149" s="42">
        <v>5.2</v>
      </c>
      <c r="N149" s="220">
        <f t="shared" si="6"/>
        <v>5.1999999999999998E-3</v>
      </c>
      <c r="O149" s="49" t="s">
        <v>232</v>
      </c>
      <c r="P149" s="77" t="e">
        <f t="shared" si="7"/>
        <v>#VALUE!</v>
      </c>
      <c r="Q149" s="18" t="s">
        <v>19</v>
      </c>
      <c r="R149" s="18" t="s">
        <v>574</v>
      </c>
    </row>
    <row r="150" spans="1:18" ht="120" x14ac:dyDescent="0.2">
      <c r="A150" s="24" t="s">
        <v>246</v>
      </c>
      <c r="B150" s="18" t="s">
        <v>489</v>
      </c>
      <c r="C150" s="18" t="s">
        <v>274</v>
      </c>
      <c r="D150" s="18" t="s">
        <v>239</v>
      </c>
      <c r="E150" s="18" t="s">
        <v>496</v>
      </c>
      <c r="F150" s="42">
        <v>1000</v>
      </c>
      <c r="G150" s="43" t="s">
        <v>287</v>
      </c>
      <c r="H150" s="43" t="s">
        <v>287</v>
      </c>
      <c r="I150" s="18" t="s">
        <v>274</v>
      </c>
      <c r="J150" s="18" t="s">
        <v>305</v>
      </c>
      <c r="K150" s="18">
        <v>2009</v>
      </c>
      <c r="L150" s="18" t="s">
        <v>287</v>
      </c>
      <c r="M150" s="42">
        <v>60.8</v>
      </c>
      <c r="N150" s="220">
        <f t="shared" si="6"/>
        <v>6.08E-2</v>
      </c>
      <c r="O150" s="49" t="s">
        <v>232</v>
      </c>
      <c r="P150" s="77" t="e">
        <f t="shared" si="7"/>
        <v>#VALUE!</v>
      </c>
      <c r="Q150" s="18" t="s">
        <v>19</v>
      </c>
      <c r="R150" s="18" t="s">
        <v>574</v>
      </c>
    </row>
    <row r="151" spans="1:18" ht="192" x14ac:dyDescent="0.2">
      <c r="A151" s="41" t="s">
        <v>248</v>
      </c>
      <c r="B151" s="18" t="s">
        <v>490</v>
      </c>
      <c r="C151" s="18" t="s">
        <v>274</v>
      </c>
      <c r="D151" s="18" t="s">
        <v>239</v>
      </c>
      <c r="E151" s="18" t="s">
        <v>497</v>
      </c>
      <c r="F151" s="42">
        <v>77</v>
      </c>
      <c r="G151" s="43" t="s">
        <v>287</v>
      </c>
      <c r="H151" s="43" t="s">
        <v>287</v>
      </c>
      <c r="I151" s="18" t="s">
        <v>274</v>
      </c>
      <c r="J151" s="18" t="s">
        <v>305</v>
      </c>
      <c r="K151" s="18">
        <v>2009</v>
      </c>
      <c r="L151" s="18" t="s">
        <v>287</v>
      </c>
      <c r="M151" s="42">
        <v>195.3</v>
      </c>
      <c r="N151" s="220">
        <f t="shared" si="6"/>
        <v>0.1953</v>
      </c>
      <c r="O151" s="49" t="s">
        <v>232</v>
      </c>
      <c r="P151" s="77" t="e">
        <f t="shared" si="7"/>
        <v>#VALUE!</v>
      </c>
      <c r="Q151" s="18" t="s">
        <v>19</v>
      </c>
      <c r="R151" s="18" t="s">
        <v>574</v>
      </c>
    </row>
    <row r="152" spans="1:18" ht="36" x14ac:dyDescent="0.2">
      <c r="A152" s="41" t="s">
        <v>250</v>
      </c>
      <c r="B152" s="18" t="s">
        <v>252</v>
      </c>
      <c r="C152" s="18" t="s">
        <v>274</v>
      </c>
      <c r="D152" s="18" t="s">
        <v>253</v>
      </c>
      <c r="E152" s="18" t="s">
        <v>449</v>
      </c>
      <c r="F152" s="42" t="s">
        <v>14</v>
      </c>
      <c r="G152" s="43">
        <v>50000</v>
      </c>
      <c r="H152" s="43">
        <v>493750</v>
      </c>
      <c r="I152" s="18" t="s">
        <v>448</v>
      </c>
      <c r="J152" s="267" t="s">
        <v>596</v>
      </c>
      <c r="K152" s="18" t="s">
        <v>14</v>
      </c>
      <c r="L152" s="18" t="s">
        <v>287</v>
      </c>
      <c r="M152" s="42">
        <v>4166.3999999999996</v>
      </c>
      <c r="N152" s="220">
        <f t="shared" si="6"/>
        <v>4.1663999999999994</v>
      </c>
      <c r="O152" s="49">
        <v>20619.5</v>
      </c>
      <c r="P152" s="77">
        <f t="shared" si="7"/>
        <v>20.619499999999999</v>
      </c>
      <c r="Q152" s="18" t="s">
        <v>104</v>
      </c>
      <c r="R152" s="18" t="s">
        <v>574</v>
      </c>
    </row>
    <row r="153" spans="1:18" ht="36" x14ac:dyDescent="0.2">
      <c r="A153" s="41" t="s">
        <v>251</v>
      </c>
      <c r="B153" s="18" t="s">
        <v>255</v>
      </c>
      <c r="C153" s="18" t="s">
        <v>274</v>
      </c>
      <c r="D153" s="18" t="s">
        <v>253</v>
      </c>
      <c r="E153" s="18" t="s">
        <v>450</v>
      </c>
      <c r="F153" s="42" t="s">
        <v>14</v>
      </c>
      <c r="G153" s="43">
        <v>431524</v>
      </c>
      <c r="H153" s="43">
        <v>92490</v>
      </c>
      <c r="I153" s="18" t="s">
        <v>448</v>
      </c>
      <c r="J153" s="267" t="s">
        <v>596</v>
      </c>
      <c r="K153" s="18" t="s">
        <v>14</v>
      </c>
      <c r="L153" s="18" t="s">
        <v>287</v>
      </c>
      <c r="M153" s="42">
        <v>89.8</v>
      </c>
      <c r="N153" s="220">
        <f t="shared" si="6"/>
        <v>8.9799999999999991E-2</v>
      </c>
      <c r="O153" s="49" t="s">
        <v>232</v>
      </c>
      <c r="P153" s="77" t="e">
        <f t="shared" si="7"/>
        <v>#VALUE!</v>
      </c>
      <c r="Q153" s="18" t="s">
        <v>9</v>
      </c>
      <c r="R153" s="18" t="s">
        <v>574</v>
      </c>
    </row>
    <row r="154" spans="1:18" s="72" customFormat="1" ht="24" x14ac:dyDescent="0.2">
      <c r="A154" s="41" t="s">
        <v>254</v>
      </c>
      <c r="B154" s="18" t="s">
        <v>257</v>
      </c>
      <c r="C154" s="18" t="s">
        <v>274</v>
      </c>
      <c r="D154" s="18" t="s">
        <v>253</v>
      </c>
      <c r="E154" s="18" t="s">
        <v>451</v>
      </c>
      <c r="F154" s="42" t="s">
        <v>14</v>
      </c>
      <c r="G154" s="43">
        <v>1928</v>
      </c>
      <c r="H154" s="43">
        <v>173600</v>
      </c>
      <c r="I154" s="18" t="s">
        <v>274</v>
      </c>
      <c r="J154" s="267" t="s">
        <v>596</v>
      </c>
      <c r="K154" s="18" t="s">
        <v>14</v>
      </c>
      <c r="L154" s="18" t="s">
        <v>287</v>
      </c>
      <c r="M154" s="42">
        <v>1087.2</v>
      </c>
      <c r="N154" s="220">
        <f t="shared" si="6"/>
        <v>1.0871999999999999</v>
      </c>
      <c r="O154" s="49" t="s">
        <v>232</v>
      </c>
      <c r="P154" s="77" t="e">
        <f t="shared" si="7"/>
        <v>#VALUE!</v>
      </c>
      <c r="Q154" s="18" t="s">
        <v>104</v>
      </c>
      <c r="R154" s="18" t="s">
        <v>574</v>
      </c>
    </row>
    <row r="155" spans="1:18" s="72" customFormat="1" ht="24" x14ac:dyDescent="0.2">
      <c r="A155" s="41" t="s">
        <v>256</v>
      </c>
      <c r="B155" s="18" t="s">
        <v>259</v>
      </c>
      <c r="C155" s="18" t="s">
        <v>274</v>
      </c>
      <c r="D155" s="18" t="s">
        <v>253</v>
      </c>
      <c r="E155" s="18" t="s">
        <v>452</v>
      </c>
      <c r="F155" s="42" t="s">
        <v>14</v>
      </c>
      <c r="G155" s="43">
        <v>7228</v>
      </c>
      <c r="H155" s="43">
        <v>51500</v>
      </c>
      <c r="I155" s="18" t="s">
        <v>274</v>
      </c>
      <c r="J155" s="267" t="s">
        <v>596</v>
      </c>
      <c r="K155" s="18" t="s">
        <v>14</v>
      </c>
      <c r="L155" s="18" t="s">
        <v>287</v>
      </c>
      <c r="M155" s="42">
        <v>230.5</v>
      </c>
      <c r="N155" s="15">
        <f t="shared" si="6"/>
        <v>0.23050000000000001</v>
      </c>
      <c r="O155" s="49" t="s">
        <v>232</v>
      </c>
      <c r="P155" s="71" t="e">
        <f t="shared" si="7"/>
        <v>#VALUE!</v>
      </c>
      <c r="Q155" s="18" t="s">
        <v>107</v>
      </c>
      <c r="R155" s="18" t="s">
        <v>574</v>
      </c>
    </row>
    <row r="156" spans="1:18" s="72" customFormat="1" ht="24" x14ac:dyDescent="0.2">
      <c r="A156" s="41" t="s">
        <v>258</v>
      </c>
      <c r="B156" s="18" t="s">
        <v>261</v>
      </c>
      <c r="C156" s="18" t="s">
        <v>274</v>
      </c>
      <c r="D156" s="18" t="s">
        <v>253</v>
      </c>
      <c r="E156" s="18" t="s">
        <v>453</v>
      </c>
      <c r="F156" s="42" t="s">
        <v>14</v>
      </c>
      <c r="G156" s="43">
        <v>17015</v>
      </c>
      <c r="H156" s="43">
        <v>146500</v>
      </c>
      <c r="I156" s="18" t="s">
        <v>274</v>
      </c>
      <c r="J156" s="267" t="s">
        <v>596</v>
      </c>
      <c r="K156" s="18" t="s">
        <v>14</v>
      </c>
      <c r="L156" s="18" t="s">
        <v>287</v>
      </c>
      <c r="M156" s="42">
        <v>133.69999999999999</v>
      </c>
      <c r="N156" s="220">
        <f t="shared" si="6"/>
        <v>0.13369999999999999</v>
      </c>
      <c r="O156" s="49" t="s">
        <v>232</v>
      </c>
      <c r="P156" s="71" t="e">
        <f t="shared" si="7"/>
        <v>#VALUE!</v>
      </c>
      <c r="Q156" s="18" t="s">
        <v>107</v>
      </c>
      <c r="R156" s="18" t="s">
        <v>574</v>
      </c>
    </row>
    <row r="157" spans="1:18" s="72" customFormat="1" ht="24" x14ac:dyDescent="0.2">
      <c r="A157" s="266" t="s">
        <v>260</v>
      </c>
      <c r="B157" s="267" t="s">
        <v>261</v>
      </c>
      <c r="C157" s="18" t="s">
        <v>274</v>
      </c>
      <c r="D157" s="18" t="s">
        <v>253</v>
      </c>
      <c r="E157" s="18" t="s">
        <v>453</v>
      </c>
      <c r="F157" s="42" t="s">
        <v>14</v>
      </c>
      <c r="G157" s="43">
        <v>17015</v>
      </c>
      <c r="H157" s="43">
        <v>146500</v>
      </c>
      <c r="I157" s="18" t="s">
        <v>274</v>
      </c>
      <c r="J157" s="18" t="s">
        <v>442</v>
      </c>
      <c r="K157" s="18" t="s">
        <v>14</v>
      </c>
      <c r="L157" s="18" t="s">
        <v>287</v>
      </c>
      <c r="M157" s="42">
        <v>205.9</v>
      </c>
      <c r="N157" s="220">
        <f t="shared" si="6"/>
        <v>0.2059</v>
      </c>
      <c r="O157" s="49" t="s">
        <v>232</v>
      </c>
      <c r="P157" s="77" t="e">
        <f t="shared" si="7"/>
        <v>#VALUE!</v>
      </c>
      <c r="Q157" s="18" t="s">
        <v>64</v>
      </c>
      <c r="R157" s="18" t="s">
        <v>574</v>
      </c>
    </row>
    <row r="158" spans="1:18" s="72" customFormat="1" ht="24" x14ac:dyDescent="0.2">
      <c r="A158" s="41" t="s">
        <v>262</v>
      </c>
      <c r="B158" s="18" t="s">
        <v>263</v>
      </c>
      <c r="C158" s="18" t="s">
        <v>274</v>
      </c>
      <c r="D158" s="267" t="s">
        <v>253</v>
      </c>
      <c r="E158" s="18" t="s">
        <v>454</v>
      </c>
      <c r="F158" s="42" t="s">
        <v>14</v>
      </c>
      <c r="G158" s="43">
        <v>61030</v>
      </c>
      <c r="H158" s="43">
        <v>55000</v>
      </c>
      <c r="I158" s="18" t="s">
        <v>274</v>
      </c>
      <c r="J158" s="267" t="s">
        <v>305</v>
      </c>
      <c r="K158" s="18" t="s">
        <v>14</v>
      </c>
      <c r="L158" s="18" t="s">
        <v>287</v>
      </c>
      <c r="M158" s="42">
        <v>28</v>
      </c>
      <c r="N158" s="220">
        <f t="shared" si="6"/>
        <v>2.8000000000000001E-2</v>
      </c>
      <c r="O158" s="49" t="s">
        <v>232</v>
      </c>
      <c r="P158" s="77" t="e">
        <f t="shared" si="7"/>
        <v>#VALUE!</v>
      </c>
      <c r="Q158" s="18" t="s">
        <v>19</v>
      </c>
      <c r="R158" s="18" t="s">
        <v>574</v>
      </c>
    </row>
    <row r="159" spans="1:18" s="72" customFormat="1" ht="36" x14ac:dyDescent="0.2">
      <c r="A159" s="41" t="s">
        <v>264</v>
      </c>
      <c r="B159" s="18" t="s">
        <v>265</v>
      </c>
      <c r="C159" s="18" t="s">
        <v>274</v>
      </c>
      <c r="D159" s="18" t="s">
        <v>253</v>
      </c>
      <c r="E159" s="18" t="s">
        <v>455</v>
      </c>
      <c r="F159" s="42" t="s">
        <v>14</v>
      </c>
      <c r="G159" s="43">
        <v>325494</v>
      </c>
      <c r="H159" s="43">
        <v>1879</v>
      </c>
      <c r="I159" s="18" t="s">
        <v>274</v>
      </c>
      <c r="J159" s="18" t="s">
        <v>442</v>
      </c>
      <c r="K159" s="18" t="s">
        <v>14</v>
      </c>
      <c r="L159" s="18" t="s">
        <v>287</v>
      </c>
      <c r="M159" s="42">
        <v>114.4</v>
      </c>
      <c r="N159" s="220">
        <f t="shared" si="6"/>
        <v>0.1144</v>
      </c>
      <c r="O159" s="49" t="s">
        <v>232</v>
      </c>
      <c r="P159" s="71" t="e">
        <f t="shared" si="7"/>
        <v>#VALUE!</v>
      </c>
      <c r="Q159" s="18" t="s">
        <v>107</v>
      </c>
      <c r="R159" s="18" t="s">
        <v>574</v>
      </c>
    </row>
    <row r="160" spans="1:18" s="72" customFormat="1" ht="36" x14ac:dyDescent="0.2">
      <c r="A160" s="41" t="s">
        <v>266</v>
      </c>
      <c r="B160" s="18" t="s">
        <v>267</v>
      </c>
      <c r="C160" s="18" t="s">
        <v>274</v>
      </c>
      <c r="D160" s="18" t="s">
        <v>253</v>
      </c>
      <c r="E160" s="18" t="s">
        <v>456</v>
      </c>
      <c r="F160" s="42" t="s">
        <v>14</v>
      </c>
      <c r="G160" s="43">
        <v>52415</v>
      </c>
      <c r="H160" s="43">
        <v>130150</v>
      </c>
      <c r="I160" s="18" t="s">
        <v>274</v>
      </c>
      <c r="J160" s="267" t="s">
        <v>596</v>
      </c>
      <c r="K160" s="18" t="s">
        <v>14</v>
      </c>
      <c r="L160" s="18" t="s">
        <v>287</v>
      </c>
      <c r="M160" s="42">
        <v>70.900000000000006</v>
      </c>
      <c r="N160" s="220">
        <f t="shared" si="6"/>
        <v>7.0900000000000005E-2</v>
      </c>
      <c r="O160" s="49" t="s">
        <v>232</v>
      </c>
      <c r="P160" s="71" t="e">
        <f t="shared" si="7"/>
        <v>#VALUE!</v>
      </c>
      <c r="Q160" s="18" t="s">
        <v>102</v>
      </c>
      <c r="R160" s="18" t="s">
        <v>574</v>
      </c>
    </row>
    <row r="161" spans="1:18" s="72" customFormat="1" ht="36" x14ac:dyDescent="0.2">
      <c r="A161" s="41" t="s">
        <v>268</v>
      </c>
      <c r="B161" s="18" t="s">
        <v>269</v>
      </c>
      <c r="C161" s="18" t="s">
        <v>274</v>
      </c>
      <c r="D161" s="18" t="s">
        <v>253</v>
      </c>
      <c r="E161" s="18" t="s">
        <v>457</v>
      </c>
      <c r="F161" s="42" t="s">
        <v>14</v>
      </c>
      <c r="G161" s="43">
        <v>322186</v>
      </c>
      <c r="H161" s="43">
        <v>28500</v>
      </c>
      <c r="I161" s="18" t="s">
        <v>274</v>
      </c>
      <c r="J161" s="18" t="s">
        <v>439</v>
      </c>
      <c r="K161" s="18" t="s">
        <v>287</v>
      </c>
      <c r="L161" s="18" t="s">
        <v>287</v>
      </c>
      <c r="M161" s="42">
        <v>78.599999999999994</v>
      </c>
      <c r="N161" s="15">
        <f t="shared" si="6"/>
        <v>7.8599999999999989E-2</v>
      </c>
      <c r="O161" s="49" t="s">
        <v>232</v>
      </c>
      <c r="P161" s="71" t="e">
        <f t="shared" si="7"/>
        <v>#VALUE!</v>
      </c>
      <c r="Q161" s="18" t="s">
        <v>107</v>
      </c>
      <c r="R161" s="18" t="s">
        <v>574</v>
      </c>
    </row>
    <row r="162" spans="1:18" s="72" customFormat="1" ht="24" x14ac:dyDescent="0.2">
      <c r="A162" s="41" t="s">
        <v>270</v>
      </c>
      <c r="B162" s="18" t="s">
        <v>271</v>
      </c>
      <c r="C162" s="18" t="s">
        <v>274</v>
      </c>
      <c r="D162" s="18" t="s">
        <v>253</v>
      </c>
      <c r="E162" s="18" t="s">
        <v>458</v>
      </c>
      <c r="F162" s="42" t="s">
        <v>14</v>
      </c>
      <c r="G162" s="43">
        <v>193750</v>
      </c>
      <c r="H162" s="43">
        <v>361200</v>
      </c>
      <c r="I162" s="18" t="s">
        <v>274</v>
      </c>
      <c r="J162" s="18" t="s">
        <v>460</v>
      </c>
      <c r="K162" s="18" t="s">
        <v>287</v>
      </c>
      <c r="L162" s="18" t="s">
        <v>287</v>
      </c>
      <c r="M162" s="42">
        <v>724.2</v>
      </c>
      <c r="N162" s="220">
        <f t="shared" si="6"/>
        <v>0.72420000000000007</v>
      </c>
      <c r="O162" s="49" t="s">
        <v>232</v>
      </c>
      <c r="P162" s="71" t="e">
        <f t="shared" si="7"/>
        <v>#VALUE!</v>
      </c>
      <c r="Q162" s="18" t="s">
        <v>102</v>
      </c>
      <c r="R162" s="18" t="s">
        <v>574</v>
      </c>
    </row>
    <row r="163" spans="1:18" s="72" customFormat="1" ht="36" x14ac:dyDescent="0.2">
      <c r="A163" s="41" t="s">
        <v>272</v>
      </c>
      <c r="B163" s="18" t="s">
        <v>273</v>
      </c>
      <c r="C163" s="18" t="s">
        <v>274</v>
      </c>
      <c r="D163" s="18" t="s">
        <v>253</v>
      </c>
      <c r="E163" s="18" t="s">
        <v>459</v>
      </c>
      <c r="F163" s="42" t="s">
        <v>14</v>
      </c>
      <c r="G163" s="43">
        <v>4900000</v>
      </c>
      <c r="H163" s="43">
        <v>2968328</v>
      </c>
      <c r="I163" s="18" t="s">
        <v>274</v>
      </c>
      <c r="J163" s="18" t="s">
        <v>439</v>
      </c>
      <c r="K163" s="18" t="s">
        <v>287</v>
      </c>
      <c r="L163" s="18" t="s">
        <v>287</v>
      </c>
      <c r="M163" s="42">
        <v>3248.5</v>
      </c>
      <c r="N163" s="220">
        <f t="shared" si="6"/>
        <v>3.2484999999999999</v>
      </c>
      <c r="O163" s="49" t="s">
        <v>232</v>
      </c>
      <c r="P163" s="71" t="e">
        <f t="shared" si="7"/>
        <v>#VALUE!</v>
      </c>
      <c r="Q163" s="18" t="s">
        <v>102</v>
      </c>
      <c r="R163" s="18" t="s">
        <v>574</v>
      </c>
    </row>
    <row r="164" spans="1:18" s="72" customFormat="1" ht="36" x14ac:dyDescent="0.2">
      <c r="A164" s="41" t="s">
        <v>589</v>
      </c>
      <c r="B164" s="57" t="s">
        <v>590</v>
      </c>
      <c r="C164" s="18" t="s">
        <v>274</v>
      </c>
      <c r="D164" s="18" t="s">
        <v>239</v>
      </c>
      <c r="E164" s="57" t="s">
        <v>591</v>
      </c>
      <c r="F164" s="58">
        <v>40875</v>
      </c>
      <c r="G164" s="59" t="s">
        <v>287</v>
      </c>
      <c r="H164" s="59" t="s">
        <v>287</v>
      </c>
      <c r="I164" s="57" t="s">
        <v>274</v>
      </c>
      <c r="J164" s="276" t="s">
        <v>305</v>
      </c>
      <c r="K164" s="57" t="s">
        <v>287</v>
      </c>
      <c r="L164" s="57" t="s">
        <v>287</v>
      </c>
      <c r="M164" s="58">
        <f>ROUND(2610*(1-0.783),1)</f>
        <v>566.4</v>
      </c>
      <c r="N164" s="220">
        <f t="shared" si="6"/>
        <v>0.56640000000000001</v>
      </c>
      <c r="O164" s="49" t="s">
        <v>232</v>
      </c>
      <c r="P164" s="77" t="e">
        <f t="shared" si="7"/>
        <v>#VALUE!</v>
      </c>
      <c r="Q164" s="57" t="s">
        <v>19</v>
      </c>
      <c r="R164" s="25" t="s">
        <v>574</v>
      </c>
    </row>
    <row r="165" spans="1:18" s="72" customFormat="1" ht="48.75" thickBot="1" x14ac:dyDescent="0.25">
      <c r="A165" s="60" t="s">
        <v>275</v>
      </c>
      <c r="B165" s="61" t="s">
        <v>555</v>
      </c>
      <c r="C165" s="61" t="s">
        <v>276</v>
      </c>
      <c r="D165" s="61" t="s">
        <v>231</v>
      </c>
      <c r="E165" s="61" t="s">
        <v>435</v>
      </c>
      <c r="F165" s="62">
        <v>2308</v>
      </c>
      <c r="G165" s="63">
        <v>4262105</v>
      </c>
      <c r="H165" s="63" t="s">
        <v>287</v>
      </c>
      <c r="I165" s="61" t="s">
        <v>436</v>
      </c>
      <c r="J165" s="61" t="s">
        <v>295</v>
      </c>
      <c r="K165" s="61" t="s">
        <v>287</v>
      </c>
      <c r="L165" s="61" t="s">
        <v>287</v>
      </c>
      <c r="M165" s="64">
        <v>4.5</v>
      </c>
      <c r="N165" s="220">
        <f t="shared" si="6"/>
        <v>4.4999999999999997E-3</v>
      </c>
      <c r="O165" s="65">
        <v>32.9</v>
      </c>
      <c r="P165" s="77">
        <f t="shared" si="7"/>
        <v>3.2899999999999999E-2</v>
      </c>
      <c r="Q165" s="61" t="s">
        <v>9</v>
      </c>
      <c r="R165" s="61" t="s">
        <v>573</v>
      </c>
    </row>
    <row r="166" spans="1:18" ht="12.75" thickTop="1" x14ac:dyDescent="0.2">
      <c r="N166" s="76">
        <f>SUM(N2:N165)</f>
        <v>70.618246726756382</v>
      </c>
      <c r="P166" s="70"/>
    </row>
    <row r="167" spans="1:18" x14ac:dyDescent="0.2">
      <c r="D167" s="543"/>
      <c r="E167" s="544"/>
      <c r="F167" s="544"/>
      <c r="L167" s="66" t="s">
        <v>586</v>
      </c>
      <c r="M167" s="67">
        <f>SUM(M2:M165)</f>
        <v>70618.246726756392</v>
      </c>
      <c r="N167" s="67"/>
      <c r="P167" s="70"/>
    </row>
    <row r="168" spans="1:18" x14ac:dyDescent="0.2">
      <c r="L168" s="68" t="s">
        <v>587</v>
      </c>
      <c r="M168" s="69">
        <f>31241.9+1580.6</f>
        <v>32822.5</v>
      </c>
      <c r="N168" s="69"/>
      <c r="P168" s="70"/>
    </row>
    <row r="169" spans="1:18" x14ac:dyDescent="0.2">
      <c r="L169" s="66" t="s">
        <v>588</v>
      </c>
      <c r="M169" s="67">
        <f>SUM(M167:M168)</f>
        <v>103440.74672675639</v>
      </c>
      <c r="N169" s="67"/>
      <c r="P169" s="70"/>
    </row>
  </sheetData>
  <autoFilter ref="A1:R169"/>
  <sortState ref="A2:R179">
    <sortCondition ref="C1"/>
  </sortState>
  <mergeCells count="1">
    <mergeCell ref="D167:F167"/>
  </mergeCells>
  <pageMargins left="0.7" right="0.7" top="0.75" bottom="0.75" header="0.3" footer="0.3"/>
  <pageSetup orientation="portrait" horizontalDpi="0" verticalDpi="0" r:id="rId1"/>
  <legacy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G16"/>
  <sheetViews>
    <sheetView workbookViewId="0">
      <selection activeCell="F14" sqref="F14"/>
    </sheetView>
  </sheetViews>
  <sheetFormatPr defaultRowHeight="15" x14ac:dyDescent="0.25"/>
  <cols>
    <col min="1" max="1" width="14.7109375" customWidth="1"/>
    <col min="2" max="2" width="46.7109375" customWidth="1"/>
    <col min="3" max="4" width="30.7109375" customWidth="1"/>
    <col min="5" max="6" width="12.7109375" customWidth="1"/>
    <col min="7" max="7" width="13.28515625" customWidth="1"/>
  </cols>
  <sheetData>
    <row r="1" spans="1:7" s="90" customFormat="1" ht="27" thickTop="1" thickBot="1" x14ac:dyDescent="0.3">
      <c r="A1" s="88" t="s">
        <v>0</v>
      </c>
      <c r="B1" s="89" t="s">
        <v>1</v>
      </c>
      <c r="C1" s="89" t="s">
        <v>277</v>
      </c>
      <c r="D1" s="79" t="s">
        <v>284</v>
      </c>
      <c r="E1" s="79" t="s">
        <v>282</v>
      </c>
      <c r="F1" s="79" t="s">
        <v>592</v>
      </c>
      <c r="G1" s="79" t="s">
        <v>4</v>
      </c>
    </row>
    <row r="2" spans="1:7" ht="27" thickTop="1" thickBot="1" x14ac:dyDescent="0.3">
      <c r="A2" s="268" t="s">
        <v>482</v>
      </c>
      <c r="B2" s="83" t="s">
        <v>244</v>
      </c>
      <c r="C2" s="83" t="s">
        <v>485</v>
      </c>
      <c r="D2" s="83" t="s">
        <v>618</v>
      </c>
      <c r="E2" s="270" t="s">
        <v>596</v>
      </c>
      <c r="F2" s="144">
        <v>0.15</v>
      </c>
      <c r="G2" s="148">
        <f>VLOOKUP(A2,'Lake O projects'!$A$2:$P$165, 13,FALSE)</f>
        <v>151.6</v>
      </c>
    </row>
    <row r="3" spans="1:7" ht="15.75" thickBot="1" x14ac:dyDescent="0.3">
      <c r="A3" s="268" t="s">
        <v>483</v>
      </c>
      <c r="B3" s="83" t="s">
        <v>247</v>
      </c>
      <c r="C3" s="83" t="s">
        <v>485</v>
      </c>
      <c r="D3" s="83" t="s">
        <v>245</v>
      </c>
      <c r="E3" s="270" t="s">
        <v>596</v>
      </c>
      <c r="F3" s="144">
        <v>0.85</v>
      </c>
      <c r="G3" s="148">
        <f>VLOOKUP(A3,'Lake O projects'!$A$2:$P$165, 13,FALSE)</f>
        <v>845.5</v>
      </c>
    </row>
    <row r="4" spans="1:7" ht="15.75" thickBot="1" x14ac:dyDescent="0.3">
      <c r="A4" s="268" t="s">
        <v>484</v>
      </c>
      <c r="B4" s="83" t="s">
        <v>249</v>
      </c>
      <c r="C4" s="83" t="s">
        <v>485</v>
      </c>
      <c r="D4" s="83" t="s">
        <v>245</v>
      </c>
      <c r="E4" s="83" t="s">
        <v>296</v>
      </c>
      <c r="F4" s="144">
        <v>5.55</v>
      </c>
      <c r="G4" s="148">
        <f>VLOOKUP(A4,'Lake O projects'!$A$2:$P$165, 13,FALSE)</f>
        <v>5547.3</v>
      </c>
    </row>
    <row r="5" spans="1:7" ht="15.75" thickBot="1" x14ac:dyDescent="0.3">
      <c r="A5" s="268" t="s">
        <v>575</v>
      </c>
      <c r="B5" s="83" t="s">
        <v>234</v>
      </c>
      <c r="C5" s="83" t="s">
        <v>485</v>
      </c>
      <c r="D5" s="83" t="s">
        <v>245</v>
      </c>
      <c r="E5" s="83" t="s">
        <v>296</v>
      </c>
      <c r="F5" s="144">
        <v>0.55000000000000004</v>
      </c>
      <c r="G5" s="148">
        <f>VLOOKUP(A5,'Lake O projects'!$A$2:$P$165, 13,FALSE)</f>
        <v>554.6</v>
      </c>
    </row>
    <row r="6" spans="1:7" ht="15.75" thickBot="1" x14ac:dyDescent="0.3">
      <c r="A6" s="268" t="s">
        <v>576</v>
      </c>
      <c r="B6" s="83" t="s">
        <v>577</v>
      </c>
      <c r="C6" s="83" t="s">
        <v>485</v>
      </c>
      <c r="D6" s="83" t="s">
        <v>245</v>
      </c>
      <c r="E6" s="83" t="s">
        <v>296</v>
      </c>
      <c r="F6" s="144">
        <v>0.48</v>
      </c>
      <c r="G6" s="148">
        <f>VLOOKUP(A6,'Lake O projects'!$A$2:$P$165, 13,FALSE)</f>
        <v>475.6</v>
      </c>
    </row>
    <row r="7" spans="1:7" ht="15.75" thickBot="1" x14ac:dyDescent="0.3">
      <c r="A7" s="268" t="s">
        <v>229</v>
      </c>
      <c r="B7" s="83" t="s">
        <v>230</v>
      </c>
      <c r="C7" s="83" t="s">
        <v>274</v>
      </c>
      <c r="D7" s="83" t="s">
        <v>231</v>
      </c>
      <c r="E7" s="83" t="s">
        <v>296</v>
      </c>
      <c r="F7" s="219">
        <v>1.8</v>
      </c>
      <c r="G7" s="273">
        <f>VLOOKUP(A7,'Lake O projects'!$A$2:$P$165, 13,FALSE)</f>
        <v>1802.5</v>
      </c>
    </row>
    <row r="8" spans="1:7" ht="39" thickBot="1" x14ac:dyDescent="0.3">
      <c r="A8" s="268" t="s">
        <v>233</v>
      </c>
      <c r="B8" s="83" t="s">
        <v>234</v>
      </c>
      <c r="C8" s="83" t="s">
        <v>274</v>
      </c>
      <c r="D8" s="83" t="s">
        <v>231</v>
      </c>
      <c r="E8" s="270" t="s">
        <v>619</v>
      </c>
      <c r="F8" s="219">
        <v>6.19</v>
      </c>
      <c r="G8" s="221">
        <f>VLOOKUP(A8,'Lake O projects'!$A$2:$P$165, 13,FALSE)</f>
        <v>6193.6</v>
      </c>
    </row>
    <row r="9" spans="1:7" ht="15.75" thickBot="1" x14ac:dyDescent="0.3">
      <c r="A9" s="268" t="s">
        <v>235</v>
      </c>
      <c r="B9" s="83" t="s">
        <v>236</v>
      </c>
      <c r="C9" s="83" t="s">
        <v>274</v>
      </c>
      <c r="D9" s="83" t="s">
        <v>231</v>
      </c>
      <c r="E9" s="83" t="s">
        <v>442</v>
      </c>
      <c r="F9" s="219">
        <v>13.98</v>
      </c>
      <c r="G9" s="221">
        <f>VLOOKUP(A9,'Lake O projects'!$A$2:$P$165, 13,FALSE)</f>
        <v>13978.8</v>
      </c>
    </row>
    <row r="10" spans="1:7" ht="15.75" thickBot="1" x14ac:dyDescent="0.3">
      <c r="A10" s="268" t="s">
        <v>260</v>
      </c>
      <c r="B10" s="83" t="s">
        <v>261</v>
      </c>
      <c r="C10" s="83" t="s">
        <v>274</v>
      </c>
      <c r="D10" s="83" t="s">
        <v>253</v>
      </c>
      <c r="E10" s="83" t="s">
        <v>442</v>
      </c>
      <c r="F10" s="144">
        <v>0.21</v>
      </c>
      <c r="G10" s="273">
        <f>VLOOKUP(A10,'Lake O projects'!$A$2:$P$165, 13,FALSE)</f>
        <v>205.9</v>
      </c>
    </row>
    <row r="11" spans="1:7" ht="39" thickBot="1" x14ac:dyDescent="0.3">
      <c r="A11" s="95" t="s">
        <v>620</v>
      </c>
      <c r="B11" s="83" t="s">
        <v>621</v>
      </c>
      <c r="C11" s="83" t="s">
        <v>622</v>
      </c>
      <c r="D11" s="83" t="s">
        <v>623</v>
      </c>
      <c r="E11" s="83" t="s">
        <v>624</v>
      </c>
      <c r="F11" s="144">
        <v>0.1</v>
      </c>
      <c r="G11" s="148">
        <f>'Lake O projects'!M39+'Lake O projects'!M40+'Lake O projects'!M41</f>
        <v>101.4</v>
      </c>
    </row>
    <row r="12" spans="1:7" ht="26.25" thickBot="1" x14ac:dyDescent="0.3">
      <c r="A12" s="95" t="s">
        <v>625</v>
      </c>
      <c r="B12" s="83" t="s">
        <v>610</v>
      </c>
      <c r="C12" s="83" t="s">
        <v>125</v>
      </c>
      <c r="D12" s="83" t="s">
        <v>626</v>
      </c>
      <c r="E12" s="270" t="s">
        <v>287</v>
      </c>
      <c r="F12" s="144">
        <v>0</v>
      </c>
      <c r="G12" s="148">
        <f>'Lake O projects'!M74+'Lake O projects'!M75+'Lake O projects'!M76+'Lake O projects'!M77+'Lake O projects'!M78</f>
        <v>5.6000000000000005</v>
      </c>
    </row>
    <row r="13" spans="1:7" ht="39" thickBot="1" x14ac:dyDescent="0.3">
      <c r="A13" s="95" t="s">
        <v>601</v>
      </c>
      <c r="B13" s="83" t="s">
        <v>602</v>
      </c>
      <c r="C13" s="83" t="s">
        <v>485</v>
      </c>
      <c r="D13" s="83" t="s">
        <v>611</v>
      </c>
      <c r="E13" s="83" t="s">
        <v>604</v>
      </c>
      <c r="F13" s="495">
        <f>G13/1000</f>
        <v>5.8577575222402203</v>
      </c>
      <c r="G13" s="312">
        <v>5857.7575222402202</v>
      </c>
    </row>
    <row r="14" spans="1:7" ht="39" thickBot="1" x14ac:dyDescent="0.3">
      <c r="A14" s="80" t="s">
        <v>601</v>
      </c>
      <c r="B14" s="83" t="s">
        <v>605</v>
      </c>
      <c r="C14" s="83" t="s">
        <v>485</v>
      </c>
      <c r="D14" s="83" t="s">
        <v>606</v>
      </c>
      <c r="E14" s="83" t="s">
        <v>604</v>
      </c>
      <c r="F14" s="144">
        <v>0.64</v>
      </c>
      <c r="G14" s="312">
        <v>642</v>
      </c>
    </row>
    <row r="15" spans="1:7" ht="15.75" thickBot="1" x14ac:dyDescent="0.3">
      <c r="A15" s="85" t="s">
        <v>607</v>
      </c>
      <c r="B15" s="86" t="s">
        <v>14</v>
      </c>
      <c r="C15" s="86" t="s">
        <v>14</v>
      </c>
      <c r="D15" s="86" t="s">
        <v>14</v>
      </c>
      <c r="E15" s="86" t="s">
        <v>14</v>
      </c>
      <c r="F15" s="499">
        <f>SUM(F2:F14)</f>
        <v>36.35775752224022</v>
      </c>
      <c r="G15" s="151">
        <f>SUM(G2:G14)</f>
        <v>36362.157522240224</v>
      </c>
    </row>
    <row r="16" spans="1:7" ht="15.75" thickTop="1" x14ac:dyDescent="0.25"/>
  </sheetData>
  <pageMargins left="0.7" right="0.7" top="0.75" bottom="0.75" header="0.3" footer="0.3"/>
  <pageSetup scale="75" fitToHeight="0" orientation="landscape" r:id="rId1"/>
  <legacy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I16"/>
  <sheetViews>
    <sheetView topLeftCell="A7" workbookViewId="0">
      <selection activeCell="K10" sqref="K10"/>
    </sheetView>
  </sheetViews>
  <sheetFormatPr defaultRowHeight="15" x14ac:dyDescent="0.25"/>
  <cols>
    <col min="1" max="1" width="14.7109375" customWidth="1"/>
    <col min="2" max="2" width="46.7109375" customWidth="1"/>
    <col min="3" max="4" width="30.7109375" customWidth="1"/>
    <col min="5" max="6" width="12.7109375" customWidth="1"/>
    <col min="7" max="7" width="13.28515625" customWidth="1"/>
  </cols>
  <sheetData>
    <row r="1" spans="1:9" s="90" customFormat="1" ht="27" thickTop="1" thickBot="1" x14ac:dyDescent="0.3">
      <c r="A1" s="88" t="s">
        <v>0</v>
      </c>
      <c r="B1" s="89" t="s">
        <v>1</v>
      </c>
      <c r="C1" s="89" t="s">
        <v>277</v>
      </c>
      <c r="D1" s="79" t="s">
        <v>284</v>
      </c>
      <c r="E1" s="79" t="s">
        <v>282</v>
      </c>
      <c r="F1" s="79" t="s">
        <v>592</v>
      </c>
      <c r="G1" s="79" t="s">
        <v>4</v>
      </c>
    </row>
    <row r="2" spans="1:9" ht="27" thickTop="1" thickBot="1" x14ac:dyDescent="0.3">
      <c r="A2" s="95" t="s">
        <v>241</v>
      </c>
      <c r="B2" s="83" t="s">
        <v>487</v>
      </c>
      <c r="C2" s="83" t="s">
        <v>274</v>
      </c>
      <c r="D2" s="83" t="s">
        <v>239</v>
      </c>
      <c r="E2" s="83" t="s">
        <v>493</v>
      </c>
      <c r="F2" s="495">
        <f t="shared" ref="F2:F7" si="0">G2/1000</f>
        <v>6.5099999999999991E-2</v>
      </c>
      <c r="G2" s="148">
        <f>VLOOKUP(A2,'Lake O projects'!$A$2:$P$165, 13,FALSE)</f>
        <v>65.099999999999994</v>
      </c>
    </row>
    <row r="3" spans="1:9" ht="15.75" thickBot="1" x14ac:dyDescent="0.3">
      <c r="A3" s="95" t="s">
        <v>243</v>
      </c>
      <c r="B3" s="83" t="s">
        <v>488</v>
      </c>
      <c r="C3" s="83" t="s">
        <v>274</v>
      </c>
      <c r="D3" s="83" t="s">
        <v>239</v>
      </c>
      <c r="E3" s="83" t="s">
        <v>305</v>
      </c>
      <c r="F3" s="495">
        <f t="shared" si="0"/>
        <v>5.1999999999999998E-3</v>
      </c>
      <c r="G3" s="148">
        <f>VLOOKUP(A3,'Lake O projects'!$A$2:$P$165, 13,FALSE)</f>
        <v>5.2</v>
      </c>
    </row>
    <row r="4" spans="1:9" ht="15.75" thickBot="1" x14ac:dyDescent="0.3">
      <c r="A4" s="95" t="s">
        <v>246</v>
      </c>
      <c r="B4" s="83" t="s">
        <v>489</v>
      </c>
      <c r="C4" s="83" t="s">
        <v>274</v>
      </c>
      <c r="D4" s="83" t="s">
        <v>239</v>
      </c>
      <c r="E4" s="83" t="s">
        <v>305</v>
      </c>
      <c r="F4" s="495">
        <f t="shared" si="0"/>
        <v>6.08E-2</v>
      </c>
      <c r="G4" s="148">
        <f>VLOOKUP(A4,'Lake O projects'!$A$2:$P$165, 13,FALSE)</f>
        <v>60.8</v>
      </c>
    </row>
    <row r="5" spans="1:9" ht="15.75" thickBot="1" x14ac:dyDescent="0.3">
      <c r="A5" s="95" t="s">
        <v>248</v>
      </c>
      <c r="B5" s="83" t="s">
        <v>490</v>
      </c>
      <c r="C5" s="83" t="s">
        <v>274</v>
      </c>
      <c r="D5" s="83" t="s">
        <v>239</v>
      </c>
      <c r="E5" s="83" t="s">
        <v>305</v>
      </c>
      <c r="F5" s="495">
        <f t="shared" si="0"/>
        <v>0.1953</v>
      </c>
      <c r="G5" s="148">
        <f>VLOOKUP(A5,'Lake O projects'!$A$2:$P$165, 13,FALSE)</f>
        <v>195.3</v>
      </c>
    </row>
    <row r="6" spans="1:9" ht="15.75" thickBot="1" x14ac:dyDescent="0.3">
      <c r="A6" s="95" t="s">
        <v>262</v>
      </c>
      <c r="B6" s="83" t="s">
        <v>263</v>
      </c>
      <c r="C6" s="83" t="s">
        <v>274</v>
      </c>
      <c r="D6" s="83" t="s">
        <v>239</v>
      </c>
      <c r="E6" s="270" t="s">
        <v>305</v>
      </c>
      <c r="F6" s="495">
        <f t="shared" si="0"/>
        <v>2.8000000000000001E-2</v>
      </c>
      <c r="G6" s="148">
        <f>VLOOKUP(A6,'Lake O projects'!$A$2:$P$165, 13,FALSE)</f>
        <v>28</v>
      </c>
    </row>
    <row r="7" spans="1:9" ht="15.75" thickBot="1" x14ac:dyDescent="0.3">
      <c r="A7" s="95" t="s">
        <v>589</v>
      </c>
      <c r="B7" s="83" t="s">
        <v>627</v>
      </c>
      <c r="C7" s="83" t="s">
        <v>274</v>
      </c>
      <c r="D7" s="83" t="s">
        <v>239</v>
      </c>
      <c r="E7" s="270" t="s">
        <v>305</v>
      </c>
      <c r="F7" s="495">
        <f t="shared" si="0"/>
        <v>0.56640000000000001</v>
      </c>
      <c r="G7" s="148">
        <f>VLOOKUP(A7,'Lake O projects'!$A$2:$P$165, 13,FALSE)</f>
        <v>566.4</v>
      </c>
    </row>
    <row r="8" spans="1:9" ht="39" thickBot="1" x14ac:dyDescent="0.3">
      <c r="A8" s="95" t="s">
        <v>628</v>
      </c>
      <c r="B8" s="83" t="s">
        <v>610</v>
      </c>
      <c r="C8" s="83" t="s">
        <v>629</v>
      </c>
      <c r="D8" s="270" t="s">
        <v>1213</v>
      </c>
      <c r="E8" s="83" t="s">
        <v>604</v>
      </c>
      <c r="F8" s="144">
        <v>0.11</v>
      </c>
      <c r="G8" s="148">
        <f>'Lake O projects'!M5+'Lake O projects'!M8+'Lake O projects'!M9+'Lake O projects'!M10+'Lake O projects'!M11+'Lake O projects'!M12+'Lake O projects'!M13</f>
        <v>109.80000000000001</v>
      </c>
    </row>
    <row r="9" spans="1:9" ht="51.75" thickBot="1" x14ac:dyDescent="0.3">
      <c r="A9" s="95" t="s">
        <v>630</v>
      </c>
      <c r="B9" s="83" t="s">
        <v>610</v>
      </c>
      <c r="C9" s="83" t="s">
        <v>631</v>
      </c>
      <c r="D9" s="270" t="s">
        <v>1215</v>
      </c>
      <c r="E9" s="270" t="s">
        <v>1214</v>
      </c>
      <c r="F9" s="219">
        <v>0.35</v>
      </c>
      <c r="G9" s="148">
        <f>'Lake O projects'!M14+'Lake O projects'!M15+'Lake O projects'!M16+'Lake O projects'!M17+'Lake O projects'!M18+'Lake O projects'!M19+'Lake O projects'!M20+'Lake O projects'!M21+'Lake O projects'!M22+'Lake O projects'!M23+'Lake O projects'!M24+'Lake O projects'!M25+'Lake O projects'!M26+'Lake O projects'!M27+'Lake O projects'!M28+'Lake O projects'!M29+'Lake O projects'!M30</f>
        <v>353</v>
      </c>
    </row>
    <row r="10" spans="1:9" ht="51.75" thickBot="1" x14ac:dyDescent="0.3">
      <c r="A10" s="268" t="s">
        <v>1228</v>
      </c>
      <c r="B10" s="83" t="s">
        <v>621</v>
      </c>
      <c r="C10" s="83" t="s">
        <v>99</v>
      </c>
      <c r="D10" s="270" t="s">
        <v>1227</v>
      </c>
      <c r="E10" s="270" t="s">
        <v>1214</v>
      </c>
      <c r="F10" s="288">
        <f>ROUND(SUM('Lake O projects'!N42:N66),2)</f>
        <v>0.06</v>
      </c>
      <c r="G10" s="273">
        <f>SUM('Lake O projects'!M42:M66)</f>
        <v>62.3</v>
      </c>
      <c r="H10" s="513"/>
      <c r="I10" s="505"/>
    </row>
    <row r="11" spans="1:9" ht="77.25" thickBot="1" x14ac:dyDescent="0.3">
      <c r="A11" s="95" t="s">
        <v>632</v>
      </c>
      <c r="B11" s="83" t="s">
        <v>621</v>
      </c>
      <c r="C11" s="83" t="s">
        <v>633</v>
      </c>
      <c r="D11" s="270" t="s">
        <v>1219</v>
      </c>
      <c r="E11" s="270" t="s">
        <v>1218</v>
      </c>
      <c r="F11" s="219">
        <v>1.78</v>
      </c>
      <c r="G11" s="148">
        <f>SUM('Lake O projects'!M79:'Lake O projects'!M116,'Lake O projects'!M118:'Lake O projects'!M138,'Lake O projects'!M141)</f>
        <v>1781.8627267564243</v>
      </c>
    </row>
    <row r="12" spans="1:9" ht="15.75" thickBot="1" x14ac:dyDescent="0.3">
      <c r="A12" s="95" t="s">
        <v>226</v>
      </c>
      <c r="B12" s="83" t="s">
        <v>634</v>
      </c>
      <c r="C12" s="83" t="s">
        <v>635</v>
      </c>
      <c r="D12" s="83" t="s">
        <v>253</v>
      </c>
      <c r="E12" s="270" t="s">
        <v>596</v>
      </c>
      <c r="F12" s="495">
        <f>G12/1000</f>
        <v>7.4999999999999997E-3</v>
      </c>
      <c r="G12" s="222">
        <f>VLOOKUP(A12,'Lake O projects'!$A$2:$P$165, 13,FALSE)</f>
        <v>7.5</v>
      </c>
    </row>
    <row r="13" spans="1:9" ht="39" thickBot="1" x14ac:dyDescent="0.3">
      <c r="A13" s="95" t="s">
        <v>601</v>
      </c>
      <c r="B13" s="83" t="s">
        <v>602</v>
      </c>
      <c r="C13" s="83" t="s">
        <v>485</v>
      </c>
      <c r="D13" s="83" t="s">
        <v>611</v>
      </c>
      <c r="E13" s="83" t="s">
        <v>604</v>
      </c>
      <c r="F13" s="496">
        <f>G13/1000</f>
        <v>3.4521505038275477</v>
      </c>
      <c r="G13" s="327">
        <v>3452.1505038275477</v>
      </c>
    </row>
    <row r="14" spans="1:9" ht="39" thickBot="1" x14ac:dyDescent="0.3">
      <c r="A14" s="80" t="s">
        <v>601</v>
      </c>
      <c r="B14" s="83" t="s">
        <v>605</v>
      </c>
      <c r="C14" s="83" t="s">
        <v>485</v>
      </c>
      <c r="D14" s="83" t="s">
        <v>606</v>
      </c>
      <c r="E14" s="83" t="s">
        <v>604</v>
      </c>
      <c r="F14" s="496">
        <f>G14/1000</f>
        <v>2.5000000000000001E-2</v>
      </c>
      <c r="G14" s="327">
        <v>25</v>
      </c>
    </row>
    <row r="15" spans="1:9" ht="15.75" thickBot="1" x14ac:dyDescent="0.3">
      <c r="A15" s="85" t="s">
        <v>607</v>
      </c>
      <c r="B15" s="86" t="s">
        <v>14</v>
      </c>
      <c r="C15" s="86" t="s">
        <v>14</v>
      </c>
      <c r="D15" s="86" t="s">
        <v>14</v>
      </c>
      <c r="E15" s="86" t="s">
        <v>14</v>
      </c>
      <c r="F15" s="499">
        <f>SUM(F2:F14)</f>
        <v>6.7054505038275485</v>
      </c>
      <c r="G15" s="151">
        <f>SUM(G2:G14)</f>
        <v>6712.4132305839721</v>
      </c>
    </row>
    <row r="16" spans="1:9" ht="15.75" thickTop="1" x14ac:dyDescent="0.25"/>
  </sheetData>
  <pageMargins left="0.7" right="0.7" top="0.75" bottom="0.75" header="0.3" footer="0.3"/>
  <pageSetup scale="71" fitToHeight="0" orientation="landscape" r:id="rId1"/>
  <ignoredErrors>
    <ignoredError sqref="G10" formulaRange="1"/>
  </ignoredErrors>
  <legacy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16"/>
  <sheetViews>
    <sheetView zoomScale="80" zoomScaleNormal="80" workbookViewId="0">
      <selection activeCell="F17" sqref="F17"/>
    </sheetView>
  </sheetViews>
  <sheetFormatPr defaultRowHeight="15" x14ac:dyDescent="0.25"/>
  <cols>
    <col min="1" max="2" width="18.140625" customWidth="1"/>
    <col min="3" max="3" width="27.85546875" customWidth="1"/>
    <col min="4" max="5" width="18.140625" customWidth="1"/>
    <col min="6" max="6" width="22.28515625" customWidth="1"/>
    <col min="7" max="7" width="3.7109375" customWidth="1"/>
    <col min="8" max="8" width="94.85546875" customWidth="1"/>
  </cols>
  <sheetData>
    <row r="1" spans="1:8" ht="27" thickTop="1" thickBot="1" x14ac:dyDescent="0.3">
      <c r="A1" s="78" t="s">
        <v>1</v>
      </c>
      <c r="B1" s="79" t="s">
        <v>3</v>
      </c>
      <c r="C1" s="79" t="s">
        <v>282</v>
      </c>
      <c r="D1" s="79" t="s">
        <v>636</v>
      </c>
      <c r="E1" s="79" t="s">
        <v>794</v>
      </c>
      <c r="F1" s="79" t="s">
        <v>637</v>
      </c>
      <c r="H1" s="227" t="s">
        <v>882</v>
      </c>
    </row>
    <row r="2" spans="1:8" ht="61.5" thickTop="1" thickBot="1" x14ac:dyDescent="0.3">
      <c r="A2" s="97" t="s">
        <v>638</v>
      </c>
      <c r="B2" s="98" t="s">
        <v>104</v>
      </c>
      <c r="C2" s="99" t="s">
        <v>639</v>
      </c>
      <c r="D2" s="165">
        <v>2</v>
      </c>
      <c r="E2" s="223">
        <f>D2*1000</f>
        <v>2000</v>
      </c>
      <c r="F2" s="83" t="s">
        <v>640</v>
      </c>
      <c r="H2" s="93" t="s">
        <v>883</v>
      </c>
    </row>
    <row r="3" spans="1:8" ht="64.5" thickBot="1" x14ac:dyDescent="0.3">
      <c r="A3" s="156" t="s">
        <v>641</v>
      </c>
      <c r="B3" s="157" t="s">
        <v>642</v>
      </c>
      <c r="C3" s="157" t="s">
        <v>643</v>
      </c>
      <c r="D3" s="166">
        <v>7.6</v>
      </c>
      <c r="E3" s="224">
        <f t="shared" ref="E3:E10" si="0">D3*1000</f>
        <v>7600</v>
      </c>
      <c r="F3" s="158" t="s">
        <v>644</v>
      </c>
      <c r="H3" s="93" t="s">
        <v>883</v>
      </c>
    </row>
    <row r="4" spans="1:8" ht="64.5" thickBot="1" x14ac:dyDescent="0.3">
      <c r="A4" s="160" t="s">
        <v>645</v>
      </c>
      <c r="B4" s="157" t="s">
        <v>795</v>
      </c>
      <c r="C4" s="160" t="s">
        <v>646</v>
      </c>
      <c r="D4" s="289">
        <v>0.94482999999999995</v>
      </c>
      <c r="E4" s="226">
        <v>944.82999999999993</v>
      </c>
      <c r="F4" s="159" t="s">
        <v>647</v>
      </c>
      <c r="H4" t="s">
        <v>878</v>
      </c>
    </row>
    <row r="5" spans="1:8" ht="90" thickBot="1" x14ac:dyDescent="0.3">
      <c r="A5" s="160" t="s">
        <v>648</v>
      </c>
      <c r="B5" s="160" t="s">
        <v>104</v>
      </c>
      <c r="C5" s="160" t="s">
        <v>649</v>
      </c>
      <c r="D5" s="167">
        <v>7.7</v>
      </c>
      <c r="E5" s="224">
        <f t="shared" si="0"/>
        <v>7700</v>
      </c>
      <c r="F5" s="158" t="s">
        <v>796</v>
      </c>
      <c r="H5" s="93" t="s">
        <v>884</v>
      </c>
    </row>
    <row r="6" spans="1:8" ht="51.75" thickBot="1" x14ac:dyDescent="0.3">
      <c r="A6" s="97" t="s">
        <v>650</v>
      </c>
      <c r="B6" s="99" t="s">
        <v>19</v>
      </c>
      <c r="C6" s="99" t="s">
        <v>651</v>
      </c>
      <c r="D6" s="168">
        <v>8.9999999999999993E-3</v>
      </c>
      <c r="E6" s="225">
        <v>8.8970000000000002</v>
      </c>
      <c r="F6" s="83" t="s">
        <v>652</v>
      </c>
      <c r="H6" t="s">
        <v>877</v>
      </c>
    </row>
    <row r="7" spans="1:8" ht="115.5" thickBot="1" x14ac:dyDescent="0.3">
      <c r="A7" s="161" t="s">
        <v>653</v>
      </c>
      <c r="B7" s="160" t="s">
        <v>654</v>
      </c>
      <c r="C7" s="161" t="s">
        <v>655</v>
      </c>
      <c r="D7" s="167" t="s">
        <v>656</v>
      </c>
      <c r="E7" s="171" t="s">
        <v>656</v>
      </c>
      <c r="F7" s="162" t="s">
        <v>1247</v>
      </c>
      <c r="H7" s="228"/>
    </row>
    <row r="8" spans="1:8" ht="115.5" thickBot="1" x14ac:dyDescent="0.3">
      <c r="A8" s="163" t="s">
        <v>797</v>
      </c>
      <c r="B8" s="160" t="s">
        <v>102</v>
      </c>
      <c r="C8" s="161" t="s">
        <v>657</v>
      </c>
      <c r="D8" s="169" t="s">
        <v>658</v>
      </c>
      <c r="E8" s="294" t="s">
        <v>1232</v>
      </c>
      <c r="F8" s="162" t="s">
        <v>798</v>
      </c>
      <c r="H8" s="296" t="s">
        <v>1233</v>
      </c>
    </row>
    <row r="9" spans="1:8" ht="64.5" thickBot="1" x14ac:dyDescent="0.3">
      <c r="A9" s="161" t="s">
        <v>659</v>
      </c>
      <c r="B9" s="160" t="s">
        <v>654</v>
      </c>
      <c r="C9" s="160" t="s">
        <v>660</v>
      </c>
      <c r="D9" s="167" t="s">
        <v>880</v>
      </c>
      <c r="E9" s="295" t="s">
        <v>881</v>
      </c>
      <c r="F9" s="164" t="s">
        <v>799</v>
      </c>
      <c r="H9" t="s">
        <v>879</v>
      </c>
    </row>
    <row r="10" spans="1:8" ht="90" thickBot="1" x14ac:dyDescent="0.3">
      <c r="A10" s="145" t="s">
        <v>661</v>
      </c>
      <c r="B10" s="145" t="s">
        <v>662</v>
      </c>
      <c r="C10" s="145" t="s">
        <v>663</v>
      </c>
      <c r="D10" s="170">
        <v>26.56</v>
      </c>
      <c r="E10" s="229">
        <f t="shared" si="0"/>
        <v>26560</v>
      </c>
      <c r="F10" s="99" t="s">
        <v>1422</v>
      </c>
      <c r="H10" s="228"/>
    </row>
    <row r="11" spans="1:8" ht="15.75" thickBot="1" x14ac:dyDescent="0.3">
      <c r="A11" s="85" t="s">
        <v>607</v>
      </c>
      <c r="B11" s="86" t="s">
        <v>14</v>
      </c>
      <c r="C11" s="86" t="s">
        <v>14</v>
      </c>
      <c r="D11" s="152" t="s">
        <v>886</v>
      </c>
      <c r="E11" s="153" t="s">
        <v>1249</v>
      </c>
      <c r="F11" s="101" t="s">
        <v>14</v>
      </c>
    </row>
    <row r="12" spans="1:8" ht="15.75" thickTop="1" x14ac:dyDescent="0.25"/>
    <row r="13" spans="1:8" x14ac:dyDescent="0.25">
      <c r="C13" s="230"/>
      <c r="D13" s="231">
        <f>SUM(D2,D3,D4,D5,D6,D10)</f>
        <v>44.813829999999996</v>
      </c>
      <c r="E13" s="232">
        <f>SUM(E2,E3,E4,E5,E6,E10)</f>
        <v>44813.726999999999</v>
      </c>
      <c r="H13" s="234" t="s">
        <v>887</v>
      </c>
    </row>
    <row r="14" spans="1:8" x14ac:dyDescent="0.25">
      <c r="C14" s="230"/>
      <c r="D14" s="231">
        <f>D13+0.121+0.88</f>
        <v>45.814830000000001</v>
      </c>
      <c r="E14" s="232">
        <f>E13+121+883</f>
        <v>45817.726999999999</v>
      </c>
    </row>
    <row r="15" spans="1:8" x14ac:dyDescent="0.25">
      <c r="C15" s="230"/>
      <c r="D15" s="231">
        <f>D13+2.65+0.663</f>
        <v>48.126829999999991</v>
      </c>
      <c r="E15" s="232">
        <f>E13+2648+663</f>
        <v>48124.726999999999</v>
      </c>
    </row>
    <row r="16" spans="1:8" x14ac:dyDescent="0.25">
      <c r="C16" s="233" t="s">
        <v>885</v>
      </c>
      <c r="D16" s="233" t="str">
        <f>D14&amp;"-"&amp;D15</f>
        <v>45.81483-48.12683</v>
      </c>
      <c r="E16" s="233" t="str">
        <f>E14&amp;"-"&amp;E15</f>
        <v>45817.727-48124.727</v>
      </c>
    </row>
  </sheetData>
  <pageMargins left="0.7" right="0.7" top="0.75" bottom="0.75" header="0.3" footer="0.3"/>
  <pageSetup scale="55" fitToHeight="0"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21"/>
  <sheetViews>
    <sheetView tabSelected="1" zoomScale="130" zoomScaleNormal="130" workbookViewId="0">
      <selection activeCell="C14" sqref="C14"/>
    </sheetView>
  </sheetViews>
  <sheetFormatPr defaultRowHeight="15" x14ac:dyDescent="0.25"/>
  <cols>
    <col min="1" max="1" width="56.42578125" customWidth="1"/>
    <col min="2" max="2" width="27.5703125" customWidth="1"/>
    <col min="3" max="3" width="12.85546875" style="313" customWidth="1"/>
    <col min="4" max="4" width="11.85546875" style="313" customWidth="1"/>
    <col min="5" max="5" width="11.28515625" style="313" bestFit="1" customWidth="1"/>
    <col min="6" max="6" width="5.5703125" style="313" customWidth="1"/>
    <col min="7" max="7" width="26.42578125" customWidth="1"/>
    <col min="8" max="8" width="3.7109375" customWidth="1"/>
    <col min="9" max="9" width="9.140625" style="530" customWidth="1"/>
    <col min="10" max="10" width="9.5703125" style="530" customWidth="1"/>
  </cols>
  <sheetData>
    <row r="1" spans="1:10" ht="16.5" thickTop="1" thickBot="1" x14ac:dyDescent="0.3">
      <c r="A1" s="314" t="s">
        <v>664</v>
      </c>
      <c r="B1" s="314" t="s">
        <v>665</v>
      </c>
      <c r="C1" s="545" t="s">
        <v>1243</v>
      </c>
      <c r="D1" s="546"/>
      <c r="E1" s="546"/>
      <c r="F1" s="547"/>
      <c r="G1" s="314" t="s">
        <v>792</v>
      </c>
    </row>
    <row r="2" spans="1:10" ht="16.5" thickTop="1" thickBot="1" x14ac:dyDescent="0.3">
      <c r="A2" s="330" t="s">
        <v>1240</v>
      </c>
      <c r="B2" s="330">
        <v>448.3</v>
      </c>
      <c r="C2" s="336">
        <v>448.3</v>
      </c>
      <c r="D2" s="336"/>
      <c r="E2" s="336">
        <v>448.3</v>
      </c>
      <c r="F2" s="336"/>
      <c r="G2" s="333">
        <f>B2*1000</f>
        <v>448300</v>
      </c>
    </row>
    <row r="3" spans="1:10" ht="16.5" thickTop="1" thickBot="1" x14ac:dyDescent="0.3">
      <c r="A3" s="330" t="s">
        <v>1241</v>
      </c>
      <c r="B3" s="330">
        <v>343.3</v>
      </c>
      <c r="C3" s="336">
        <v>343.3</v>
      </c>
      <c r="D3" s="336"/>
      <c r="E3" s="336">
        <v>343.3</v>
      </c>
      <c r="F3" s="336"/>
      <c r="G3" s="333">
        <f>B3*1000</f>
        <v>343300</v>
      </c>
    </row>
    <row r="4" spans="1:10" ht="16.5" thickTop="1" thickBot="1" x14ac:dyDescent="0.3">
      <c r="A4" s="330" t="s">
        <v>867</v>
      </c>
      <c r="B4" s="511">
        <v>100</v>
      </c>
      <c r="C4" s="512">
        <f>SUM('ES-1'!F9,'ES-2'!F8,'ES-3'!F7,'ES-4'!F11,'ES-5'!F15,'ES-6'!F15)</f>
        <v>99.971417292078812</v>
      </c>
      <c r="D4" s="336"/>
      <c r="E4" s="512">
        <f>C4</f>
        <v>99.971417292078812</v>
      </c>
      <c r="F4" s="336"/>
      <c r="G4" s="334">
        <f>SUM('ES-1'!G9,'ES-2'!G8,'ES-3'!G7,'ES-4'!G11,'ES-5'!G15,'ES-6'!G15)</f>
        <v>99987.364018835244</v>
      </c>
      <c r="I4" s="530">
        <f>SUM('ES-1'!F9,'ES-2'!F8,'ES-3'!F7,'ES-4'!F11,'ES-5'!F15,'ES-6'!F15)</f>
        <v>99.971417292078812</v>
      </c>
      <c r="J4" s="531">
        <f>SUM('ES-1'!G9,'ES-2'!G8,'ES-3'!G7,'ES-4'!G11,'ES-5'!G15,'ES-6'!G15)</f>
        <v>99987.364018835244</v>
      </c>
    </row>
    <row r="5" spans="1:10" ht="16.5" thickTop="1" thickBot="1" x14ac:dyDescent="0.3">
      <c r="A5" s="330" t="s">
        <v>668</v>
      </c>
      <c r="B5" s="331" t="str">
        <f>'ES-7'!D11</f>
        <v>45.81-48.13</v>
      </c>
      <c r="C5" s="336">
        <v>45.81</v>
      </c>
      <c r="D5" s="336"/>
      <c r="E5" s="336">
        <v>48.13</v>
      </c>
      <c r="F5" s="336"/>
      <c r="G5" s="335" t="str">
        <f>'ES-7'!E11</f>
        <v>45,818-48,125</v>
      </c>
    </row>
    <row r="6" spans="1:10" ht="16.5" thickTop="1" thickBot="1" x14ac:dyDescent="0.3">
      <c r="A6" s="330" t="s">
        <v>670</v>
      </c>
      <c r="B6" s="332" t="s">
        <v>1414</v>
      </c>
      <c r="C6" s="336">
        <f>C4+C5</f>
        <v>145.7814172920788</v>
      </c>
      <c r="D6" s="337">
        <f>C6/C3</f>
        <v>0.42464729767573201</v>
      </c>
      <c r="E6" s="336">
        <f>E4+E5</f>
        <v>148.10141729207882</v>
      </c>
      <c r="F6" s="337">
        <f>E6/E3</f>
        <v>0.43140523533958292</v>
      </c>
      <c r="G6" s="332" t="s">
        <v>1416</v>
      </c>
      <c r="I6" s="531">
        <f>G4+45818</f>
        <v>145805.36401883524</v>
      </c>
      <c r="J6" s="531">
        <f>G4+48125</f>
        <v>148112.36401883524</v>
      </c>
    </row>
    <row r="7" spans="1:10" ht="16.5" thickTop="1" thickBot="1" x14ac:dyDescent="0.3">
      <c r="A7" s="330" t="s">
        <v>672</v>
      </c>
      <c r="B7" s="332" t="s">
        <v>1415</v>
      </c>
      <c r="C7" s="336">
        <f>C3-C6</f>
        <v>197.51858270792121</v>
      </c>
      <c r="D7" s="336"/>
      <c r="E7" s="336">
        <f>E3-E6</f>
        <v>195.19858270792119</v>
      </c>
      <c r="F7" s="336"/>
      <c r="G7" s="332" t="s">
        <v>1417</v>
      </c>
      <c r="I7" s="531">
        <f>G3-I6</f>
        <v>197494.63598116476</v>
      </c>
      <c r="J7" s="531">
        <f>G3-J6</f>
        <v>195187.63598116476</v>
      </c>
    </row>
    <row r="8" spans="1:10" ht="30.75" customHeight="1" thickTop="1" x14ac:dyDescent="0.25">
      <c r="D8" s="515" t="s">
        <v>1429</v>
      </c>
      <c r="E8" s="519" t="s">
        <v>1430</v>
      </c>
    </row>
    <row r="9" spans="1:10" x14ac:dyDescent="0.25">
      <c r="B9" s="523" t="s">
        <v>1431</v>
      </c>
      <c r="C9" s="528">
        <f>AVERAGE(C6,E6)</f>
        <v>146.94141729207882</v>
      </c>
      <c r="D9" s="516">
        <f>C2</f>
        <v>448.3</v>
      </c>
      <c r="E9" s="520">
        <f>C3</f>
        <v>343.3</v>
      </c>
    </row>
    <row r="10" spans="1:10" ht="25.5" x14ac:dyDescent="0.25">
      <c r="A10" s="329" t="s">
        <v>1418</v>
      </c>
      <c r="B10" s="524" t="s">
        <v>1432</v>
      </c>
      <c r="C10" s="529">
        <f>C9*B11</f>
        <v>323950.37264881778</v>
      </c>
      <c r="D10" s="525">
        <f>D9*B11</f>
        <v>988332.32137535501</v>
      </c>
      <c r="E10" s="526">
        <f>E9*B11</f>
        <v>756846.94608110504</v>
      </c>
    </row>
    <row r="11" spans="1:10" x14ac:dyDescent="0.25">
      <c r="A11" s="264" t="s">
        <v>1428</v>
      </c>
      <c r="B11" s="527">
        <v>2204.6226218500001</v>
      </c>
      <c r="D11" s="517">
        <f>C10/D10</f>
        <v>0.32777474301155218</v>
      </c>
      <c r="E11" s="521">
        <f>C10/E10</f>
        <v>0.42802626650765752</v>
      </c>
    </row>
    <row r="12" spans="1:10" ht="75" x14ac:dyDescent="0.25">
      <c r="D12" s="518" t="s">
        <v>1426</v>
      </c>
      <c r="E12" s="522" t="s">
        <v>1427</v>
      </c>
    </row>
    <row r="13" spans="1:10" ht="15.75" thickBot="1" x14ac:dyDescent="0.3"/>
    <row r="14" spans="1:10" ht="16.5" thickTop="1" thickBot="1" x14ac:dyDescent="0.3">
      <c r="A14" s="387" t="s">
        <v>664</v>
      </c>
      <c r="B14" s="387" t="s">
        <v>1436</v>
      </c>
    </row>
    <row r="15" spans="1:10" ht="16.5" thickTop="1" thickBot="1" x14ac:dyDescent="0.3">
      <c r="A15" s="330" t="s">
        <v>1240</v>
      </c>
      <c r="B15" s="334">
        <f>D10</f>
        <v>988332.32137535501</v>
      </c>
    </row>
    <row r="16" spans="1:10" ht="16.5" thickTop="1" thickBot="1" x14ac:dyDescent="0.3">
      <c r="A16" s="330" t="s">
        <v>1241</v>
      </c>
      <c r="B16" s="334">
        <f>E10</f>
        <v>756846.94608110504</v>
      </c>
    </row>
    <row r="17" spans="1:5" ht="16.5" thickTop="1" thickBot="1" x14ac:dyDescent="0.3">
      <c r="A17" s="330" t="s">
        <v>867</v>
      </c>
      <c r="B17" s="334">
        <f>B11*C4</f>
        <v>220399.24810052323</v>
      </c>
    </row>
    <row r="18" spans="1:5" ht="16.5" thickTop="1" thickBot="1" x14ac:dyDescent="0.3">
      <c r="A18" s="330" t="s">
        <v>668</v>
      </c>
      <c r="B18" s="579" t="s">
        <v>1437</v>
      </c>
      <c r="C18" s="135">
        <f>C5*B11</f>
        <v>100993.76230694851</v>
      </c>
      <c r="D18" s="135"/>
      <c r="E18" s="135">
        <f>E5*B11</f>
        <v>106108.4867896405</v>
      </c>
    </row>
    <row r="19" spans="1:5" ht="16.5" thickTop="1" thickBot="1" x14ac:dyDescent="0.3">
      <c r="A19" s="330" t="s">
        <v>670</v>
      </c>
      <c r="B19" s="332" t="s">
        <v>1438</v>
      </c>
      <c r="C19" s="135">
        <f>C6*B11</f>
        <v>321393.01040747168</v>
      </c>
      <c r="E19" s="135">
        <f>E6*B11</f>
        <v>326507.73489016376</v>
      </c>
    </row>
    <row r="20" spans="1:5" ht="16.5" thickTop="1" thickBot="1" x14ac:dyDescent="0.3">
      <c r="A20" s="330" t="s">
        <v>672</v>
      </c>
      <c r="B20" s="332" t="s">
        <v>1439</v>
      </c>
      <c r="C20" s="135">
        <f>C7*B11</f>
        <v>435453.93567363336</v>
      </c>
      <c r="E20" s="135">
        <f>E7*B11</f>
        <v>430339.21119094128</v>
      </c>
    </row>
    <row r="21" spans="1:5" ht="15.75" thickTop="1" x14ac:dyDescent="0.25"/>
  </sheetData>
  <mergeCells count="1">
    <mergeCell ref="C1:F1"/>
  </mergeCells>
  <pageMargins left="0.7" right="0.7" top="0.75" bottom="0.75" header="0.3" footer="0.3"/>
  <pageSetup fitToHeight="0" orientation="landscape" r:id="rId1"/>
  <ignoredErrors>
    <ignoredError sqref="D6" formula="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30"/>
  <sheetViews>
    <sheetView workbookViewId="0">
      <selection activeCell="F5" sqref="F5:F10"/>
    </sheetView>
  </sheetViews>
  <sheetFormatPr defaultRowHeight="15" x14ac:dyDescent="0.25"/>
  <cols>
    <col min="1" max="2" width="18.42578125" customWidth="1"/>
    <col min="3" max="3" width="36.5703125" customWidth="1"/>
    <col min="4" max="4" width="13.7109375" customWidth="1"/>
    <col min="5" max="5" width="13.42578125" customWidth="1"/>
  </cols>
  <sheetData>
    <row r="1" spans="1:6" ht="27" thickTop="1" thickBot="1" x14ac:dyDescent="0.3">
      <c r="A1" s="78" t="s">
        <v>673</v>
      </c>
      <c r="B1" s="79" t="s">
        <v>674</v>
      </c>
      <c r="C1" s="79" t="s">
        <v>637</v>
      </c>
      <c r="D1" s="79" t="s">
        <v>471</v>
      </c>
      <c r="E1" s="79" t="s">
        <v>283</v>
      </c>
      <c r="F1" s="106"/>
    </row>
    <row r="2" spans="1:6" ht="77.25" thickTop="1" x14ac:dyDescent="0.25">
      <c r="A2" s="559" t="s">
        <v>675</v>
      </c>
      <c r="B2" s="559" t="s">
        <v>676</v>
      </c>
      <c r="C2" s="107" t="s">
        <v>677</v>
      </c>
      <c r="D2" s="560" t="s">
        <v>680</v>
      </c>
      <c r="E2" s="560" t="s">
        <v>681</v>
      </c>
      <c r="F2" s="554"/>
    </row>
    <row r="3" spans="1:6" ht="63.75" x14ac:dyDescent="0.25">
      <c r="A3" s="549"/>
      <c r="B3" s="549"/>
      <c r="C3" s="107" t="s">
        <v>678</v>
      </c>
      <c r="D3" s="552"/>
      <c r="E3" s="552"/>
      <c r="F3" s="554"/>
    </row>
    <row r="4" spans="1:6" ht="15.75" thickBot="1" x14ac:dyDescent="0.3">
      <c r="A4" s="550"/>
      <c r="B4" s="550"/>
      <c r="C4" s="108" t="s">
        <v>679</v>
      </c>
      <c r="D4" s="553"/>
      <c r="E4" s="553"/>
      <c r="F4" s="554"/>
    </row>
    <row r="5" spans="1:6" ht="25.5" x14ac:dyDescent="0.25">
      <c r="A5" s="548" t="s">
        <v>682</v>
      </c>
      <c r="B5" s="548" t="s">
        <v>683</v>
      </c>
      <c r="C5" s="94" t="s">
        <v>684</v>
      </c>
      <c r="D5" s="551" t="s">
        <v>689</v>
      </c>
      <c r="E5" s="551" t="s">
        <v>1245</v>
      </c>
      <c r="F5" s="554"/>
    </row>
    <row r="6" spans="1:6" ht="25.5" x14ac:dyDescent="0.25">
      <c r="A6" s="549"/>
      <c r="B6" s="549"/>
      <c r="C6" s="94" t="s">
        <v>685</v>
      </c>
      <c r="D6" s="552"/>
      <c r="E6" s="552"/>
      <c r="F6" s="554"/>
    </row>
    <row r="7" spans="1:6" ht="25.5" x14ac:dyDescent="0.25">
      <c r="A7" s="549"/>
      <c r="B7" s="549"/>
      <c r="C7" s="94" t="s">
        <v>1234</v>
      </c>
      <c r="D7" s="552"/>
      <c r="E7" s="552"/>
      <c r="F7" s="554"/>
    </row>
    <row r="8" spans="1:6" x14ac:dyDescent="0.25">
      <c r="A8" s="549"/>
      <c r="B8" s="549"/>
      <c r="C8" s="94" t="s">
        <v>686</v>
      </c>
      <c r="D8" s="552"/>
      <c r="E8" s="552"/>
      <c r="F8" s="554"/>
    </row>
    <row r="9" spans="1:6" x14ac:dyDescent="0.25">
      <c r="A9" s="549"/>
      <c r="B9" s="549"/>
      <c r="C9" s="94" t="s">
        <v>687</v>
      </c>
      <c r="D9" s="552"/>
      <c r="E9" s="552"/>
      <c r="F9" s="554"/>
    </row>
    <row r="10" spans="1:6" ht="25.5" x14ac:dyDescent="0.25">
      <c r="A10" s="549"/>
      <c r="B10" s="549"/>
      <c r="C10" s="94" t="s">
        <v>1235</v>
      </c>
      <c r="D10" s="552"/>
      <c r="E10" s="552"/>
      <c r="F10" s="554"/>
    </row>
    <row r="11" spans="1:6" ht="15.75" thickBot="1" x14ac:dyDescent="0.3">
      <c r="A11" s="550"/>
      <c r="B11" s="550"/>
      <c r="C11" s="83" t="s">
        <v>688</v>
      </c>
      <c r="D11" s="553"/>
      <c r="E11" s="553"/>
      <c r="F11" s="106"/>
    </row>
    <row r="12" spans="1:6" ht="25.5" x14ac:dyDescent="0.25">
      <c r="A12" s="548" t="s">
        <v>690</v>
      </c>
      <c r="B12" s="548" t="s">
        <v>691</v>
      </c>
      <c r="C12" s="94" t="s">
        <v>692</v>
      </c>
      <c r="D12" s="551" t="s">
        <v>695</v>
      </c>
      <c r="E12" s="551" t="s">
        <v>696</v>
      </c>
      <c r="F12" s="554"/>
    </row>
    <row r="13" spans="1:6" ht="25.5" x14ac:dyDescent="0.25">
      <c r="A13" s="549"/>
      <c r="B13" s="549"/>
      <c r="C13" s="94" t="s">
        <v>1236</v>
      </c>
      <c r="D13" s="552"/>
      <c r="E13" s="552"/>
      <c r="F13" s="554"/>
    </row>
    <row r="14" spans="1:6" ht="38.25" x14ac:dyDescent="0.25">
      <c r="A14" s="549"/>
      <c r="B14" s="549"/>
      <c r="C14" s="94" t="s">
        <v>1237</v>
      </c>
      <c r="D14" s="552"/>
      <c r="E14" s="552"/>
      <c r="F14" s="554"/>
    </row>
    <row r="15" spans="1:6" ht="25.5" x14ac:dyDescent="0.25">
      <c r="A15" s="549"/>
      <c r="B15" s="549"/>
      <c r="C15" s="94" t="s">
        <v>693</v>
      </c>
      <c r="D15" s="552"/>
      <c r="E15" s="552"/>
      <c r="F15" s="106"/>
    </row>
    <row r="16" spans="1:6" ht="15.75" thickBot="1" x14ac:dyDescent="0.3">
      <c r="A16" s="550"/>
      <c r="B16" s="550"/>
      <c r="C16" s="83" t="s">
        <v>694</v>
      </c>
      <c r="D16" s="553"/>
      <c r="E16" s="553"/>
      <c r="F16" s="106"/>
    </row>
    <row r="17" spans="1:6" ht="25.5" x14ac:dyDescent="0.25">
      <c r="A17" s="548" t="s">
        <v>697</v>
      </c>
      <c r="B17" s="548" t="s">
        <v>698</v>
      </c>
      <c r="C17" s="94" t="s">
        <v>699</v>
      </c>
      <c r="D17" s="551" t="s">
        <v>702</v>
      </c>
      <c r="E17" s="551" t="s">
        <v>1245</v>
      </c>
      <c r="F17" s="106"/>
    </row>
    <row r="18" spans="1:6" x14ac:dyDescent="0.25">
      <c r="A18" s="549"/>
      <c r="B18" s="549"/>
      <c r="C18" s="94" t="s">
        <v>700</v>
      </c>
      <c r="D18" s="552"/>
      <c r="E18" s="552"/>
      <c r="F18" s="106"/>
    </row>
    <row r="19" spans="1:6" ht="25.5" x14ac:dyDescent="0.25">
      <c r="A19" s="549"/>
      <c r="B19" s="549"/>
      <c r="C19" s="94" t="s">
        <v>1238</v>
      </c>
      <c r="D19" s="552"/>
      <c r="E19" s="552"/>
      <c r="F19" s="106"/>
    </row>
    <row r="20" spans="1:6" ht="38.25" x14ac:dyDescent="0.25">
      <c r="A20" s="549"/>
      <c r="B20" s="549"/>
      <c r="C20" s="94" t="s">
        <v>701</v>
      </c>
      <c r="D20" s="552"/>
      <c r="E20" s="552"/>
      <c r="F20" s="106"/>
    </row>
    <row r="21" spans="1:6" ht="89.25" x14ac:dyDescent="0.25">
      <c r="A21" s="549"/>
      <c r="B21" s="549"/>
      <c r="C21" s="94" t="s">
        <v>888</v>
      </c>
      <c r="D21" s="552"/>
      <c r="E21" s="552"/>
      <c r="F21" s="106"/>
    </row>
    <row r="22" spans="1:6" ht="39" thickBot="1" x14ac:dyDescent="0.3">
      <c r="A22" s="550"/>
      <c r="B22" s="550"/>
      <c r="C22" s="83" t="s">
        <v>1239</v>
      </c>
      <c r="D22" s="553"/>
      <c r="E22" s="553"/>
      <c r="F22" s="106"/>
    </row>
    <row r="23" spans="1:6" ht="25.5" x14ac:dyDescent="0.25">
      <c r="A23" s="548" t="s">
        <v>703</v>
      </c>
      <c r="B23" s="548" t="s">
        <v>704</v>
      </c>
      <c r="C23" s="94" t="s">
        <v>705</v>
      </c>
      <c r="D23" s="551" t="s">
        <v>594</v>
      </c>
      <c r="E23" s="551" t="s">
        <v>709</v>
      </c>
      <c r="F23" s="106"/>
    </row>
    <row r="24" spans="1:6" ht="25.5" x14ac:dyDescent="0.25">
      <c r="A24" s="549"/>
      <c r="B24" s="549"/>
      <c r="C24" s="94" t="s">
        <v>706</v>
      </c>
      <c r="D24" s="552"/>
      <c r="E24" s="552"/>
      <c r="F24" s="106"/>
    </row>
    <row r="25" spans="1:6" ht="25.5" x14ac:dyDescent="0.25">
      <c r="A25" s="549"/>
      <c r="B25" s="549"/>
      <c r="C25" s="94" t="s">
        <v>707</v>
      </c>
      <c r="D25" s="552"/>
      <c r="E25" s="552"/>
      <c r="F25" s="106"/>
    </row>
    <row r="26" spans="1:6" ht="26.25" thickBot="1" x14ac:dyDescent="0.3">
      <c r="A26" s="550"/>
      <c r="B26" s="550"/>
      <c r="C26" s="83" t="s">
        <v>708</v>
      </c>
      <c r="D26" s="553"/>
      <c r="E26" s="553"/>
      <c r="F26" s="106"/>
    </row>
    <row r="27" spans="1:6" ht="25.5" x14ac:dyDescent="0.25">
      <c r="A27" s="555" t="s">
        <v>710</v>
      </c>
      <c r="B27" s="557" t="s">
        <v>711</v>
      </c>
      <c r="C27" s="94" t="s">
        <v>1244</v>
      </c>
      <c r="D27" s="551" t="s">
        <v>1246</v>
      </c>
      <c r="E27" s="551" t="s">
        <v>656</v>
      </c>
      <c r="F27" s="554"/>
    </row>
    <row r="28" spans="1:6" ht="15.75" thickBot="1" x14ac:dyDescent="0.3">
      <c r="A28" s="556"/>
      <c r="B28" s="558"/>
      <c r="C28" s="83" t="s">
        <v>712</v>
      </c>
      <c r="D28" s="553"/>
      <c r="E28" s="553"/>
      <c r="F28" s="554"/>
    </row>
    <row r="29" spans="1:6" ht="51.75" thickBot="1" x14ac:dyDescent="0.3">
      <c r="A29" s="109" t="s">
        <v>713</v>
      </c>
      <c r="B29" s="110" t="s">
        <v>714</v>
      </c>
      <c r="C29" s="111" t="s">
        <v>715</v>
      </c>
      <c r="D29" s="338" t="s">
        <v>702</v>
      </c>
      <c r="E29" s="339" t="s">
        <v>716</v>
      </c>
      <c r="F29" s="106"/>
    </row>
    <row r="30" spans="1:6" ht="15.75" thickTop="1" x14ac:dyDescent="0.25"/>
  </sheetData>
  <mergeCells count="28">
    <mergeCell ref="F2:F4"/>
    <mergeCell ref="A5:A11"/>
    <mergeCell ref="B5:B11"/>
    <mergeCell ref="D5:D11"/>
    <mergeCell ref="E5:E11"/>
    <mergeCell ref="F5:F10"/>
    <mergeCell ref="A2:A4"/>
    <mergeCell ref="B2:B4"/>
    <mergeCell ref="D2:D4"/>
    <mergeCell ref="E2:E4"/>
    <mergeCell ref="A12:A16"/>
    <mergeCell ref="B12:B16"/>
    <mergeCell ref="D12:D16"/>
    <mergeCell ref="E12:E16"/>
    <mergeCell ref="F12:F14"/>
    <mergeCell ref="A17:A22"/>
    <mergeCell ref="B17:B22"/>
    <mergeCell ref="D17:D22"/>
    <mergeCell ref="E17:E22"/>
    <mergeCell ref="F27:F28"/>
    <mergeCell ref="A23:A26"/>
    <mergeCell ref="B23:B26"/>
    <mergeCell ref="D23:D26"/>
    <mergeCell ref="E23:E26"/>
    <mergeCell ref="A27:A28"/>
    <mergeCell ref="B27:B28"/>
    <mergeCell ref="D27:D28"/>
    <mergeCell ref="E27:E28"/>
  </mergeCells>
  <pageMargins left="0.7" right="0.7" top="0.75" bottom="0.75" header="0.3" footer="0.3"/>
  <pageSetup fitToHeight="0"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99FF"/>
    <pageSetUpPr fitToPage="1"/>
  </sheetPr>
  <dimension ref="A1:J55"/>
  <sheetViews>
    <sheetView zoomScale="130" zoomScaleNormal="130" workbookViewId="0">
      <selection activeCell="C4" sqref="C4"/>
    </sheetView>
  </sheetViews>
  <sheetFormatPr defaultRowHeight="15" x14ac:dyDescent="0.25"/>
  <cols>
    <col min="1" max="2" width="25.28515625" customWidth="1"/>
    <col min="3" max="3" width="27.28515625" customWidth="1"/>
    <col min="4" max="4" width="14.28515625" bestFit="1" customWidth="1"/>
    <col min="5" max="5" width="27.85546875" customWidth="1"/>
    <col min="6" max="6" width="26.85546875" bestFit="1" customWidth="1"/>
    <col min="7" max="7" width="16.7109375" bestFit="1" customWidth="1"/>
    <col min="8" max="8" width="16" bestFit="1" customWidth="1"/>
    <col min="10" max="10" width="16" bestFit="1" customWidth="1"/>
  </cols>
  <sheetData>
    <row r="1" spans="1:8" ht="15.75" thickBot="1" x14ac:dyDescent="0.3"/>
    <row r="2" spans="1:8" s="313" customFormat="1" ht="16.5" thickTop="1" thickBot="1" x14ac:dyDescent="0.3">
      <c r="A2" s="209"/>
      <c r="B2" s="209" t="s">
        <v>1222</v>
      </c>
      <c r="C2" s="209" t="s">
        <v>1223</v>
      </c>
      <c r="D2" s="209" t="s">
        <v>1224</v>
      </c>
    </row>
    <row r="3" spans="1:8" s="313" customFormat="1" ht="16.5" thickTop="1" thickBot="1" x14ac:dyDescent="0.3">
      <c r="A3" s="422" t="s">
        <v>279</v>
      </c>
      <c r="B3" s="491">
        <f>'ES-10'!H9</f>
        <v>55832175</v>
      </c>
      <c r="C3" s="491">
        <f>'ES-10'!H18</f>
        <v>763948700.59000003</v>
      </c>
      <c r="D3" s="491">
        <f>'ES-10'!H12+F4</f>
        <v>247419124.40999997</v>
      </c>
      <c r="E3" s="483">
        <f>B3+C3+D3</f>
        <v>1067200000</v>
      </c>
      <c r="F3" s="313">
        <v>1067200000</v>
      </c>
      <c r="G3" s="280">
        <f>F3-J24</f>
        <v>129427299.40999997</v>
      </c>
    </row>
    <row r="4" spans="1:8" s="313" customFormat="1" ht="16.5" thickTop="1" thickBot="1" x14ac:dyDescent="0.3">
      <c r="A4" s="422" t="s">
        <v>280</v>
      </c>
      <c r="B4" s="491">
        <f>'ES-10'!C8</f>
        <v>649352</v>
      </c>
      <c r="C4" s="491">
        <f>'ES-10'!C18</f>
        <v>6867473</v>
      </c>
      <c r="D4" s="281">
        <v>0</v>
      </c>
      <c r="E4" s="483">
        <f>B4+C4+D4</f>
        <v>7516825</v>
      </c>
      <c r="F4" s="489">
        <v>15344124.409999967</v>
      </c>
    </row>
    <row r="5" spans="1:8" s="313" customFormat="1" ht="15.75" thickTop="1" x14ac:dyDescent="0.25">
      <c r="A5" s="487"/>
      <c r="B5" s="488"/>
      <c r="C5" s="488"/>
      <c r="D5" s="488"/>
      <c r="E5" s="483">
        <f>E3+E4</f>
        <v>1074716825</v>
      </c>
    </row>
    <row r="6" spans="1:8" s="313" customFormat="1" x14ac:dyDescent="0.25">
      <c r="A6" s="487"/>
      <c r="B6" s="488"/>
      <c r="C6" s="488"/>
      <c r="D6" s="488"/>
      <c r="E6" s="483"/>
    </row>
    <row r="7" spans="1:8" s="313" customFormat="1" x14ac:dyDescent="0.25">
      <c r="A7" s="313" t="s">
        <v>1398</v>
      </c>
      <c r="E7" s="313" t="s">
        <v>1399</v>
      </c>
      <c r="G7" s="483"/>
    </row>
    <row r="8" spans="1:8" s="313" customFormat="1" x14ac:dyDescent="0.25">
      <c r="A8" s="480" t="s">
        <v>296</v>
      </c>
      <c r="B8" s="280">
        <v>59973</v>
      </c>
      <c r="C8" s="486">
        <f>SUM(B8:B10)</f>
        <v>649352</v>
      </c>
      <c r="D8"/>
      <c r="E8" s="481" t="s">
        <v>296</v>
      </c>
      <c r="F8" s="280">
        <v>32689666</v>
      </c>
      <c r="G8" s="561">
        <f>SUM(F8:F10)</f>
        <v>55832175</v>
      </c>
      <c r="H8"/>
    </row>
    <row r="9" spans="1:8" s="313" customFormat="1" x14ac:dyDescent="0.25">
      <c r="A9" s="480" t="s">
        <v>442</v>
      </c>
      <c r="B9" s="280">
        <v>489379</v>
      </c>
      <c r="C9" s="486"/>
      <c r="D9"/>
      <c r="E9" s="481" t="s">
        <v>442</v>
      </c>
      <c r="F9" s="280">
        <v>23142509</v>
      </c>
      <c r="G9" s="561"/>
      <c r="H9" s="483">
        <f>G8</f>
        <v>55832175</v>
      </c>
    </row>
    <row r="10" spans="1:8" s="313" customFormat="1" x14ac:dyDescent="0.25">
      <c r="A10" s="480" t="s">
        <v>619</v>
      </c>
      <c r="B10" s="280">
        <v>100000</v>
      </c>
      <c r="C10" s="486"/>
      <c r="D10"/>
      <c r="E10" s="481" t="s">
        <v>619</v>
      </c>
      <c r="F10" s="280">
        <v>0</v>
      </c>
      <c r="G10" s="561"/>
      <c r="H10"/>
    </row>
    <row r="11" spans="1:8" s="313" customFormat="1" x14ac:dyDescent="0.25">
      <c r="A11" s="263" t="s">
        <v>460</v>
      </c>
      <c r="B11" s="280">
        <v>361200</v>
      </c>
      <c r="C11" s="483"/>
      <c r="D11"/>
      <c r="E11" s="482" t="s">
        <v>460</v>
      </c>
      <c r="F11" s="280">
        <v>193750</v>
      </c>
      <c r="G11" s="483"/>
      <c r="H11"/>
    </row>
    <row r="12" spans="1:8" s="313" customFormat="1" x14ac:dyDescent="0.25">
      <c r="A12" s="313" t="s">
        <v>286</v>
      </c>
      <c r="B12" s="280">
        <v>0</v>
      </c>
      <c r="C12" s="483">
        <f>B12</f>
        <v>0</v>
      </c>
      <c r="D12"/>
      <c r="E12" s="441" t="s">
        <v>286</v>
      </c>
      <c r="F12" s="280">
        <v>475000</v>
      </c>
      <c r="G12" s="483">
        <f>F12</f>
        <v>475000</v>
      </c>
      <c r="H12" s="483">
        <f>G12+G22+G25+G26+G24</f>
        <v>232075000</v>
      </c>
    </row>
    <row r="13" spans="1:8" s="313" customFormat="1" x14ac:dyDescent="0.25">
      <c r="A13" s="263" t="s">
        <v>594</v>
      </c>
      <c r="B13" s="280">
        <v>0</v>
      </c>
      <c r="C13" s="483"/>
      <c r="D13"/>
      <c r="E13" s="482" t="s">
        <v>594</v>
      </c>
      <c r="F13" s="280">
        <v>0</v>
      </c>
      <c r="G13" s="483"/>
      <c r="H13"/>
    </row>
    <row r="14" spans="1:8" s="313" customFormat="1" x14ac:dyDescent="0.25">
      <c r="A14" s="263" t="s">
        <v>285</v>
      </c>
      <c r="B14" s="280">
        <v>2335627</v>
      </c>
      <c r="C14" s="483"/>
      <c r="D14"/>
      <c r="E14" s="482" t="s">
        <v>285</v>
      </c>
      <c r="F14" s="280">
        <v>1647369.5899999999</v>
      </c>
      <c r="G14" s="483"/>
      <c r="H14"/>
    </row>
    <row r="15" spans="1:8" s="313" customFormat="1" x14ac:dyDescent="0.25">
      <c r="A15" s="263" t="s">
        <v>596</v>
      </c>
      <c r="B15" s="280">
        <v>1100990</v>
      </c>
      <c r="C15" s="483"/>
      <c r="D15"/>
      <c r="E15" s="482" t="s">
        <v>596</v>
      </c>
      <c r="F15" s="280">
        <v>602960</v>
      </c>
      <c r="G15" s="483"/>
      <c r="H15"/>
    </row>
    <row r="16" spans="1:8" s="313" customFormat="1" x14ac:dyDescent="0.25">
      <c r="A16" s="263" t="s">
        <v>295</v>
      </c>
      <c r="B16" s="280">
        <v>17828</v>
      </c>
      <c r="C16" s="483"/>
      <c r="D16"/>
      <c r="E16" s="482" t="s">
        <v>295</v>
      </c>
      <c r="F16" s="280">
        <v>82421405</v>
      </c>
      <c r="G16" s="483"/>
      <c r="H16"/>
    </row>
    <row r="17" spans="1:10" s="313" customFormat="1" x14ac:dyDescent="0.25">
      <c r="A17" s="263" t="s">
        <v>305</v>
      </c>
      <c r="B17" s="280">
        <v>55000</v>
      </c>
      <c r="C17" s="483"/>
      <c r="D17"/>
      <c r="E17" s="482" t="s">
        <v>305</v>
      </c>
      <c r="F17" s="280">
        <v>3861030</v>
      </c>
      <c r="G17" s="483"/>
      <c r="H17"/>
    </row>
    <row r="18" spans="1:10" s="313" customFormat="1" x14ac:dyDescent="0.25">
      <c r="A18" s="263" t="s">
        <v>439</v>
      </c>
      <c r="B18" s="280">
        <v>2996828</v>
      </c>
      <c r="C18" s="483">
        <f>SUM(B11,B13:B18)</f>
        <v>6867473</v>
      </c>
      <c r="D18"/>
      <c r="E18" s="482" t="s">
        <v>439</v>
      </c>
      <c r="F18" s="280">
        <v>785222186</v>
      </c>
      <c r="G18" s="483">
        <f>SUM(F11,F13:F18)</f>
        <v>873948700.59000003</v>
      </c>
      <c r="H18" s="483">
        <f>G18-G24+G23</f>
        <v>763948700.59000003</v>
      </c>
    </row>
    <row r="19" spans="1:10" s="313" customFormat="1" x14ac:dyDescent="0.25">
      <c r="A19"/>
      <c r="B19"/>
      <c r="C19"/>
      <c r="D19"/>
      <c r="E19" s="441" t="s">
        <v>287</v>
      </c>
      <c r="F19" s="280">
        <v>0</v>
      </c>
      <c r="G19" s="483"/>
      <c r="H19"/>
    </row>
    <row r="20" spans="1:10" s="313" customFormat="1" x14ac:dyDescent="0.25">
      <c r="A20"/>
      <c r="B20"/>
      <c r="C20"/>
      <c r="D20"/>
      <c r="E20"/>
      <c r="F20"/>
      <c r="G20" s="483"/>
      <c r="H20"/>
    </row>
    <row r="21" spans="1:10" x14ac:dyDescent="0.25">
      <c r="G21" s="483"/>
      <c r="J21" t="s">
        <v>1405</v>
      </c>
    </row>
    <row r="22" spans="1:10" ht="25.5" x14ac:dyDescent="0.25">
      <c r="E22" s="490" t="s">
        <v>1400</v>
      </c>
      <c r="G22" s="483">
        <v>60000000</v>
      </c>
      <c r="J22" s="280">
        <f>SUM(F8:F18)</f>
        <v>930255875.59000003</v>
      </c>
    </row>
    <row r="23" spans="1:10" ht="25.5" x14ac:dyDescent="0.25">
      <c r="E23" s="485" t="s">
        <v>1404</v>
      </c>
      <c r="G23" s="483">
        <v>10000000</v>
      </c>
      <c r="J23" s="280">
        <f>SUM(B8:B18)</f>
        <v>7516825</v>
      </c>
    </row>
    <row r="24" spans="1:10" ht="25.5" x14ac:dyDescent="0.25">
      <c r="E24" s="484" t="s">
        <v>1401</v>
      </c>
      <c r="G24" s="483">
        <v>120000000</v>
      </c>
      <c r="J24" s="280">
        <f>SUM(J22:J23)</f>
        <v>937772700.59000003</v>
      </c>
    </row>
    <row r="25" spans="1:10" ht="25.5" x14ac:dyDescent="0.25">
      <c r="E25" s="490" t="s">
        <v>1402</v>
      </c>
      <c r="G25" s="483">
        <v>51400000</v>
      </c>
    </row>
    <row r="26" spans="1:10" ht="25.5" x14ac:dyDescent="0.25">
      <c r="E26" s="490" t="s">
        <v>1403</v>
      </c>
      <c r="G26" s="483">
        <v>200000</v>
      </c>
    </row>
    <row r="27" spans="1:10" x14ac:dyDescent="0.25">
      <c r="A27" t="s">
        <v>1211</v>
      </c>
    </row>
    <row r="29" spans="1:10" x14ac:dyDescent="0.25">
      <c r="A29" t="s">
        <v>296</v>
      </c>
      <c r="B29" s="280">
        <v>32689666</v>
      </c>
      <c r="C29" s="280">
        <f>B29+B30</f>
        <v>55832175</v>
      </c>
    </row>
    <row r="30" spans="1:10" x14ac:dyDescent="0.25">
      <c r="A30" t="s">
        <v>442</v>
      </c>
      <c r="B30" s="280">
        <v>23142509</v>
      </c>
    </row>
    <row r="31" spans="1:10" x14ac:dyDescent="0.25">
      <c r="A31" t="s">
        <v>619</v>
      </c>
      <c r="B31" s="280">
        <v>0</v>
      </c>
    </row>
    <row r="32" spans="1:10" x14ac:dyDescent="0.25">
      <c r="A32" s="263" t="s">
        <v>295</v>
      </c>
      <c r="B32" s="280">
        <v>82421405</v>
      </c>
      <c r="C32" s="280">
        <f>SUM(B32:B37)</f>
        <v>873948700.59000003</v>
      </c>
    </row>
    <row r="33" spans="1:3" x14ac:dyDescent="0.25">
      <c r="A33" s="263" t="s">
        <v>305</v>
      </c>
      <c r="B33" s="280">
        <v>3861030</v>
      </c>
    </row>
    <row r="34" spans="1:3" x14ac:dyDescent="0.25">
      <c r="A34" s="263" t="s">
        <v>439</v>
      </c>
      <c r="B34" s="280">
        <v>785222186</v>
      </c>
    </row>
    <row r="35" spans="1:3" x14ac:dyDescent="0.25">
      <c r="A35" s="263" t="s">
        <v>460</v>
      </c>
      <c r="B35" s="280">
        <v>193750</v>
      </c>
    </row>
    <row r="36" spans="1:3" x14ac:dyDescent="0.25">
      <c r="A36" s="263" t="s">
        <v>285</v>
      </c>
      <c r="B36" s="280">
        <v>1647369.5899999999</v>
      </c>
    </row>
    <row r="37" spans="1:3" x14ac:dyDescent="0.25">
      <c r="A37" s="263" t="s">
        <v>596</v>
      </c>
      <c r="B37" s="280">
        <v>602960</v>
      </c>
    </row>
    <row r="38" spans="1:3" x14ac:dyDescent="0.25">
      <c r="A38" t="s">
        <v>286</v>
      </c>
      <c r="B38" s="280">
        <v>475000</v>
      </c>
      <c r="C38" s="280">
        <f>B38</f>
        <v>475000</v>
      </c>
    </row>
    <row r="39" spans="1:3" x14ac:dyDescent="0.25">
      <c r="A39" t="s">
        <v>594</v>
      </c>
      <c r="B39" s="280">
        <v>0</v>
      </c>
    </row>
    <row r="40" spans="1:3" x14ac:dyDescent="0.25">
      <c r="A40" t="s">
        <v>287</v>
      </c>
      <c r="B40" s="280">
        <v>0</v>
      </c>
    </row>
    <row r="41" spans="1:3" x14ac:dyDescent="0.25">
      <c r="A41" t="s">
        <v>1221</v>
      </c>
    </row>
    <row r="42" spans="1:3" x14ac:dyDescent="0.25">
      <c r="A42" t="s">
        <v>865</v>
      </c>
      <c r="B42">
        <v>930255875.59000003</v>
      </c>
    </row>
    <row r="45" spans="1:3" x14ac:dyDescent="0.25">
      <c r="A45" t="s">
        <v>296</v>
      </c>
      <c r="B45" s="280">
        <v>59973</v>
      </c>
      <c r="C45" s="280">
        <f>SUM(B45:B47)</f>
        <v>649352</v>
      </c>
    </row>
    <row r="46" spans="1:3" x14ac:dyDescent="0.25">
      <c r="A46" t="s">
        <v>442</v>
      </c>
      <c r="B46" s="280">
        <v>489379</v>
      </c>
    </row>
    <row r="47" spans="1:3" x14ac:dyDescent="0.25">
      <c r="A47" t="s">
        <v>619</v>
      </c>
      <c r="B47" s="280">
        <v>100000</v>
      </c>
    </row>
    <row r="48" spans="1:3" x14ac:dyDescent="0.25">
      <c r="A48" s="263" t="s">
        <v>460</v>
      </c>
      <c r="B48" s="280">
        <v>361200</v>
      </c>
      <c r="C48" s="280">
        <f>SUM(B48:B52)</f>
        <v>3810645</v>
      </c>
    </row>
    <row r="49" spans="1:3" x14ac:dyDescent="0.25">
      <c r="A49" s="263" t="s">
        <v>285</v>
      </c>
      <c r="B49" s="280">
        <v>2275627</v>
      </c>
    </row>
    <row r="50" spans="1:3" x14ac:dyDescent="0.25">
      <c r="A50" s="263" t="s">
        <v>596</v>
      </c>
      <c r="B50" s="280">
        <v>1100990</v>
      </c>
    </row>
    <row r="51" spans="1:3" x14ac:dyDescent="0.25">
      <c r="A51" s="263" t="s">
        <v>295</v>
      </c>
      <c r="B51" s="280">
        <v>17828</v>
      </c>
    </row>
    <row r="52" spans="1:3" x14ac:dyDescent="0.25">
      <c r="A52" s="263" t="s">
        <v>305</v>
      </c>
      <c r="B52" s="280">
        <v>55000</v>
      </c>
    </row>
    <row r="53" spans="1:3" x14ac:dyDescent="0.25">
      <c r="A53" t="s">
        <v>286</v>
      </c>
      <c r="B53" s="280">
        <v>0</v>
      </c>
      <c r="C53" s="280">
        <f>B55</f>
        <v>2996828</v>
      </c>
    </row>
    <row r="54" spans="1:3" x14ac:dyDescent="0.25">
      <c r="A54" t="s">
        <v>594</v>
      </c>
      <c r="B54" s="280">
        <v>0</v>
      </c>
    </row>
    <row r="55" spans="1:3" x14ac:dyDescent="0.25">
      <c r="A55" t="s">
        <v>439</v>
      </c>
      <c r="B55" s="280">
        <v>2996828</v>
      </c>
    </row>
  </sheetData>
  <mergeCells count="1">
    <mergeCell ref="G8:G10"/>
  </mergeCells>
  <pageMargins left="0.7" right="0.7" top="0.75" bottom="0.75" header="0.3" footer="0.3"/>
  <pageSetup scale="57" fitToHeight="0"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B8"/>
  <sheetViews>
    <sheetView workbookViewId="0">
      <selection activeCell="C28" sqref="C28"/>
    </sheetView>
  </sheetViews>
  <sheetFormatPr defaultRowHeight="15" x14ac:dyDescent="0.25"/>
  <cols>
    <col min="1" max="1" width="12.5703125" customWidth="1"/>
    <col min="2" max="2" width="89.28515625" customWidth="1"/>
  </cols>
  <sheetData>
    <row r="1" spans="1:2" ht="16.5" thickTop="1" thickBot="1" x14ac:dyDescent="0.3">
      <c r="A1" s="112" t="s">
        <v>664</v>
      </c>
      <c r="B1" s="113" t="s">
        <v>278</v>
      </c>
    </row>
    <row r="2" spans="1:2" ht="16.5" thickTop="1" thickBot="1" x14ac:dyDescent="0.3">
      <c r="A2" s="114" t="s">
        <v>717</v>
      </c>
      <c r="B2" s="115" t="s">
        <v>718</v>
      </c>
    </row>
    <row r="3" spans="1:2" ht="16.5" thickTop="1" thickBot="1" x14ac:dyDescent="0.3">
      <c r="A3" s="116" t="s">
        <v>719</v>
      </c>
      <c r="B3" s="117" t="s">
        <v>720</v>
      </c>
    </row>
    <row r="4" spans="1:2" ht="16.5" thickTop="1" thickBot="1" x14ac:dyDescent="0.3">
      <c r="A4" s="114" t="s">
        <v>721</v>
      </c>
      <c r="B4" s="115" t="s">
        <v>722</v>
      </c>
    </row>
    <row r="5" spans="1:2" ht="27" thickTop="1" thickBot="1" x14ac:dyDescent="0.3">
      <c r="A5" s="116" t="s">
        <v>723</v>
      </c>
      <c r="B5" s="117" t="s">
        <v>724</v>
      </c>
    </row>
    <row r="6" spans="1:2" ht="16.5" thickTop="1" thickBot="1" x14ac:dyDescent="0.3">
      <c r="A6" s="116" t="s">
        <v>725</v>
      </c>
      <c r="B6" s="117" t="s">
        <v>726</v>
      </c>
    </row>
    <row r="7" spans="1:2" ht="16.5" thickTop="1" thickBot="1" x14ac:dyDescent="0.3">
      <c r="A7" s="116" t="s">
        <v>727</v>
      </c>
      <c r="B7" s="117" t="s">
        <v>728</v>
      </c>
    </row>
    <row r="8" spans="1:2" ht="15.75" thickTop="1" x14ac:dyDescent="0.25"/>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99FF"/>
  </sheetPr>
  <dimension ref="A1:F9"/>
  <sheetViews>
    <sheetView workbookViewId="0">
      <selection activeCell="F14" sqref="F14"/>
    </sheetView>
  </sheetViews>
  <sheetFormatPr defaultRowHeight="15" x14ac:dyDescent="0.25"/>
  <cols>
    <col min="1" max="1" width="12.7109375" customWidth="1"/>
    <col min="2" max="6" width="15.85546875" customWidth="1"/>
  </cols>
  <sheetData>
    <row r="1" spans="1:6" ht="15.75" thickTop="1" x14ac:dyDescent="0.25">
      <c r="A1" s="118" t="s">
        <v>729</v>
      </c>
      <c r="B1" s="120" t="s">
        <v>731</v>
      </c>
      <c r="C1" s="120" t="s">
        <v>733</v>
      </c>
      <c r="D1" s="120" t="s">
        <v>734</v>
      </c>
      <c r="E1" s="120" t="s">
        <v>735</v>
      </c>
      <c r="F1" s="120" t="s">
        <v>736</v>
      </c>
    </row>
    <row r="2" spans="1:6" ht="15.75" thickBot="1" x14ac:dyDescent="0.3">
      <c r="A2" s="119" t="s">
        <v>730</v>
      </c>
      <c r="B2" s="121" t="s">
        <v>732</v>
      </c>
      <c r="C2" s="121" t="s">
        <v>732</v>
      </c>
      <c r="D2" s="121" t="s">
        <v>732</v>
      </c>
      <c r="E2" s="121" t="s">
        <v>732</v>
      </c>
      <c r="F2" s="121" t="s">
        <v>732</v>
      </c>
    </row>
    <row r="3" spans="1:6" ht="27" thickTop="1" thickBot="1" x14ac:dyDescent="0.3">
      <c r="A3" s="123" t="s">
        <v>737</v>
      </c>
      <c r="B3" s="123" t="s">
        <v>768</v>
      </c>
      <c r="C3" s="123" t="s">
        <v>769</v>
      </c>
      <c r="D3" s="123" t="s">
        <v>770</v>
      </c>
      <c r="E3" s="123" t="s">
        <v>738</v>
      </c>
      <c r="F3" s="123" t="s">
        <v>739</v>
      </c>
    </row>
    <row r="4" spans="1:6" ht="16.5" thickTop="1" thickBot="1" x14ac:dyDescent="0.3">
      <c r="A4" s="123" t="s">
        <v>740</v>
      </c>
      <c r="B4" s="123" t="s">
        <v>741</v>
      </c>
      <c r="C4" s="123" t="s">
        <v>742</v>
      </c>
      <c r="D4" s="123" t="s">
        <v>601</v>
      </c>
      <c r="E4" s="123" t="s">
        <v>743</v>
      </c>
      <c r="F4" s="123" t="s">
        <v>744</v>
      </c>
    </row>
    <row r="5" spans="1:6" ht="27" thickTop="1" thickBot="1" x14ac:dyDescent="0.3">
      <c r="A5" s="123" t="s">
        <v>745</v>
      </c>
      <c r="B5" s="123" t="s">
        <v>746</v>
      </c>
      <c r="C5" s="123" t="s">
        <v>747</v>
      </c>
      <c r="D5" s="123" t="s">
        <v>748</v>
      </c>
      <c r="E5" s="123" t="s">
        <v>749</v>
      </c>
      <c r="F5" s="123" t="s">
        <v>761</v>
      </c>
    </row>
    <row r="6" spans="1:6" ht="27" thickTop="1" thickBot="1" x14ac:dyDescent="0.3">
      <c r="A6" s="123" t="s">
        <v>750</v>
      </c>
      <c r="B6" s="123" t="s">
        <v>751</v>
      </c>
      <c r="C6" s="123" t="s">
        <v>762</v>
      </c>
      <c r="D6" s="123" t="s">
        <v>763</v>
      </c>
      <c r="E6" s="123" t="s">
        <v>752</v>
      </c>
      <c r="F6" s="123" t="s">
        <v>753</v>
      </c>
    </row>
    <row r="7" spans="1:6" ht="27" thickTop="1" thickBot="1" x14ac:dyDescent="0.3">
      <c r="A7" s="123" t="s">
        <v>754</v>
      </c>
      <c r="B7" s="123" t="s">
        <v>764</v>
      </c>
      <c r="C7" s="123" t="s">
        <v>756</v>
      </c>
      <c r="D7" s="123" t="s">
        <v>757</v>
      </c>
      <c r="E7" s="123" t="s">
        <v>102</v>
      </c>
      <c r="F7" s="123" t="s">
        <v>758</v>
      </c>
    </row>
    <row r="8" spans="1:6" ht="39.75" thickTop="1" thickBot="1" x14ac:dyDescent="0.3">
      <c r="A8" s="124" t="s">
        <v>759</v>
      </c>
      <c r="B8" s="124" t="s">
        <v>765</v>
      </c>
      <c r="C8" s="124" t="s">
        <v>766</v>
      </c>
      <c r="D8" s="124" t="s">
        <v>767</v>
      </c>
      <c r="E8" s="124" t="s">
        <v>760</v>
      </c>
      <c r="F8" s="124" t="s">
        <v>755</v>
      </c>
    </row>
    <row r="9" spans="1:6" ht="15.75" thickTop="1" x14ac:dyDescent="0.25"/>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I12"/>
  <sheetViews>
    <sheetView topLeftCell="F1" workbookViewId="0">
      <selection activeCell="G17" sqref="G17"/>
    </sheetView>
  </sheetViews>
  <sheetFormatPr defaultRowHeight="15" x14ac:dyDescent="0.25"/>
  <cols>
    <col min="1" max="1" width="13.28515625" customWidth="1"/>
    <col min="2" max="2" width="36.140625" customWidth="1"/>
    <col min="3" max="3" width="15.7109375" customWidth="1"/>
    <col min="4" max="4" width="12.5703125" customWidth="1"/>
    <col min="6" max="6" width="13.42578125" customWidth="1"/>
    <col min="7" max="7" width="59.42578125" customWidth="1"/>
    <col min="8" max="8" width="15.85546875" customWidth="1"/>
    <col min="9" max="9" width="12.140625" customWidth="1"/>
  </cols>
  <sheetData>
    <row r="1" spans="1:9" ht="27" thickTop="1" thickBot="1" x14ac:dyDescent="0.3">
      <c r="A1" s="112" t="s">
        <v>771</v>
      </c>
      <c r="B1" s="113" t="s">
        <v>772</v>
      </c>
      <c r="C1" s="113" t="s">
        <v>773</v>
      </c>
      <c r="D1" s="113" t="s">
        <v>774</v>
      </c>
      <c r="F1" s="112" t="s">
        <v>771</v>
      </c>
      <c r="G1" s="113" t="s">
        <v>772</v>
      </c>
      <c r="H1" s="113" t="s">
        <v>773</v>
      </c>
      <c r="I1" s="113" t="s">
        <v>774</v>
      </c>
    </row>
    <row r="2" spans="1:9" ht="16.5" thickTop="1" thickBot="1" x14ac:dyDescent="0.3">
      <c r="A2" s="125">
        <v>1000</v>
      </c>
      <c r="B2" s="126" t="s">
        <v>775</v>
      </c>
      <c r="C2" s="127">
        <v>353823.72</v>
      </c>
      <c r="D2" s="128">
        <v>9.0800000000000006E-2</v>
      </c>
      <c r="F2" s="125">
        <v>1000</v>
      </c>
      <c r="G2" s="126" t="s">
        <v>775</v>
      </c>
      <c r="H2" s="127">
        <v>353825.13761600002</v>
      </c>
      <c r="I2" s="128">
        <v>9.0774324511481624E-2</v>
      </c>
    </row>
    <row r="3" spans="1:9" ht="15.75" thickBot="1" x14ac:dyDescent="0.3">
      <c r="A3" s="125">
        <v>2000</v>
      </c>
      <c r="B3" s="126" t="s">
        <v>572</v>
      </c>
      <c r="C3" s="127">
        <v>1732481.38</v>
      </c>
      <c r="D3" s="128">
        <v>0.44450000000000001</v>
      </c>
      <c r="F3" s="125">
        <v>2000</v>
      </c>
      <c r="G3" s="126" t="s">
        <v>572</v>
      </c>
      <c r="H3" s="127">
        <v>1732488.3119699999</v>
      </c>
      <c r="I3" s="128">
        <v>0.44447225344907837</v>
      </c>
    </row>
    <row r="4" spans="1:9" ht="15.75" thickBot="1" x14ac:dyDescent="0.3">
      <c r="A4" s="125">
        <v>3000</v>
      </c>
      <c r="B4" s="126" t="s">
        <v>776</v>
      </c>
      <c r="C4" s="127">
        <v>206351.05</v>
      </c>
      <c r="D4" s="128">
        <v>5.2900000000000003E-2</v>
      </c>
      <c r="F4" s="125">
        <v>3000</v>
      </c>
      <c r="G4" s="126" t="s">
        <v>776</v>
      </c>
      <c r="H4" s="127">
        <v>206351.870715</v>
      </c>
      <c r="I4" s="128">
        <v>5.2939855551370166E-2</v>
      </c>
    </row>
    <row r="5" spans="1:9" ht="15.75" thickBot="1" x14ac:dyDescent="0.3">
      <c r="A5" s="125">
        <v>4000</v>
      </c>
      <c r="B5" s="126" t="s">
        <v>777</v>
      </c>
      <c r="C5" s="127">
        <v>251384.07</v>
      </c>
      <c r="D5" s="128">
        <v>6.4500000000000002E-2</v>
      </c>
      <c r="F5" s="125">
        <v>4000</v>
      </c>
      <c r="G5" s="126" t="s">
        <v>777</v>
      </c>
      <c r="H5" s="127">
        <v>251385.07823399999</v>
      </c>
      <c r="I5" s="128">
        <v>6.449318672694955E-2</v>
      </c>
    </row>
    <row r="6" spans="1:9" ht="15.75" thickBot="1" x14ac:dyDescent="0.3">
      <c r="A6" s="125">
        <v>5000</v>
      </c>
      <c r="B6" s="126" t="s">
        <v>778</v>
      </c>
      <c r="C6" s="127">
        <v>574715.67000000004</v>
      </c>
      <c r="D6" s="128">
        <v>0.1474</v>
      </c>
      <c r="F6" s="125">
        <v>5000</v>
      </c>
      <c r="G6" s="126" t="s">
        <v>778</v>
      </c>
      <c r="H6" s="127">
        <v>574717.97176999995</v>
      </c>
      <c r="I6" s="128">
        <v>0.14744468418365816</v>
      </c>
    </row>
    <row r="7" spans="1:9" ht="15.75" thickBot="1" x14ac:dyDescent="0.3">
      <c r="A7" s="125">
        <v>6000</v>
      </c>
      <c r="B7" s="126" t="s">
        <v>779</v>
      </c>
      <c r="C7" s="127">
        <v>702773.74</v>
      </c>
      <c r="D7" s="128">
        <v>0.18029999999999999</v>
      </c>
      <c r="F7" s="125">
        <v>6000</v>
      </c>
      <c r="G7" s="126" t="s">
        <v>779</v>
      </c>
      <c r="H7" s="127">
        <v>702776.55477000005</v>
      </c>
      <c r="I7" s="128">
        <v>0.18029828935158237</v>
      </c>
    </row>
    <row r="8" spans="1:9" ht="15.75" thickBot="1" x14ac:dyDescent="0.3">
      <c r="A8" s="125">
        <v>7000</v>
      </c>
      <c r="B8" s="126" t="s">
        <v>780</v>
      </c>
      <c r="C8" s="127">
        <v>24118.46</v>
      </c>
      <c r="D8" s="128">
        <v>6.1999999999999998E-3</v>
      </c>
      <c r="F8" s="125">
        <v>7000</v>
      </c>
      <c r="G8" s="126" t="s">
        <v>780</v>
      </c>
      <c r="H8" s="127">
        <v>24118.558079900002</v>
      </c>
      <c r="I8" s="128">
        <v>6.1876491666058983E-3</v>
      </c>
    </row>
    <row r="9" spans="1:9" ht="15.75" thickBot="1" x14ac:dyDescent="0.3">
      <c r="A9" s="125">
        <v>8000</v>
      </c>
      <c r="B9" s="126" t="s">
        <v>781</v>
      </c>
      <c r="C9" s="127">
        <v>39114.36</v>
      </c>
      <c r="D9" s="128">
        <v>0.01</v>
      </c>
      <c r="F9" s="125">
        <v>8000</v>
      </c>
      <c r="G9" s="126" t="s">
        <v>781</v>
      </c>
      <c r="H9" s="127">
        <v>39114.517011800002</v>
      </c>
      <c r="I9" s="128">
        <v>1.0034883005379898E-2</v>
      </c>
    </row>
    <row r="10" spans="1:9" ht="15.75" thickBot="1" x14ac:dyDescent="0.3">
      <c r="A10" s="116">
        <v>9000</v>
      </c>
      <c r="B10" s="117" t="s">
        <v>782</v>
      </c>
      <c r="C10" s="129">
        <v>13076.76</v>
      </c>
      <c r="D10" s="130">
        <v>3.3999999999999998E-3</v>
      </c>
      <c r="F10" s="116">
        <v>9000</v>
      </c>
      <c r="G10" s="117" t="s">
        <v>782</v>
      </c>
      <c r="H10" s="129">
        <v>13076.811975099999</v>
      </c>
      <c r="I10" s="130">
        <v>3.3548740538938979E-3</v>
      </c>
    </row>
    <row r="11" spans="1:9" ht="16.5" thickTop="1" thickBot="1" x14ac:dyDescent="0.3">
      <c r="A11" s="131" t="s">
        <v>783</v>
      </c>
      <c r="B11" s="132" t="s">
        <v>784</v>
      </c>
      <c r="C11" s="133">
        <v>3897839.22</v>
      </c>
      <c r="D11" s="134">
        <v>1</v>
      </c>
      <c r="F11" s="131" t="s">
        <v>889</v>
      </c>
      <c r="G11" s="132" t="s">
        <v>784</v>
      </c>
      <c r="H11" s="133">
        <v>3897854.8121418003</v>
      </c>
      <c r="I11" s="134">
        <v>1</v>
      </c>
    </row>
    <row r="12" spans="1:9" ht="15.75" thickTop="1" x14ac:dyDescent="0.25">
      <c r="F12" s="187"/>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E12"/>
  <sheetViews>
    <sheetView workbookViewId="0">
      <selection activeCell="J22" sqref="J22"/>
    </sheetView>
  </sheetViews>
  <sheetFormatPr defaultRowHeight="15" x14ac:dyDescent="0.25"/>
  <cols>
    <col min="1" max="1" width="18.28515625" customWidth="1"/>
    <col min="2" max="2" width="24.85546875" customWidth="1"/>
    <col min="3" max="3" width="13.140625" customWidth="1"/>
    <col min="4" max="4" width="20.140625" customWidth="1"/>
    <col min="5" max="5" width="11.5703125" customWidth="1"/>
  </cols>
  <sheetData>
    <row r="1" spans="1:5" ht="16.5" thickTop="1" thickBot="1" x14ac:dyDescent="0.3">
      <c r="A1" s="112" t="s">
        <v>785</v>
      </c>
      <c r="B1" s="113" t="s">
        <v>786</v>
      </c>
      <c r="C1" s="113" t="s">
        <v>787</v>
      </c>
      <c r="D1" s="113" t="s">
        <v>788</v>
      </c>
      <c r="E1" s="113" t="s">
        <v>787</v>
      </c>
    </row>
    <row r="2" spans="1:5" ht="27" thickTop="1" thickBot="1" x14ac:dyDescent="0.3">
      <c r="A2" s="125" t="s">
        <v>789</v>
      </c>
      <c r="B2" s="136">
        <v>124121</v>
      </c>
      <c r="C2" s="137">
        <v>5.2999999999999999E-2</v>
      </c>
      <c r="D2" s="136">
        <v>197686</v>
      </c>
      <c r="E2" s="137">
        <v>9.1999999999999998E-2</v>
      </c>
    </row>
    <row r="3" spans="1:5" ht="15.75" thickBot="1" x14ac:dyDescent="0.3">
      <c r="A3" s="125" t="s">
        <v>102</v>
      </c>
      <c r="B3" s="136">
        <v>243180</v>
      </c>
      <c r="C3" s="137">
        <v>0.10299999999999999</v>
      </c>
      <c r="D3" s="136">
        <v>204560</v>
      </c>
      <c r="E3" s="137">
        <v>9.5000000000000001E-2</v>
      </c>
    </row>
    <row r="4" spans="1:5" ht="15.75" thickBot="1" x14ac:dyDescent="0.3">
      <c r="A4" s="125" t="s">
        <v>104</v>
      </c>
      <c r="B4" s="136">
        <v>263475</v>
      </c>
      <c r="C4" s="137">
        <v>0.111</v>
      </c>
      <c r="D4" s="136">
        <v>299311</v>
      </c>
      <c r="E4" s="137">
        <v>0.13900000000000001</v>
      </c>
    </row>
    <row r="5" spans="1:5" ht="15.75" thickBot="1" x14ac:dyDescent="0.3">
      <c r="A5" s="125" t="s">
        <v>9</v>
      </c>
      <c r="B5" s="136">
        <v>273600</v>
      </c>
      <c r="C5" s="137">
        <v>0.11600000000000001</v>
      </c>
      <c r="D5" s="136">
        <v>280540</v>
      </c>
      <c r="E5" s="137">
        <v>0.13</v>
      </c>
    </row>
    <row r="6" spans="1:5" ht="15.75" thickBot="1" x14ac:dyDescent="0.3">
      <c r="A6" s="125" t="s">
        <v>107</v>
      </c>
      <c r="B6" s="136">
        <v>335527</v>
      </c>
      <c r="C6" s="137">
        <v>0.14199999999999999</v>
      </c>
      <c r="D6" s="136">
        <v>423814</v>
      </c>
      <c r="E6" s="137">
        <v>0.19700000000000001</v>
      </c>
    </row>
    <row r="7" spans="1:5" ht="26.25" thickBot="1" x14ac:dyDescent="0.3">
      <c r="A7" s="125" t="s">
        <v>790</v>
      </c>
      <c r="B7" s="136">
        <v>96297</v>
      </c>
      <c r="C7" s="137">
        <v>4.1000000000000002E-2</v>
      </c>
      <c r="D7" s="136">
        <v>93047</v>
      </c>
      <c r="E7" s="137">
        <v>4.2999999999999997E-2</v>
      </c>
    </row>
    <row r="8" spans="1:5" ht="26.25" thickBot="1" x14ac:dyDescent="0.3">
      <c r="A8" s="125" t="s">
        <v>642</v>
      </c>
      <c r="B8" s="136">
        <v>143780</v>
      </c>
      <c r="C8" s="137">
        <v>6.0999999999999999E-2</v>
      </c>
      <c r="D8" s="136">
        <v>208380</v>
      </c>
      <c r="E8" s="137">
        <v>9.7000000000000003E-2</v>
      </c>
    </row>
    <row r="9" spans="1:5" ht="15.75" thickBot="1" x14ac:dyDescent="0.3">
      <c r="A9" s="125" t="s">
        <v>19</v>
      </c>
      <c r="B9" s="136">
        <v>826015</v>
      </c>
      <c r="C9" s="137">
        <v>0.35</v>
      </c>
      <c r="D9" s="136">
        <v>439646</v>
      </c>
      <c r="E9" s="137">
        <v>0.20399999999999999</v>
      </c>
    </row>
    <row r="10" spans="1:5" ht="26.25" thickBot="1" x14ac:dyDescent="0.3">
      <c r="A10" s="116" t="s">
        <v>791</v>
      </c>
      <c r="B10" s="138">
        <v>57611</v>
      </c>
      <c r="C10" s="139">
        <v>2.4E-2</v>
      </c>
      <c r="D10" s="138">
        <v>5070</v>
      </c>
      <c r="E10" s="139">
        <v>2E-3</v>
      </c>
    </row>
    <row r="11" spans="1:5" ht="16.5" thickTop="1" thickBot="1" x14ac:dyDescent="0.3">
      <c r="A11" s="131" t="s">
        <v>784</v>
      </c>
      <c r="B11" s="140">
        <v>2363336</v>
      </c>
      <c r="C11" s="141">
        <v>1</v>
      </c>
      <c r="D11" s="140">
        <v>2152054</v>
      </c>
      <c r="E11" s="141">
        <v>1</v>
      </c>
    </row>
    <row r="12" spans="1:5" ht="15.75" thickTop="1" x14ac:dyDescent="0.2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M164"/>
  <sheetViews>
    <sheetView topLeftCell="C1" workbookViewId="0">
      <selection activeCell="G1" sqref="G1:I33"/>
    </sheetView>
  </sheetViews>
  <sheetFormatPr defaultRowHeight="15" x14ac:dyDescent="0.25"/>
  <cols>
    <col min="1" max="1" width="12.85546875" style="74" bestFit="1" customWidth="1"/>
    <col min="2" max="2" width="10.28515625" style="74" customWidth="1"/>
    <col min="3" max="3" width="8.5703125" style="74" customWidth="1"/>
    <col min="4" max="4" width="89.85546875" style="70" customWidth="1"/>
    <col min="7" max="7" width="26.7109375" bestFit="1" customWidth="1"/>
    <col min="8" max="8" width="4" bestFit="1" customWidth="1"/>
    <col min="9" max="9" width="12.7109375" bestFit="1" customWidth="1"/>
    <col min="11" max="11" width="26.7109375" bestFit="1" customWidth="1"/>
    <col min="12" max="12" width="14.85546875" bestFit="1" customWidth="1"/>
    <col min="13" max="13" width="14.85546875" style="483" bestFit="1" customWidth="1"/>
    <col min="14" max="14" width="12.140625" bestFit="1" customWidth="1"/>
  </cols>
  <sheetData>
    <row r="1" spans="1:4" s="313" customFormat="1" ht="15.75" thickBot="1" x14ac:dyDescent="0.3">
      <c r="A1" s="74"/>
      <c r="B1" s="74"/>
      <c r="C1" s="74"/>
      <c r="D1" s="70"/>
    </row>
    <row r="2" spans="1:4" ht="16.5" thickTop="1" thickBot="1" x14ac:dyDescent="0.3">
      <c r="A2" s="1" t="s">
        <v>0</v>
      </c>
      <c r="B2" s="1" t="s">
        <v>1160</v>
      </c>
      <c r="C2" s="256" t="s">
        <v>1161</v>
      </c>
      <c r="D2" s="2" t="s">
        <v>1</v>
      </c>
    </row>
    <row r="3" spans="1:4" ht="15.75" thickTop="1" x14ac:dyDescent="0.25">
      <c r="A3" s="8" t="s">
        <v>6</v>
      </c>
      <c r="B3" s="8" t="s">
        <v>1145</v>
      </c>
      <c r="C3" s="257">
        <v>1</v>
      </c>
      <c r="D3" s="9" t="s">
        <v>293</v>
      </c>
    </row>
    <row r="4" spans="1:4" x14ac:dyDescent="0.25">
      <c r="A4" s="17" t="s">
        <v>10</v>
      </c>
      <c r="B4" s="17" t="s">
        <v>1145</v>
      </c>
      <c r="C4" s="258">
        <v>2</v>
      </c>
      <c r="D4" s="18" t="s">
        <v>11</v>
      </c>
    </row>
    <row r="5" spans="1:4" x14ac:dyDescent="0.25">
      <c r="A5" s="17" t="s">
        <v>15</v>
      </c>
      <c r="B5" s="17" t="s">
        <v>1145</v>
      </c>
      <c r="C5" s="258">
        <v>3</v>
      </c>
      <c r="D5" s="18" t="s">
        <v>16</v>
      </c>
    </row>
    <row r="6" spans="1:4" x14ac:dyDescent="0.25">
      <c r="A6" s="24" t="s">
        <v>20</v>
      </c>
      <c r="B6" s="24" t="s">
        <v>1146</v>
      </c>
      <c r="C6" s="259">
        <v>1</v>
      </c>
      <c r="D6" s="25" t="s">
        <v>299</v>
      </c>
    </row>
    <row r="7" spans="1:4" x14ac:dyDescent="0.25">
      <c r="A7" s="266" t="s">
        <v>482</v>
      </c>
      <c r="B7" s="266" t="s">
        <v>485</v>
      </c>
      <c r="C7" s="269">
        <v>1</v>
      </c>
      <c r="D7" s="267" t="s">
        <v>244</v>
      </c>
    </row>
    <row r="8" spans="1:4" x14ac:dyDescent="0.25">
      <c r="A8" s="266" t="s">
        <v>483</v>
      </c>
      <c r="B8" s="266" t="s">
        <v>485</v>
      </c>
      <c r="C8" s="269">
        <v>2</v>
      </c>
      <c r="D8" s="267" t="s">
        <v>247</v>
      </c>
    </row>
    <row r="9" spans="1:4" x14ac:dyDescent="0.25">
      <c r="A9" s="266" t="s">
        <v>484</v>
      </c>
      <c r="B9" s="266" t="s">
        <v>485</v>
      </c>
      <c r="C9" s="269">
        <v>3</v>
      </c>
      <c r="D9" s="267" t="s">
        <v>249</v>
      </c>
    </row>
    <row r="10" spans="1:4" x14ac:dyDescent="0.25">
      <c r="A10" s="41" t="s">
        <v>486</v>
      </c>
      <c r="B10" s="41" t="s">
        <v>485</v>
      </c>
      <c r="C10" s="260">
        <v>4</v>
      </c>
      <c r="D10" s="18" t="s">
        <v>102</v>
      </c>
    </row>
    <row r="11" spans="1:4" x14ac:dyDescent="0.25">
      <c r="A11" s="266" t="s">
        <v>575</v>
      </c>
      <c r="B11" s="266" t="s">
        <v>485</v>
      </c>
      <c r="C11" s="269">
        <v>5</v>
      </c>
      <c r="D11" s="267" t="s">
        <v>234</v>
      </c>
    </row>
    <row r="12" spans="1:4" x14ac:dyDescent="0.25">
      <c r="A12" s="266" t="s">
        <v>576</v>
      </c>
      <c r="B12" s="266" t="s">
        <v>485</v>
      </c>
      <c r="C12" s="269">
        <v>6</v>
      </c>
      <c r="D12" s="267" t="s">
        <v>577</v>
      </c>
    </row>
    <row r="13" spans="1:4" x14ac:dyDescent="0.25">
      <c r="A13" s="24" t="s">
        <v>63</v>
      </c>
      <c r="B13" s="24" t="s">
        <v>1147</v>
      </c>
      <c r="C13" s="259">
        <v>1</v>
      </c>
      <c r="D13" s="25" t="s">
        <v>507</v>
      </c>
    </row>
    <row r="14" spans="1:4" x14ac:dyDescent="0.25">
      <c r="A14" s="24" t="s">
        <v>65</v>
      </c>
      <c r="B14" s="24" t="s">
        <v>1147</v>
      </c>
      <c r="C14" s="259">
        <v>2</v>
      </c>
      <c r="D14" s="25" t="s">
        <v>508</v>
      </c>
    </row>
    <row r="15" spans="1:4" x14ac:dyDescent="0.25">
      <c r="A15" s="24" t="s">
        <v>66</v>
      </c>
      <c r="B15" s="24" t="s">
        <v>1147</v>
      </c>
      <c r="C15" s="259">
        <v>3</v>
      </c>
      <c r="D15" s="25" t="s">
        <v>67</v>
      </c>
    </row>
    <row r="16" spans="1:4" x14ac:dyDescent="0.25">
      <c r="A16" s="24" t="s">
        <v>70</v>
      </c>
      <c r="B16" s="24" t="s">
        <v>1148</v>
      </c>
      <c r="C16" s="259">
        <v>1</v>
      </c>
      <c r="D16" s="25" t="s">
        <v>520</v>
      </c>
    </row>
    <row r="17" spans="1:4" x14ac:dyDescent="0.25">
      <c r="A17" s="24" t="s">
        <v>71</v>
      </c>
      <c r="B17" s="24" t="s">
        <v>1148</v>
      </c>
      <c r="C17" s="259">
        <v>2</v>
      </c>
      <c r="D17" s="25" t="s">
        <v>530</v>
      </c>
    </row>
    <row r="18" spans="1:4" x14ac:dyDescent="0.25">
      <c r="A18" s="24" t="s">
        <v>73</v>
      </c>
      <c r="B18" s="24" t="s">
        <v>1148</v>
      </c>
      <c r="C18" s="259">
        <v>4</v>
      </c>
      <c r="D18" s="25" t="s">
        <v>538</v>
      </c>
    </row>
    <row r="19" spans="1:4" x14ac:dyDescent="0.25">
      <c r="A19" s="24" t="s">
        <v>75</v>
      </c>
      <c r="B19" s="24" t="s">
        <v>1148</v>
      </c>
      <c r="C19" s="259">
        <v>6</v>
      </c>
      <c r="D19" s="25" t="s">
        <v>511</v>
      </c>
    </row>
    <row r="20" spans="1:4" x14ac:dyDescent="0.25">
      <c r="A20" s="24" t="s">
        <v>77</v>
      </c>
      <c r="B20" s="24" t="s">
        <v>1148</v>
      </c>
      <c r="C20" s="259">
        <v>8</v>
      </c>
      <c r="D20" s="25" t="s">
        <v>513</v>
      </c>
    </row>
    <row r="21" spans="1:4" x14ac:dyDescent="0.25">
      <c r="A21" s="24" t="s">
        <v>78</v>
      </c>
      <c r="B21" s="24" t="s">
        <v>1148</v>
      </c>
      <c r="C21" s="259">
        <v>9</v>
      </c>
      <c r="D21" s="25" t="s">
        <v>514</v>
      </c>
    </row>
    <row r="22" spans="1:4" x14ac:dyDescent="0.25">
      <c r="A22" s="24" t="s">
        <v>79</v>
      </c>
      <c r="B22" s="24" t="s">
        <v>1148</v>
      </c>
      <c r="C22" s="259">
        <v>10</v>
      </c>
      <c r="D22" s="25" t="s">
        <v>515</v>
      </c>
    </row>
    <row r="23" spans="1:4" x14ac:dyDescent="0.25">
      <c r="A23" s="24" t="s">
        <v>80</v>
      </c>
      <c r="B23" s="24" t="s">
        <v>1148</v>
      </c>
      <c r="C23" s="259">
        <v>11</v>
      </c>
      <c r="D23" s="25" t="s">
        <v>516</v>
      </c>
    </row>
    <row r="24" spans="1:4" ht="24.75" x14ac:dyDescent="0.25">
      <c r="A24" s="24" t="s">
        <v>81</v>
      </c>
      <c r="B24" s="24" t="s">
        <v>1148</v>
      </c>
      <c r="C24" s="259">
        <v>12</v>
      </c>
      <c r="D24" s="25" t="s">
        <v>517</v>
      </c>
    </row>
    <row r="25" spans="1:4" x14ac:dyDescent="0.25">
      <c r="A25" s="24" t="s">
        <v>82</v>
      </c>
      <c r="B25" s="24" t="s">
        <v>1148</v>
      </c>
      <c r="C25" s="259">
        <v>13</v>
      </c>
      <c r="D25" s="25" t="s">
        <v>94</v>
      </c>
    </row>
    <row r="26" spans="1:4" x14ac:dyDescent="0.25">
      <c r="A26" s="24" t="s">
        <v>83</v>
      </c>
      <c r="B26" s="24" t="s">
        <v>1148</v>
      </c>
      <c r="C26" s="259">
        <v>14</v>
      </c>
      <c r="D26" s="25" t="s">
        <v>525</v>
      </c>
    </row>
    <row r="27" spans="1:4" x14ac:dyDescent="0.25">
      <c r="A27" s="24" t="s">
        <v>84</v>
      </c>
      <c r="B27" s="24" t="s">
        <v>1148</v>
      </c>
      <c r="C27" s="259">
        <v>15</v>
      </c>
      <c r="D27" s="25" t="s">
        <v>526</v>
      </c>
    </row>
    <row r="28" spans="1:4" x14ac:dyDescent="0.25">
      <c r="A28" s="24" t="s">
        <v>85</v>
      </c>
      <c r="B28" s="24" t="s">
        <v>1148</v>
      </c>
      <c r="C28" s="259">
        <v>16</v>
      </c>
      <c r="D28" s="25" t="s">
        <v>527</v>
      </c>
    </row>
    <row r="29" spans="1:4" x14ac:dyDescent="0.25">
      <c r="A29" s="24" t="s">
        <v>86</v>
      </c>
      <c r="B29" s="24" t="s">
        <v>1148</v>
      </c>
      <c r="C29" s="259">
        <v>17</v>
      </c>
      <c r="D29" s="25" t="s">
        <v>528</v>
      </c>
    </row>
    <row r="30" spans="1:4" x14ac:dyDescent="0.25">
      <c r="A30" s="24" t="s">
        <v>87</v>
      </c>
      <c r="B30" s="24" t="s">
        <v>1148</v>
      </c>
      <c r="C30" s="259">
        <v>18</v>
      </c>
      <c r="D30" s="25" t="s">
        <v>529</v>
      </c>
    </row>
    <row r="31" spans="1:4" x14ac:dyDescent="0.25">
      <c r="A31" s="24" t="s">
        <v>88</v>
      </c>
      <c r="B31" s="24" t="s">
        <v>1148</v>
      </c>
      <c r="C31" s="259">
        <v>19</v>
      </c>
      <c r="D31" s="25" t="s">
        <v>531</v>
      </c>
    </row>
    <row r="32" spans="1:4" x14ac:dyDescent="0.25">
      <c r="A32" s="24" t="s">
        <v>89</v>
      </c>
      <c r="B32" s="24" t="s">
        <v>1148</v>
      </c>
      <c r="C32" s="259">
        <v>20</v>
      </c>
      <c r="D32" s="25" t="s">
        <v>532</v>
      </c>
    </row>
    <row r="33" spans="1:4" x14ac:dyDescent="0.25">
      <c r="A33" s="24" t="s">
        <v>90</v>
      </c>
      <c r="B33" s="24" t="s">
        <v>1148</v>
      </c>
      <c r="C33" s="259">
        <v>21</v>
      </c>
      <c r="D33" s="25" t="s">
        <v>533</v>
      </c>
    </row>
    <row r="34" spans="1:4" x14ac:dyDescent="0.25">
      <c r="A34" s="24" t="s">
        <v>91</v>
      </c>
      <c r="B34" s="24" t="s">
        <v>1148</v>
      </c>
      <c r="C34" s="259">
        <v>22</v>
      </c>
      <c r="D34" s="25" t="s">
        <v>534</v>
      </c>
    </row>
    <row r="35" spans="1:4" x14ac:dyDescent="0.25">
      <c r="A35" s="24" t="s">
        <v>92</v>
      </c>
      <c r="B35" s="24" t="s">
        <v>1148</v>
      </c>
      <c r="C35" s="259">
        <v>23</v>
      </c>
      <c r="D35" s="25" t="s">
        <v>535</v>
      </c>
    </row>
    <row r="36" spans="1:4" x14ac:dyDescent="0.25">
      <c r="A36" s="24" t="s">
        <v>93</v>
      </c>
      <c r="B36" s="24" t="s">
        <v>1148</v>
      </c>
      <c r="C36" s="259">
        <v>24</v>
      </c>
      <c r="D36" s="25" t="s">
        <v>67</v>
      </c>
    </row>
    <row r="37" spans="1:4" x14ac:dyDescent="0.25">
      <c r="A37" s="24" t="s">
        <v>95</v>
      </c>
      <c r="B37" s="24" t="s">
        <v>1148</v>
      </c>
      <c r="C37" s="259">
        <v>25</v>
      </c>
      <c r="D37" s="25" t="s">
        <v>23</v>
      </c>
    </row>
    <row r="38" spans="1:4" x14ac:dyDescent="0.25">
      <c r="A38" s="24" t="s">
        <v>580</v>
      </c>
      <c r="B38" s="24" t="s">
        <v>1149</v>
      </c>
      <c r="C38" s="259">
        <v>1</v>
      </c>
      <c r="D38" s="25" t="s">
        <v>23</v>
      </c>
    </row>
    <row r="39" spans="1:4" x14ac:dyDescent="0.25">
      <c r="A39" s="24" t="s">
        <v>581</v>
      </c>
      <c r="B39" s="24" t="s">
        <v>1149</v>
      </c>
      <c r="C39" s="259">
        <v>2</v>
      </c>
      <c r="D39" s="25" t="s">
        <v>23</v>
      </c>
    </row>
    <row r="40" spans="1:4" x14ac:dyDescent="0.25">
      <c r="A40" s="24" t="s">
        <v>100</v>
      </c>
      <c r="B40" s="24" t="s">
        <v>1150</v>
      </c>
      <c r="C40" s="259">
        <v>1</v>
      </c>
      <c r="D40" s="25" t="s">
        <v>23</v>
      </c>
    </row>
    <row r="41" spans="1:4" x14ac:dyDescent="0.25">
      <c r="A41" s="24" t="s">
        <v>103</v>
      </c>
      <c r="B41" s="24" t="s">
        <v>1150</v>
      </c>
      <c r="C41" s="259">
        <v>2</v>
      </c>
      <c r="D41" s="25" t="s">
        <v>23</v>
      </c>
    </row>
    <row r="42" spans="1:4" x14ac:dyDescent="0.25">
      <c r="A42" s="24" t="s">
        <v>105</v>
      </c>
      <c r="B42" s="24" t="s">
        <v>1150</v>
      </c>
      <c r="C42" s="259">
        <v>3</v>
      </c>
      <c r="D42" s="25" t="s">
        <v>23</v>
      </c>
    </row>
    <row r="43" spans="1:4" x14ac:dyDescent="0.25">
      <c r="A43" s="24" t="s">
        <v>106</v>
      </c>
      <c r="B43" s="24" t="s">
        <v>1150</v>
      </c>
      <c r="C43" s="259">
        <v>4</v>
      </c>
      <c r="D43" s="25" t="s">
        <v>23</v>
      </c>
    </row>
    <row r="44" spans="1:4" x14ac:dyDescent="0.25">
      <c r="A44" s="31" t="s">
        <v>108</v>
      </c>
      <c r="B44" s="31" t="s">
        <v>1150</v>
      </c>
      <c r="C44" s="261">
        <v>5</v>
      </c>
      <c r="D44" s="32" t="s">
        <v>109</v>
      </c>
    </row>
    <row r="45" spans="1:4" x14ac:dyDescent="0.25">
      <c r="A45" s="24" t="s">
        <v>111</v>
      </c>
      <c r="B45" s="24" t="s">
        <v>1150</v>
      </c>
      <c r="C45" s="259">
        <v>6</v>
      </c>
      <c r="D45" s="25" t="s">
        <v>112</v>
      </c>
    </row>
    <row r="46" spans="1:4" x14ac:dyDescent="0.25">
      <c r="A46" s="41" t="s">
        <v>113</v>
      </c>
      <c r="B46" s="41" t="s">
        <v>1151</v>
      </c>
      <c r="C46" s="260">
        <v>1</v>
      </c>
      <c r="D46" s="18" t="s">
        <v>114</v>
      </c>
    </row>
    <row r="47" spans="1:4" x14ac:dyDescent="0.25">
      <c r="A47" s="24" t="s">
        <v>22</v>
      </c>
      <c r="B47" s="24" t="s">
        <v>1152</v>
      </c>
      <c r="C47" s="259">
        <v>1</v>
      </c>
      <c r="D47" s="25" t="s">
        <v>23</v>
      </c>
    </row>
    <row r="48" spans="1:4" x14ac:dyDescent="0.25">
      <c r="A48" s="24" t="s">
        <v>24</v>
      </c>
      <c r="B48" s="24" t="s">
        <v>1152</v>
      </c>
      <c r="C48" s="259">
        <v>2</v>
      </c>
      <c r="D48" s="25" t="s">
        <v>67</v>
      </c>
    </row>
    <row r="49" spans="1:4" x14ac:dyDescent="0.25">
      <c r="A49" s="31" t="s">
        <v>25</v>
      </c>
      <c r="B49" s="31" t="s">
        <v>1152</v>
      </c>
      <c r="C49" s="261">
        <v>3</v>
      </c>
      <c r="D49" s="32" t="s">
        <v>463</v>
      </c>
    </row>
    <row r="50" spans="1:4" x14ac:dyDescent="0.25">
      <c r="A50" s="24" t="s">
        <v>26</v>
      </c>
      <c r="B50" s="24" t="s">
        <v>1152</v>
      </c>
      <c r="C50" s="259">
        <v>4</v>
      </c>
      <c r="D50" s="25" t="s">
        <v>27</v>
      </c>
    </row>
    <row r="51" spans="1:4" x14ac:dyDescent="0.25">
      <c r="A51" s="24" t="s">
        <v>29</v>
      </c>
      <c r="B51" s="24" t="s">
        <v>1152</v>
      </c>
      <c r="C51" s="259">
        <v>5</v>
      </c>
      <c r="D51" s="25" t="s">
        <v>30</v>
      </c>
    </row>
    <row r="52" spans="1:4" x14ac:dyDescent="0.25">
      <c r="A52" s="24" t="s">
        <v>32</v>
      </c>
      <c r="B52" s="24" t="s">
        <v>1152</v>
      </c>
      <c r="C52" s="259">
        <v>6</v>
      </c>
      <c r="D52" s="25" t="s">
        <v>33</v>
      </c>
    </row>
    <row r="53" spans="1:4" x14ac:dyDescent="0.25">
      <c r="A53" s="24" t="s">
        <v>126</v>
      </c>
      <c r="B53" s="24" t="s">
        <v>1153</v>
      </c>
      <c r="C53" s="259">
        <v>1</v>
      </c>
      <c r="D53" s="25" t="s">
        <v>23</v>
      </c>
    </row>
    <row r="54" spans="1:4" x14ac:dyDescent="0.25">
      <c r="A54" s="24" t="s">
        <v>128</v>
      </c>
      <c r="B54" s="24" t="s">
        <v>1153</v>
      </c>
      <c r="C54" s="259">
        <v>2</v>
      </c>
      <c r="D54" s="25" t="s">
        <v>363</v>
      </c>
    </row>
    <row r="55" spans="1:4" x14ac:dyDescent="0.25">
      <c r="A55" s="24" t="s">
        <v>129</v>
      </c>
      <c r="B55" s="24" t="s">
        <v>1153</v>
      </c>
      <c r="C55" s="259">
        <v>3</v>
      </c>
      <c r="D55" s="25" t="s">
        <v>364</v>
      </c>
    </row>
    <row r="56" spans="1:4" x14ac:dyDescent="0.25">
      <c r="A56" s="24" t="s">
        <v>130</v>
      </c>
      <c r="B56" s="24" t="s">
        <v>1153</v>
      </c>
      <c r="C56" s="259">
        <v>4</v>
      </c>
      <c r="D56" s="25" t="s">
        <v>365</v>
      </c>
    </row>
    <row r="57" spans="1:4" x14ac:dyDescent="0.25">
      <c r="A57" s="24" t="s">
        <v>131</v>
      </c>
      <c r="B57" s="24" t="s">
        <v>1153</v>
      </c>
      <c r="C57" s="259">
        <v>5</v>
      </c>
      <c r="D57" s="25" t="s">
        <v>366</v>
      </c>
    </row>
    <row r="58" spans="1:4" x14ac:dyDescent="0.25">
      <c r="A58" s="24" t="s">
        <v>132</v>
      </c>
      <c r="B58" s="24" t="s">
        <v>1153</v>
      </c>
      <c r="C58" s="259">
        <v>6</v>
      </c>
      <c r="D58" s="25" t="s">
        <v>370</v>
      </c>
    </row>
    <row r="59" spans="1:4" x14ac:dyDescent="0.25">
      <c r="A59" s="24" t="s">
        <v>133</v>
      </c>
      <c r="B59" s="24" t="s">
        <v>1153</v>
      </c>
      <c r="C59" s="259">
        <v>7</v>
      </c>
      <c r="D59" s="25" t="s">
        <v>371</v>
      </c>
    </row>
    <row r="60" spans="1:4" x14ac:dyDescent="0.25">
      <c r="A60" s="24" t="s">
        <v>134</v>
      </c>
      <c r="B60" s="24" t="s">
        <v>1153</v>
      </c>
      <c r="C60" s="259">
        <v>8</v>
      </c>
      <c r="D60" s="25" t="s">
        <v>372</v>
      </c>
    </row>
    <row r="61" spans="1:4" x14ac:dyDescent="0.25">
      <c r="A61" s="24" t="s">
        <v>135</v>
      </c>
      <c r="B61" s="24" t="s">
        <v>1153</v>
      </c>
      <c r="C61" s="259">
        <v>9</v>
      </c>
      <c r="D61" s="25" t="s">
        <v>377</v>
      </c>
    </row>
    <row r="62" spans="1:4" x14ac:dyDescent="0.25">
      <c r="A62" s="24" t="s">
        <v>136</v>
      </c>
      <c r="B62" s="24" t="s">
        <v>1153</v>
      </c>
      <c r="C62" s="259">
        <v>10</v>
      </c>
      <c r="D62" s="25" t="s">
        <v>384</v>
      </c>
    </row>
    <row r="63" spans="1:4" x14ac:dyDescent="0.25">
      <c r="A63" s="24" t="s">
        <v>137</v>
      </c>
      <c r="B63" s="24" t="s">
        <v>1153</v>
      </c>
      <c r="C63" s="259">
        <v>11</v>
      </c>
      <c r="D63" s="25" t="s">
        <v>385</v>
      </c>
    </row>
    <row r="64" spans="1:4" x14ac:dyDescent="0.25">
      <c r="A64" s="24" t="s">
        <v>138</v>
      </c>
      <c r="B64" s="24" t="s">
        <v>1153</v>
      </c>
      <c r="C64" s="259">
        <v>12</v>
      </c>
      <c r="D64" s="25" t="s">
        <v>386</v>
      </c>
    </row>
    <row r="65" spans="1:4" x14ac:dyDescent="0.25">
      <c r="A65" s="24" t="s">
        <v>139</v>
      </c>
      <c r="B65" s="24" t="s">
        <v>1153</v>
      </c>
      <c r="C65" s="259">
        <v>13</v>
      </c>
      <c r="D65" s="25" t="s">
        <v>387</v>
      </c>
    </row>
    <row r="66" spans="1:4" x14ac:dyDescent="0.25">
      <c r="A66" s="24" t="s">
        <v>140</v>
      </c>
      <c r="B66" s="24" t="s">
        <v>1153</v>
      </c>
      <c r="C66" s="259">
        <v>14</v>
      </c>
      <c r="D66" s="25" t="s">
        <v>388</v>
      </c>
    </row>
    <row r="67" spans="1:4" x14ac:dyDescent="0.25">
      <c r="A67" s="24" t="s">
        <v>141</v>
      </c>
      <c r="B67" s="24" t="s">
        <v>1153</v>
      </c>
      <c r="C67" s="259">
        <v>15</v>
      </c>
      <c r="D67" s="25" t="s">
        <v>389</v>
      </c>
    </row>
    <row r="68" spans="1:4" x14ac:dyDescent="0.25">
      <c r="A68" s="31" t="s">
        <v>142</v>
      </c>
      <c r="B68" s="31" t="s">
        <v>1153</v>
      </c>
      <c r="C68" s="261">
        <v>16</v>
      </c>
      <c r="D68" s="32" t="s">
        <v>143</v>
      </c>
    </row>
    <row r="69" spans="1:4" x14ac:dyDescent="0.25">
      <c r="A69" s="24" t="s">
        <v>144</v>
      </c>
      <c r="B69" s="24" t="s">
        <v>1153</v>
      </c>
      <c r="C69" s="259">
        <v>17</v>
      </c>
      <c r="D69" s="25" t="s">
        <v>393</v>
      </c>
    </row>
    <row r="70" spans="1:4" x14ac:dyDescent="0.25">
      <c r="A70" s="24" t="s">
        <v>145</v>
      </c>
      <c r="B70" s="24" t="s">
        <v>1153</v>
      </c>
      <c r="C70" s="259">
        <v>18</v>
      </c>
      <c r="D70" s="25" t="s">
        <v>394</v>
      </c>
    </row>
    <row r="71" spans="1:4" x14ac:dyDescent="0.25">
      <c r="A71" s="24" t="s">
        <v>146</v>
      </c>
      <c r="B71" s="24" t="s">
        <v>1153</v>
      </c>
      <c r="C71" s="259">
        <v>19</v>
      </c>
      <c r="D71" s="25" t="s">
        <v>396</v>
      </c>
    </row>
    <row r="72" spans="1:4" x14ac:dyDescent="0.25">
      <c r="A72" s="41" t="s">
        <v>147</v>
      </c>
      <c r="B72" s="41" t="s">
        <v>1153</v>
      </c>
      <c r="C72" s="260">
        <v>20</v>
      </c>
      <c r="D72" s="18" t="s">
        <v>544</v>
      </c>
    </row>
    <row r="73" spans="1:4" x14ac:dyDescent="0.25">
      <c r="A73" s="41" t="s">
        <v>148</v>
      </c>
      <c r="B73" s="41" t="s">
        <v>1153</v>
      </c>
      <c r="C73" s="260">
        <v>21</v>
      </c>
      <c r="D73" s="18" t="s">
        <v>545</v>
      </c>
    </row>
    <row r="74" spans="1:4" x14ac:dyDescent="0.25">
      <c r="A74" s="41" t="s">
        <v>150</v>
      </c>
      <c r="B74" s="41" t="s">
        <v>1153</v>
      </c>
      <c r="C74" s="260">
        <v>22</v>
      </c>
      <c r="D74" s="18" t="s">
        <v>546</v>
      </c>
    </row>
    <row r="75" spans="1:4" x14ac:dyDescent="0.25">
      <c r="A75" s="24" t="s">
        <v>151</v>
      </c>
      <c r="B75" s="24" t="s">
        <v>1153</v>
      </c>
      <c r="C75" s="259">
        <v>23</v>
      </c>
      <c r="D75" s="25" t="s">
        <v>152</v>
      </c>
    </row>
    <row r="76" spans="1:4" x14ac:dyDescent="0.25">
      <c r="A76" s="24" t="s">
        <v>153</v>
      </c>
      <c r="B76" s="24" t="s">
        <v>1153</v>
      </c>
      <c r="C76" s="259">
        <v>24</v>
      </c>
      <c r="D76" s="25" t="s">
        <v>548</v>
      </c>
    </row>
    <row r="77" spans="1:4" x14ac:dyDescent="0.25">
      <c r="A77" s="41" t="s">
        <v>155</v>
      </c>
      <c r="B77" s="41" t="s">
        <v>1153</v>
      </c>
      <c r="C77" s="260">
        <v>25</v>
      </c>
      <c r="D77" s="18" t="s">
        <v>156</v>
      </c>
    </row>
    <row r="78" spans="1:4" x14ac:dyDescent="0.25">
      <c r="A78" s="41" t="s">
        <v>157</v>
      </c>
      <c r="B78" s="41" t="s">
        <v>1153</v>
      </c>
      <c r="C78" s="260">
        <v>26</v>
      </c>
      <c r="D78" s="18" t="s">
        <v>158</v>
      </c>
    </row>
    <row r="79" spans="1:4" x14ac:dyDescent="0.25">
      <c r="A79" s="41" t="s">
        <v>159</v>
      </c>
      <c r="B79" s="41" t="s">
        <v>1153</v>
      </c>
      <c r="C79" s="260">
        <v>27</v>
      </c>
      <c r="D79" s="18" t="s">
        <v>160</v>
      </c>
    </row>
    <row r="80" spans="1:4" x14ac:dyDescent="0.25">
      <c r="A80" s="24" t="s">
        <v>161</v>
      </c>
      <c r="B80" s="24" t="s">
        <v>1153</v>
      </c>
      <c r="C80" s="259">
        <v>28</v>
      </c>
      <c r="D80" s="25" t="s">
        <v>162</v>
      </c>
    </row>
    <row r="81" spans="1:4" x14ac:dyDescent="0.25">
      <c r="A81" s="41" t="s">
        <v>115</v>
      </c>
      <c r="B81" s="41" t="s">
        <v>1154</v>
      </c>
      <c r="C81" s="260">
        <v>1</v>
      </c>
      <c r="D81" s="18" t="s">
        <v>116</v>
      </c>
    </row>
    <row r="82" spans="1:4" x14ac:dyDescent="0.25">
      <c r="A82" s="41" t="s">
        <v>118</v>
      </c>
      <c r="B82" s="41" t="s">
        <v>1154</v>
      </c>
      <c r="C82" s="260">
        <v>2</v>
      </c>
      <c r="D82" s="51" t="s">
        <v>120</v>
      </c>
    </row>
    <row r="83" spans="1:4" x14ac:dyDescent="0.25">
      <c r="A83" s="41" t="s">
        <v>119</v>
      </c>
      <c r="B83" s="41" t="s">
        <v>1154</v>
      </c>
      <c r="C83" s="260">
        <v>3</v>
      </c>
      <c r="D83" s="51" t="s">
        <v>122</v>
      </c>
    </row>
    <row r="84" spans="1:4" x14ac:dyDescent="0.25">
      <c r="A84" s="41" t="s">
        <v>121</v>
      </c>
      <c r="B84" s="41" t="s">
        <v>1154</v>
      </c>
      <c r="C84" s="260">
        <v>4</v>
      </c>
      <c r="D84" s="51" t="s">
        <v>467</v>
      </c>
    </row>
    <row r="85" spans="1:4" x14ac:dyDescent="0.25">
      <c r="A85" s="41" t="s">
        <v>123</v>
      </c>
      <c r="B85" s="41" t="s">
        <v>1154</v>
      </c>
      <c r="C85" s="260">
        <v>5</v>
      </c>
      <c r="D85" s="51" t="s">
        <v>543</v>
      </c>
    </row>
    <row r="86" spans="1:4" x14ac:dyDescent="0.25">
      <c r="A86" s="24" t="s">
        <v>35</v>
      </c>
      <c r="B86" s="24" t="s">
        <v>1155</v>
      </c>
      <c r="C86" s="259">
        <v>1</v>
      </c>
      <c r="D86" s="25" t="s">
        <v>500</v>
      </c>
    </row>
    <row r="87" spans="1:4" x14ac:dyDescent="0.25">
      <c r="A87" s="24" t="s">
        <v>36</v>
      </c>
      <c r="B87" s="24" t="s">
        <v>1155</v>
      </c>
      <c r="C87" s="259">
        <v>2</v>
      </c>
      <c r="D87" s="25" t="s">
        <v>501</v>
      </c>
    </row>
    <row r="88" spans="1:4" x14ac:dyDescent="0.25">
      <c r="A88" s="24" t="s">
        <v>37</v>
      </c>
      <c r="B88" s="24" t="s">
        <v>1155</v>
      </c>
      <c r="C88" s="259">
        <v>3</v>
      </c>
      <c r="D88" s="25" t="s">
        <v>38</v>
      </c>
    </row>
    <row r="89" spans="1:4" x14ac:dyDescent="0.25">
      <c r="A89" s="31" t="s">
        <v>39</v>
      </c>
      <c r="B89" s="31" t="s">
        <v>1155</v>
      </c>
      <c r="C89" s="261">
        <v>4</v>
      </c>
      <c r="D89" s="32" t="s">
        <v>502</v>
      </c>
    </row>
    <row r="90" spans="1:4" x14ac:dyDescent="0.25">
      <c r="A90" s="24" t="s">
        <v>41</v>
      </c>
      <c r="B90" s="24" t="s">
        <v>1155</v>
      </c>
      <c r="C90" s="259">
        <v>5</v>
      </c>
      <c r="D90" s="25" t="s">
        <v>504</v>
      </c>
    </row>
    <row r="91" spans="1:4" x14ac:dyDescent="0.25">
      <c r="A91" s="24" t="s">
        <v>42</v>
      </c>
      <c r="B91" s="24" t="s">
        <v>1155</v>
      </c>
      <c r="C91" s="259">
        <v>6</v>
      </c>
      <c r="D91" s="25" t="s">
        <v>43</v>
      </c>
    </row>
    <row r="92" spans="1:4" x14ac:dyDescent="0.25">
      <c r="A92" s="24" t="s">
        <v>44</v>
      </c>
      <c r="B92" s="24" t="s">
        <v>1155</v>
      </c>
      <c r="C92" s="259">
        <v>7</v>
      </c>
      <c r="D92" s="25" t="s">
        <v>505</v>
      </c>
    </row>
    <row r="93" spans="1:4" x14ac:dyDescent="0.25">
      <c r="A93" s="24" t="s">
        <v>45</v>
      </c>
      <c r="B93" s="24" t="s">
        <v>1155</v>
      </c>
      <c r="C93" s="259">
        <v>8</v>
      </c>
      <c r="D93" s="25" t="s">
        <v>313</v>
      </c>
    </row>
    <row r="94" spans="1:4" x14ac:dyDescent="0.25">
      <c r="A94" s="24" t="s">
        <v>47</v>
      </c>
      <c r="B94" s="24" t="s">
        <v>1155</v>
      </c>
      <c r="C94" s="259">
        <v>9</v>
      </c>
      <c r="D94" s="25" t="s">
        <v>325</v>
      </c>
    </row>
    <row r="95" spans="1:4" x14ac:dyDescent="0.25">
      <c r="A95" s="24" t="s">
        <v>48</v>
      </c>
      <c r="B95" s="24" t="s">
        <v>1155</v>
      </c>
      <c r="C95" s="259">
        <v>10</v>
      </c>
      <c r="D95" s="25" t="s">
        <v>327</v>
      </c>
    </row>
    <row r="96" spans="1:4" x14ac:dyDescent="0.25">
      <c r="A96" s="24" t="s">
        <v>49</v>
      </c>
      <c r="B96" s="24" t="s">
        <v>1155</v>
      </c>
      <c r="C96" s="259">
        <v>11</v>
      </c>
      <c r="D96" s="25" t="s">
        <v>329</v>
      </c>
    </row>
    <row r="97" spans="1:4" x14ac:dyDescent="0.25">
      <c r="A97" s="24" t="s">
        <v>50</v>
      </c>
      <c r="B97" s="24" t="s">
        <v>1155</v>
      </c>
      <c r="C97" s="259">
        <v>12</v>
      </c>
      <c r="D97" s="25" t="s">
        <v>331</v>
      </c>
    </row>
    <row r="98" spans="1:4" x14ac:dyDescent="0.25">
      <c r="A98" s="24" t="s">
        <v>51</v>
      </c>
      <c r="B98" s="24" t="s">
        <v>1155</v>
      </c>
      <c r="C98" s="259">
        <v>13</v>
      </c>
      <c r="D98" s="25" t="s">
        <v>332</v>
      </c>
    </row>
    <row r="99" spans="1:4" x14ac:dyDescent="0.25">
      <c r="A99" s="24" t="s">
        <v>52</v>
      </c>
      <c r="B99" s="24" t="s">
        <v>1155</v>
      </c>
      <c r="C99" s="259">
        <v>14</v>
      </c>
      <c r="D99" s="25" t="s">
        <v>334</v>
      </c>
    </row>
    <row r="100" spans="1:4" x14ac:dyDescent="0.25">
      <c r="A100" s="24" t="s">
        <v>53</v>
      </c>
      <c r="B100" s="24" t="s">
        <v>1155</v>
      </c>
      <c r="C100" s="259">
        <v>15</v>
      </c>
      <c r="D100" s="25" t="s">
        <v>336</v>
      </c>
    </row>
    <row r="101" spans="1:4" x14ac:dyDescent="0.25">
      <c r="A101" s="24" t="s">
        <v>54</v>
      </c>
      <c r="B101" s="24" t="s">
        <v>1155</v>
      </c>
      <c r="C101" s="259">
        <v>16</v>
      </c>
      <c r="D101" s="25" t="s">
        <v>67</v>
      </c>
    </row>
    <row r="102" spans="1:4" x14ac:dyDescent="0.25">
      <c r="A102" s="24" t="s">
        <v>55</v>
      </c>
      <c r="B102" s="24" t="s">
        <v>1155</v>
      </c>
      <c r="C102" s="259">
        <v>17</v>
      </c>
      <c r="D102" s="25" t="s">
        <v>56</v>
      </c>
    </row>
    <row r="103" spans="1:4" x14ac:dyDescent="0.25">
      <c r="A103" s="24" t="s">
        <v>164</v>
      </c>
      <c r="B103" s="24" t="s">
        <v>1156</v>
      </c>
      <c r="C103" s="259">
        <v>1</v>
      </c>
      <c r="D103" s="25" t="s">
        <v>549</v>
      </c>
    </row>
    <row r="104" spans="1:4" x14ac:dyDescent="0.25">
      <c r="A104" s="24" t="s">
        <v>165</v>
      </c>
      <c r="B104" s="24" t="s">
        <v>1156</v>
      </c>
      <c r="C104" s="259">
        <v>2</v>
      </c>
      <c r="D104" s="25" t="s">
        <v>550</v>
      </c>
    </row>
    <row r="105" spans="1:4" x14ac:dyDescent="0.25">
      <c r="A105" s="24" t="s">
        <v>166</v>
      </c>
      <c r="B105" s="24" t="s">
        <v>1156</v>
      </c>
      <c r="C105" s="259">
        <v>3</v>
      </c>
      <c r="D105" s="25" t="s">
        <v>551</v>
      </c>
    </row>
    <row r="106" spans="1:4" x14ac:dyDescent="0.25">
      <c r="A106" s="24" t="s">
        <v>167</v>
      </c>
      <c r="B106" s="24" t="s">
        <v>1156</v>
      </c>
      <c r="C106" s="259">
        <v>4</v>
      </c>
      <c r="D106" s="25" t="s">
        <v>552</v>
      </c>
    </row>
    <row r="107" spans="1:4" x14ac:dyDescent="0.25">
      <c r="A107" s="24" t="s">
        <v>168</v>
      </c>
      <c r="B107" s="24" t="s">
        <v>1156</v>
      </c>
      <c r="C107" s="259">
        <v>5</v>
      </c>
      <c r="D107" s="25" t="s">
        <v>170</v>
      </c>
    </row>
    <row r="108" spans="1:4" x14ac:dyDescent="0.25">
      <c r="A108" s="24" t="s">
        <v>169</v>
      </c>
      <c r="B108" s="24" t="s">
        <v>1156</v>
      </c>
      <c r="C108" s="259">
        <v>6</v>
      </c>
      <c r="D108" s="25" t="s">
        <v>172</v>
      </c>
    </row>
    <row r="109" spans="1:4" x14ac:dyDescent="0.25">
      <c r="A109" s="24" t="s">
        <v>171</v>
      </c>
      <c r="B109" s="24" t="s">
        <v>1156</v>
      </c>
      <c r="C109" s="259">
        <v>7</v>
      </c>
      <c r="D109" s="25" t="s">
        <v>175</v>
      </c>
    </row>
    <row r="110" spans="1:4" x14ac:dyDescent="0.25">
      <c r="A110" s="24" t="s">
        <v>174</v>
      </c>
      <c r="B110" s="24" t="s">
        <v>1156</v>
      </c>
      <c r="C110" s="259">
        <v>8</v>
      </c>
      <c r="D110" s="25" t="s">
        <v>177</v>
      </c>
    </row>
    <row r="111" spans="1:4" x14ac:dyDescent="0.25">
      <c r="A111" s="24" t="s">
        <v>176</v>
      </c>
      <c r="B111" s="24" t="s">
        <v>1156</v>
      </c>
      <c r="C111" s="259">
        <v>9</v>
      </c>
      <c r="D111" s="25" t="s">
        <v>179</v>
      </c>
    </row>
    <row r="112" spans="1:4" x14ac:dyDescent="0.25">
      <c r="A112" s="24" t="s">
        <v>178</v>
      </c>
      <c r="B112" s="24" t="s">
        <v>1156</v>
      </c>
      <c r="C112" s="259">
        <v>10</v>
      </c>
      <c r="D112" s="25" t="s">
        <v>127</v>
      </c>
    </row>
    <row r="113" spans="1:4" x14ac:dyDescent="0.25">
      <c r="A113" s="24" t="s">
        <v>180</v>
      </c>
      <c r="B113" s="24" t="s">
        <v>1156</v>
      </c>
      <c r="C113" s="259">
        <v>11</v>
      </c>
      <c r="D113" s="25" t="s">
        <v>127</v>
      </c>
    </row>
    <row r="114" spans="1:4" x14ac:dyDescent="0.25">
      <c r="A114" s="24" t="s">
        <v>181</v>
      </c>
      <c r="B114" s="24" t="s">
        <v>1156</v>
      </c>
      <c r="C114" s="259">
        <v>12</v>
      </c>
      <c r="D114" s="25" t="s">
        <v>183</v>
      </c>
    </row>
    <row r="115" spans="1:4" x14ac:dyDescent="0.25">
      <c r="A115" s="24" t="s">
        <v>182</v>
      </c>
      <c r="B115" s="24" t="s">
        <v>1156</v>
      </c>
      <c r="C115" s="259">
        <v>13</v>
      </c>
      <c r="D115" s="25" t="s">
        <v>186</v>
      </c>
    </row>
    <row r="116" spans="1:4" x14ac:dyDescent="0.25">
      <c r="A116" s="24" t="s">
        <v>185</v>
      </c>
      <c r="B116" s="24" t="s">
        <v>1156</v>
      </c>
      <c r="C116" s="259">
        <v>14</v>
      </c>
      <c r="D116" s="25" t="s">
        <v>553</v>
      </c>
    </row>
    <row r="117" spans="1:4" x14ac:dyDescent="0.25">
      <c r="A117" s="24" t="s">
        <v>187</v>
      </c>
      <c r="B117" s="24" t="s">
        <v>1156</v>
      </c>
      <c r="C117" s="259">
        <v>15</v>
      </c>
      <c r="D117" s="25" t="s">
        <v>189</v>
      </c>
    </row>
    <row r="118" spans="1:4" x14ac:dyDescent="0.25">
      <c r="A118" s="24" t="s">
        <v>188</v>
      </c>
      <c r="B118" s="24" t="s">
        <v>1156</v>
      </c>
      <c r="C118" s="259">
        <v>16</v>
      </c>
      <c r="D118" s="25" t="s">
        <v>191</v>
      </c>
    </row>
    <row r="119" spans="1:4" x14ac:dyDescent="0.25">
      <c r="A119" s="24" t="s">
        <v>190</v>
      </c>
      <c r="B119" s="24" t="s">
        <v>1156</v>
      </c>
      <c r="C119" s="259">
        <v>17</v>
      </c>
      <c r="D119" s="25" t="s">
        <v>193</v>
      </c>
    </row>
    <row r="120" spans="1:4" x14ac:dyDescent="0.25">
      <c r="A120" s="24" t="s">
        <v>192</v>
      </c>
      <c r="B120" s="24" t="s">
        <v>1156</v>
      </c>
      <c r="C120" s="259">
        <v>18</v>
      </c>
      <c r="D120" s="25" t="s">
        <v>195</v>
      </c>
    </row>
    <row r="121" spans="1:4" x14ac:dyDescent="0.25">
      <c r="A121" s="24" t="s">
        <v>194</v>
      </c>
      <c r="B121" s="24" t="s">
        <v>1156</v>
      </c>
      <c r="C121" s="259">
        <v>19</v>
      </c>
      <c r="D121" s="25" t="s">
        <v>197</v>
      </c>
    </row>
    <row r="122" spans="1:4" x14ac:dyDescent="0.25">
      <c r="A122" s="24" t="s">
        <v>196</v>
      </c>
      <c r="B122" s="24" t="s">
        <v>1156</v>
      </c>
      <c r="C122" s="259">
        <v>20</v>
      </c>
      <c r="D122" s="25" t="s">
        <v>554</v>
      </c>
    </row>
    <row r="123" spans="1:4" x14ac:dyDescent="0.25">
      <c r="A123" s="24" t="s">
        <v>198</v>
      </c>
      <c r="B123" s="24" t="s">
        <v>1156</v>
      </c>
      <c r="C123" s="259">
        <v>21</v>
      </c>
      <c r="D123" s="25" t="s">
        <v>67</v>
      </c>
    </row>
    <row r="124" spans="1:4" x14ac:dyDescent="0.25">
      <c r="A124" s="24" t="s">
        <v>199</v>
      </c>
      <c r="B124" s="24" t="s">
        <v>1156</v>
      </c>
      <c r="C124" s="259">
        <v>22</v>
      </c>
      <c r="D124" s="25" t="s">
        <v>201</v>
      </c>
    </row>
    <row r="125" spans="1:4" x14ac:dyDescent="0.25">
      <c r="A125" s="24" t="s">
        <v>200</v>
      </c>
      <c r="B125" s="24" t="s">
        <v>1156</v>
      </c>
      <c r="C125" s="259">
        <v>23</v>
      </c>
      <c r="D125" s="25" t="s">
        <v>203</v>
      </c>
    </row>
    <row r="126" spans="1:4" x14ac:dyDescent="0.25">
      <c r="A126" s="24" t="s">
        <v>202</v>
      </c>
      <c r="B126" s="24" t="s">
        <v>1156</v>
      </c>
      <c r="C126" s="259">
        <v>24</v>
      </c>
      <c r="D126" s="25" t="s">
        <v>205</v>
      </c>
    </row>
    <row r="127" spans="1:4" x14ac:dyDescent="0.25">
      <c r="A127" s="24" t="s">
        <v>204</v>
      </c>
      <c r="B127" s="24" t="s">
        <v>1156</v>
      </c>
      <c r="C127" s="259">
        <v>25</v>
      </c>
      <c r="D127" s="25" t="s">
        <v>207</v>
      </c>
    </row>
    <row r="128" spans="1:4" x14ac:dyDescent="0.25">
      <c r="A128" s="24" t="s">
        <v>206</v>
      </c>
      <c r="B128" s="24" t="s">
        <v>1156</v>
      </c>
      <c r="C128" s="259">
        <v>26</v>
      </c>
      <c r="D128" s="25" t="s">
        <v>209</v>
      </c>
    </row>
    <row r="129" spans="1:4" x14ac:dyDescent="0.25">
      <c r="A129" s="24" t="s">
        <v>208</v>
      </c>
      <c r="B129" s="24" t="s">
        <v>1156</v>
      </c>
      <c r="C129" s="259">
        <v>27</v>
      </c>
      <c r="D129" s="25" t="s">
        <v>211</v>
      </c>
    </row>
    <row r="130" spans="1:4" x14ac:dyDescent="0.25">
      <c r="A130" s="24" t="s">
        <v>210</v>
      </c>
      <c r="B130" s="24" t="s">
        <v>1156</v>
      </c>
      <c r="C130" s="259">
        <v>28</v>
      </c>
      <c r="D130" s="25" t="s">
        <v>213</v>
      </c>
    </row>
    <row r="131" spans="1:4" x14ac:dyDescent="0.25">
      <c r="A131" s="24" t="s">
        <v>212</v>
      </c>
      <c r="B131" s="24" t="s">
        <v>1156</v>
      </c>
      <c r="C131" s="259">
        <v>29</v>
      </c>
      <c r="D131" s="25" t="s">
        <v>215</v>
      </c>
    </row>
    <row r="132" spans="1:4" x14ac:dyDescent="0.25">
      <c r="A132" s="24" t="s">
        <v>214</v>
      </c>
      <c r="B132" s="24" t="s">
        <v>1156</v>
      </c>
      <c r="C132" s="259">
        <v>30</v>
      </c>
      <c r="D132" s="25" t="s">
        <v>217</v>
      </c>
    </row>
    <row r="133" spans="1:4" x14ac:dyDescent="0.25">
      <c r="A133" s="24" t="s">
        <v>216</v>
      </c>
      <c r="B133" s="24" t="s">
        <v>1156</v>
      </c>
      <c r="C133" s="259">
        <v>31</v>
      </c>
      <c r="D133" s="25" t="s">
        <v>219</v>
      </c>
    </row>
    <row r="134" spans="1:4" x14ac:dyDescent="0.25">
      <c r="A134" s="24" t="s">
        <v>218</v>
      </c>
      <c r="B134" s="24" t="s">
        <v>1156</v>
      </c>
      <c r="C134" s="259">
        <v>32</v>
      </c>
      <c r="D134" s="25" t="s">
        <v>220</v>
      </c>
    </row>
    <row r="135" spans="1:4" x14ac:dyDescent="0.25">
      <c r="A135" s="24" t="s">
        <v>223</v>
      </c>
      <c r="B135" s="24" t="s">
        <v>1157</v>
      </c>
      <c r="C135" s="259">
        <v>1</v>
      </c>
      <c r="D135" s="25" t="s">
        <v>23</v>
      </c>
    </row>
    <row r="136" spans="1:4" x14ac:dyDescent="0.25">
      <c r="A136" s="24" t="s">
        <v>224</v>
      </c>
      <c r="B136" s="24" t="s">
        <v>1157</v>
      </c>
      <c r="C136" s="259">
        <v>2</v>
      </c>
      <c r="D136" s="25" t="s">
        <v>23</v>
      </c>
    </row>
    <row r="137" spans="1:4" x14ac:dyDescent="0.25">
      <c r="A137" s="24" t="s">
        <v>225</v>
      </c>
      <c r="B137" s="24" t="s">
        <v>1157</v>
      </c>
      <c r="C137" s="259">
        <v>3</v>
      </c>
      <c r="D137" s="25" t="s">
        <v>23</v>
      </c>
    </row>
    <row r="138" spans="1:4" x14ac:dyDescent="0.25">
      <c r="A138" s="41" t="s">
        <v>226</v>
      </c>
      <c r="B138" s="41" t="s">
        <v>1157</v>
      </c>
      <c r="C138" s="260">
        <v>4</v>
      </c>
      <c r="D138" s="18" t="s">
        <v>227</v>
      </c>
    </row>
    <row r="139" spans="1:4" x14ac:dyDescent="0.25">
      <c r="A139" s="31" t="s">
        <v>58</v>
      </c>
      <c r="B139" s="31" t="s">
        <v>1158</v>
      </c>
      <c r="C139" s="261">
        <v>1</v>
      </c>
      <c r="D139" s="32" t="s">
        <v>59</v>
      </c>
    </row>
    <row r="140" spans="1:4" x14ac:dyDescent="0.25">
      <c r="A140" s="24" t="s">
        <v>62</v>
      </c>
      <c r="B140" s="24" t="s">
        <v>1158</v>
      </c>
      <c r="C140" s="259">
        <v>2</v>
      </c>
      <c r="D140" s="25" t="s">
        <v>506</v>
      </c>
    </row>
    <row r="141" spans="1:4" x14ac:dyDescent="0.25">
      <c r="A141" s="266" t="s">
        <v>229</v>
      </c>
      <c r="B141" s="266" t="s">
        <v>274</v>
      </c>
      <c r="C141" s="269">
        <v>1</v>
      </c>
      <c r="D141" s="267" t="s">
        <v>230</v>
      </c>
    </row>
    <row r="142" spans="1:4" x14ac:dyDescent="0.25">
      <c r="A142" s="266" t="s">
        <v>233</v>
      </c>
      <c r="B142" s="266" t="s">
        <v>274</v>
      </c>
      <c r="C142" s="269">
        <v>2</v>
      </c>
      <c r="D142" s="267" t="s">
        <v>234</v>
      </c>
    </row>
    <row r="143" spans="1:4" x14ac:dyDescent="0.25">
      <c r="A143" s="266" t="s">
        <v>235</v>
      </c>
      <c r="B143" s="266" t="s">
        <v>274</v>
      </c>
      <c r="C143" s="269">
        <v>3</v>
      </c>
      <c r="D143" s="267" t="s">
        <v>236</v>
      </c>
    </row>
    <row r="144" spans="1:4" x14ac:dyDescent="0.25">
      <c r="A144" s="24" t="s">
        <v>237</v>
      </c>
      <c r="B144" s="24" t="s">
        <v>274</v>
      </c>
      <c r="C144" s="259">
        <v>4</v>
      </c>
      <c r="D144" s="25" t="s">
        <v>238</v>
      </c>
    </row>
    <row r="145" spans="1:4" x14ac:dyDescent="0.25">
      <c r="A145" s="24" t="s">
        <v>240</v>
      </c>
      <c r="B145" s="24" t="s">
        <v>274</v>
      </c>
      <c r="C145" s="259">
        <v>5</v>
      </c>
      <c r="D145" s="18" t="s">
        <v>242</v>
      </c>
    </row>
    <row r="146" spans="1:4" x14ac:dyDescent="0.25">
      <c r="A146" s="266" t="s">
        <v>241</v>
      </c>
      <c r="B146" s="266" t="s">
        <v>274</v>
      </c>
      <c r="C146" s="269">
        <v>6</v>
      </c>
      <c r="D146" s="267" t="s">
        <v>487</v>
      </c>
    </row>
    <row r="147" spans="1:4" x14ac:dyDescent="0.25">
      <c r="A147" s="266" t="s">
        <v>243</v>
      </c>
      <c r="B147" s="266" t="s">
        <v>274</v>
      </c>
      <c r="C147" s="269">
        <v>7</v>
      </c>
      <c r="D147" s="267" t="s">
        <v>488</v>
      </c>
    </row>
    <row r="148" spans="1:4" x14ac:dyDescent="0.25">
      <c r="A148" s="24" t="s">
        <v>246</v>
      </c>
      <c r="B148" s="24" t="s">
        <v>274</v>
      </c>
      <c r="C148" s="259">
        <v>8</v>
      </c>
      <c r="D148" s="18" t="s">
        <v>489</v>
      </c>
    </row>
    <row r="149" spans="1:4" x14ac:dyDescent="0.25">
      <c r="A149" s="41" t="s">
        <v>248</v>
      </c>
      <c r="B149" s="41" t="s">
        <v>274</v>
      </c>
      <c r="C149" s="260">
        <v>9</v>
      </c>
      <c r="D149" s="18" t="s">
        <v>490</v>
      </c>
    </row>
    <row r="150" spans="1:4" x14ac:dyDescent="0.25">
      <c r="A150" s="41" t="s">
        <v>250</v>
      </c>
      <c r="B150" s="41" t="s">
        <v>274</v>
      </c>
      <c r="C150" s="260">
        <v>10</v>
      </c>
      <c r="D150" s="18" t="s">
        <v>252</v>
      </c>
    </row>
    <row r="151" spans="1:4" x14ac:dyDescent="0.25">
      <c r="A151" s="41" t="s">
        <v>251</v>
      </c>
      <c r="B151" s="41" t="s">
        <v>274</v>
      </c>
      <c r="C151" s="260">
        <v>11</v>
      </c>
      <c r="D151" s="18" t="s">
        <v>255</v>
      </c>
    </row>
    <row r="152" spans="1:4" x14ac:dyDescent="0.25">
      <c r="A152" s="41" t="s">
        <v>254</v>
      </c>
      <c r="B152" s="41" t="s">
        <v>274</v>
      </c>
      <c r="C152" s="260">
        <v>12</v>
      </c>
      <c r="D152" s="18" t="s">
        <v>257</v>
      </c>
    </row>
    <row r="153" spans="1:4" x14ac:dyDescent="0.25">
      <c r="A153" s="41" t="s">
        <v>256</v>
      </c>
      <c r="B153" s="41" t="s">
        <v>274</v>
      </c>
      <c r="C153" s="260">
        <v>13</v>
      </c>
      <c r="D153" s="18" t="s">
        <v>259</v>
      </c>
    </row>
    <row r="154" spans="1:4" x14ac:dyDescent="0.25">
      <c r="A154" s="41" t="s">
        <v>258</v>
      </c>
      <c r="B154" s="41" t="s">
        <v>274</v>
      </c>
      <c r="C154" s="260">
        <v>14</v>
      </c>
      <c r="D154" s="18" t="s">
        <v>261</v>
      </c>
    </row>
    <row r="155" spans="1:4" x14ac:dyDescent="0.25">
      <c r="A155" s="266" t="s">
        <v>260</v>
      </c>
      <c r="B155" s="266" t="s">
        <v>274</v>
      </c>
      <c r="C155" s="269">
        <v>15</v>
      </c>
      <c r="D155" s="267" t="s">
        <v>261</v>
      </c>
    </row>
    <row r="156" spans="1:4" x14ac:dyDescent="0.25">
      <c r="A156" s="41" t="s">
        <v>262</v>
      </c>
      <c r="B156" s="41" t="s">
        <v>274</v>
      </c>
      <c r="C156" s="260">
        <v>16</v>
      </c>
      <c r="D156" s="18" t="s">
        <v>263</v>
      </c>
    </row>
    <row r="157" spans="1:4" x14ac:dyDescent="0.25">
      <c r="A157" s="41" t="s">
        <v>264</v>
      </c>
      <c r="B157" s="41" t="s">
        <v>274</v>
      </c>
      <c r="C157" s="260">
        <v>17</v>
      </c>
      <c r="D157" s="18" t="s">
        <v>265</v>
      </c>
    </row>
    <row r="158" spans="1:4" x14ac:dyDescent="0.25">
      <c r="A158" s="41" t="s">
        <v>266</v>
      </c>
      <c r="B158" s="41" t="s">
        <v>274</v>
      </c>
      <c r="C158" s="260">
        <v>18</v>
      </c>
      <c r="D158" s="18" t="s">
        <v>267</v>
      </c>
    </row>
    <row r="159" spans="1:4" x14ac:dyDescent="0.25">
      <c r="A159" s="41" t="s">
        <v>268</v>
      </c>
      <c r="B159" s="41" t="s">
        <v>274</v>
      </c>
      <c r="C159" s="260">
        <v>19</v>
      </c>
      <c r="D159" s="18" t="s">
        <v>269</v>
      </c>
    </row>
    <row r="160" spans="1:4" x14ac:dyDescent="0.25">
      <c r="A160" s="41" t="s">
        <v>270</v>
      </c>
      <c r="B160" s="41" t="s">
        <v>274</v>
      </c>
      <c r="C160" s="260">
        <v>20</v>
      </c>
      <c r="D160" s="18" t="s">
        <v>271</v>
      </c>
    </row>
    <row r="161" spans="1:4" x14ac:dyDescent="0.25">
      <c r="A161" s="41" t="s">
        <v>272</v>
      </c>
      <c r="B161" s="41" t="s">
        <v>274</v>
      </c>
      <c r="C161" s="260">
        <v>21</v>
      </c>
      <c r="D161" s="18" t="s">
        <v>273</v>
      </c>
    </row>
    <row r="162" spans="1:4" x14ac:dyDescent="0.25">
      <c r="A162" s="41" t="s">
        <v>589</v>
      </c>
      <c r="B162" s="41" t="s">
        <v>274</v>
      </c>
      <c r="C162" s="291">
        <v>22</v>
      </c>
      <c r="D162" s="57" t="s">
        <v>590</v>
      </c>
    </row>
    <row r="163" spans="1:4" ht="15.75" thickBot="1" x14ac:dyDescent="0.3">
      <c r="A163" s="60" t="s">
        <v>275</v>
      </c>
      <c r="B163" s="60" t="s">
        <v>1159</v>
      </c>
      <c r="C163" s="262">
        <v>1</v>
      </c>
      <c r="D163" s="61" t="s">
        <v>555</v>
      </c>
    </row>
    <row r="164" spans="1:4" ht="15.75" thickTop="1" x14ac:dyDescent="0.25"/>
  </sheetData>
  <sortState ref="A2:D166">
    <sortCondition ref="B2:B166"/>
    <sortCondition ref="C2:C166"/>
  </sortState>
  <pageMargins left="0.7" right="0.7" top="0.75" bottom="0.75" header="0.3" footer="0.3"/>
  <pageSetup orientation="portrait" r:id="rId1"/>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G12"/>
  <sheetViews>
    <sheetView workbookViewId="0">
      <selection activeCell="M22" sqref="M22"/>
    </sheetView>
  </sheetViews>
  <sheetFormatPr defaultRowHeight="15" x14ac:dyDescent="0.25"/>
  <cols>
    <col min="1" max="1" width="24.85546875" customWidth="1"/>
    <col min="2" max="3" width="10.7109375" customWidth="1"/>
    <col min="6" max="6" width="9.42578125" bestFit="1" customWidth="1"/>
  </cols>
  <sheetData>
    <row r="1" spans="1:7" ht="52.5" thickTop="1" thickBot="1" x14ac:dyDescent="0.3">
      <c r="A1" s="112" t="s">
        <v>785</v>
      </c>
      <c r="B1" s="172" t="s">
        <v>1395</v>
      </c>
      <c r="C1" s="172" t="s">
        <v>1396</v>
      </c>
      <c r="D1" s="172" t="s">
        <v>787</v>
      </c>
      <c r="E1" s="172" t="s">
        <v>802</v>
      </c>
      <c r="F1" s="172" t="s">
        <v>1229</v>
      </c>
      <c r="G1" s="172" t="s">
        <v>787</v>
      </c>
    </row>
    <row r="2" spans="1:7" ht="16.5" thickTop="1" thickBot="1" x14ac:dyDescent="0.3">
      <c r="A2" s="125" t="s">
        <v>789</v>
      </c>
      <c r="B2" s="168">
        <v>26.5</v>
      </c>
      <c r="C2" s="290">
        <f>B2*1000</f>
        <v>26500</v>
      </c>
      <c r="D2" s="173">
        <v>5.1999999999999998E-2</v>
      </c>
      <c r="E2" s="168">
        <v>36.700000000000003</v>
      </c>
      <c r="F2" s="290">
        <f>E2*1000</f>
        <v>36700</v>
      </c>
      <c r="G2" s="173">
        <v>6.9000000000000006E-2</v>
      </c>
    </row>
    <row r="3" spans="1:7" ht="15.75" thickBot="1" x14ac:dyDescent="0.3">
      <c r="A3" s="125" t="s">
        <v>102</v>
      </c>
      <c r="B3" s="168">
        <v>70.3</v>
      </c>
      <c r="C3" s="290">
        <f t="shared" ref="C3:C11" si="0">B3*1000</f>
        <v>70300</v>
      </c>
      <c r="D3" s="173">
        <v>0.13700000000000001</v>
      </c>
      <c r="E3" s="168">
        <v>47.6</v>
      </c>
      <c r="F3" s="290">
        <f t="shared" ref="F3:F11" si="1">E3*1000</f>
        <v>47600</v>
      </c>
      <c r="G3" s="173">
        <v>8.8999999999999996E-2</v>
      </c>
    </row>
    <row r="4" spans="1:7" ht="15.75" thickBot="1" x14ac:dyDescent="0.3">
      <c r="A4" s="125" t="s">
        <v>104</v>
      </c>
      <c r="B4" s="168">
        <v>103</v>
      </c>
      <c r="C4" s="290">
        <f t="shared" si="0"/>
        <v>103000</v>
      </c>
      <c r="D4" s="173">
        <v>0.20100000000000001</v>
      </c>
      <c r="E4" s="168">
        <v>105.8</v>
      </c>
      <c r="F4" s="290">
        <f t="shared" si="1"/>
        <v>105800</v>
      </c>
      <c r="G4" s="173">
        <v>0.19800000000000001</v>
      </c>
    </row>
    <row r="5" spans="1:7" ht="15.75" thickBot="1" x14ac:dyDescent="0.3">
      <c r="A5" s="125" t="s">
        <v>9</v>
      </c>
      <c r="B5" s="168">
        <v>34.799999999999997</v>
      </c>
      <c r="C5" s="290">
        <f t="shared" si="0"/>
        <v>34800</v>
      </c>
      <c r="D5" s="173">
        <v>6.8000000000000005E-2</v>
      </c>
      <c r="E5" s="168">
        <v>31.8</v>
      </c>
      <c r="F5" s="290">
        <f t="shared" si="1"/>
        <v>31800</v>
      </c>
      <c r="G5" s="173">
        <v>0.06</v>
      </c>
    </row>
    <row r="6" spans="1:7" ht="15.75" thickBot="1" x14ac:dyDescent="0.3">
      <c r="A6" s="125" t="s">
        <v>107</v>
      </c>
      <c r="B6" s="168">
        <v>62</v>
      </c>
      <c r="C6" s="290">
        <f t="shared" si="0"/>
        <v>62000</v>
      </c>
      <c r="D6" s="173">
        <v>0.121</v>
      </c>
      <c r="E6" s="168">
        <v>96.5</v>
      </c>
      <c r="F6" s="290">
        <f t="shared" si="1"/>
        <v>96500</v>
      </c>
      <c r="G6" s="173">
        <v>0.18099999999999999</v>
      </c>
    </row>
    <row r="7" spans="1:7" ht="15.75" thickBot="1" x14ac:dyDescent="0.3">
      <c r="A7" s="125" t="s">
        <v>790</v>
      </c>
      <c r="B7" s="168">
        <v>19.7</v>
      </c>
      <c r="C7" s="290">
        <f t="shared" si="0"/>
        <v>19700</v>
      </c>
      <c r="D7" s="173">
        <v>3.7999999999999999E-2</v>
      </c>
      <c r="E7" s="168">
        <v>29</v>
      </c>
      <c r="F7" s="290">
        <f t="shared" si="1"/>
        <v>29000</v>
      </c>
      <c r="G7" s="173">
        <v>5.3999999999999999E-2</v>
      </c>
    </row>
    <row r="8" spans="1:7" ht="15.75" thickBot="1" x14ac:dyDescent="0.3">
      <c r="A8" s="125" t="s">
        <v>642</v>
      </c>
      <c r="B8" s="168">
        <v>98.9</v>
      </c>
      <c r="C8" s="290">
        <f t="shared" si="0"/>
        <v>98900</v>
      </c>
      <c r="D8" s="173">
        <v>0.193</v>
      </c>
      <c r="E8" s="168">
        <v>137</v>
      </c>
      <c r="F8" s="290">
        <f t="shared" si="1"/>
        <v>137000</v>
      </c>
      <c r="G8" s="173">
        <v>0.25700000000000001</v>
      </c>
    </row>
    <row r="9" spans="1:7" ht="15.75" thickBot="1" x14ac:dyDescent="0.3">
      <c r="A9" s="125" t="s">
        <v>19</v>
      </c>
      <c r="B9" s="168">
        <v>87.5</v>
      </c>
      <c r="C9" s="290">
        <f t="shared" si="0"/>
        <v>87500</v>
      </c>
      <c r="D9" s="173">
        <v>0.17100000000000001</v>
      </c>
      <c r="E9" s="168">
        <v>48.7</v>
      </c>
      <c r="F9" s="290">
        <f t="shared" si="1"/>
        <v>48700</v>
      </c>
      <c r="G9" s="173">
        <v>9.0999999999999998E-2</v>
      </c>
    </row>
    <row r="10" spans="1:7" ht="15.75" thickBot="1" x14ac:dyDescent="0.3">
      <c r="A10" s="125" t="s">
        <v>791</v>
      </c>
      <c r="B10" s="168">
        <v>9.8000000000000007</v>
      </c>
      <c r="C10" s="290">
        <f t="shared" si="0"/>
        <v>9800</v>
      </c>
      <c r="D10" s="173">
        <v>1.9E-2</v>
      </c>
      <c r="E10" s="168">
        <v>0.4</v>
      </c>
      <c r="F10" s="290">
        <f t="shared" si="1"/>
        <v>400</v>
      </c>
      <c r="G10" s="173">
        <v>1E-3</v>
      </c>
    </row>
    <row r="11" spans="1:7" ht="15.75" thickBot="1" x14ac:dyDescent="0.3">
      <c r="A11" s="131" t="s">
        <v>784</v>
      </c>
      <c r="B11" s="174">
        <v>512</v>
      </c>
      <c r="C11" s="175">
        <f t="shared" si="0"/>
        <v>512000</v>
      </c>
      <c r="D11" s="176">
        <v>1</v>
      </c>
      <c r="E11" s="174">
        <v>534</v>
      </c>
      <c r="F11" s="175">
        <f t="shared" si="1"/>
        <v>534000</v>
      </c>
      <c r="G11" s="176">
        <v>1</v>
      </c>
    </row>
    <row r="12" spans="1:7" ht="15.75" thickTop="1" x14ac:dyDescent="0.25"/>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D11"/>
  <sheetViews>
    <sheetView workbookViewId="0">
      <selection activeCell="G15" sqref="G15"/>
    </sheetView>
  </sheetViews>
  <sheetFormatPr defaultRowHeight="15" x14ac:dyDescent="0.25"/>
  <cols>
    <col min="1" max="1" width="27.28515625" customWidth="1"/>
    <col min="2" max="2" width="14.5703125" customWidth="1"/>
    <col min="3" max="3" width="17.42578125" customWidth="1"/>
    <col min="4" max="4" width="18.85546875" customWidth="1"/>
  </cols>
  <sheetData>
    <row r="1" spans="1:4" ht="27" thickTop="1" thickBot="1" x14ac:dyDescent="0.3">
      <c r="A1" s="112" t="s">
        <v>785</v>
      </c>
      <c r="B1" s="113" t="s">
        <v>890</v>
      </c>
      <c r="C1" s="113" t="s">
        <v>891</v>
      </c>
      <c r="D1" s="113" t="s">
        <v>892</v>
      </c>
    </row>
    <row r="2" spans="1:4" ht="16.5" thickTop="1" thickBot="1" x14ac:dyDescent="0.3">
      <c r="A2" s="125" t="s">
        <v>789</v>
      </c>
      <c r="B2" s="127">
        <v>239012.5</v>
      </c>
      <c r="C2" s="126">
        <v>173</v>
      </c>
      <c r="D2" s="126">
        <v>151</v>
      </c>
    </row>
    <row r="3" spans="1:4" ht="15.75" thickBot="1" x14ac:dyDescent="0.3">
      <c r="A3" s="125" t="s">
        <v>102</v>
      </c>
      <c r="B3" s="127">
        <v>318042.2</v>
      </c>
      <c r="C3" s="126">
        <v>234</v>
      </c>
      <c r="D3" s="126">
        <v>189</v>
      </c>
    </row>
    <row r="4" spans="1:4" ht="15.75" thickBot="1" x14ac:dyDescent="0.3">
      <c r="A4" s="125" t="s">
        <v>104</v>
      </c>
      <c r="B4" s="127">
        <v>276577.2</v>
      </c>
      <c r="C4" s="126">
        <v>317</v>
      </c>
      <c r="D4" s="126">
        <v>286</v>
      </c>
    </row>
    <row r="5" spans="1:4" ht="15.75" thickBot="1" x14ac:dyDescent="0.3">
      <c r="A5" s="125" t="s">
        <v>9</v>
      </c>
      <c r="B5" s="127">
        <v>394203.3</v>
      </c>
      <c r="C5" s="126">
        <v>103</v>
      </c>
      <c r="D5" s="126">
        <v>92</v>
      </c>
    </row>
    <row r="6" spans="1:4" ht="15.75" thickBot="1" x14ac:dyDescent="0.3">
      <c r="A6" s="125" t="s">
        <v>107</v>
      </c>
      <c r="B6" s="127">
        <v>429187.6</v>
      </c>
      <c r="C6" s="126">
        <v>150</v>
      </c>
      <c r="D6" s="126">
        <v>185</v>
      </c>
    </row>
    <row r="7" spans="1:4" ht="15.75" thickBot="1" x14ac:dyDescent="0.3">
      <c r="A7" s="125" t="s">
        <v>790</v>
      </c>
      <c r="B7" s="127">
        <v>363141.2</v>
      </c>
      <c r="C7" s="126">
        <v>166</v>
      </c>
      <c r="D7" s="126">
        <v>253</v>
      </c>
    </row>
    <row r="8" spans="1:4" ht="15.75" thickBot="1" x14ac:dyDescent="0.3">
      <c r="A8" s="125" t="s">
        <v>642</v>
      </c>
      <c r="B8" s="127">
        <v>197795</v>
      </c>
      <c r="C8" s="126">
        <v>558</v>
      </c>
      <c r="D8" s="126">
        <v>533</v>
      </c>
    </row>
    <row r="9" spans="1:4" ht="15.75" thickBot="1" x14ac:dyDescent="0.3">
      <c r="A9" s="125" t="s">
        <v>19</v>
      </c>
      <c r="B9" s="127">
        <v>1028421.3</v>
      </c>
      <c r="C9" s="126">
        <v>86</v>
      </c>
      <c r="D9" s="126">
        <v>90</v>
      </c>
    </row>
    <row r="10" spans="1:4" ht="15.75" thickBot="1" x14ac:dyDescent="0.3">
      <c r="A10" s="116" t="s">
        <v>791</v>
      </c>
      <c r="B10" s="129">
        <v>204094.1</v>
      </c>
      <c r="C10" s="117">
        <v>138</v>
      </c>
      <c r="D10" s="117">
        <v>72</v>
      </c>
    </row>
    <row r="11" spans="1:4" ht="15.75" thickTop="1" x14ac:dyDescent="0.25"/>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7"/>
  <sheetViews>
    <sheetView workbookViewId="0">
      <selection activeCell="D22" sqref="D22"/>
    </sheetView>
  </sheetViews>
  <sheetFormatPr defaultRowHeight="15" x14ac:dyDescent="0.25"/>
  <cols>
    <col min="1" max="1" width="30.28515625" customWidth="1"/>
    <col min="2" max="2" width="18.5703125" customWidth="1"/>
  </cols>
  <sheetData>
    <row r="1" spans="1:2" ht="16.5" thickTop="1" thickBot="1" x14ac:dyDescent="0.3">
      <c r="A1" s="177" t="s">
        <v>803</v>
      </c>
      <c r="B1" s="178" t="s">
        <v>804</v>
      </c>
    </row>
    <row r="2" spans="1:2" ht="16.5" thickTop="1" thickBot="1" x14ac:dyDescent="0.3">
      <c r="A2" s="179" t="s">
        <v>805</v>
      </c>
      <c r="B2" s="180" t="s">
        <v>806</v>
      </c>
    </row>
    <row r="3" spans="1:2" ht="15.75" thickBot="1" x14ac:dyDescent="0.3">
      <c r="A3" s="179" t="s">
        <v>807</v>
      </c>
      <c r="B3" s="180" t="s">
        <v>808</v>
      </c>
    </row>
    <row r="4" spans="1:2" ht="15.75" thickBot="1" x14ac:dyDescent="0.3">
      <c r="A4" s="179" t="s">
        <v>21</v>
      </c>
      <c r="B4" s="180" t="s">
        <v>808</v>
      </c>
    </row>
    <row r="5" spans="1:2" ht="15.75" thickBot="1" x14ac:dyDescent="0.3">
      <c r="A5" s="179" t="s">
        <v>163</v>
      </c>
      <c r="B5" s="180" t="s">
        <v>808</v>
      </c>
    </row>
    <row r="6" spans="1:2" ht="15.75" thickBot="1" x14ac:dyDescent="0.3">
      <c r="A6" s="179" t="s">
        <v>809</v>
      </c>
      <c r="B6" s="180" t="s">
        <v>808</v>
      </c>
    </row>
    <row r="7" spans="1:2" ht="26.25" thickBot="1" x14ac:dyDescent="0.3">
      <c r="A7" s="183" t="s">
        <v>622</v>
      </c>
      <c r="B7" s="184" t="s">
        <v>814</v>
      </c>
    </row>
    <row r="8" spans="1:2" ht="15.75" thickBot="1" x14ac:dyDescent="0.3">
      <c r="A8" s="179" t="s">
        <v>99</v>
      </c>
      <c r="B8" s="180" t="s">
        <v>811</v>
      </c>
    </row>
    <row r="9" spans="1:2" ht="15.75" thickBot="1" x14ac:dyDescent="0.3">
      <c r="A9" s="179" t="s">
        <v>57</v>
      </c>
      <c r="B9" s="180" t="s">
        <v>812</v>
      </c>
    </row>
    <row r="10" spans="1:2" ht="15.75" thickBot="1" x14ac:dyDescent="0.3">
      <c r="A10" s="179" t="s">
        <v>813</v>
      </c>
      <c r="B10" s="180" t="s">
        <v>814</v>
      </c>
    </row>
    <row r="11" spans="1:2" ht="15.75" thickBot="1" x14ac:dyDescent="0.3">
      <c r="A11" s="179" t="s">
        <v>815</v>
      </c>
      <c r="B11" s="180" t="s">
        <v>814</v>
      </c>
    </row>
    <row r="12" spans="1:2" ht="15.75" thickBot="1" x14ac:dyDescent="0.3">
      <c r="A12" s="179" t="s">
        <v>816</v>
      </c>
      <c r="B12" s="180" t="s">
        <v>814</v>
      </c>
    </row>
    <row r="13" spans="1:2" ht="15.75" thickBot="1" x14ac:dyDescent="0.3">
      <c r="A13" s="179" t="s">
        <v>817</v>
      </c>
      <c r="B13" s="180" t="s">
        <v>814</v>
      </c>
    </row>
    <row r="14" spans="1:2" ht="15.75" thickBot="1" x14ac:dyDescent="0.3">
      <c r="A14" s="179" t="s">
        <v>818</v>
      </c>
      <c r="B14" s="180" t="s">
        <v>814</v>
      </c>
    </row>
    <row r="15" spans="1:2" ht="15.75" thickBot="1" x14ac:dyDescent="0.3">
      <c r="A15" s="179" t="s">
        <v>819</v>
      </c>
      <c r="B15" s="180" t="s">
        <v>814</v>
      </c>
    </row>
    <row r="16" spans="1:2" ht="15.75" thickBot="1" x14ac:dyDescent="0.3">
      <c r="A16" s="179" t="s">
        <v>820</v>
      </c>
      <c r="B16" s="180" t="s">
        <v>814</v>
      </c>
    </row>
    <row r="17" spans="1:2" ht="15.75" thickBot="1" x14ac:dyDescent="0.3">
      <c r="A17" s="179" t="s">
        <v>228</v>
      </c>
      <c r="B17" s="180" t="s">
        <v>814</v>
      </c>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4"/>
  <sheetViews>
    <sheetView workbookViewId="0">
      <selection activeCell="B25" sqref="B25"/>
    </sheetView>
  </sheetViews>
  <sheetFormatPr defaultRowHeight="15" x14ac:dyDescent="0.25"/>
  <cols>
    <col min="1" max="1" width="31.85546875" customWidth="1"/>
    <col min="2" max="2" width="14" customWidth="1"/>
  </cols>
  <sheetData>
    <row r="1" spans="1:2" ht="16.5" thickTop="1" thickBot="1" x14ac:dyDescent="0.3">
      <c r="A1" s="177" t="s">
        <v>803</v>
      </c>
      <c r="B1" s="178" t="s">
        <v>804</v>
      </c>
    </row>
    <row r="2" spans="1:2" ht="16.5" thickTop="1" thickBot="1" x14ac:dyDescent="0.3">
      <c r="A2" s="179" t="s">
        <v>34</v>
      </c>
      <c r="B2" s="180" t="s">
        <v>821</v>
      </c>
    </row>
    <row r="3" spans="1:2" ht="15.75" thickBot="1" x14ac:dyDescent="0.3">
      <c r="A3" s="179" t="s">
        <v>822</v>
      </c>
      <c r="B3" s="180" t="s">
        <v>823</v>
      </c>
    </row>
    <row r="4" spans="1:2" ht="15.75" thickBot="1" x14ac:dyDescent="0.3">
      <c r="A4" s="179" t="s">
        <v>69</v>
      </c>
      <c r="B4" s="180" t="s">
        <v>1412</v>
      </c>
    </row>
    <row r="5" spans="1:2" ht="15.75" thickBot="1" x14ac:dyDescent="0.3">
      <c r="A5" s="179" t="s">
        <v>810</v>
      </c>
      <c r="B5" s="180" t="s">
        <v>824</v>
      </c>
    </row>
    <row r="6" spans="1:2" ht="15.75" thickBot="1" x14ac:dyDescent="0.3">
      <c r="A6" s="179" t="s">
        <v>99</v>
      </c>
      <c r="B6" s="180" t="s">
        <v>825</v>
      </c>
    </row>
    <row r="7" spans="1:2" ht="15.75" thickBot="1" x14ac:dyDescent="0.3">
      <c r="A7" s="179" t="s">
        <v>826</v>
      </c>
      <c r="B7" s="180" t="s">
        <v>827</v>
      </c>
    </row>
    <row r="8" spans="1:2" ht="15.75" thickBot="1" x14ac:dyDescent="0.3">
      <c r="A8" s="179" t="s">
        <v>221</v>
      </c>
      <c r="B8" s="180" t="s">
        <v>828</v>
      </c>
    </row>
    <row r="9" spans="1:2" ht="15.75" thickBot="1" x14ac:dyDescent="0.3">
      <c r="A9" s="179" t="s">
        <v>829</v>
      </c>
      <c r="B9" s="180" t="s">
        <v>830</v>
      </c>
    </row>
    <row r="10" spans="1:2" ht="15.75" thickBot="1" x14ac:dyDescent="0.3">
      <c r="A10" s="179" t="s">
        <v>101</v>
      </c>
      <c r="B10" s="186" t="s">
        <v>831</v>
      </c>
    </row>
    <row r="11" spans="1:2" ht="15.75" thickBot="1" x14ac:dyDescent="0.3">
      <c r="A11" s="179" t="s">
        <v>125</v>
      </c>
      <c r="B11" s="180" t="s">
        <v>832</v>
      </c>
    </row>
    <row r="12" spans="1:2" ht="15.75" thickBot="1" x14ac:dyDescent="0.3">
      <c r="A12" s="179" t="s">
        <v>7</v>
      </c>
      <c r="B12" s="180" t="s">
        <v>594</v>
      </c>
    </row>
    <row r="13" spans="1:2" ht="15.75" thickBot="1" x14ac:dyDescent="0.3">
      <c r="A13" s="181" t="s">
        <v>60</v>
      </c>
      <c r="B13" s="182" t="s">
        <v>594</v>
      </c>
    </row>
    <row r="14" spans="1:2" ht="15.75" thickTop="1" x14ac:dyDescent="0.25"/>
  </sheetData>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C8"/>
  <sheetViews>
    <sheetView workbookViewId="0">
      <selection activeCell="B9" sqref="B9"/>
    </sheetView>
  </sheetViews>
  <sheetFormatPr defaultRowHeight="15" x14ac:dyDescent="0.25"/>
  <cols>
    <col min="1" max="1" width="36.5703125" customWidth="1"/>
    <col min="2" max="2" width="41" customWidth="1"/>
    <col min="3" max="3" width="33.5703125" bestFit="1" customWidth="1"/>
  </cols>
  <sheetData>
    <row r="1" spans="1:3" ht="16.5" thickTop="1" thickBot="1" x14ac:dyDescent="0.3">
      <c r="A1" s="112" t="s">
        <v>833</v>
      </c>
      <c r="B1" s="113" t="s">
        <v>834</v>
      </c>
    </row>
    <row r="2" spans="1:3" ht="16.5" thickTop="1" thickBot="1" x14ac:dyDescent="0.3">
      <c r="A2" s="125" t="s">
        <v>835</v>
      </c>
      <c r="B2" s="469" t="s">
        <v>836</v>
      </c>
    </row>
    <row r="3" spans="1:3" ht="16.5" thickBot="1" x14ac:dyDescent="0.3">
      <c r="A3" s="125" t="s">
        <v>837</v>
      </c>
      <c r="B3" s="469" t="s">
        <v>1394</v>
      </c>
      <c r="C3" s="96"/>
    </row>
    <row r="4" spans="1:3" ht="15.75" customHeight="1" thickBot="1" x14ac:dyDescent="0.3">
      <c r="A4" s="125" t="s">
        <v>838</v>
      </c>
      <c r="B4" s="469" t="s">
        <v>276</v>
      </c>
    </row>
    <row r="5" spans="1:3" ht="15.75" customHeight="1" thickBot="1" x14ac:dyDescent="0.3">
      <c r="A5" s="478" t="s">
        <v>839</v>
      </c>
      <c r="B5" s="479"/>
    </row>
    <row r="6" spans="1:3" ht="15.75" customHeight="1" thickBot="1" x14ac:dyDescent="0.3">
      <c r="A6" s="478" t="s">
        <v>819</v>
      </c>
      <c r="B6" s="479"/>
    </row>
    <row r="7" spans="1:3" x14ac:dyDescent="0.25">
      <c r="A7" s="187"/>
    </row>
    <row r="8" spans="1:3" x14ac:dyDescent="0.25">
      <c r="A8" s="187"/>
    </row>
  </sheetData>
  <pageMargins left="0.7" right="0.7" top="0.75" bottom="0.75" header="0.3" footer="0.3"/>
  <pageSetup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C4"/>
  <sheetViews>
    <sheetView workbookViewId="0">
      <selection activeCell="C18" sqref="C18"/>
    </sheetView>
  </sheetViews>
  <sheetFormatPr defaultRowHeight="15" x14ac:dyDescent="0.25"/>
  <cols>
    <col min="1" max="1" width="33" customWidth="1"/>
    <col min="2" max="2" width="18.42578125" customWidth="1"/>
    <col min="3" max="3" width="21.140625" customWidth="1"/>
  </cols>
  <sheetData>
    <row r="1" spans="1:3" ht="27" thickTop="1" thickBot="1" x14ac:dyDescent="0.3">
      <c r="A1" s="177" t="s">
        <v>893</v>
      </c>
      <c r="B1" s="235" t="s">
        <v>894</v>
      </c>
      <c r="C1" s="178" t="s">
        <v>895</v>
      </c>
    </row>
    <row r="2" spans="1:3" ht="16.5" thickTop="1" thickBot="1" x14ac:dyDescent="0.3">
      <c r="A2" s="282">
        <v>39</v>
      </c>
      <c r="B2" s="236" t="s">
        <v>896</v>
      </c>
      <c r="C2" s="284">
        <v>1.18</v>
      </c>
    </row>
    <row r="3" spans="1:3" ht="15.75" thickBot="1" x14ac:dyDescent="0.3">
      <c r="A3" s="283">
        <v>84</v>
      </c>
      <c r="B3" s="237" t="s">
        <v>897</v>
      </c>
      <c r="C3" s="285">
        <v>1.27</v>
      </c>
    </row>
    <row r="4" spans="1:3" ht="15.75" thickTop="1" x14ac:dyDescent="0.25"/>
  </sheetData>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8"/>
  <sheetViews>
    <sheetView workbookViewId="0">
      <selection activeCell="D11" sqref="D11"/>
    </sheetView>
  </sheetViews>
  <sheetFormatPr defaultRowHeight="15" x14ac:dyDescent="0.25"/>
  <cols>
    <col min="1" max="1" width="60.5703125" customWidth="1"/>
    <col min="2" max="2" width="25.140625" customWidth="1"/>
  </cols>
  <sheetData>
    <row r="1" spans="1:2" ht="16.5" thickTop="1" thickBot="1" x14ac:dyDescent="0.3">
      <c r="A1" s="238" t="s">
        <v>847</v>
      </c>
      <c r="B1" s="189" t="s">
        <v>283</v>
      </c>
    </row>
    <row r="2" spans="1:2" ht="15.75" thickBot="1" x14ac:dyDescent="0.3">
      <c r="A2" s="125" t="s">
        <v>898</v>
      </c>
      <c r="B2" s="239" t="s">
        <v>702</v>
      </c>
    </row>
    <row r="3" spans="1:2" ht="15.75" thickBot="1" x14ac:dyDescent="0.3">
      <c r="A3" s="125" t="s">
        <v>899</v>
      </c>
      <c r="B3" s="239" t="s">
        <v>702</v>
      </c>
    </row>
    <row r="4" spans="1:2" ht="15.75" thickBot="1" x14ac:dyDescent="0.3">
      <c r="A4" s="125" t="s">
        <v>900</v>
      </c>
      <c r="B4" s="239" t="s">
        <v>1231</v>
      </c>
    </row>
    <row r="5" spans="1:2" ht="15.75" thickBot="1" x14ac:dyDescent="0.3">
      <c r="A5" s="125" t="s">
        <v>901</v>
      </c>
      <c r="B5" s="126" t="s">
        <v>696</v>
      </c>
    </row>
    <row r="6" spans="1:2" ht="51.75" thickBot="1" x14ac:dyDescent="0.3">
      <c r="A6" s="125" t="s">
        <v>902</v>
      </c>
      <c r="B6" s="126" t="s">
        <v>680</v>
      </c>
    </row>
    <row r="7" spans="1:2" ht="15.75" thickBot="1" x14ac:dyDescent="0.3">
      <c r="A7" s="116" t="s">
        <v>903</v>
      </c>
      <c r="B7" s="117" t="s">
        <v>1245</v>
      </c>
    </row>
    <row r="8" spans="1:2" ht="15.75" thickTop="1" x14ac:dyDescent="0.25"/>
  </sheetData>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B18"/>
  <sheetViews>
    <sheetView workbookViewId="0">
      <selection activeCell="D10" sqref="D10"/>
    </sheetView>
  </sheetViews>
  <sheetFormatPr defaultRowHeight="15" x14ac:dyDescent="0.25"/>
  <cols>
    <col min="1" max="1" width="40.85546875" customWidth="1"/>
    <col min="2" max="2" width="21.140625" customWidth="1"/>
  </cols>
  <sheetData>
    <row r="1" spans="1:2" ht="16.5" thickTop="1" thickBot="1" x14ac:dyDescent="0.3">
      <c r="A1" s="240" t="s">
        <v>904</v>
      </c>
      <c r="B1" s="241" t="s">
        <v>905</v>
      </c>
    </row>
    <row r="2" spans="1:2" ht="16.5" thickTop="1" thickBot="1" x14ac:dyDescent="0.3">
      <c r="A2" s="154" t="s">
        <v>906</v>
      </c>
      <c r="B2" s="242">
        <v>0.47</v>
      </c>
    </row>
    <row r="3" spans="1:2" ht="15.75" thickBot="1" x14ac:dyDescent="0.3">
      <c r="A3" s="154" t="s">
        <v>907</v>
      </c>
      <c r="B3" s="242">
        <v>0.253</v>
      </c>
    </row>
    <row r="4" spans="1:2" ht="15.75" thickBot="1" x14ac:dyDescent="0.3">
      <c r="A4" s="154" t="s">
        <v>908</v>
      </c>
      <c r="B4" s="242">
        <v>0.30199999999999999</v>
      </c>
    </row>
    <row r="5" spans="1:2" ht="15.75" thickBot="1" x14ac:dyDescent="0.3">
      <c r="A5" s="154" t="s">
        <v>909</v>
      </c>
      <c r="B5" s="242">
        <v>0.318</v>
      </c>
    </row>
    <row r="6" spans="1:2" ht="15.75" thickBot="1" x14ac:dyDescent="0.3">
      <c r="A6" s="154" t="s">
        <v>910</v>
      </c>
      <c r="B6" s="242">
        <v>0.11700000000000001</v>
      </c>
    </row>
    <row r="7" spans="1:2" ht="15.75" thickBot="1" x14ac:dyDescent="0.3">
      <c r="A7" s="154" t="s">
        <v>911</v>
      </c>
      <c r="B7" s="242">
        <v>0.189</v>
      </c>
    </row>
    <row r="8" spans="1:2" ht="15.75" thickBot="1" x14ac:dyDescent="0.3">
      <c r="A8" s="154" t="s">
        <v>912</v>
      </c>
      <c r="B8" s="242">
        <v>0.253</v>
      </c>
    </row>
    <row r="9" spans="1:2" ht="15.75" thickBot="1" x14ac:dyDescent="0.3">
      <c r="A9" s="154" t="s">
        <v>913</v>
      </c>
      <c r="B9" s="242">
        <v>0.30199999999999999</v>
      </c>
    </row>
    <row r="10" spans="1:2" ht="15.75" thickBot="1" x14ac:dyDescent="0.3">
      <c r="A10" s="154" t="s">
        <v>914</v>
      </c>
      <c r="B10" s="242">
        <v>0.318</v>
      </c>
    </row>
    <row r="11" spans="1:2" ht="15.75" thickBot="1" x14ac:dyDescent="0.3">
      <c r="A11" s="154" t="s">
        <v>9</v>
      </c>
      <c r="B11" s="242">
        <v>0.75</v>
      </c>
    </row>
    <row r="12" spans="1:2" ht="15.75" thickBot="1" x14ac:dyDescent="0.3">
      <c r="A12" s="154" t="s">
        <v>107</v>
      </c>
      <c r="B12" s="242">
        <v>0.30199999999999999</v>
      </c>
    </row>
    <row r="13" spans="1:2" ht="15.75" thickBot="1" x14ac:dyDescent="0.3">
      <c r="A13" s="154" t="s">
        <v>915</v>
      </c>
      <c r="B13" s="242">
        <v>0.30199999999999999</v>
      </c>
    </row>
    <row r="14" spans="1:2" ht="15.75" thickBot="1" x14ac:dyDescent="0.3">
      <c r="A14" s="154" t="s">
        <v>916</v>
      </c>
      <c r="B14" s="242">
        <v>0.158</v>
      </c>
    </row>
    <row r="15" spans="1:2" ht="15.75" thickBot="1" x14ac:dyDescent="0.3">
      <c r="A15" s="154" t="s">
        <v>917</v>
      </c>
      <c r="B15" s="242">
        <v>0.24399999999999999</v>
      </c>
    </row>
    <row r="16" spans="1:2" ht="15.75" thickBot="1" x14ac:dyDescent="0.3">
      <c r="A16" s="154" t="s">
        <v>918</v>
      </c>
      <c r="B16" s="242">
        <v>0.24</v>
      </c>
    </row>
    <row r="17" spans="1:2" ht="15.75" thickBot="1" x14ac:dyDescent="0.3">
      <c r="A17" s="243" t="s">
        <v>19</v>
      </c>
      <c r="B17" s="244">
        <v>0.78300000000000003</v>
      </c>
    </row>
    <row r="18" spans="1:2" ht="15.75" thickTop="1" x14ac:dyDescent="0.25"/>
  </sheetData>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9"/>
  <sheetViews>
    <sheetView workbookViewId="0">
      <selection activeCell="D25" sqref="D25"/>
    </sheetView>
  </sheetViews>
  <sheetFormatPr defaultRowHeight="15" x14ac:dyDescent="0.25"/>
  <cols>
    <col min="1" max="1" width="30.140625" bestFit="1" customWidth="1"/>
    <col min="2" max="2" width="12.28515625" customWidth="1"/>
    <col min="3" max="4" width="12.7109375" customWidth="1"/>
  </cols>
  <sheetData>
    <row r="1" spans="1:5" ht="39.75" thickTop="1" thickBot="1" x14ac:dyDescent="0.3">
      <c r="A1" s="188" t="s">
        <v>785</v>
      </c>
      <c r="B1" s="189" t="s">
        <v>840</v>
      </c>
      <c r="C1" s="189" t="s">
        <v>841</v>
      </c>
      <c r="D1" s="189" t="s">
        <v>844</v>
      </c>
      <c r="E1" s="189" t="s">
        <v>842</v>
      </c>
    </row>
    <row r="2" spans="1:5" ht="15.75" thickBot="1" x14ac:dyDescent="0.3">
      <c r="A2" s="154" t="s">
        <v>102</v>
      </c>
      <c r="B2" s="127">
        <v>318042.2</v>
      </c>
      <c r="C2" s="126">
        <v>79</v>
      </c>
      <c r="D2" s="215">
        <f>C2*1000</f>
        <v>79000</v>
      </c>
      <c r="E2" s="190">
        <v>0.18</v>
      </c>
    </row>
    <row r="3" spans="1:5" ht="15.75" thickBot="1" x14ac:dyDescent="0.3">
      <c r="A3" s="154" t="s">
        <v>104</v>
      </c>
      <c r="B3" s="127">
        <v>276577.2</v>
      </c>
      <c r="C3" s="126">
        <v>72.7</v>
      </c>
      <c r="D3" s="215">
        <f t="shared" ref="D3:D7" si="0">C3*1000</f>
        <v>72700</v>
      </c>
      <c r="E3" s="190">
        <v>0.16</v>
      </c>
    </row>
    <row r="4" spans="1:5" ht="15.75" thickBot="1" x14ac:dyDescent="0.3">
      <c r="A4" s="154" t="s">
        <v>9</v>
      </c>
      <c r="B4" s="127">
        <v>394203.3</v>
      </c>
      <c r="C4" s="126">
        <v>26.2</v>
      </c>
      <c r="D4" s="215">
        <f t="shared" si="0"/>
        <v>26200</v>
      </c>
      <c r="E4" s="190">
        <v>0.06</v>
      </c>
    </row>
    <row r="5" spans="1:5" ht="15.75" thickBot="1" x14ac:dyDescent="0.3">
      <c r="A5" s="154" t="s">
        <v>107</v>
      </c>
      <c r="B5" s="127">
        <v>429187.6</v>
      </c>
      <c r="C5" s="126">
        <v>103</v>
      </c>
      <c r="D5" s="215">
        <f t="shared" si="0"/>
        <v>103000</v>
      </c>
      <c r="E5" s="190">
        <v>0.23</v>
      </c>
    </row>
    <row r="6" spans="1:5" ht="15.75" thickBot="1" x14ac:dyDescent="0.3">
      <c r="A6" s="154" t="s">
        <v>642</v>
      </c>
      <c r="B6" s="127">
        <v>196733.1</v>
      </c>
      <c r="C6" s="126">
        <v>100.8</v>
      </c>
      <c r="D6" s="215">
        <f t="shared" si="0"/>
        <v>100800</v>
      </c>
      <c r="E6" s="190">
        <v>0.22</v>
      </c>
    </row>
    <row r="7" spans="1:5" ht="15.75" thickBot="1" x14ac:dyDescent="0.3">
      <c r="A7" s="154" t="s">
        <v>19</v>
      </c>
      <c r="B7" s="127">
        <v>1028421.3</v>
      </c>
      <c r="C7" s="126">
        <v>66.599999999999994</v>
      </c>
      <c r="D7" s="215">
        <f t="shared" si="0"/>
        <v>66600</v>
      </c>
      <c r="E7" s="190">
        <v>0.15</v>
      </c>
    </row>
    <row r="8" spans="1:5" ht="15.75" thickBot="1" x14ac:dyDescent="0.3">
      <c r="A8" s="191" t="s">
        <v>843</v>
      </c>
      <c r="B8" s="192">
        <v>2643164.7000000002</v>
      </c>
      <c r="C8" s="132">
        <v>448.3</v>
      </c>
      <c r="D8" s="140">
        <f>C8*1000</f>
        <v>448300</v>
      </c>
      <c r="E8" s="134">
        <v>1</v>
      </c>
    </row>
    <row r="9" spans="1:5" ht="15.75" thickTop="1" x14ac:dyDescent="0.25"/>
  </sheetData>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B8"/>
  <sheetViews>
    <sheetView workbookViewId="0">
      <selection activeCell="B10" sqref="B10"/>
    </sheetView>
  </sheetViews>
  <sheetFormatPr defaultRowHeight="15" x14ac:dyDescent="0.25"/>
  <cols>
    <col min="1" max="1" width="47.28515625" customWidth="1"/>
    <col min="2" max="2" width="24.7109375" customWidth="1"/>
  </cols>
  <sheetData>
    <row r="1" spans="1:2" ht="16.5" thickTop="1" thickBot="1" x14ac:dyDescent="0.3">
      <c r="A1" s="194" t="s">
        <v>847</v>
      </c>
      <c r="B1" s="195" t="s">
        <v>848</v>
      </c>
    </row>
    <row r="2" spans="1:2" ht="15.75" thickBot="1" x14ac:dyDescent="0.3">
      <c r="A2" s="179" t="s">
        <v>919</v>
      </c>
      <c r="B2" s="185" t="s">
        <v>920</v>
      </c>
    </row>
    <row r="3" spans="1:2" ht="26.25" thickBot="1" x14ac:dyDescent="0.3">
      <c r="A3" s="179" t="s">
        <v>921</v>
      </c>
      <c r="B3" s="185" t="s">
        <v>922</v>
      </c>
    </row>
    <row r="4" spans="1:2" ht="15.75" thickBot="1" x14ac:dyDescent="0.3">
      <c r="A4" s="179" t="s">
        <v>923</v>
      </c>
      <c r="B4" s="185" t="s">
        <v>924</v>
      </c>
    </row>
    <row r="5" spans="1:2" ht="26.25" thickBot="1" x14ac:dyDescent="0.3">
      <c r="A5" s="179" t="s">
        <v>925</v>
      </c>
      <c r="B5" s="180" t="s">
        <v>926</v>
      </c>
    </row>
    <row r="6" spans="1:2" ht="15.75" thickBot="1" x14ac:dyDescent="0.3">
      <c r="A6" s="179" t="s">
        <v>927</v>
      </c>
      <c r="B6" s="180" t="s">
        <v>928</v>
      </c>
    </row>
    <row r="7" spans="1:2" ht="15.75" thickBot="1" x14ac:dyDescent="0.3">
      <c r="A7" s="181" t="s">
        <v>929</v>
      </c>
      <c r="B7" s="182" t="s">
        <v>930</v>
      </c>
    </row>
    <row r="8" spans="1:2" ht="15.75" thickTop="1"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8"/>
  <sheetViews>
    <sheetView workbookViewId="0">
      <selection activeCell="F25" sqref="F25"/>
    </sheetView>
  </sheetViews>
  <sheetFormatPr defaultRowHeight="15" x14ac:dyDescent="0.25"/>
  <cols>
    <col min="1" max="1" width="26.7109375" customWidth="1"/>
    <col min="2" max="2" width="14.85546875" customWidth="1"/>
    <col min="3" max="3" width="2.140625" customWidth="1"/>
    <col min="4" max="4" width="2.28515625" customWidth="1"/>
    <col min="5" max="5" width="26.7109375" customWidth="1"/>
    <col min="6" max="6" width="23.85546875" customWidth="1"/>
    <col min="7" max="8" width="6" customWidth="1"/>
    <col min="9" max="9" width="26.85546875" customWidth="1"/>
    <col min="10" max="10" width="14" customWidth="1"/>
    <col min="11" max="11" width="13.140625" customWidth="1"/>
    <col min="12" max="23" width="6" customWidth="1"/>
    <col min="24" max="39" width="7" customWidth="1"/>
    <col min="40" max="40" width="10" bestFit="1" customWidth="1"/>
    <col min="41" max="47" width="8" customWidth="1"/>
    <col min="48" max="51" width="9" customWidth="1"/>
    <col min="52" max="52" width="10" bestFit="1" customWidth="1"/>
    <col min="53" max="53" width="51.7109375" bestFit="1" customWidth="1"/>
    <col min="54" max="54" width="20.42578125" bestFit="1" customWidth="1"/>
    <col min="55" max="55" width="12.42578125" bestFit="1" customWidth="1"/>
    <col min="56" max="56" width="19.42578125" bestFit="1" customWidth="1"/>
    <col min="57" max="57" width="16.140625" bestFit="1" customWidth="1"/>
    <col min="58" max="58" width="9.5703125" bestFit="1" customWidth="1"/>
    <col min="59" max="59" width="7.28515625" customWidth="1"/>
    <col min="60" max="60" width="11.28515625" bestFit="1" customWidth="1"/>
  </cols>
  <sheetData>
    <row r="1" spans="1:11" x14ac:dyDescent="0.25">
      <c r="I1" s="278" t="s">
        <v>593</v>
      </c>
      <c r="J1" s="313" t="s">
        <v>1425</v>
      </c>
    </row>
    <row r="3" spans="1:11" x14ac:dyDescent="0.25">
      <c r="A3" s="278" t="s">
        <v>1210</v>
      </c>
      <c r="B3" t="s">
        <v>1397</v>
      </c>
      <c r="E3" s="278" t="s">
        <v>1210</v>
      </c>
      <c r="F3" t="s">
        <v>1406</v>
      </c>
      <c r="I3" s="278" t="s">
        <v>1210</v>
      </c>
      <c r="J3" s="313" t="s">
        <v>1423</v>
      </c>
      <c r="K3" s="313" t="s">
        <v>1424</v>
      </c>
    </row>
    <row r="4" spans="1:11" x14ac:dyDescent="0.25">
      <c r="A4" s="441" t="s">
        <v>296</v>
      </c>
      <c r="B4" s="280">
        <v>32689666</v>
      </c>
      <c r="E4" s="441" t="s">
        <v>296</v>
      </c>
      <c r="F4" s="483">
        <v>59973</v>
      </c>
      <c r="I4" s="441" t="s">
        <v>102</v>
      </c>
      <c r="J4" s="514">
        <v>29.6157</v>
      </c>
      <c r="K4" s="514">
        <v>29615.699999999997</v>
      </c>
    </row>
    <row r="5" spans="1:11" x14ac:dyDescent="0.25">
      <c r="A5" s="441" t="s">
        <v>442</v>
      </c>
      <c r="B5" s="280">
        <v>23142509</v>
      </c>
      <c r="E5" s="441" t="s">
        <v>442</v>
      </c>
      <c r="F5" s="483">
        <v>489379</v>
      </c>
      <c r="I5" s="441" t="s">
        <v>104</v>
      </c>
      <c r="J5" s="514">
        <v>21.448599999999999</v>
      </c>
      <c r="K5" s="514">
        <v>21448.6</v>
      </c>
    </row>
    <row r="6" spans="1:11" x14ac:dyDescent="0.25">
      <c r="A6" s="441" t="s">
        <v>619</v>
      </c>
      <c r="B6" s="280">
        <v>0</v>
      </c>
      <c r="E6" s="441" t="s">
        <v>619</v>
      </c>
      <c r="F6" s="483">
        <v>100000</v>
      </c>
      <c r="I6" s="441" t="s">
        <v>9</v>
      </c>
      <c r="J6" s="514">
        <v>7.8752999999999993</v>
      </c>
      <c r="K6" s="514">
        <v>7875.2999999999993</v>
      </c>
    </row>
    <row r="7" spans="1:11" x14ac:dyDescent="0.25">
      <c r="A7" s="441" t="s">
        <v>460</v>
      </c>
      <c r="B7" s="280">
        <v>193750</v>
      </c>
      <c r="E7" s="441" t="s">
        <v>460</v>
      </c>
      <c r="F7" s="483">
        <v>361200</v>
      </c>
      <c r="I7" s="441" t="s">
        <v>107</v>
      </c>
      <c r="J7" s="514">
        <v>0.97189999999999999</v>
      </c>
      <c r="K7" s="514">
        <v>971.9</v>
      </c>
    </row>
    <row r="8" spans="1:11" x14ac:dyDescent="0.25">
      <c r="A8" s="441" t="s">
        <v>286</v>
      </c>
      <c r="B8" s="280">
        <v>475000</v>
      </c>
      <c r="E8" s="441" t="s">
        <v>286</v>
      </c>
      <c r="F8" s="483">
        <v>0</v>
      </c>
      <c r="I8" s="441" t="s">
        <v>64</v>
      </c>
      <c r="J8" s="514">
        <v>11.892100000000005</v>
      </c>
      <c r="K8" s="514">
        <v>11892.1</v>
      </c>
    </row>
    <row r="9" spans="1:11" x14ac:dyDescent="0.25">
      <c r="A9" s="441" t="s">
        <v>594</v>
      </c>
      <c r="B9" s="280">
        <v>0</v>
      </c>
      <c r="E9" s="441" t="s">
        <v>594</v>
      </c>
      <c r="F9" s="483">
        <v>0</v>
      </c>
      <c r="I9" s="441" t="s">
        <v>19</v>
      </c>
      <c r="J9" s="514">
        <v>51.297642267440949</v>
      </c>
      <c r="K9" s="514">
        <v>51297.642267440933</v>
      </c>
    </row>
    <row r="10" spans="1:11" x14ac:dyDescent="0.25">
      <c r="A10" s="441" t="s">
        <v>285</v>
      </c>
      <c r="B10" s="280">
        <v>1647369.5899999999</v>
      </c>
      <c r="E10" s="441" t="s">
        <v>285</v>
      </c>
      <c r="F10" s="483">
        <v>2335627</v>
      </c>
      <c r="I10" s="441" t="s">
        <v>865</v>
      </c>
      <c r="J10" s="514">
        <v>123.10124226744095</v>
      </c>
      <c r="K10" s="514">
        <v>123101.24226744092</v>
      </c>
    </row>
    <row r="11" spans="1:11" x14ac:dyDescent="0.25">
      <c r="A11" s="441" t="s">
        <v>596</v>
      </c>
      <c r="B11" s="280">
        <v>602960</v>
      </c>
      <c r="E11" s="441" t="s">
        <v>596</v>
      </c>
      <c r="F11" s="483">
        <v>1100990</v>
      </c>
    </row>
    <row r="12" spans="1:11" x14ac:dyDescent="0.25">
      <c r="A12" s="441" t="s">
        <v>295</v>
      </c>
      <c r="B12" s="280">
        <v>82421405</v>
      </c>
      <c r="E12" s="441" t="s">
        <v>295</v>
      </c>
      <c r="F12" s="483">
        <v>17828</v>
      </c>
    </row>
    <row r="13" spans="1:11" x14ac:dyDescent="0.25">
      <c r="A13" s="441" t="s">
        <v>305</v>
      </c>
      <c r="B13" s="280">
        <v>3861030</v>
      </c>
      <c r="E13" s="441" t="s">
        <v>305</v>
      </c>
      <c r="F13" s="483">
        <v>55000</v>
      </c>
    </row>
    <row r="14" spans="1:11" x14ac:dyDescent="0.25">
      <c r="A14" s="441" t="s">
        <v>439</v>
      </c>
      <c r="B14" s="280">
        <v>785222186</v>
      </c>
      <c r="E14" s="441" t="s">
        <v>439</v>
      </c>
      <c r="F14" s="483">
        <v>2996828</v>
      </c>
    </row>
    <row r="15" spans="1:11" x14ac:dyDescent="0.25">
      <c r="A15" s="441" t="s">
        <v>287</v>
      </c>
      <c r="B15" s="280">
        <v>0</v>
      </c>
      <c r="E15" s="441" t="s">
        <v>287</v>
      </c>
      <c r="F15" s="483">
        <v>0</v>
      </c>
    </row>
    <row r="16" spans="1:11" x14ac:dyDescent="0.25">
      <c r="A16" s="441" t="s">
        <v>1221</v>
      </c>
      <c r="B16" s="279"/>
      <c r="E16" s="441" t="s">
        <v>1409</v>
      </c>
      <c r="F16" s="483">
        <v>0</v>
      </c>
    </row>
    <row r="17" spans="1:6" x14ac:dyDescent="0.25">
      <c r="A17" s="441" t="s">
        <v>1409</v>
      </c>
      <c r="B17" s="279">
        <v>0</v>
      </c>
      <c r="E17" s="441" t="s">
        <v>865</v>
      </c>
      <c r="F17" s="280">
        <v>7516825</v>
      </c>
    </row>
    <row r="18" spans="1:6" x14ac:dyDescent="0.25">
      <c r="A18" s="441" t="s">
        <v>865</v>
      </c>
      <c r="B18" s="280">
        <v>930255875.59000003</v>
      </c>
    </row>
  </sheetData>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4"/>
  <sheetViews>
    <sheetView workbookViewId="0">
      <selection activeCell="H7" sqref="H7"/>
    </sheetView>
  </sheetViews>
  <sheetFormatPr defaultRowHeight="15" x14ac:dyDescent="0.25"/>
  <cols>
    <col min="1" max="1" width="28.85546875" customWidth="1"/>
    <col min="2" max="2" width="17.85546875" customWidth="1"/>
    <col min="3" max="3" width="26.140625" customWidth="1"/>
    <col min="4" max="4" width="12.85546875" customWidth="1"/>
    <col min="5" max="5" width="12.7109375" customWidth="1"/>
  </cols>
  <sheetData>
    <row r="1" spans="1:5" ht="27" thickTop="1" thickBot="1" x14ac:dyDescent="0.3">
      <c r="A1" s="245" t="s">
        <v>673</v>
      </c>
      <c r="B1" s="246" t="s">
        <v>674</v>
      </c>
      <c r="C1" s="246" t="s">
        <v>637</v>
      </c>
      <c r="D1" s="246" t="s">
        <v>471</v>
      </c>
      <c r="E1" s="246" t="s">
        <v>283</v>
      </c>
    </row>
    <row r="2" spans="1:5" ht="25.5" x14ac:dyDescent="0.25">
      <c r="A2" s="548" t="s">
        <v>690</v>
      </c>
      <c r="B2" s="548" t="s">
        <v>931</v>
      </c>
      <c r="C2" s="94" t="s">
        <v>692</v>
      </c>
      <c r="D2" s="551" t="s">
        <v>695</v>
      </c>
      <c r="E2" s="551" t="s">
        <v>696</v>
      </c>
    </row>
    <row r="3" spans="1:5" ht="38.25" x14ac:dyDescent="0.25">
      <c r="A3" s="549"/>
      <c r="B3" s="549"/>
      <c r="C3" s="94" t="s">
        <v>1236</v>
      </c>
      <c r="D3" s="552"/>
      <c r="E3" s="552"/>
    </row>
    <row r="4" spans="1:5" ht="38.25" x14ac:dyDescent="0.25">
      <c r="A4" s="549"/>
      <c r="B4" s="549"/>
      <c r="C4" s="94" t="s">
        <v>1237</v>
      </c>
      <c r="D4" s="552"/>
      <c r="E4" s="552"/>
    </row>
    <row r="5" spans="1:5" ht="25.5" x14ac:dyDescent="0.25">
      <c r="A5" s="549"/>
      <c r="B5" s="549"/>
      <c r="C5" s="94" t="s">
        <v>693</v>
      </c>
      <c r="D5" s="552"/>
      <c r="E5" s="552"/>
    </row>
    <row r="6" spans="1:5" ht="15.75" thickBot="1" x14ac:dyDescent="0.3">
      <c r="A6" s="550"/>
      <c r="B6" s="550"/>
      <c r="C6" s="83" t="s">
        <v>694</v>
      </c>
      <c r="D6" s="553"/>
      <c r="E6" s="553"/>
    </row>
    <row r="7" spans="1:5" ht="38.25" x14ac:dyDescent="0.25">
      <c r="A7" s="548" t="s">
        <v>682</v>
      </c>
      <c r="B7" s="548" t="s">
        <v>932</v>
      </c>
      <c r="C7" s="94" t="s">
        <v>684</v>
      </c>
      <c r="D7" s="551" t="s">
        <v>689</v>
      </c>
      <c r="E7" s="551" t="s">
        <v>1245</v>
      </c>
    </row>
    <row r="8" spans="1:5" ht="25.5" x14ac:dyDescent="0.25">
      <c r="A8" s="549"/>
      <c r="B8" s="549"/>
      <c r="C8" s="94" t="s">
        <v>685</v>
      </c>
      <c r="D8" s="552"/>
      <c r="E8" s="552"/>
    </row>
    <row r="9" spans="1:5" ht="38.25" x14ac:dyDescent="0.25">
      <c r="A9" s="549"/>
      <c r="B9" s="549"/>
      <c r="C9" s="94" t="s">
        <v>1234</v>
      </c>
      <c r="D9" s="552"/>
      <c r="E9" s="552"/>
    </row>
    <row r="10" spans="1:5" ht="25.5" x14ac:dyDescent="0.25">
      <c r="A10" s="549"/>
      <c r="B10" s="549"/>
      <c r="C10" s="94" t="s">
        <v>686</v>
      </c>
      <c r="D10" s="552"/>
      <c r="E10" s="552"/>
    </row>
    <row r="11" spans="1:5" ht="25.5" x14ac:dyDescent="0.25">
      <c r="A11" s="549"/>
      <c r="B11" s="549"/>
      <c r="C11" s="94" t="s">
        <v>687</v>
      </c>
      <c r="D11" s="552"/>
      <c r="E11" s="552"/>
    </row>
    <row r="12" spans="1:5" ht="25.5" x14ac:dyDescent="0.25">
      <c r="A12" s="549"/>
      <c r="B12" s="549"/>
      <c r="C12" s="94" t="s">
        <v>1235</v>
      </c>
      <c r="D12" s="552"/>
      <c r="E12" s="552"/>
    </row>
    <row r="13" spans="1:5" ht="15.75" thickBot="1" x14ac:dyDescent="0.3">
      <c r="A13" s="562"/>
      <c r="B13" s="562"/>
      <c r="C13" s="105" t="s">
        <v>688</v>
      </c>
      <c r="D13" s="563"/>
      <c r="E13" s="563"/>
    </row>
    <row r="14" spans="1:5" ht="15.75" thickTop="1" x14ac:dyDescent="0.25"/>
  </sheetData>
  <mergeCells count="8">
    <mergeCell ref="A2:A6"/>
    <mergeCell ref="B2:B6"/>
    <mergeCell ref="D2:D6"/>
    <mergeCell ref="E2:E6"/>
    <mergeCell ref="A7:A13"/>
    <mergeCell ref="B7:B13"/>
    <mergeCell ref="D7:D13"/>
    <mergeCell ref="E7:E13"/>
  </mergeCell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pageSetUpPr fitToPage="1"/>
  </sheetPr>
  <dimension ref="A1:J11"/>
  <sheetViews>
    <sheetView workbookViewId="0">
      <selection activeCell="A22" sqref="A22"/>
    </sheetView>
  </sheetViews>
  <sheetFormatPr defaultRowHeight="15" x14ac:dyDescent="0.25"/>
  <cols>
    <col min="1" max="1" width="39.5703125" customWidth="1"/>
    <col min="2" max="2" width="12.7109375" customWidth="1"/>
    <col min="3" max="3" width="25.42578125" customWidth="1"/>
    <col min="4" max="4" width="13.5703125" customWidth="1"/>
    <col min="5" max="5" width="15.85546875" customWidth="1"/>
    <col min="6" max="6" width="10.42578125" customWidth="1"/>
    <col min="9" max="9" width="49.42578125" customWidth="1"/>
    <col min="10" max="10" width="15" customWidth="1"/>
  </cols>
  <sheetData>
    <row r="1" spans="1:10" ht="51.75" thickTop="1" thickBot="1" x14ac:dyDescent="0.3">
      <c r="A1" s="457" t="s">
        <v>933</v>
      </c>
      <c r="B1" s="458" t="s">
        <v>934</v>
      </c>
      <c r="C1" s="458" t="s">
        <v>935</v>
      </c>
      <c r="D1" s="458" t="s">
        <v>936</v>
      </c>
      <c r="E1" s="458" t="s">
        <v>1407</v>
      </c>
      <c r="F1" s="459" t="s">
        <v>937</v>
      </c>
      <c r="I1" s="449" t="s">
        <v>664</v>
      </c>
      <c r="J1" s="450" t="s">
        <v>773</v>
      </c>
    </row>
    <row r="2" spans="1:10" ht="16.5" thickTop="1" thickBot="1" x14ac:dyDescent="0.3">
      <c r="A2" s="454" t="s">
        <v>944</v>
      </c>
      <c r="B2" s="455">
        <v>7877.3486189100004</v>
      </c>
      <c r="C2" s="455" t="s">
        <v>945</v>
      </c>
      <c r="D2" s="455">
        <v>1630.84138201</v>
      </c>
      <c r="E2" s="455">
        <v>4013.2820530499998</v>
      </c>
      <c r="F2" s="536">
        <v>46</v>
      </c>
      <c r="I2" s="532" t="s">
        <v>1433</v>
      </c>
      <c r="J2" s="533">
        <v>174546.8</v>
      </c>
    </row>
    <row r="3" spans="1:10" ht="39" thickBot="1" x14ac:dyDescent="0.3">
      <c r="A3" s="452" t="s">
        <v>896</v>
      </c>
      <c r="B3" s="453">
        <v>26.721881477499998</v>
      </c>
      <c r="C3" s="453" t="s">
        <v>1385</v>
      </c>
      <c r="D3" s="453">
        <v>25.511991788500001</v>
      </c>
      <c r="E3" s="453">
        <v>0</v>
      </c>
      <c r="F3" s="537">
        <v>0</v>
      </c>
      <c r="I3" s="532" t="s">
        <v>936</v>
      </c>
      <c r="J3" s="533">
        <v>28058.1</v>
      </c>
    </row>
    <row r="4" spans="1:10" ht="15.75" thickBot="1" x14ac:dyDescent="0.3">
      <c r="A4" s="452" t="s">
        <v>946</v>
      </c>
      <c r="B4" s="453">
        <v>45.607765201519996</v>
      </c>
      <c r="C4" s="453" t="s">
        <v>947</v>
      </c>
      <c r="D4" s="453">
        <v>0</v>
      </c>
      <c r="E4" s="453">
        <v>0.16465093100100001</v>
      </c>
      <c r="F4" s="537">
        <v>1</v>
      </c>
      <c r="I4" s="532" t="s">
        <v>1407</v>
      </c>
      <c r="J4" s="533">
        <v>116241.3</v>
      </c>
    </row>
    <row r="5" spans="1:10" ht="15.75" thickBot="1" x14ac:dyDescent="0.3">
      <c r="A5" s="452" t="s">
        <v>950</v>
      </c>
      <c r="B5" s="453">
        <v>391.19228944399998</v>
      </c>
      <c r="C5" s="453" t="s">
        <v>951</v>
      </c>
      <c r="D5" s="453">
        <v>15.2365800424</v>
      </c>
      <c r="E5" s="453">
        <v>229.30244631400001</v>
      </c>
      <c r="F5" s="537">
        <v>0</v>
      </c>
      <c r="I5" s="532" t="s">
        <v>1434</v>
      </c>
      <c r="J5" s="533">
        <v>144299.4</v>
      </c>
    </row>
    <row r="6" spans="1:10" ht="15.75" thickBot="1" x14ac:dyDescent="0.3">
      <c r="A6" s="452" t="s">
        <v>938</v>
      </c>
      <c r="B6" s="453">
        <v>164507.78026758615</v>
      </c>
      <c r="C6" s="453" t="s">
        <v>939</v>
      </c>
      <c r="D6" s="453">
        <v>26259.261400540003</v>
      </c>
      <c r="E6" s="453">
        <v>110569.25308935385</v>
      </c>
      <c r="F6" s="537">
        <v>36</v>
      </c>
      <c r="I6" s="534" t="s">
        <v>1435</v>
      </c>
      <c r="J6" s="535">
        <v>30247.3</v>
      </c>
    </row>
    <row r="7" spans="1:10" ht="15.75" thickTop="1" x14ac:dyDescent="0.25">
      <c r="A7" s="452" t="s">
        <v>952</v>
      </c>
      <c r="B7" s="453">
        <v>5.1593901127599997</v>
      </c>
      <c r="C7" s="453" t="s">
        <v>953</v>
      </c>
      <c r="D7" s="453">
        <v>0</v>
      </c>
      <c r="E7" s="453">
        <v>0</v>
      </c>
      <c r="F7" s="537">
        <v>0</v>
      </c>
    </row>
    <row r="8" spans="1:10" x14ac:dyDescent="0.25">
      <c r="A8" s="452" t="s">
        <v>940</v>
      </c>
      <c r="B8" s="453">
        <v>832.07124057499993</v>
      </c>
      <c r="C8" s="453" t="s">
        <v>941</v>
      </c>
      <c r="D8" s="453">
        <v>127.26900499600001</v>
      </c>
      <c r="E8" s="453">
        <v>664.98103558980006</v>
      </c>
      <c r="F8" s="537">
        <v>0</v>
      </c>
    </row>
    <row r="9" spans="1:10" x14ac:dyDescent="0.25">
      <c r="A9" s="452" t="s">
        <v>942</v>
      </c>
      <c r="B9" s="453">
        <v>737.45329302799996</v>
      </c>
      <c r="C9" s="453" t="s">
        <v>943</v>
      </c>
      <c r="D9" s="453">
        <v>0</v>
      </c>
      <c r="E9" s="453">
        <v>735.28864266699998</v>
      </c>
      <c r="F9" s="537">
        <v>1</v>
      </c>
    </row>
    <row r="10" spans="1:10" ht="26.25" thickBot="1" x14ac:dyDescent="0.3">
      <c r="A10" s="460" t="s">
        <v>948</v>
      </c>
      <c r="B10" s="461">
        <v>123.43270472899999</v>
      </c>
      <c r="C10" s="461" t="s">
        <v>949</v>
      </c>
      <c r="D10" s="461">
        <v>0</v>
      </c>
      <c r="E10" s="461">
        <v>29.049457610099999</v>
      </c>
      <c r="F10" s="538">
        <v>4</v>
      </c>
    </row>
    <row r="11" spans="1:10" ht="15.75" thickTop="1" x14ac:dyDescent="0.25">
      <c r="A11" s="456" t="s">
        <v>784</v>
      </c>
      <c r="B11" s="462">
        <f>SUM(B2:B10)</f>
        <v>174546.7674510639</v>
      </c>
      <c r="C11" s="462" t="s">
        <v>14</v>
      </c>
      <c r="D11" s="462">
        <f>SUM(D2:D10)</f>
        <v>28058.120359376902</v>
      </c>
      <c r="E11" s="462">
        <f>SUM(E2:E10)</f>
        <v>116241.32137551575</v>
      </c>
      <c r="F11" s="542">
        <f>SUM(F2:F10)</f>
        <v>88</v>
      </c>
    </row>
  </sheetData>
  <sortState ref="A2:F10">
    <sortCondition ref="A2:A10"/>
  </sortState>
  <pageMargins left="0.7" right="0.7" top="0.75" bottom="0.75" header="0.3" footer="0.3"/>
  <pageSetup fitToHeight="0" orientation="landscape"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pageSetUpPr fitToPage="1"/>
  </sheetPr>
  <dimension ref="A1:M14"/>
  <sheetViews>
    <sheetView workbookViewId="0">
      <selection activeCell="F18" sqref="F18"/>
    </sheetView>
  </sheetViews>
  <sheetFormatPr defaultRowHeight="15" x14ac:dyDescent="0.25"/>
  <cols>
    <col min="1" max="1" width="38.42578125" customWidth="1"/>
    <col min="2" max="2" width="12.7109375" customWidth="1"/>
    <col min="3" max="3" width="25.85546875" customWidth="1"/>
    <col min="4" max="4" width="15.85546875" customWidth="1"/>
    <col min="5" max="5" width="17.7109375" customWidth="1"/>
    <col min="8" max="8" width="9.140625" style="313"/>
    <col min="9" max="9" width="45.7109375" style="313" customWidth="1"/>
    <col min="10" max="10" width="14" style="313" customWidth="1"/>
    <col min="11" max="13" width="9.140625" style="313"/>
  </cols>
  <sheetData>
    <row r="1" spans="1:10" ht="39.75" thickTop="1" thickBot="1" x14ac:dyDescent="0.3">
      <c r="A1" s="457" t="s">
        <v>933</v>
      </c>
      <c r="B1" s="458" t="s">
        <v>934</v>
      </c>
      <c r="C1" s="458" t="s">
        <v>935</v>
      </c>
      <c r="D1" s="458" t="s">
        <v>936</v>
      </c>
      <c r="E1" s="458" t="s">
        <v>1407</v>
      </c>
      <c r="F1" s="459" t="s">
        <v>937</v>
      </c>
      <c r="I1" s="449" t="s">
        <v>664</v>
      </c>
      <c r="J1" s="450" t="s">
        <v>773</v>
      </c>
    </row>
    <row r="2" spans="1:10" ht="16.5" thickTop="1" thickBot="1" x14ac:dyDescent="0.3">
      <c r="A2" s="454" t="s">
        <v>944</v>
      </c>
      <c r="B2" s="455">
        <v>30232.6103779</v>
      </c>
      <c r="C2" s="455" t="s">
        <v>945</v>
      </c>
      <c r="D2" s="455">
        <v>7512.3287118099997</v>
      </c>
      <c r="E2" s="455">
        <v>19870.267600300002</v>
      </c>
      <c r="F2" s="539">
        <v>80</v>
      </c>
      <c r="I2" s="532" t="s">
        <v>1433</v>
      </c>
      <c r="J2" s="533">
        <v>218190.7</v>
      </c>
    </row>
    <row r="3" spans="1:10" ht="39" thickBot="1" x14ac:dyDescent="0.3">
      <c r="A3" s="452" t="s">
        <v>896</v>
      </c>
      <c r="B3" s="453">
        <v>198.29837938680001</v>
      </c>
      <c r="C3" s="453" t="s">
        <v>1385</v>
      </c>
      <c r="D3" s="453">
        <v>174.62412981400001</v>
      </c>
      <c r="E3" s="453">
        <v>2.3916777148600001</v>
      </c>
      <c r="F3" s="540">
        <v>3</v>
      </c>
      <c r="I3" s="532" t="s">
        <v>936</v>
      </c>
      <c r="J3" s="533">
        <v>37895.300000000003</v>
      </c>
    </row>
    <row r="4" spans="1:10" ht="15.75" thickBot="1" x14ac:dyDescent="0.3">
      <c r="A4" s="452" t="s">
        <v>946</v>
      </c>
      <c r="B4" s="453">
        <v>125.8655424019</v>
      </c>
      <c r="C4" s="453" t="s">
        <v>947</v>
      </c>
      <c r="D4" s="453">
        <v>0.43316780984300002</v>
      </c>
      <c r="E4" s="453">
        <v>51.889661893590002</v>
      </c>
      <c r="F4" s="540">
        <v>0</v>
      </c>
      <c r="I4" s="532" t="s">
        <v>1407</v>
      </c>
      <c r="J4" s="533">
        <v>119788.9</v>
      </c>
    </row>
    <row r="5" spans="1:10" ht="15.75" thickBot="1" x14ac:dyDescent="0.3">
      <c r="A5" s="452" t="s">
        <v>954</v>
      </c>
      <c r="B5" s="453">
        <v>25.447754585599998</v>
      </c>
      <c r="C5" s="453" t="s">
        <v>955</v>
      </c>
      <c r="D5" s="453">
        <v>0</v>
      </c>
      <c r="E5" s="453">
        <v>0.274619934324</v>
      </c>
      <c r="F5" s="540">
        <v>0</v>
      </c>
      <c r="I5" s="532" t="s">
        <v>1434</v>
      </c>
      <c r="J5" s="533">
        <v>157684.29999999999</v>
      </c>
    </row>
    <row r="6" spans="1:10" ht="15.75" thickBot="1" x14ac:dyDescent="0.3">
      <c r="A6" s="452" t="s">
        <v>950</v>
      </c>
      <c r="B6" s="453">
        <v>54.725077900499997</v>
      </c>
      <c r="C6" s="453" t="s">
        <v>951</v>
      </c>
      <c r="D6" s="453">
        <v>0</v>
      </c>
      <c r="E6" s="453">
        <v>0.37586845876000002</v>
      </c>
      <c r="F6" s="540">
        <v>0</v>
      </c>
      <c r="I6" s="534" t="s">
        <v>1435</v>
      </c>
      <c r="J6" s="535">
        <v>60506.400000000001</v>
      </c>
    </row>
    <row r="7" spans="1:10" ht="15.75" thickTop="1" x14ac:dyDescent="0.25">
      <c r="A7" s="452" t="s">
        <v>938</v>
      </c>
      <c r="B7" s="453">
        <v>166566.8251977</v>
      </c>
      <c r="C7" s="453" t="s">
        <v>939</v>
      </c>
      <c r="D7" s="453">
        <v>26433.917019070002</v>
      </c>
      <c r="E7" s="453">
        <v>89091.512647719996</v>
      </c>
      <c r="F7" s="540">
        <v>61</v>
      </c>
    </row>
    <row r="8" spans="1:10" x14ac:dyDescent="0.25">
      <c r="A8" s="452" t="s">
        <v>952</v>
      </c>
      <c r="B8" s="453">
        <v>40.244013629999998</v>
      </c>
      <c r="C8" s="453" t="s">
        <v>953</v>
      </c>
      <c r="D8" s="453">
        <v>0</v>
      </c>
      <c r="E8" s="453">
        <v>0.21296558891</v>
      </c>
      <c r="F8" s="540">
        <v>0</v>
      </c>
    </row>
    <row r="9" spans="1:10" x14ac:dyDescent="0.25">
      <c r="A9" s="452" t="s">
        <v>940</v>
      </c>
      <c r="B9" s="453">
        <v>20768.482535569001</v>
      </c>
      <c r="C9" s="453" t="s">
        <v>941</v>
      </c>
      <c r="D9" s="453">
        <v>3773.6667563130004</v>
      </c>
      <c r="E9" s="453">
        <v>10743.2560851281</v>
      </c>
      <c r="F9" s="540">
        <v>17</v>
      </c>
    </row>
    <row r="10" spans="1:10" x14ac:dyDescent="0.25">
      <c r="A10" s="452" t="s">
        <v>942</v>
      </c>
      <c r="B10" s="453">
        <v>0</v>
      </c>
      <c r="C10" s="453" t="s">
        <v>943</v>
      </c>
      <c r="D10" s="453">
        <v>0</v>
      </c>
      <c r="E10" s="453">
        <v>0</v>
      </c>
      <c r="F10" s="540">
        <v>5</v>
      </c>
    </row>
    <row r="11" spans="1:10" ht="26.25" thickBot="1" x14ac:dyDescent="0.3">
      <c r="A11" s="460" t="s">
        <v>948</v>
      </c>
      <c r="B11" s="461">
        <v>178.173869747</v>
      </c>
      <c r="C11" s="461" t="s">
        <v>949</v>
      </c>
      <c r="D11" s="461">
        <v>0.35670667182900001</v>
      </c>
      <c r="E11" s="461">
        <v>28.7574319016</v>
      </c>
      <c r="F11" s="541">
        <v>0</v>
      </c>
    </row>
    <row r="12" spans="1:10" ht="15.75" thickTop="1" x14ac:dyDescent="0.25">
      <c r="A12" s="456" t="s">
        <v>784</v>
      </c>
      <c r="B12" s="462">
        <f>SUM(B2:B11)</f>
        <v>218190.6727488208</v>
      </c>
      <c r="C12" s="462" t="s">
        <v>14</v>
      </c>
      <c r="D12" s="462">
        <f>SUM(D2:D11)</f>
        <v>37895.326491488682</v>
      </c>
      <c r="E12" s="462">
        <f>SUM(E2:E11)</f>
        <v>119788.93855864015</v>
      </c>
      <c r="F12" s="463">
        <f>SUM(F2:F11)</f>
        <v>166</v>
      </c>
    </row>
    <row r="14" spans="1:10" x14ac:dyDescent="0.25">
      <c r="B14" s="498"/>
    </row>
  </sheetData>
  <sortState ref="A2:G11">
    <sortCondition ref="A2:A11"/>
  </sortState>
  <pageMargins left="0.7" right="0.7" top="0.75" bottom="0.75" header="0.3" footer="0.3"/>
  <pageSetup scale="90" fitToHeight="0"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pageSetUpPr fitToPage="1"/>
  </sheetPr>
  <dimension ref="A1:J12"/>
  <sheetViews>
    <sheetView workbookViewId="0">
      <selection activeCell="F13" sqref="F13"/>
    </sheetView>
  </sheetViews>
  <sheetFormatPr defaultRowHeight="15" x14ac:dyDescent="0.25"/>
  <cols>
    <col min="1" max="1" width="36.140625" customWidth="1"/>
    <col min="2" max="2" width="12.7109375" customWidth="1"/>
    <col min="3" max="3" width="29.28515625" customWidth="1"/>
    <col min="4" max="4" width="15.85546875" customWidth="1"/>
    <col min="5" max="5" width="17" customWidth="1"/>
    <col min="6" max="6" width="10.42578125" customWidth="1"/>
    <col min="9" max="9" width="43.85546875" customWidth="1"/>
  </cols>
  <sheetData>
    <row r="1" spans="1:10" ht="39.75" thickTop="1" thickBot="1" x14ac:dyDescent="0.3">
      <c r="A1" s="457" t="s">
        <v>933</v>
      </c>
      <c r="B1" s="458" t="s">
        <v>934</v>
      </c>
      <c r="C1" s="458" t="s">
        <v>935</v>
      </c>
      <c r="D1" s="458" t="s">
        <v>936</v>
      </c>
      <c r="E1" s="458" t="s">
        <v>1407</v>
      </c>
      <c r="F1" s="459" t="s">
        <v>937</v>
      </c>
      <c r="I1" s="449" t="s">
        <v>664</v>
      </c>
      <c r="J1" s="450" t="s">
        <v>773</v>
      </c>
    </row>
    <row r="2" spans="1:10" ht="16.5" thickTop="1" thickBot="1" x14ac:dyDescent="0.3">
      <c r="A2" s="454" t="s">
        <v>956</v>
      </c>
      <c r="B2" s="455">
        <v>5.6167046036799997</v>
      </c>
      <c r="C2" s="455" t="s">
        <v>953</v>
      </c>
      <c r="D2" s="455">
        <v>0</v>
      </c>
      <c r="E2" s="455">
        <v>0</v>
      </c>
      <c r="F2" s="539">
        <v>0</v>
      </c>
      <c r="I2" s="532" t="s">
        <v>1433</v>
      </c>
      <c r="J2" s="533">
        <v>130512.8</v>
      </c>
    </row>
    <row r="3" spans="1:10" ht="15.75" thickBot="1" x14ac:dyDescent="0.3">
      <c r="A3" s="452" t="s">
        <v>944</v>
      </c>
      <c r="B3" s="453">
        <v>51536.578498800001</v>
      </c>
      <c r="C3" s="453" t="s">
        <v>945</v>
      </c>
      <c r="D3" s="455">
        <v>6702.78789598</v>
      </c>
      <c r="E3" s="453">
        <v>34373.137464300002</v>
      </c>
      <c r="F3" s="540">
        <v>904</v>
      </c>
      <c r="I3" s="532" t="s">
        <v>936</v>
      </c>
      <c r="J3" s="533">
        <v>34720.300000000003</v>
      </c>
    </row>
    <row r="4" spans="1:10" ht="26.25" thickBot="1" x14ac:dyDescent="0.3">
      <c r="A4" s="452" t="s">
        <v>896</v>
      </c>
      <c r="B4" s="453">
        <v>3157.8566834090002</v>
      </c>
      <c r="C4" s="453" t="s">
        <v>1385</v>
      </c>
      <c r="D4" s="453">
        <v>2998.9731834497702</v>
      </c>
      <c r="E4" s="453">
        <v>122.0041693924</v>
      </c>
      <c r="F4" s="540">
        <v>3</v>
      </c>
      <c r="I4" s="532" t="s">
        <v>1407</v>
      </c>
      <c r="J4" s="533">
        <v>60357.9</v>
      </c>
    </row>
    <row r="5" spans="1:10" ht="15.75" thickBot="1" x14ac:dyDescent="0.3">
      <c r="A5" s="452" t="s">
        <v>946</v>
      </c>
      <c r="B5" s="453">
        <v>436.34846242200001</v>
      </c>
      <c r="C5" s="453" t="s">
        <v>947</v>
      </c>
      <c r="D5" s="455">
        <v>0</v>
      </c>
      <c r="E5" s="453">
        <v>162.74855520630001</v>
      </c>
      <c r="F5" s="540">
        <v>2</v>
      </c>
      <c r="I5" s="532" t="s">
        <v>1434</v>
      </c>
      <c r="J5" s="533">
        <v>95078.2</v>
      </c>
    </row>
    <row r="6" spans="1:10" ht="15.75" thickBot="1" x14ac:dyDescent="0.3">
      <c r="A6" s="452" t="s">
        <v>954</v>
      </c>
      <c r="B6" s="453">
        <v>17.123842360499999</v>
      </c>
      <c r="C6" s="453" t="s">
        <v>955</v>
      </c>
      <c r="D6" s="455">
        <v>0</v>
      </c>
      <c r="E6" s="453">
        <v>0</v>
      </c>
      <c r="F6" s="540">
        <v>0</v>
      </c>
      <c r="I6" s="534" t="s">
        <v>1435</v>
      </c>
      <c r="J6" s="535">
        <v>35434.6</v>
      </c>
    </row>
    <row r="7" spans="1:10" ht="15.75" thickTop="1" x14ac:dyDescent="0.25">
      <c r="A7" s="452" t="s">
        <v>950</v>
      </c>
      <c r="B7" s="453">
        <v>245.776725054</v>
      </c>
      <c r="C7" s="453" t="s">
        <v>951</v>
      </c>
      <c r="D7" s="455">
        <v>47.823645183899998</v>
      </c>
      <c r="E7" s="453">
        <v>28.240091292500001</v>
      </c>
      <c r="F7" s="540">
        <v>6</v>
      </c>
    </row>
    <row r="8" spans="1:10" x14ac:dyDescent="0.25">
      <c r="A8" s="452" t="s">
        <v>938</v>
      </c>
      <c r="B8" s="453">
        <v>70324.034826790012</v>
      </c>
      <c r="C8" s="453" t="s">
        <v>939</v>
      </c>
      <c r="D8" s="455">
        <v>24562.051396129998</v>
      </c>
      <c r="E8" s="453">
        <v>22706.861893516001</v>
      </c>
      <c r="F8" s="540">
        <v>51</v>
      </c>
    </row>
    <row r="9" spans="1:10" x14ac:dyDescent="0.25">
      <c r="A9" s="452" t="s">
        <v>940</v>
      </c>
      <c r="B9" s="453">
        <v>3347.2530616829999</v>
      </c>
      <c r="C9" s="453" t="s">
        <v>941</v>
      </c>
      <c r="D9" s="455">
        <v>0.17057339265800001</v>
      </c>
      <c r="E9" s="453">
        <v>2637.1455697279998</v>
      </c>
      <c r="F9" s="540">
        <v>6</v>
      </c>
    </row>
    <row r="10" spans="1:10" x14ac:dyDescent="0.25">
      <c r="A10" s="452" t="s">
        <v>942</v>
      </c>
      <c r="B10" s="453">
        <v>180.18810462799999</v>
      </c>
      <c r="C10" s="453" t="s">
        <v>943</v>
      </c>
      <c r="D10" s="455">
        <v>0</v>
      </c>
      <c r="E10" s="453">
        <v>172.28828118499999</v>
      </c>
      <c r="F10" s="540">
        <v>3</v>
      </c>
    </row>
    <row r="11" spans="1:10" ht="26.25" thickBot="1" x14ac:dyDescent="0.3">
      <c r="A11" s="460" t="s">
        <v>948</v>
      </c>
      <c r="B11" s="461">
        <v>1262.0156535260001</v>
      </c>
      <c r="C11" s="461" t="s">
        <v>949</v>
      </c>
      <c r="D11" s="455">
        <v>408.50685778299999</v>
      </c>
      <c r="E11" s="461">
        <v>155.50055565972002</v>
      </c>
      <c r="F11" s="541">
        <v>0</v>
      </c>
    </row>
    <row r="12" spans="1:10" ht="15.75" thickTop="1" x14ac:dyDescent="0.25">
      <c r="A12" s="456" t="s">
        <v>784</v>
      </c>
      <c r="B12" s="462">
        <f>SUM(B2:B11)</f>
        <v>130512.79256327621</v>
      </c>
      <c r="C12" s="462" t="s">
        <v>14</v>
      </c>
      <c r="D12" s="462">
        <f>SUM(D2:D11)</f>
        <v>34720.313551919331</v>
      </c>
      <c r="E12" s="462">
        <f>SUM(E2:E11)</f>
        <v>60357.92658027992</v>
      </c>
      <c r="F12" s="463">
        <f>SUM(F2:F11)</f>
        <v>975</v>
      </c>
    </row>
  </sheetData>
  <sortState ref="A2:F11">
    <sortCondition ref="A2:A11"/>
  </sortState>
  <pageMargins left="0.7" right="0.7" top="0.75" bottom="0.75" header="0.3" footer="0.3"/>
  <pageSetup fitToHeight="0" orientation="landscape"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pageSetUpPr fitToPage="1"/>
  </sheetPr>
  <dimension ref="A1:J11"/>
  <sheetViews>
    <sheetView workbookViewId="0">
      <selection activeCell="F12" sqref="F12"/>
    </sheetView>
  </sheetViews>
  <sheetFormatPr defaultRowHeight="15" x14ac:dyDescent="0.25"/>
  <cols>
    <col min="1" max="1" width="35.5703125" customWidth="1"/>
    <col min="2" max="2" width="12.7109375" customWidth="1"/>
    <col min="3" max="3" width="29.140625" customWidth="1"/>
    <col min="4" max="4" width="13.5703125" customWidth="1"/>
    <col min="5" max="5" width="15.85546875" customWidth="1"/>
    <col min="6" max="6" width="10.42578125" customWidth="1"/>
    <col min="7" max="7" width="3" customWidth="1"/>
    <col min="9" max="9" width="49.7109375" customWidth="1"/>
    <col min="10" max="10" width="10.42578125" customWidth="1"/>
  </cols>
  <sheetData>
    <row r="1" spans="1:10" ht="51.75" thickTop="1" thickBot="1" x14ac:dyDescent="0.3">
      <c r="A1" s="457" t="s">
        <v>933</v>
      </c>
      <c r="B1" s="458" t="s">
        <v>934</v>
      </c>
      <c r="C1" s="458" t="s">
        <v>935</v>
      </c>
      <c r="D1" s="458" t="s">
        <v>936</v>
      </c>
      <c r="E1" s="458" t="s">
        <v>1407</v>
      </c>
      <c r="F1" s="459" t="s">
        <v>937</v>
      </c>
      <c r="G1" s="265"/>
      <c r="I1" s="449" t="s">
        <v>664</v>
      </c>
      <c r="J1" s="450" t="s">
        <v>773</v>
      </c>
    </row>
    <row r="2" spans="1:10" ht="16.5" thickTop="1" thickBot="1" x14ac:dyDescent="0.3">
      <c r="A2" s="454" t="s">
        <v>956</v>
      </c>
      <c r="B2" s="455">
        <v>44.677257609999998</v>
      </c>
      <c r="C2" s="455" t="s">
        <v>953</v>
      </c>
      <c r="D2" s="492">
        <v>8.6993597879499998</v>
      </c>
      <c r="E2" s="492">
        <v>3.2143970971</v>
      </c>
      <c r="F2" s="539">
        <v>0</v>
      </c>
      <c r="G2" s="264"/>
      <c r="I2" s="532" t="s">
        <v>1433</v>
      </c>
      <c r="J2" s="533">
        <v>216258.2</v>
      </c>
    </row>
    <row r="3" spans="1:10" ht="15.75" thickBot="1" x14ac:dyDescent="0.3">
      <c r="A3" s="452" t="s">
        <v>944</v>
      </c>
      <c r="B3" s="453">
        <v>10511.381989699999</v>
      </c>
      <c r="C3" s="453" t="s">
        <v>945</v>
      </c>
      <c r="D3" s="453">
        <v>2234.15367049</v>
      </c>
      <c r="E3" s="453">
        <v>8027.5189623300002</v>
      </c>
      <c r="F3" s="540">
        <v>15</v>
      </c>
      <c r="G3" s="264"/>
      <c r="I3" s="532" t="s">
        <v>936</v>
      </c>
      <c r="J3" s="533">
        <v>85125</v>
      </c>
    </row>
    <row r="4" spans="1:10" ht="26.25" thickBot="1" x14ac:dyDescent="0.3">
      <c r="A4" s="452" t="s">
        <v>896</v>
      </c>
      <c r="B4" s="453">
        <v>6479.5809683799998</v>
      </c>
      <c r="C4" s="453" t="s">
        <v>1385</v>
      </c>
      <c r="D4" s="494">
        <v>6066.9420584099998</v>
      </c>
      <c r="E4" s="494">
        <v>50.417820448999997</v>
      </c>
      <c r="F4" s="540">
        <v>9</v>
      </c>
      <c r="I4" s="532" t="s">
        <v>1407</v>
      </c>
      <c r="J4" s="533">
        <v>78961.2</v>
      </c>
    </row>
    <row r="5" spans="1:10" ht="15.75" thickBot="1" x14ac:dyDescent="0.3">
      <c r="A5" s="452" t="s">
        <v>946</v>
      </c>
      <c r="B5" s="453">
        <v>606.95351460785002</v>
      </c>
      <c r="C5" s="453" t="s">
        <v>947</v>
      </c>
      <c r="D5" s="453">
        <v>8.4717636268700005</v>
      </c>
      <c r="E5" s="453">
        <v>586.21484578399998</v>
      </c>
      <c r="F5" s="540">
        <v>0</v>
      </c>
      <c r="I5" s="532" t="s">
        <v>1434</v>
      </c>
      <c r="J5" s="533">
        <v>164086.20000000001</v>
      </c>
    </row>
    <row r="6" spans="1:10" ht="15.75" thickBot="1" x14ac:dyDescent="0.3">
      <c r="A6" s="452" t="s">
        <v>954</v>
      </c>
      <c r="B6" s="453">
        <v>264.86797943800002</v>
      </c>
      <c r="C6" s="453" t="s">
        <v>955</v>
      </c>
      <c r="D6" s="453">
        <v>17.1728908302</v>
      </c>
      <c r="E6" s="453">
        <v>185.42809716599999</v>
      </c>
      <c r="F6" s="540">
        <v>0</v>
      </c>
      <c r="I6" s="534" t="s">
        <v>1435</v>
      </c>
      <c r="J6" s="535">
        <v>52172</v>
      </c>
    </row>
    <row r="7" spans="1:10" ht="15.75" thickTop="1" x14ac:dyDescent="0.25">
      <c r="A7" s="452" t="s">
        <v>950</v>
      </c>
      <c r="B7" s="453">
        <v>17.0549168786</v>
      </c>
      <c r="C7" s="453" t="s">
        <v>951</v>
      </c>
      <c r="D7" s="453">
        <v>0</v>
      </c>
      <c r="E7" s="453">
        <v>9.6326827960299996E-2</v>
      </c>
      <c r="F7" s="540">
        <v>2</v>
      </c>
    </row>
    <row r="8" spans="1:10" x14ac:dyDescent="0.25">
      <c r="A8" s="452" t="s">
        <v>938</v>
      </c>
      <c r="B8" s="453">
        <v>185477.35137039999</v>
      </c>
      <c r="C8" s="453" t="s">
        <v>939</v>
      </c>
      <c r="D8" s="494">
        <v>71257.613979419999</v>
      </c>
      <c r="E8" s="494">
        <v>63651.91584501</v>
      </c>
      <c r="F8" s="540">
        <v>119</v>
      </c>
    </row>
    <row r="9" spans="1:10" x14ac:dyDescent="0.25">
      <c r="A9" s="460" t="s">
        <v>957</v>
      </c>
      <c r="B9" s="461">
        <v>12847.07549841</v>
      </c>
      <c r="C9" s="453" t="s">
        <v>941</v>
      </c>
      <c r="D9" s="461">
        <v>5531.9929154300007</v>
      </c>
      <c r="E9" s="461">
        <v>6456.3450400900001</v>
      </c>
      <c r="F9" s="541">
        <v>11</v>
      </c>
    </row>
    <row r="10" spans="1:10" ht="26.25" thickBot="1" x14ac:dyDescent="0.3">
      <c r="A10" s="460" t="s">
        <v>948</v>
      </c>
      <c r="B10" s="461">
        <v>9.2668402092599997</v>
      </c>
      <c r="C10" s="461" t="s">
        <v>949</v>
      </c>
      <c r="D10" s="461">
        <v>0</v>
      </c>
      <c r="E10" s="461">
        <v>0</v>
      </c>
      <c r="F10" s="541">
        <v>0</v>
      </c>
    </row>
    <row r="11" spans="1:10" ht="15.75" thickTop="1" x14ac:dyDescent="0.25">
      <c r="A11" s="456" t="s">
        <v>784</v>
      </c>
      <c r="B11" s="462">
        <f>SUM(B2:B10)</f>
        <v>216258.21033563369</v>
      </c>
      <c r="C11" s="462" t="s">
        <v>14</v>
      </c>
      <c r="D11" s="462">
        <f>SUM(D2:D10)</f>
        <v>85125.046637995023</v>
      </c>
      <c r="E11" s="462">
        <f>SUM(E2:E10)</f>
        <v>78961.15133475406</v>
      </c>
      <c r="F11" s="463">
        <f>SUM(F2:F10)</f>
        <v>156</v>
      </c>
    </row>
  </sheetData>
  <sortState ref="A2:F10">
    <sortCondition ref="A2:A10"/>
  </sortState>
  <pageMargins left="0.7" right="0.7" top="0.75" bottom="0.75" header="0.3" footer="0.3"/>
  <pageSetup fitToHeight="0" orientation="landscape"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pageSetUpPr fitToPage="1"/>
  </sheetPr>
  <dimension ref="A1:J13"/>
  <sheetViews>
    <sheetView workbookViewId="0">
      <selection activeCell="F18" sqref="F18"/>
    </sheetView>
  </sheetViews>
  <sheetFormatPr defaultRowHeight="15" x14ac:dyDescent="0.25"/>
  <cols>
    <col min="1" max="1" width="35.85546875" customWidth="1"/>
    <col min="2" max="2" width="12.7109375" customWidth="1"/>
    <col min="3" max="3" width="28.28515625" customWidth="1"/>
    <col min="4" max="5" width="15.85546875" customWidth="1"/>
    <col min="6" max="6" width="10.42578125" customWidth="1"/>
    <col min="9" max="9" width="46" customWidth="1"/>
    <col min="10" max="10" width="11.7109375" customWidth="1"/>
  </cols>
  <sheetData>
    <row r="1" spans="1:10" ht="51.75" thickTop="1" thickBot="1" x14ac:dyDescent="0.3">
      <c r="A1" s="457" t="s">
        <v>933</v>
      </c>
      <c r="B1" s="458" t="s">
        <v>934</v>
      </c>
      <c r="C1" s="458" t="s">
        <v>935</v>
      </c>
      <c r="D1" s="458" t="s">
        <v>936</v>
      </c>
      <c r="E1" s="458" t="s">
        <v>1407</v>
      </c>
      <c r="F1" s="459" t="s">
        <v>937</v>
      </c>
      <c r="I1" s="449" t="s">
        <v>664</v>
      </c>
      <c r="J1" s="450" t="s">
        <v>773</v>
      </c>
    </row>
    <row r="2" spans="1:10" ht="16.5" thickTop="1" thickBot="1" x14ac:dyDescent="0.3">
      <c r="A2" s="454" t="s">
        <v>956</v>
      </c>
      <c r="B2" s="455">
        <v>387.10689028694998</v>
      </c>
      <c r="C2" s="455" t="s">
        <v>953</v>
      </c>
      <c r="D2" s="492">
        <v>341.54000648499999</v>
      </c>
      <c r="E2" s="492">
        <v>5.6166229320800003E-2</v>
      </c>
      <c r="F2" s="539">
        <v>0</v>
      </c>
      <c r="I2" s="532" t="s">
        <v>1433</v>
      </c>
      <c r="J2" s="533">
        <v>140905.9</v>
      </c>
    </row>
    <row r="3" spans="1:10" ht="15.75" thickBot="1" x14ac:dyDescent="0.3">
      <c r="A3" s="452" t="s">
        <v>944</v>
      </c>
      <c r="B3" s="453">
        <v>3481.4042650699998</v>
      </c>
      <c r="C3" s="453" t="s">
        <v>945</v>
      </c>
      <c r="D3" s="494">
        <v>2029.88845885</v>
      </c>
      <c r="E3" s="494">
        <v>976.09466788999998</v>
      </c>
      <c r="F3" s="540">
        <v>8</v>
      </c>
      <c r="I3" s="532" t="s">
        <v>936</v>
      </c>
      <c r="J3" s="533">
        <v>70030.7</v>
      </c>
    </row>
    <row r="4" spans="1:10" ht="26.25" thickBot="1" x14ac:dyDescent="0.3">
      <c r="A4" s="452" t="s">
        <v>896</v>
      </c>
      <c r="B4" s="453">
        <v>10222.0996492757</v>
      </c>
      <c r="C4" s="453" t="s">
        <v>1386</v>
      </c>
      <c r="D4" s="494">
        <v>9848.2878254999996</v>
      </c>
      <c r="E4" s="494">
        <v>29.407177390000001</v>
      </c>
      <c r="F4" s="540">
        <v>14</v>
      </c>
      <c r="I4" s="532" t="s">
        <v>1407</v>
      </c>
      <c r="J4" s="533">
        <v>35540.5</v>
      </c>
    </row>
    <row r="5" spans="1:10" ht="15.75" thickBot="1" x14ac:dyDescent="0.3">
      <c r="A5" s="452" t="s">
        <v>946</v>
      </c>
      <c r="B5" s="453">
        <v>361.09508404819996</v>
      </c>
      <c r="C5" s="453" t="s">
        <v>947</v>
      </c>
      <c r="D5" s="494">
        <v>229.615929274</v>
      </c>
      <c r="E5" s="494">
        <v>32.722030621118002</v>
      </c>
      <c r="F5" s="540">
        <v>0</v>
      </c>
      <c r="I5" s="532" t="s">
        <v>1434</v>
      </c>
      <c r="J5" s="533">
        <v>105571.2</v>
      </c>
    </row>
    <row r="6" spans="1:10" ht="15.75" thickBot="1" x14ac:dyDescent="0.3">
      <c r="A6" s="452" t="s">
        <v>954</v>
      </c>
      <c r="B6" s="453">
        <v>491.693497272</v>
      </c>
      <c r="C6" s="453" t="s">
        <v>955</v>
      </c>
      <c r="D6" s="494">
        <v>248.80244752999999</v>
      </c>
      <c r="E6" s="494">
        <v>56.071177966699999</v>
      </c>
      <c r="F6" s="540">
        <v>2</v>
      </c>
      <c r="I6" s="534" t="s">
        <v>1435</v>
      </c>
      <c r="J6" s="535">
        <v>35334.699999999997</v>
      </c>
    </row>
    <row r="7" spans="1:10" ht="15.75" thickTop="1" x14ac:dyDescent="0.25">
      <c r="A7" s="452" t="s">
        <v>950</v>
      </c>
      <c r="B7" s="453">
        <v>66.483768744100004</v>
      </c>
      <c r="C7" s="453" t="s">
        <v>951</v>
      </c>
      <c r="D7" s="494">
        <v>26.816332172300001</v>
      </c>
      <c r="E7" s="494">
        <v>8.50603249015</v>
      </c>
      <c r="F7" s="540">
        <v>4</v>
      </c>
    </row>
    <row r="8" spans="1:10" x14ac:dyDescent="0.25">
      <c r="A8" s="452" t="s">
        <v>938</v>
      </c>
      <c r="B8" s="453">
        <v>114984.6664682</v>
      </c>
      <c r="C8" s="453" t="s">
        <v>939</v>
      </c>
      <c r="D8" s="494">
        <v>54925.29307354</v>
      </c>
      <c r="E8" s="494">
        <v>29558.471304949999</v>
      </c>
      <c r="F8" s="540">
        <v>95</v>
      </c>
    </row>
    <row r="9" spans="1:10" x14ac:dyDescent="0.25">
      <c r="A9" s="452" t="s">
        <v>952</v>
      </c>
      <c r="B9" s="453">
        <v>72.300564363600003</v>
      </c>
      <c r="C9" s="453" t="s">
        <v>953</v>
      </c>
      <c r="D9" s="494">
        <v>0</v>
      </c>
      <c r="E9" s="494">
        <v>0</v>
      </c>
      <c r="F9" s="540">
        <v>0</v>
      </c>
    </row>
    <row r="10" spans="1:10" x14ac:dyDescent="0.25">
      <c r="A10" s="452" t="s">
        <v>940</v>
      </c>
      <c r="B10" s="453">
        <v>6904.0204197060011</v>
      </c>
      <c r="C10" s="453" t="s">
        <v>941</v>
      </c>
      <c r="D10" s="494">
        <v>629.47305418761607</v>
      </c>
      <c r="E10" s="494">
        <v>4876.3873268240004</v>
      </c>
      <c r="F10" s="540">
        <v>11</v>
      </c>
    </row>
    <row r="11" spans="1:10" x14ac:dyDescent="0.25">
      <c r="A11" s="452" t="s">
        <v>942</v>
      </c>
      <c r="B11" s="453">
        <v>1521.3385029399999</v>
      </c>
      <c r="C11" s="453" t="s">
        <v>943</v>
      </c>
      <c r="D11" s="494">
        <v>1518.7314038100001</v>
      </c>
      <c r="E11" s="494">
        <v>0</v>
      </c>
      <c r="F11" s="540">
        <v>1</v>
      </c>
    </row>
    <row r="12" spans="1:10" ht="26.25" thickBot="1" x14ac:dyDescent="0.3">
      <c r="A12" s="460" t="s">
        <v>948</v>
      </c>
      <c r="B12" s="461">
        <v>2413.6978609100001</v>
      </c>
      <c r="C12" s="461" t="s">
        <v>949</v>
      </c>
      <c r="D12" s="493">
        <v>232.25512387399999</v>
      </c>
      <c r="E12" s="493">
        <v>2.8158551201300002</v>
      </c>
      <c r="F12" s="541">
        <v>0</v>
      </c>
    </row>
    <row r="13" spans="1:10" ht="15.75" thickTop="1" x14ac:dyDescent="0.25">
      <c r="A13" s="456" t="s">
        <v>784</v>
      </c>
      <c r="B13" s="462">
        <f>SUM(B2:B12)</f>
        <v>140905.90697081655</v>
      </c>
      <c r="C13" s="462" t="s">
        <v>14</v>
      </c>
      <c r="D13" s="462">
        <f>SUM(D2:D12)</f>
        <v>70030.703655222926</v>
      </c>
      <c r="E13" s="462">
        <f>SUM(E2:E12)</f>
        <v>35540.531739481412</v>
      </c>
      <c r="F13" s="463">
        <f>SUM(F2:F12)</f>
        <v>135</v>
      </c>
    </row>
  </sheetData>
  <sortState ref="A2:F12">
    <sortCondition ref="A2:A12"/>
  </sortState>
  <pageMargins left="0.7" right="0.7" top="0.75" bottom="0.75" header="0.3" footer="0.3"/>
  <pageSetup fitToHeight="0" orientation="landscape"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pageSetUpPr fitToPage="1"/>
  </sheetPr>
  <dimension ref="A1:J13"/>
  <sheetViews>
    <sheetView workbookViewId="0">
      <selection activeCell="I12" sqref="I12"/>
    </sheetView>
  </sheetViews>
  <sheetFormatPr defaultRowHeight="15" x14ac:dyDescent="0.25"/>
  <cols>
    <col min="1" max="1" width="36.5703125" customWidth="1"/>
    <col min="2" max="2" width="12.7109375" customWidth="1"/>
    <col min="3" max="3" width="26.140625" customWidth="1"/>
    <col min="4" max="4" width="15.28515625" customWidth="1"/>
    <col min="5" max="5" width="15.85546875" customWidth="1"/>
    <col min="6" max="6" width="10.42578125" customWidth="1"/>
    <col min="9" max="9" width="44.85546875" customWidth="1"/>
  </cols>
  <sheetData>
    <row r="1" spans="1:10" ht="51.75" thickTop="1" thickBot="1" x14ac:dyDescent="0.3">
      <c r="A1" s="464" t="s">
        <v>933</v>
      </c>
      <c r="B1" s="465" t="s">
        <v>934</v>
      </c>
      <c r="C1" s="465" t="s">
        <v>935</v>
      </c>
      <c r="D1" s="458" t="s">
        <v>936</v>
      </c>
      <c r="E1" s="458" t="s">
        <v>1407</v>
      </c>
      <c r="F1" s="466" t="s">
        <v>937</v>
      </c>
      <c r="I1" s="449" t="s">
        <v>664</v>
      </c>
      <c r="J1" s="450" t="s">
        <v>773</v>
      </c>
    </row>
    <row r="2" spans="1:10" ht="16.5" thickTop="1" thickBot="1" x14ac:dyDescent="0.3">
      <c r="A2" s="454" t="s">
        <v>956</v>
      </c>
      <c r="B2" s="455">
        <v>18.884798232409999</v>
      </c>
      <c r="C2" s="455" t="s">
        <v>953</v>
      </c>
      <c r="D2" s="455">
        <v>0</v>
      </c>
      <c r="E2" s="455">
        <v>5.0248801641899998</v>
      </c>
      <c r="F2" s="539">
        <v>0</v>
      </c>
      <c r="I2" s="532" t="s">
        <v>1433</v>
      </c>
      <c r="J2" s="533">
        <v>275009.5</v>
      </c>
    </row>
    <row r="3" spans="1:10" ht="15.75" thickBot="1" x14ac:dyDescent="0.3">
      <c r="A3" s="452" t="s">
        <v>944</v>
      </c>
      <c r="B3" s="453">
        <v>47326.532931069938</v>
      </c>
      <c r="C3" s="453" t="s">
        <v>945</v>
      </c>
      <c r="D3" s="453">
        <v>2838.7966531000002</v>
      </c>
      <c r="E3" s="453">
        <v>25492.1261471</v>
      </c>
      <c r="F3" s="540">
        <v>646</v>
      </c>
      <c r="I3" s="532" t="s">
        <v>936</v>
      </c>
      <c r="J3" s="533">
        <v>17194</v>
      </c>
    </row>
    <row r="4" spans="1:10" ht="26.25" thickBot="1" x14ac:dyDescent="0.3">
      <c r="A4" s="452" t="s">
        <v>896</v>
      </c>
      <c r="B4" s="453">
        <v>52.712959949499997</v>
      </c>
      <c r="C4" s="453" t="s">
        <v>1385</v>
      </c>
      <c r="D4" s="453">
        <v>0</v>
      </c>
      <c r="E4" s="453">
        <v>39.005983482300003</v>
      </c>
      <c r="F4" s="540">
        <v>0</v>
      </c>
      <c r="I4" s="532" t="s">
        <v>1407</v>
      </c>
      <c r="J4" s="533">
        <v>93486.399999999994</v>
      </c>
    </row>
    <row r="5" spans="1:10" ht="15.75" thickBot="1" x14ac:dyDescent="0.3">
      <c r="A5" s="452" t="s">
        <v>946</v>
      </c>
      <c r="B5" s="453">
        <v>1592.95997029</v>
      </c>
      <c r="C5" s="453" t="s">
        <v>947</v>
      </c>
      <c r="D5" s="453">
        <v>75.618928435599997</v>
      </c>
      <c r="E5" s="453">
        <v>165.459568894</v>
      </c>
      <c r="F5" s="540">
        <v>12</v>
      </c>
      <c r="I5" s="532" t="s">
        <v>1434</v>
      </c>
      <c r="J5" s="533">
        <v>110680.4</v>
      </c>
    </row>
    <row r="6" spans="1:10" ht="15.75" thickBot="1" x14ac:dyDescent="0.3">
      <c r="A6" s="452" t="s">
        <v>954</v>
      </c>
      <c r="B6" s="453">
        <v>220.263175365</v>
      </c>
      <c r="C6" s="453" t="s">
        <v>955</v>
      </c>
      <c r="D6" s="453">
        <v>0.45992304723499999</v>
      </c>
      <c r="E6" s="453">
        <v>2.1684365572400002</v>
      </c>
      <c r="F6" s="540">
        <v>1</v>
      </c>
      <c r="I6" s="534" t="s">
        <v>1435</v>
      </c>
      <c r="J6" s="535">
        <v>164329.1</v>
      </c>
    </row>
    <row r="7" spans="1:10" ht="15.75" thickTop="1" x14ac:dyDescent="0.25">
      <c r="A7" s="452" t="s">
        <v>950</v>
      </c>
      <c r="B7" s="453">
        <v>469.61148527099999</v>
      </c>
      <c r="C7" s="453" t="s">
        <v>951</v>
      </c>
      <c r="D7" s="453">
        <v>5.5386718413300002</v>
      </c>
      <c r="E7" s="453">
        <v>96.286880701800001</v>
      </c>
      <c r="F7" s="540">
        <v>24</v>
      </c>
    </row>
    <row r="8" spans="1:10" x14ac:dyDescent="0.25">
      <c r="A8" s="452" t="s">
        <v>938</v>
      </c>
      <c r="B8" s="453">
        <v>212101.02969684004</v>
      </c>
      <c r="C8" s="453" t="s">
        <v>939</v>
      </c>
      <c r="D8" s="453">
        <v>14256.945088157849</v>
      </c>
      <c r="E8" s="453">
        <v>61896.558653610002</v>
      </c>
      <c r="F8" s="540">
        <v>55</v>
      </c>
    </row>
    <row r="9" spans="1:10" x14ac:dyDescent="0.25">
      <c r="A9" s="452" t="s">
        <v>952</v>
      </c>
      <c r="B9" s="453">
        <v>102.290258177</v>
      </c>
      <c r="C9" s="453" t="s">
        <v>953</v>
      </c>
      <c r="D9" s="494">
        <v>10.185479175599999</v>
      </c>
      <c r="E9" s="494">
        <v>0.35770630520800001</v>
      </c>
      <c r="F9" s="540">
        <v>0</v>
      </c>
    </row>
    <row r="10" spans="1:10" x14ac:dyDescent="0.25">
      <c r="A10" s="452" t="s">
        <v>957</v>
      </c>
      <c r="B10" s="453">
        <v>9142.3836878599996</v>
      </c>
      <c r="C10" s="453" t="s">
        <v>941</v>
      </c>
      <c r="D10" s="453">
        <v>1.0717180595</v>
      </c>
      <c r="E10" s="453">
        <v>5768.8536679139997</v>
      </c>
      <c r="F10" s="540">
        <v>3</v>
      </c>
    </row>
    <row r="11" spans="1:10" x14ac:dyDescent="0.25">
      <c r="A11" s="452" t="s">
        <v>942</v>
      </c>
      <c r="B11" s="453">
        <v>3537.4266204700002</v>
      </c>
      <c r="C11" s="453" t="s">
        <v>943</v>
      </c>
      <c r="D11" s="453">
        <v>0</v>
      </c>
      <c r="E11" s="453">
        <v>2.2476701490400002</v>
      </c>
      <c r="F11" s="540">
        <v>2</v>
      </c>
    </row>
    <row r="12" spans="1:10" ht="26.25" thickBot="1" x14ac:dyDescent="0.3">
      <c r="A12" s="460" t="s">
        <v>948</v>
      </c>
      <c r="B12" s="461">
        <v>445.39890469479997</v>
      </c>
      <c r="C12" s="461" t="s">
        <v>949</v>
      </c>
      <c r="D12" s="461">
        <v>5.3456019941399999</v>
      </c>
      <c r="E12" s="461">
        <v>18.305941869087999</v>
      </c>
      <c r="F12" s="541">
        <v>0</v>
      </c>
    </row>
    <row r="13" spans="1:10" ht="15.75" thickTop="1" x14ac:dyDescent="0.25">
      <c r="A13" s="456" t="s">
        <v>784</v>
      </c>
      <c r="B13" s="468">
        <f>SUM(B2:B12)</f>
        <v>275009.49448821973</v>
      </c>
      <c r="C13" s="468" t="s">
        <v>14</v>
      </c>
      <c r="D13" s="468">
        <f>SUM(D2:D12)</f>
        <v>17193.962063811254</v>
      </c>
      <c r="E13" s="468">
        <f>SUM(E2:E12)</f>
        <v>93486.395536746844</v>
      </c>
      <c r="F13" s="467">
        <f>SUM(F2:F12)</f>
        <v>743</v>
      </c>
    </row>
  </sheetData>
  <sortState ref="A2:F12">
    <sortCondition ref="A2:A12"/>
  </sortState>
  <pageMargins left="0.7" right="0.7" top="0.75" bottom="0.75" header="0.3" footer="0.3"/>
  <pageSetup fitToHeight="0" orientation="landscape"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2"/>
  <sheetViews>
    <sheetView workbookViewId="0">
      <selection activeCell="I2" sqref="I2"/>
    </sheetView>
  </sheetViews>
  <sheetFormatPr defaultRowHeight="15" x14ac:dyDescent="0.25"/>
  <cols>
    <col min="1" max="1" width="15.42578125" customWidth="1"/>
    <col min="2" max="2" width="14" customWidth="1"/>
    <col min="3" max="3" width="23.42578125" customWidth="1"/>
    <col min="4" max="4" width="12.28515625" style="193" customWidth="1"/>
    <col min="5" max="5" width="13.28515625" style="193" customWidth="1"/>
    <col min="6" max="6" width="27.5703125" customWidth="1"/>
  </cols>
  <sheetData>
    <row r="1" spans="1:9" ht="39.75" thickTop="1" thickBot="1" x14ac:dyDescent="0.3">
      <c r="A1" s="78" t="s">
        <v>1</v>
      </c>
      <c r="B1" s="79" t="s">
        <v>3</v>
      </c>
      <c r="C1" s="79" t="s">
        <v>282</v>
      </c>
      <c r="D1" s="79" t="s">
        <v>636</v>
      </c>
      <c r="E1" s="79" t="s">
        <v>794</v>
      </c>
      <c r="F1" s="79" t="s">
        <v>637</v>
      </c>
      <c r="I1" s="313" t="s">
        <v>1248</v>
      </c>
    </row>
    <row r="2" spans="1:9" ht="52.5" thickTop="1" thickBot="1" x14ac:dyDescent="0.3">
      <c r="A2" s="97" t="s">
        <v>638</v>
      </c>
      <c r="B2" s="98" t="s">
        <v>104</v>
      </c>
      <c r="C2" s="99" t="s">
        <v>639</v>
      </c>
      <c r="D2" s="317">
        <v>2</v>
      </c>
      <c r="E2" s="223">
        <f>D2*1000</f>
        <v>2000</v>
      </c>
      <c r="F2" s="83" t="s">
        <v>640</v>
      </c>
    </row>
    <row r="3" spans="1:9" ht="77.25" thickBot="1" x14ac:dyDescent="0.3">
      <c r="A3" s="97" t="s">
        <v>641</v>
      </c>
      <c r="B3" s="99" t="s">
        <v>642</v>
      </c>
      <c r="C3" s="99" t="s">
        <v>643</v>
      </c>
      <c r="D3" s="318">
        <v>7.6</v>
      </c>
      <c r="E3" s="224">
        <f t="shared" ref="E3:E10" si="0">D3*1000</f>
        <v>7600</v>
      </c>
      <c r="F3" s="83" t="s">
        <v>644</v>
      </c>
    </row>
    <row r="4" spans="1:9" ht="77.25" thickBot="1" x14ac:dyDescent="0.3">
      <c r="A4" s="97" t="s">
        <v>645</v>
      </c>
      <c r="B4" s="99" t="s">
        <v>9</v>
      </c>
      <c r="C4" s="99" t="s">
        <v>845</v>
      </c>
      <c r="D4" s="328">
        <v>0.94482999999999995</v>
      </c>
      <c r="E4" s="325">
        <v>944.82999999999993</v>
      </c>
      <c r="F4" s="83" t="s">
        <v>647</v>
      </c>
    </row>
    <row r="5" spans="1:9" ht="102.75" thickBot="1" x14ac:dyDescent="0.3">
      <c r="A5" s="160" t="s">
        <v>648</v>
      </c>
      <c r="B5" s="160" t="s">
        <v>104</v>
      </c>
      <c r="C5" s="160" t="s">
        <v>649</v>
      </c>
      <c r="D5" s="319">
        <v>7.7</v>
      </c>
      <c r="E5" s="224">
        <f t="shared" si="0"/>
        <v>7700</v>
      </c>
      <c r="F5" s="158" t="s">
        <v>796</v>
      </c>
    </row>
    <row r="6" spans="1:9" ht="51.75" thickBot="1" x14ac:dyDescent="0.3">
      <c r="A6" s="97" t="s">
        <v>650</v>
      </c>
      <c r="B6" s="99" t="s">
        <v>19</v>
      </c>
      <c r="C6" s="99" t="s">
        <v>651</v>
      </c>
      <c r="D6" s="320">
        <v>8.9999999999999993E-3</v>
      </c>
      <c r="E6" s="324">
        <v>8.8970000000000002</v>
      </c>
      <c r="F6" s="83" t="s">
        <v>652</v>
      </c>
    </row>
    <row r="7" spans="1:9" ht="128.25" thickBot="1" x14ac:dyDescent="0.3">
      <c r="A7" s="161" t="s">
        <v>653</v>
      </c>
      <c r="B7" s="160" t="s">
        <v>654</v>
      </c>
      <c r="C7" s="161" t="s">
        <v>655</v>
      </c>
      <c r="D7" s="319" t="s">
        <v>656</v>
      </c>
      <c r="E7" s="323" t="s">
        <v>656</v>
      </c>
      <c r="F7" s="162" t="s">
        <v>1247</v>
      </c>
    </row>
    <row r="8" spans="1:9" ht="90" thickBot="1" x14ac:dyDescent="0.3">
      <c r="A8" s="163" t="s">
        <v>797</v>
      </c>
      <c r="B8" s="156" t="s">
        <v>846</v>
      </c>
      <c r="C8" s="163" t="s">
        <v>657</v>
      </c>
      <c r="D8" s="321" t="s">
        <v>658</v>
      </c>
      <c r="E8" s="294" t="s">
        <v>1232</v>
      </c>
      <c r="F8" s="162" t="s">
        <v>798</v>
      </c>
    </row>
    <row r="9" spans="1:9" ht="77.25" thickBot="1" x14ac:dyDescent="0.3">
      <c r="A9" s="155" t="s">
        <v>659</v>
      </c>
      <c r="B9" s="122" t="s">
        <v>654</v>
      </c>
      <c r="C9" s="122" t="s">
        <v>660</v>
      </c>
      <c r="D9" s="319" t="s">
        <v>880</v>
      </c>
      <c r="E9" s="295" t="s">
        <v>881</v>
      </c>
      <c r="F9" s="100" t="s">
        <v>799</v>
      </c>
    </row>
    <row r="10" spans="1:9" ht="77.25" thickBot="1" x14ac:dyDescent="0.3">
      <c r="A10" s="159" t="s">
        <v>661</v>
      </c>
      <c r="B10" s="159" t="s">
        <v>662</v>
      </c>
      <c r="C10" s="159" t="s">
        <v>663</v>
      </c>
      <c r="D10" s="322">
        <v>26.56</v>
      </c>
      <c r="E10" s="326">
        <f t="shared" si="0"/>
        <v>26560</v>
      </c>
      <c r="F10" s="157" t="s">
        <v>800</v>
      </c>
    </row>
    <row r="11" spans="1:9" ht="15.75" thickBot="1" x14ac:dyDescent="0.3">
      <c r="A11" s="85" t="s">
        <v>607</v>
      </c>
      <c r="B11" s="86" t="s">
        <v>14</v>
      </c>
      <c r="C11" s="86" t="s">
        <v>14</v>
      </c>
      <c r="D11" s="315" t="s">
        <v>886</v>
      </c>
      <c r="E11" s="316" t="s">
        <v>1242</v>
      </c>
      <c r="F11" s="101" t="s">
        <v>14</v>
      </c>
    </row>
    <row r="12" spans="1:9" ht="15.75" thickTop="1" x14ac:dyDescent="0.25"/>
  </sheetData>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
  <sheetViews>
    <sheetView workbookViewId="0">
      <selection activeCell="A7" sqref="A7"/>
    </sheetView>
  </sheetViews>
  <sheetFormatPr defaultRowHeight="15" x14ac:dyDescent="0.25"/>
  <cols>
    <col min="1" max="1" width="45.7109375" customWidth="1"/>
    <col min="2" max="2" width="18.28515625" customWidth="1"/>
  </cols>
  <sheetData>
    <row r="1" spans="1:2" ht="16.5" thickTop="1" thickBot="1" x14ac:dyDescent="0.3">
      <c r="A1" s="194" t="s">
        <v>847</v>
      </c>
      <c r="B1" s="195" t="s">
        <v>848</v>
      </c>
    </row>
    <row r="2" spans="1:2" ht="15.75" thickBot="1" x14ac:dyDescent="0.3">
      <c r="A2" s="179" t="s">
        <v>849</v>
      </c>
      <c r="B2" s="185" t="s">
        <v>850</v>
      </c>
    </row>
    <row r="3" spans="1:2" ht="15.75" thickBot="1" x14ac:dyDescent="0.3">
      <c r="A3" s="179" t="s">
        <v>851</v>
      </c>
      <c r="B3" s="185" t="s">
        <v>850</v>
      </c>
    </row>
    <row r="4" spans="1:2" ht="15.75" thickBot="1" x14ac:dyDescent="0.3">
      <c r="A4" s="181" t="s">
        <v>852</v>
      </c>
      <c r="B4" s="196" t="s">
        <v>853</v>
      </c>
    </row>
    <row r="5" spans="1:2" ht="15.75" thickTop="1" x14ac:dyDescent="0.25"/>
  </sheetData>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9"/>
  <sheetViews>
    <sheetView workbookViewId="0">
      <selection activeCell="K16" sqref="K16"/>
    </sheetView>
  </sheetViews>
  <sheetFormatPr defaultRowHeight="15" x14ac:dyDescent="0.25"/>
  <cols>
    <col min="1" max="1" width="23.7109375" bestFit="1" customWidth="1"/>
    <col min="2" max="2" width="10.5703125" customWidth="1"/>
    <col min="3" max="3" width="10.28515625" customWidth="1"/>
    <col min="6" max="7" width="7.140625" bestFit="1" customWidth="1"/>
    <col min="8" max="8" width="10.42578125" customWidth="1"/>
    <col min="9" max="9" width="10.85546875" customWidth="1"/>
    <col min="10" max="11" width="7.140625" bestFit="1" customWidth="1"/>
    <col min="12" max="12" width="9" bestFit="1" customWidth="1"/>
    <col min="13" max="13" width="11.28515625" bestFit="1" customWidth="1"/>
  </cols>
  <sheetData>
    <row r="1" spans="1:13" ht="52.5" thickTop="1" thickBot="1" x14ac:dyDescent="0.3">
      <c r="A1" s="197" t="s">
        <v>3</v>
      </c>
      <c r="B1" s="198" t="s">
        <v>854</v>
      </c>
      <c r="C1" s="198" t="s">
        <v>855</v>
      </c>
      <c r="D1" s="198" t="s">
        <v>856</v>
      </c>
      <c r="E1" s="198" t="s">
        <v>857</v>
      </c>
      <c r="F1" s="198" t="s">
        <v>858</v>
      </c>
      <c r="G1" s="198" t="s">
        <v>859</v>
      </c>
      <c r="H1" s="198" t="s">
        <v>860</v>
      </c>
      <c r="I1" s="198" t="s">
        <v>861</v>
      </c>
      <c r="J1" s="198" t="s">
        <v>862</v>
      </c>
      <c r="K1" s="198" t="s">
        <v>863</v>
      </c>
      <c r="L1" s="199" t="s">
        <v>864</v>
      </c>
      <c r="M1" s="199" t="s">
        <v>866</v>
      </c>
    </row>
    <row r="2" spans="1:13" ht="16.5" thickTop="1" thickBot="1" x14ac:dyDescent="0.3">
      <c r="A2" s="200" t="s">
        <v>102</v>
      </c>
      <c r="B2" s="201" t="s">
        <v>14</v>
      </c>
      <c r="C2" s="201" t="s">
        <v>14</v>
      </c>
      <c r="D2" s="201" t="s">
        <v>14</v>
      </c>
      <c r="E2" s="201">
        <v>0.04</v>
      </c>
      <c r="F2" s="201">
        <v>4.04</v>
      </c>
      <c r="G2" s="201" t="s">
        <v>14</v>
      </c>
      <c r="H2" s="201" t="s">
        <v>14</v>
      </c>
      <c r="I2" s="501">
        <f>'ES-1'!F7</f>
        <v>5.8806624667140666</v>
      </c>
      <c r="J2" s="201">
        <v>0.27</v>
      </c>
      <c r="K2" s="202">
        <v>8.59</v>
      </c>
      <c r="L2" s="445">
        <f>SUM(B2:K2)</f>
        <v>18.820662466714065</v>
      </c>
      <c r="M2" s="444">
        <f>L2*1000</f>
        <v>18820.662466714064</v>
      </c>
    </row>
    <row r="3" spans="1:13" ht="15.75" thickBot="1" x14ac:dyDescent="0.3">
      <c r="A3" s="200" t="s">
        <v>104</v>
      </c>
      <c r="B3" s="201" t="s">
        <v>14</v>
      </c>
      <c r="C3" s="201" t="s">
        <v>14</v>
      </c>
      <c r="D3" s="201" t="s">
        <v>14</v>
      </c>
      <c r="E3" s="201">
        <v>7.0000000000000007E-2</v>
      </c>
      <c r="F3" s="201">
        <v>5.25</v>
      </c>
      <c r="G3" s="201">
        <v>0.7</v>
      </c>
      <c r="H3" s="201" t="s">
        <v>14</v>
      </c>
      <c r="I3" s="501">
        <f>'ES-2'!F6</f>
        <v>5.6649260880067507</v>
      </c>
      <c r="J3" s="201">
        <v>0.28000000000000003</v>
      </c>
      <c r="K3" s="202" t="s">
        <v>14</v>
      </c>
      <c r="L3" s="445">
        <f t="shared" ref="L3:L7" si="0">SUM(B3:K3)</f>
        <v>11.964926088006751</v>
      </c>
      <c r="M3" s="444">
        <f t="shared" ref="M3:M7" si="1">L3*1000</f>
        <v>11964.92608800675</v>
      </c>
    </row>
    <row r="4" spans="1:13" ht="15.75" thickBot="1" x14ac:dyDescent="0.3">
      <c r="A4" s="200" t="s">
        <v>9</v>
      </c>
      <c r="B4" s="201">
        <v>0.01</v>
      </c>
      <c r="C4" s="201" t="s">
        <v>14</v>
      </c>
      <c r="D4" s="201">
        <v>0.06</v>
      </c>
      <c r="E4" s="201">
        <v>0.19</v>
      </c>
      <c r="F4" s="201">
        <v>0.09</v>
      </c>
      <c r="G4" s="201" t="s">
        <v>14</v>
      </c>
      <c r="H4" s="201" t="s">
        <v>14</v>
      </c>
      <c r="I4" s="501">
        <f>'ES-3'!F5</f>
        <v>1.4587686022816355</v>
      </c>
      <c r="J4" s="201">
        <v>0.05</v>
      </c>
      <c r="K4" s="202" t="s">
        <v>14</v>
      </c>
      <c r="L4" s="445">
        <f t="shared" si="0"/>
        <v>1.8587686022816354</v>
      </c>
      <c r="M4" s="444">
        <f t="shared" si="1"/>
        <v>1858.7686022816354</v>
      </c>
    </row>
    <row r="5" spans="1:13" ht="15.75" thickBot="1" x14ac:dyDescent="0.3">
      <c r="A5" s="200" t="s">
        <v>107</v>
      </c>
      <c r="B5" s="201" t="s">
        <v>14</v>
      </c>
      <c r="C5" s="201" t="s">
        <v>14</v>
      </c>
      <c r="D5" s="201" t="s">
        <v>14</v>
      </c>
      <c r="E5" s="201">
        <v>0.16</v>
      </c>
      <c r="F5" s="201">
        <v>0.56000000000000005</v>
      </c>
      <c r="G5" s="201" t="s">
        <v>14</v>
      </c>
      <c r="H5" s="201">
        <v>17.75</v>
      </c>
      <c r="I5" s="501">
        <f>'ES-4'!F9</f>
        <v>5.4738521090085843</v>
      </c>
      <c r="J5" s="201">
        <v>0.32</v>
      </c>
      <c r="K5" s="202" t="s">
        <v>14</v>
      </c>
      <c r="L5" s="445">
        <f t="shared" si="0"/>
        <v>24.263852109008582</v>
      </c>
      <c r="M5" s="444">
        <f t="shared" si="1"/>
        <v>24263.852109008581</v>
      </c>
    </row>
    <row r="6" spans="1:13" ht="15.75" thickBot="1" x14ac:dyDescent="0.3">
      <c r="A6" s="200" t="s">
        <v>64</v>
      </c>
      <c r="B6" s="201">
        <v>0.05</v>
      </c>
      <c r="C6" s="201" t="s">
        <v>14</v>
      </c>
      <c r="D6" s="201">
        <v>0.06</v>
      </c>
      <c r="E6" s="201" t="s">
        <v>14</v>
      </c>
      <c r="F6" s="201">
        <v>0.21</v>
      </c>
      <c r="G6" s="201">
        <v>21.97</v>
      </c>
      <c r="H6" s="201" t="s">
        <v>14</v>
      </c>
      <c r="I6" s="501">
        <f>'ES-5'!F13</f>
        <v>5.8577575222402203</v>
      </c>
      <c r="J6" s="201">
        <v>0.64</v>
      </c>
      <c r="K6" s="202">
        <v>7.57</v>
      </c>
      <c r="L6" s="445">
        <f t="shared" si="0"/>
        <v>36.35775752224022</v>
      </c>
      <c r="M6" s="444">
        <f t="shared" si="1"/>
        <v>36357.757522240223</v>
      </c>
    </row>
    <row r="7" spans="1:13" ht="15.75" thickBot="1" x14ac:dyDescent="0.3">
      <c r="A7" s="203" t="s">
        <v>19</v>
      </c>
      <c r="B7" s="204">
        <v>0.25</v>
      </c>
      <c r="C7" s="204">
        <v>0.55000000000000004</v>
      </c>
      <c r="D7" s="204">
        <v>0.27</v>
      </c>
      <c r="E7" s="204">
        <v>1.24</v>
      </c>
      <c r="F7" s="204">
        <v>0.03</v>
      </c>
      <c r="G7" s="204" t="s">
        <v>14</v>
      </c>
      <c r="H7" s="204">
        <v>0.89</v>
      </c>
      <c r="I7" s="502">
        <f>'ES-6'!F13</f>
        <v>3.4521505038275477</v>
      </c>
      <c r="J7" s="204">
        <v>0.03</v>
      </c>
      <c r="K7" s="205" t="s">
        <v>14</v>
      </c>
      <c r="L7" s="445">
        <f t="shared" si="0"/>
        <v>6.712150503827548</v>
      </c>
      <c r="M7" s="444">
        <f t="shared" si="1"/>
        <v>6712.1505038275482</v>
      </c>
    </row>
    <row r="8" spans="1:13" ht="16.5" thickTop="1" thickBot="1" x14ac:dyDescent="0.3">
      <c r="A8" s="206" t="s">
        <v>865</v>
      </c>
      <c r="B8" s="207">
        <f>SUM(B2:B7)</f>
        <v>0.31</v>
      </c>
      <c r="C8" s="207">
        <f t="shared" ref="C8:K8" si="2">SUM(C2:C7)</f>
        <v>0.55000000000000004</v>
      </c>
      <c r="D8" s="207">
        <f t="shared" si="2"/>
        <v>0.39</v>
      </c>
      <c r="E8" s="207">
        <f t="shared" si="2"/>
        <v>1.7000000000000002</v>
      </c>
      <c r="F8" s="207">
        <f t="shared" si="2"/>
        <v>10.18</v>
      </c>
      <c r="G8" s="207">
        <f t="shared" si="2"/>
        <v>22.669999999999998</v>
      </c>
      <c r="H8" s="207">
        <f t="shared" si="2"/>
        <v>18.64</v>
      </c>
      <c r="I8" s="503">
        <f t="shared" si="2"/>
        <v>27.788117292078802</v>
      </c>
      <c r="J8" s="207">
        <f t="shared" si="2"/>
        <v>1.59</v>
      </c>
      <c r="K8" s="207">
        <f t="shared" si="2"/>
        <v>16.16</v>
      </c>
      <c r="L8" s="500">
        <f>SUM(L2:L7)</f>
        <v>99.978117292078807</v>
      </c>
      <c r="M8" s="500">
        <f>SUM(M2:M7)</f>
        <v>99978.117292078809</v>
      </c>
    </row>
    <row r="9" spans="1:13" ht="15.75" thickTop="1" x14ac:dyDescent="0.25"/>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91"/>
  <sheetViews>
    <sheetView workbookViewId="0">
      <selection activeCell="D3" sqref="D3"/>
    </sheetView>
  </sheetViews>
  <sheetFormatPr defaultRowHeight="15" x14ac:dyDescent="0.25"/>
  <cols>
    <col min="1" max="1" width="59.85546875" style="392" customWidth="1"/>
    <col min="2" max="2" width="23.42578125" bestFit="1" customWidth="1"/>
  </cols>
  <sheetData>
    <row r="1" spans="1:7" x14ac:dyDescent="0.25">
      <c r="E1" s="498"/>
      <c r="F1" s="313"/>
      <c r="G1" s="313"/>
    </row>
    <row r="2" spans="1:7" x14ac:dyDescent="0.25">
      <c r="E2" s="498"/>
    </row>
    <row r="3" spans="1:7" x14ac:dyDescent="0.25">
      <c r="A3" s="506" t="s">
        <v>1210</v>
      </c>
      <c r="B3" s="507" t="s">
        <v>1413</v>
      </c>
      <c r="E3" s="498"/>
    </row>
    <row r="4" spans="1:7" x14ac:dyDescent="0.25">
      <c r="A4" s="508" t="s">
        <v>7</v>
      </c>
      <c r="B4" s="509">
        <v>1</v>
      </c>
      <c r="E4" s="498"/>
    </row>
    <row r="5" spans="1:7" x14ac:dyDescent="0.25">
      <c r="A5" s="508" t="s">
        <v>285</v>
      </c>
      <c r="B5" s="509">
        <v>1</v>
      </c>
      <c r="E5" s="498"/>
    </row>
    <row r="6" spans="1:7" x14ac:dyDescent="0.25">
      <c r="A6" s="508" t="s">
        <v>12</v>
      </c>
      <c r="B6" s="509">
        <v>2</v>
      </c>
      <c r="E6" s="498"/>
    </row>
    <row r="7" spans="1:7" x14ac:dyDescent="0.25">
      <c r="A7" s="510" t="s">
        <v>287</v>
      </c>
      <c r="B7" s="509">
        <v>2</v>
      </c>
      <c r="E7" s="498"/>
    </row>
    <row r="8" spans="1:7" x14ac:dyDescent="0.25">
      <c r="A8" s="508" t="s">
        <v>21</v>
      </c>
      <c r="B8" s="509">
        <v>1</v>
      </c>
      <c r="E8" s="498"/>
    </row>
    <row r="9" spans="1:7" x14ac:dyDescent="0.25">
      <c r="A9" s="510" t="s">
        <v>285</v>
      </c>
      <c r="B9" s="509">
        <v>1</v>
      </c>
      <c r="E9" s="498"/>
    </row>
    <row r="10" spans="1:7" x14ac:dyDescent="0.25">
      <c r="A10" s="508" t="s">
        <v>34</v>
      </c>
      <c r="B10" s="509">
        <v>6</v>
      </c>
      <c r="E10" s="498"/>
    </row>
    <row r="11" spans="1:7" x14ac:dyDescent="0.25">
      <c r="A11" s="510">
        <v>2015</v>
      </c>
      <c r="B11" s="509">
        <v>3</v>
      </c>
      <c r="E11" s="498"/>
    </row>
    <row r="12" spans="1:7" x14ac:dyDescent="0.25">
      <c r="A12" s="510" t="s">
        <v>285</v>
      </c>
      <c r="B12" s="509">
        <v>2</v>
      </c>
      <c r="E12" s="498"/>
    </row>
    <row r="13" spans="1:7" x14ac:dyDescent="0.25">
      <c r="A13" s="510" t="s">
        <v>287</v>
      </c>
      <c r="B13" s="509">
        <v>1</v>
      </c>
      <c r="E13" s="498"/>
    </row>
    <row r="14" spans="1:7" x14ac:dyDescent="0.25">
      <c r="A14" s="508" t="s">
        <v>57</v>
      </c>
      <c r="B14" s="509">
        <v>17</v>
      </c>
      <c r="E14" s="498"/>
    </row>
    <row r="15" spans="1:7" x14ac:dyDescent="0.25">
      <c r="A15" s="510" t="s">
        <v>324</v>
      </c>
      <c r="B15" s="509">
        <v>1</v>
      </c>
      <c r="E15" s="498"/>
    </row>
    <row r="16" spans="1:7" x14ac:dyDescent="0.25">
      <c r="A16" s="510" t="s">
        <v>320</v>
      </c>
      <c r="B16" s="509">
        <v>2</v>
      </c>
      <c r="E16" s="498"/>
    </row>
    <row r="17" spans="1:5" x14ac:dyDescent="0.25">
      <c r="A17" s="510" t="s">
        <v>323</v>
      </c>
      <c r="B17" s="509">
        <v>1</v>
      </c>
      <c r="E17" s="498"/>
    </row>
    <row r="18" spans="1:5" x14ac:dyDescent="0.25">
      <c r="A18" s="510" t="s">
        <v>322</v>
      </c>
      <c r="B18" s="509">
        <v>2</v>
      </c>
      <c r="E18" s="498"/>
    </row>
    <row r="19" spans="1:5" x14ac:dyDescent="0.25">
      <c r="A19" s="510" t="s">
        <v>321</v>
      </c>
      <c r="B19" s="509">
        <v>1</v>
      </c>
      <c r="E19" s="498"/>
    </row>
    <row r="20" spans="1:5" x14ac:dyDescent="0.25">
      <c r="A20" s="510" t="s">
        <v>285</v>
      </c>
      <c r="B20" s="509">
        <v>10</v>
      </c>
      <c r="E20" s="498"/>
    </row>
    <row r="21" spans="1:5" x14ac:dyDescent="0.25">
      <c r="A21" s="508" t="s">
        <v>60</v>
      </c>
      <c r="B21" s="509">
        <v>1</v>
      </c>
      <c r="E21" s="498"/>
    </row>
    <row r="22" spans="1:5" x14ac:dyDescent="0.25">
      <c r="A22" s="510" t="s">
        <v>285</v>
      </c>
      <c r="B22" s="509">
        <v>1</v>
      </c>
      <c r="E22" s="498"/>
    </row>
    <row r="23" spans="1:5" x14ac:dyDescent="0.25">
      <c r="A23" s="508" t="s">
        <v>289</v>
      </c>
      <c r="B23" s="509">
        <v>1</v>
      </c>
      <c r="E23" s="498"/>
    </row>
    <row r="24" spans="1:5" x14ac:dyDescent="0.25">
      <c r="A24" s="510" t="s">
        <v>291</v>
      </c>
      <c r="B24" s="509">
        <v>1</v>
      </c>
      <c r="E24" s="498"/>
    </row>
    <row r="25" spans="1:5" x14ac:dyDescent="0.25">
      <c r="A25" s="508" t="s">
        <v>485</v>
      </c>
      <c r="B25" s="509">
        <v>6</v>
      </c>
      <c r="E25" s="498"/>
    </row>
    <row r="26" spans="1:5" x14ac:dyDescent="0.25">
      <c r="A26" s="510">
        <v>2009</v>
      </c>
      <c r="B26" s="509">
        <v>2</v>
      </c>
      <c r="E26" s="498"/>
    </row>
    <row r="27" spans="1:5" x14ac:dyDescent="0.25">
      <c r="A27" s="510">
        <v>2010</v>
      </c>
      <c r="B27" s="509">
        <v>1</v>
      </c>
      <c r="E27" s="498"/>
    </row>
    <row r="28" spans="1:5" x14ac:dyDescent="0.25">
      <c r="A28" s="510" t="s">
        <v>287</v>
      </c>
      <c r="B28" s="509">
        <v>3</v>
      </c>
      <c r="E28" s="498"/>
    </row>
    <row r="29" spans="1:5" x14ac:dyDescent="0.25">
      <c r="A29" s="508" t="s">
        <v>69</v>
      </c>
      <c r="B29" s="509">
        <v>3</v>
      </c>
      <c r="E29" s="498"/>
    </row>
    <row r="30" spans="1:5" x14ac:dyDescent="0.25">
      <c r="A30" s="510" t="s">
        <v>285</v>
      </c>
      <c r="B30" s="509">
        <v>1</v>
      </c>
      <c r="E30" s="498"/>
    </row>
    <row r="31" spans="1:5" x14ac:dyDescent="0.25">
      <c r="A31" s="510" t="s">
        <v>287</v>
      </c>
      <c r="B31" s="509">
        <v>2</v>
      </c>
      <c r="E31" s="498"/>
    </row>
    <row r="32" spans="1:5" x14ac:dyDescent="0.25">
      <c r="A32" s="508" t="s">
        <v>99</v>
      </c>
      <c r="B32" s="509">
        <v>25</v>
      </c>
      <c r="E32" s="498"/>
    </row>
    <row r="33" spans="1:5" x14ac:dyDescent="0.25">
      <c r="A33" s="510" t="s">
        <v>351</v>
      </c>
      <c r="B33" s="509">
        <v>3</v>
      </c>
      <c r="E33" s="498"/>
    </row>
    <row r="34" spans="1:5" x14ac:dyDescent="0.25">
      <c r="A34" s="510" t="s">
        <v>352</v>
      </c>
      <c r="B34" s="509">
        <v>4</v>
      </c>
    </row>
    <row r="35" spans="1:5" x14ac:dyDescent="0.25">
      <c r="A35" s="510" t="s">
        <v>354</v>
      </c>
      <c r="B35" s="509">
        <v>1</v>
      </c>
    </row>
    <row r="36" spans="1:5" x14ac:dyDescent="0.25">
      <c r="A36" s="510" t="s">
        <v>353</v>
      </c>
      <c r="B36" s="509">
        <v>2</v>
      </c>
    </row>
    <row r="37" spans="1:5" x14ac:dyDescent="0.25">
      <c r="A37" s="510" t="s">
        <v>355</v>
      </c>
      <c r="B37" s="509">
        <v>1</v>
      </c>
    </row>
    <row r="38" spans="1:5" x14ac:dyDescent="0.25">
      <c r="A38" s="510" t="s">
        <v>285</v>
      </c>
      <c r="B38" s="509">
        <v>2</v>
      </c>
    </row>
    <row r="39" spans="1:5" x14ac:dyDescent="0.25">
      <c r="A39" s="510" t="s">
        <v>287</v>
      </c>
      <c r="B39" s="509">
        <v>12</v>
      </c>
    </row>
    <row r="40" spans="1:5" x14ac:dyDescent="0.25">
      <c r="A40" s="508" t="s">
        <v>582</v>
      </c>
      <c r="B40" s="509">
        <v>2</v>
      </c>
    </row>
    <row r="41" spans="1:5" x14ac:dyDescent="0.25">
      <c r="A41" s="510" t="s">
        <v>285</v>
      </c>
      <c r="B41" s="509">
        <v>2</v>
      </c>
    </row>
    <row r="42" spans="1:5" x14ac:dyDescent="0.25">
      <c r="A42" s="508" t="s">
        <v>101</v>
      </c>
      <c r="B42" s="509">
        <v>4</v>
      </c>
    </row>
    <row r="43" spans="1:5" x14ac:dyDescent="0.25">
      <c r="A43" s="510" t="s">
        <v>285</v>
      </c>
      <c r="B43" s="509">
        <v>4</v>
      </c>
    </row>
    <row r="44" spans="1:5" x14ac:dyDescent="0.25">
      <c r="A44" s="508" t="s">
        <v>110</v>
      </c>
      <c r="B44" s="509">
        <v>2</v>
      </c>
    </row>
    <row r="45" spans="1:5" x14ac:dyDescent="0.25">
      <c r="A45" s="510" t="s">
        <v>297</v>
      </c>
      <c r="B45" s="509">
        <v>1</v>
      </c>
    </row>
    <row r="46" spans="1:5" x14ac:dyDescent="0.25">
      <c r="A46" s="510" t="s">
        <v>287</v>
      </c>
      <c r="B46" s="509">
        <v>1</v>
      </c>
    </row>
    <row r="47" spans="1:5" ht="30" x14ac:dyDescent="0.25">
      <c r="A47" s="508" t="s">
        <v>1217</v>
      </c>
      <c r="B47" s="509">
        <v>1</v>
      </c>
    </row>
    <row r="48" spans="1:5" x14ac:dyDescent="0.25">
      <c r="A48" s="510" t="s">
        <v>287</v>
      </c>
      <c r="B48" s="509">
        <v>1</v>
      </c>
    </row>
    <row r="49" spans="1:2" x14ac:dyDescent="0.25">
      <c r="A49" s="508" t="s">
        <v>125</v>
      </c>
      <c r="B49" s="509">
        <v>5</v>
      </c>
    </row>
    <row r="50" spans="1:2" x14ac:dyDescent="0.25">
      <c r="A50" s="510" t="s">
        <v>287</v>
      </c>
      <c r="B50" s="509">
        <v>5</v>
      </c>
    </row>
    <row r="51" spans="1:2" x14ac:dyDescent="0.25">
      <c r="A51" s="508" t="s">
        <v>163</v>
      </c>
      <c r="B51" s="509">
        <v>27</v>
      </c>
    </row>
    <row r="52" spans="1:2" x14ac:dyDescent="0.25">
      <c r="A52" s="510">
        <v>2013</v>
      </c>
      <c r="B52" s="509">
        <v>1</v>
      </c>
    </row>
    <row r="53" spans="1:2" x14ac:dyDescent="0.25">
      <c r="A53" s="510">
        <v>2014</v>
      </c>
      <c r="B53" s="509">
        <v>1</v>
      </c>
    </row>
    <row r="54" spans="1:2" x14ac:dyDescent="0.25">
      <c r="A54" s="510">
        <v>2016</v>
      </c>
      <c r="B54" s="509">
        <v>1</v>
      </c>
    </row>
    <row r="55" spans="1:2" x14ac:dyDescent="0.25">
      <c r="A55" s="510" t="s">
        <v>296</v>
      </c>
      <c r="B55" s="509">
        <v>3</v>
      </c>
    </row>
    <row r="56" spans="1:2" x14ac:dyDescent="0.25">
      <c r="A56" s="510" t="s">
        <v>410</v>
      </c>
      <c r="B56" s="509">
        <v>1</v>
      </c>
    </row>
    <row r="57" spans="1:2" x14ac:dyDescent="0.25">
      <c r="A57" s="510" t="s">
        <v>285</v>
      </c>
      <c r="B57" s="509">
        <v>17</v>
      </c>
    </row>
    <row r="58" spans="1:2" x14ac:dyDescent="0.25">
      <c r="A58" s="510" t="s">
        <v>287</v>
      </c>
      <c r="B58" s="509">
        <v>3</v>
      </c>
    </row>
    <row r="59" spans="1:2" x14ac:dyDescent="0.25">
      <c r="A59" s="508" t="s">
        <v>358</v>
      </c>
      <c r="B59" s="509">
        <v>1</v>
      </c>
    </row>
    <row r="60" spans="1:2" x14ac:dyDescent="0.25">
      <c r="A60" s="510" t="s">
        <v>405</v>
      </c>
      <c r="B60" s="509">
        <v>1</v>
      </c>
    </row>
    <row r="61" spans="1:2" x14ac:dyDescent="0.25">
      <c r="A61" s="508" t="s">
        <v>221</v>
      </c>
      <c r="B61" s="509">
        <v>31</v>
      </c>
    </row>
    <row r="62" spans="1:2" x14ac:dyDescent="0.25">
      <c r="A62" s="508">
        <v>2009</v>
      </c>
      <c r="B62" s="509">
        <v>1</v>
      </c>
    </row>
    <row r="63" spans="1:2" x14ac:dyDescent="0.25">
      <c r="A63" s="510">
        <v>2011</v>
      </c>
      <c r="B63" s="509">
        <v>1</v>
      </c>
    </row>
    <row r="64" spans="1:2" x14ac:dyDescent="0.25">
      <c r="A64" s="508">
        <v>2012</v>
      </c>
      <c r="B64" s="509">
        <v>6</v>
      </c>
    </row>
    <row r="65" spans="1:2" x14ac:dyDescent="0.25">
      <c r="A65" s="510" t="s">
        <v>296</v>
      </c>
      <c r="B65" s="509">
        <v>6</v>
      </c>
    </row>
    <row r="66" spans="1:2" x14ac:dyDescent="0.25">
      <c r="A66" s="510" t="s">
        <v>426</v>
      </c>
      <c r="B66" s="509">
        <v>1</v>
      </c>
    </row>
    <row r="67" spans="1:2" x14ac:dyDescent="0.25">
      <c r="A67" s="510" t="s">
        <v>416</v>
      </c>
      <c r="B67" s="509">
        <v>1</v>
      </c>
    </row>
    <row r="68" spans="1:2" x14ac:dyDescent="0.25">
      <c r="A68" s="508" t="s">
        <v>285</v>
      </c>
      <c r="B68" s="509">
        <v>9</v>
      </c>
    </row>
    <row r="69" spans="1:2" x14ac:dyDescent="0.25">
      <c r="A69" s="508" t="s">
        <v>415</v>
      </c>
      <c r="B69" s="509">
        <v>1</v>
      </c>
    </row>
    <row r="70" spans="1:2" x14ac:dyDescent="0.25">
      <c r="A70" s="508" t="s">
        <v>287</v>
      </c>
      <c r="B70" s="509">
        <v>5</v>
      </c>
    </row>
    <row r="71" spans="1:2" x14ac:dyDescent="0.25">
      <c r="A71" s="508" t="s">
        <v>222</v>
      </c>
      <c r="B71" s="509">
        <v>1</v>
      </c>
    </row>
    <row r="72" spans="1:2" x14ac:dyDescent="0.25">
      <c r="A72" s="510" t="s">
        <v>427</v>
      </c>
      <c r="B72" s="509">
        <v>1</v>
      </c>
    </row>
    <row r="73" spans="1:2" x14ac:dyDescent="0.25">
      <c r="A73" s="508" t="s">
        <v>228</v>
      </c>
      <c r="B73" s="509">
        <v>3</v>
      </c>
    </row>
    <row r="74" spans="1:2" x14ac:dyDescent="0.25">
      <c r="A74" s="510" t="s">
        <v>285</v>
      </c>
      <c r="B74" s="509">
        <v>3</v>
      </c>
    </row>
    <row r="75" spans="1:2" x14ac:dyDescent="0.25">
      <c r="A75" s="508" t="s">
        <v>433</v>
      </c>
      <c r="B75" s="509">
        <v>1</v>
      </c>
    </row>
    <row r="76" spans="1:2" x14ac:dyDescent="0.25">
      <c r="A76" s="510" t="s">
        <v>355</v>
      </c>
      <c r="B76" s="509">
        <v>1</v>
      </c>
    </row>
    <row r="77" spans="1:2" x14ac:dyDescent="0.25">
      <c r="A77" s="508" t="s">
        <v>274</v>
      </c>
      <c r="B77" s="509">
        <v>22</v>
      </c>
    </row>
    <row r="78" spans="1:2" x14ac:dyDescent="0.25">
      <c r="A78" s="510">
        <v>2009</v>
      </c>
      <c r="B78" s="509">
        <v>2</v>
      </c>
    </row>
    <row r="79" spans="1:2" x14ac:dyDescent="0.25">
      <c r="A79" s="510">
        <v>2012</v>
      </c>
      <c r="B79" s="509">
        <v>1</v>
      </c>
    </row>
    <row r="80" spans="1:2" x14ac:dyDescent="0.25">
      <c r="A80" s="510" t="s">
        <v>494</v>
      </c>
      <c r="B80" s="509">
        <v>1</v>
      </c>
    </row>
    <row r="81" spans="1:2" x14ac:dyDescent="0.25">
      <c r="A81" s="510" t="s">
        <v>440</v>
      </c>
      <c r="B81" s="509">
        <v>1</v>
      </c>
    </row>
    <row r="82" spans="1:2" x14ac:dyDescent="0.25">
      <c r="A82" s="510" t="s">
        <v>287</v>
      </c>
      <c r="B82" s="509">
        <v>17</v>
      </c>
    </row>
    <row r="83" spans="1:2" x14ac:dyDescent="0.25">
      <c r="A83" s="508" t="s">
        <v>276</v>
      </c>
      <c r="B83" s="509">
        <v>1</v>
      </c>
    </row>
    <row r="84" spans="1:2" x14ac:dyDescent="0.25">
      <c r="A84" s="510" t="s">
        <v>287</v>
      </c>
      <c r="B84" s="509">
        <v>1</v>
      </c>
    </row>
    <row r="85" spans="1:2" x14ac:dyDescent="0.25">
      <c r="A85" s="508" t="s">
        <v>865</v>
      </c>
      <c r="B85" s="509">
        <v>164</v>
      </c>
    </row>
    <row r="86" spans="1:2" x14ac:dyDescent="0.25">
      <c r="A86"/>
    </row>
    <row r="87" spans="1:2" x14ac:dyDescent="0.25">
      <c r="A87"/>
    </row>
    <row r="88" spans="1:2" x14ac:dyDescent="0.25">
      <c r="A88"/>
    </row>
    <row r="89" spans="1:2" x14ac:dyDescent="0.25">
      <c r="A89"/>
    </row>
    <row r="90" spans="1:2" x14ac:dyDescent="0.25">
      <c r="A90"/>
    </row>
    <row r="91" spans="1:2" x14ac:dyDescent="0.25">
      <c r="A91"/>
    </row>
  </sheetData>
  <pageMargins left="0.7" right="0.7" top="0.75" bottom="0.75" header="0.3" footer="0.3"/>
  <pageSetup fitToHeight="0" orientation="portrait"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0"/>
  <sheetViews>
    <sheetView workbookViewId="0">
      <selection activeCell="G9" sqref="G9"/>
    </sheetView>
  </sheetViews>
  <sheetFormatPr defaultRowHeight="15" x14ac:dyDescent="0.25"/>
  <cols>
    <col min="1" max="1" width="56.7109375" customWidth="1"/>
    <col min="2" max="3" width="25.5703125" customWidth="1"/>
    <col min="6" max="6" width="49.28515625" customWidth="1"/>
    <col min="7" max="7" width="28.7109375" customWidth="1"/>
  </cols>
  <sheetData>
    <row r="1" spans="1:7" ht="16.5" thickTop="1" thickBot="1" x14ac:dyDescent="0.3">
      <c r="A1" s="102" t="s">
        <v>664</v>
      </c>
      <c r="B1" s="79" t="s">
        <v>665</v>
      </c>
      <c r="C1" s="79" t="s">
        <v>792</v>
      </c>
      <c r="F1" s="387" t="s">
        <v>664</v>
      </c>
      <c r="G1" s="387" t="s">
        <v>665</v>
      </c>
    </row>
    <row r="2" spans="1:7" ht="16.5" thickTop="1" thickBot="1" x14ac:dyDescent="0.3">
      <c r="A2" s="103" t="s">
        <v>666</v>
      </c>
      <c r="B2" s="83">
        <v>448.3</v>
      </c>
      <c r="C2" s="216">
        <f>B2*1000</f>
        <v>448300</v>
      </c>
      <c r="F2" s="330" t="s">
        <v>1240</v>
      </c>
      <c r="G2" s="330">
        <v>448.3</v>
      </c>
    </row>
    <row r="3" spans="1:7" ht="16.5" thickTop="1" thickBot="1" x14ac:dyDescent="0.3">
      <c r="A3" s="103" t="s">
        <v>667</v>
      </c>
      <c r="B3" s="83">
        <v>343.3</v>
      </c>
      <c r="C3" s="216">
        <f t="shared" ref="C3:C4" si="0">B3*1000</f>
        <v>343300</v>
      </c>
      <c r="F3" s="330" t="s">
        <v>1241</v>
      </c>
      <c r="G3" s="330">
        <v>343.3</v>
      </c>
    </row>
    <row r="4" spans="1:7" ht="16.5" thickTop="1" thickBot="1" x14ac:dyDescent="0.3">
      <c r="A4" s="103" t="s">
        <v>867</v>
      </c>
      <c r="B4" s="83">
        <v>103.44</v>
      </c>
      <c r="C4" s="216">
        <f t="shared" si="0"/>
        <v>103440</v>
      </c>
      <c r="F4" s="330" t="s">
        <v>1419</v>
      </c>
      <c r="G4" s="511">
        <f>'ES-8'!B4</f>
        <v>100</v>
      </c>
    </row>
    <row r="5" spans="1:7" ht="27" thickTop="1" thickBot="1" x14ac:dyDescent="0.3">
      <c r="A5" s="103" t="s">
        <v>668</v>
      </c>
      <c r="B5" s="83" t="s">
        <v>669</v>
      </c>
      <c r="C5" s="217" t="s">
        <v>874</v>
      </c>
      <c r="F5" s="330" t="s">
        <v>1420</v>
      </c>
      <c r="G5" s="331" t="str">
        <f>'ES-8'!B5</f>
        <v>45.81-48.13</v>
      </c>
    </row>
    <row r="6" spans="1:7" ht="16.5" thickTop="1" thickBot="1" x14ac:dyDescent="0.3">
      <c r="A6" s="103" t="s">
        <v>670</v>
      </c>
      <c r="B6" s="83" t="s">
        <v>671</v>
      </c>
      <c r="C6" s="217" t="s">
        <v>875</v>
      </c>
      <c r="F6" s="330" t="s">
        <v>1421</v>
      </c>
      <c r="G6" s="332" t="str">
        <f>'ES-8'!B6</f>
        <v>145.81-148.13 (42.5%-43.1%)</v>
      </c>
    </row>
    <row r="7" spans="1:7" ht="16.5" thickTop="1" thickBot="1" x14ac:dyDescent="0.3">
      <c r="A7" s="104" t="s">
        <v>672</v>
      </c>
      <c r="B7" s="105" t="s">
        <v>801</v>
      </c>
      <c r="C7" s="218" t="s">
        <v>876</v>
      </c>
      <c r="F7" s="330" t="s">
        <v>672</v>
      </c>
      <c r="G7" s="332" t="str">
        <f>'ES-8'!B7</f>
        <v>195.17-197.49</v>
      </c>
    </row>
    <row r="8" spans="1:7" ht="15.75" thickTop="1" x14ac:dyDescent="0.25"/>
    <row r="10" spans="1:7" x14ac:dyDescent="0.25">
      <c r="A10" s="248" t="s">
        <v>958</v>
      </c>
    </row>
  </sheetData>
  <pageMargins left="0.7" right="0.7" top="0.75" bottom="0.75" header="0.3" footer="0.3"/>
  <pageSetup orientation="portrait"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K123"/>
  <sheetViews>
    <sheetView workbookViewId="0">
      <selection activeCell="G8" sqref="G8"/>
    </sheetView>
  </sheetViews>
  <sheetFormatPr defaultRowHeight="15" x14ac:dyDescent="0.25"/>
  <cols>
    <col min="1" max="1" width="21" bestFit="1" customWidth="1"/>
    <col min="2" max="2" width="40.28515625" customWidth="1"/>
    <col min="3" max="3" width="37.28515625" style="441" customWidth="1"/>
    <col min="4" max="4" width="11.42578125" customWidth="1"/>
    <col min="5" max="5" width="29.7109375" style="441" customWidth="1"/>
    <col min="7" max="7" width="22.85546875" style="93" bestFit="1" customWidth="1"/>
    <col min="8" max="8" width="37.42578125" style="93" bestFit="1" customWidth="1"/>
    <col min="9" max="9" width="31.140625" style="93" customWidth="1"/>
    <col min="10" max="10" width="14.140625" style="93" customWidth="1"/>
    <col min="11" max="11" width="26.42578125" style="93" bestFit="1" customWidth="1"/>
  </cols>
  <sheetData>
    <row r="1" spans="1:5" s="392" customFormat="1" ht="27" thickTop="1" thickBot="1" x14ac:dyDescent="0.3">
      <c r="A1" s="399" t="s">
        <v>959</v>
      </c>
      <c r="B1" s="400" t="s">
        <v>960</v>
      </c>
      <c r="C1" s="430" t="s">
        <v>961</v>
      </c>
      <c r="D1" s="400" t="s">
        <v>962</v>
      </c>
      <c r="E1" s="430" t="s">
        <v>1250</v>
      </c>
    </row>
    <row r="2" spans="1:5" ht="16.5" thickTop="1" thickBot="1" x14ac:dyDescent="0.3">
      <c r="A2" s="431" t="s">
        <v>57</v>
      </c>
      <c r="B2" s="432" t="s">
        <v>968</v>
      </c>
      <c r="C2" s="397" t="s">
        <v>964</v>
      </c>
      <c r="D2" s="432">
        <v>1985</v>
      </c>
      <c r="E2" s="397" t="s">
        <v>19</v>
      </c>
    </row>
    <row r="3" spans="1:5" ht="16.5" thickTop="1" thickBot="1" x14ac:dyDescent="0.3">
      <c r="A3" s="431" t="s">
        <v>57</v>
      </c>
      <c r="B3" s="432" t="s">
        <v>969</v>
      </c>
      <c r="C3" s="397" t="s">
        <v>964</v>
      </c>
      <c r="D3" s="432">
        <v>1985</v>
      </c>
      <c r="E3" s="397" t="s">
        <v>19</v>
      </c>
    </row>
    <row r="4" spans="1:5" ht="16.5" thickTop="1" thickBot="1" x14ac:dyDescent="0.3">
      <c r="A4" s="431" t="s">
        <v>57</v>
      </c>
      <c r="B4" s="432" t="s">
        <v>966</v>
      </c>
      <c r="C4" s="397" t="s">
        <v>964</v>
      </c>
      <c r="D4" s="432">
        <v>1990</v>
      </c>
      <c r="E4" s="397" t="s">
        <v>19</v>
      </c>
    </row>
    <row r="5" spans="1:5" ht="16.5" thickTop="1" thickBot="1" x14ac:dyDescent="0.3">
      <c r="A5" s="431" t="s">
        <v>57</v>
      </c>
      <c r="B5" s="432" t="s">
        <v>963</v>
      </c>
      <c r="C5" s="397" t="s">
        <v>964</v>
      </c>
      <c r="D5" s="432">
        <v>1994</v>
      </c>
      <c r="E5" s="397" t="s">
        <v>19</v>
      </c>
    </row>
    <row r="6" spans="1:5" ht="16.5" thickTop="1" thickBot="1" x14ac:dyDescent="0.3">
      <c r="A6" s="431" t="s">
        <v>57</v>
      </c>
      <c r="B6" s="432" t="s">
        <v>967</v>
      </c>
      <c r="C6" s="397" t="s">
        <v>964</v>
      </c>
      <c r="D6" s="432">
        <v>1994</v>
      </c>
      <c r="E6" s="397" t="s">
        <v>19</v>
      </c>
    </row>
    <row r="7" spans="1:5" ht="16.5" thickTop="1" thickBot="1" x14ac:dyDescent="0.3">
      <c r="A7" s="431" t="s">
        <v>57</v>
      </c>
      <c r="B7" s="432" t="s">
        <v>965</v>
      </c>
      <c r="C7" s="397" t="s">
        <v>964</v>
      </c>
      <c r="D7" s="432">
        <v>1999</v>
      </c>
      <c r="E7" s="397" t="s">
        <v>19</v>
      </c>
    </row>
    <row r="8" spans="1:5" ht="16.5" thickTop="1" thickBot="1" x14ac:dyDescent="0.3">
      <c r="A8" s="431" t="s">
        <v>749</v>
      </c>
      <c r="B8" s="432" t="s">
        <v>1046</v>
      </c>
      <c r="C8" s="397" t="s">
        <v>964</v>
      </c>
      <c r="D8" s="432">
        <v>2007</v>
      </c>
      <c r="E8" s="397" t="s">
        <v>19</v>
      </c>
    </row>
    <row r="9" spans="1:5" ht="16.5" thickTop="1" thickBot="1" x14ac:dyDescent="0.3">
      <c r="A9" s="431" t="s">
        <v>749</v>
      </c>
      <c r="B9" s="432" t="s">
        <v>1047</v>
      </c>
      <c r="C9" s="397" t="s">
        <v>964</v>
      </c>
      <c r="D9" s="432">
        <v>2007</v>
      </c>
      <c r="E9" s="397" t="s">
        <v>19</v>
      </c>
    </row>
    <row r="10" spans="1:5" ht="16.5" thickTop="1" thickBot="1" x14ac:dyDescent="0.3">
      <c r="A10" s="431" t="s">
        <v>749</v>
      </c>
      <c r="B10" s="432" t="s">
        <v>1052</v>
      </c>
      <c r="C10" s="397" t="s">
        <v>964</v>
      </c>
      <c r="D10" s="432">
        <v>2007</v>
      </c>
      <c r="E10" s="397" t="s">
        <v>19</v>
      </c>
    </row>
    <row r="11" spans="1:5" ht="16.5" thickTop="1" thickBot="1" x14ac:dyDescent="0.3">
      <c r="A11" s="431" t="s">
        <v>749</v>
      </c>
      <c r="B11" s="432" t="s">
        <v>1049</v>
      </c>
      <c r="C11" s="397" t="s">
        <v>964</v>
      </c>
      <c r="D11" s="432">
        <v>2007</v>
      </c>
      <c r="E11" s="397" t="s">
        <v>19</v>
      </c>
    </row>
    <row r="12" spans="1:5" ht="16.5" thickTop="1" thickBot="1" x14ac:dyDescent="0.3">
      <c r="A12" s="431" t="s">
        <v>749</v>
      </c>
      <c r="B12" s="432" t="s">
        <v>1048</v>
      </c>
      <c r="C12" s="397" t="s">
        <v>964</v>
      </c>
      <c r="D12" s="432">
        <v>2007</v>
      </c>
      <c r="E12" s="397" t="s">
        <v>19</v>
      </c>
    </row>
    <row r="13" spans="1:5" ht="16.5" thickTop="1" thickBot="1" x14ac:dyDescent="0.3">
      <c r="A13" s="431" t="s">
        <v>749</v>
      </c>
      <c r="B13" s="432" t="s">
        <v>1053</v>
      </c>
      <c r="C13" s="397" t="s">
        <v>964</v>
      </c>
      <c r="D13" s="432">
        <v>2007</v>
      </c>
      <c r="E13" s="397" t="s">
        <v>19</v>
      </c>
    </row>
    <row r="14" spans="1:5" ht="16.5" thickTop="1" thickBot="1" x14ac:dyDescent="0.3">
      <c r="A14" s="431" t="s">
        <v>749</v>
      </c>
      <c r="B14" s="432" t="s">
        <v>1050</v>
      </c>
      <c r="C14" s="397" t="s">
        <v>964</v>
      </c>
      <c r="D14" s="432">
        <v>2007</v>
      </c>
      <c r="E14" s="397" t="s">
        <v>19</v>
      </c>
    </row>
    <row r="15" spans="1:5" ht="16.5" thickTop="1" thickBot="1" x14ac:dyDescent="0.3">
      <c r="A15" s="431" t="s">
        <v>749</v>
      </c>
      <c r="B15" s="432" t="s">
        <v>1051</v>
      </c>
      <c r="C15" s="397" t="s">
        <v>964</v>
      </c>
      <c r="D15" s="432">
        <v>2007</v>
      </c>
      <c r="E15" s="397" t="s">
        <v>19</v>
      </c>
    </row>
    <row r="16" spans="1:5" ht="16.5" thickTop="1" thickBot="1" x14ac:dyDescent="0.3">
      <c r="A16" s="431" t="s">
        <v>163</v>
      </c>
      <c r="B16" s="432" t="s">
        <v>1045</v>
      </c>
      <c r="C16" s="397" t="s">
        <v>964</v>
      </c>
      <c r="D16" s="432">
        <v>1972</v>
      </c>
      <c r="E16" s="397" t="s">
        <v>19</v>
      </c>
    </row>
    <row r="17" spans="1:5" ht="16.5" thickTop="1" thickBot="1" x14ac:dyDescent="0.3">
      <c r="A17" s="431" t="s">
        <v>163</v>
      </c>
      <c r="B17" s="432" t="s">
        <v>1044</v>
      </c>
      <c r="C17" s="397" t="s">
        <v>964</v>
      </c>
      <c r="D17" s="432">
        <v>1982</v>
      </c>
      <c r="E17" s="397" t="s">
        <v>19</v>
      </c>
    </row>
    <row r="18" spans="1:5" ht="16.5" thickTop="1" thickBot="1" x14ac:dyDescent="0.3">
      <c r="A18" s="431" t="s">
        <v>163</v>
      </c>
      <c r="B18" s="432" t="s">
        <v>970</v>
      </c>
      <c r="C18" s="397" t="s">
        <v>964</v>
      </c>
      <c r="D18" s="432">
        <v>2011</v>
      </c>
      <c r="E18" s="397" t="s">
        <v>19</v>
      </c>
    </row>
    <row r="19" spans="1:5" ht="16.5" thickTop="1" thickBot="1" x14ac:dyDescent="0.3">
      <c r="A19" s="431" t="s">
        <v>971</v>
      </c>
      <c r="B19" s="432" t="s">
        <v>974</v>
      </c>
      <c r="C19" s="397" t="s">
        <v>973</v>
      </c>
      <c r="D19" s="432">
        <v>1999</v>
      </c>
      <c r="E19" s="397" t="s">
        <v>19</v>
      </c>
    </row>
    <row r="20" spans="1:5" ht="16.5" thickTop="1" thickBot="1" x14ac:dyDescent="0.3">
      <c r="A20" s="431" t="s">
        <v>971</v>
      </c>
      <c r="B20" s="432" t="s">
        <v>972</v>
      </c>
      <c r="C20" s="397" t="s">
        <v>973</v>
      </c>
      <c r="D20" s="432">
        <v>1999</v>
      </c>
      <c r="E20" s="397" t="s">
        <v>19</v>
      </c>
    </row>
    <row r="21" spans="1:5" ht="16.5" thickTop="1" thickBot="1" x14ac:dyDescent="0.3">
      <c r="A21" s="431" t="s">
        <v>221</v>
      </c>
      <c r="B21" s="432" t="s">
        <v>1411</v>
      </c>
      <c r="C21" s="397" t="s">
        <v>1410</v>
      </c>
      <c r="D21" s="432">
        <v>2011</v>
      </c>
      <c r="E21" s="397" t="s">
        <v>19</v>
      </c>
    </row>
    <row r="22" spans="1:5" ht="16.5" thickTop="1" thickBot="1" x14ac:dyDescent="0.3">
      <c r="A22" s="431" t="s">
        <v>221</v>
      </c>
      <c r="B22" s="432" t="s">
        <v>975</v>
      </c>
      <c r="C22" s="397" t="s">
        <v>1410</v>
      </c>
      <c r="D22" s="432">
        <v>2011</v>
      </c>
      <c r="E22" s="397" t="s">
        <v>19</v>
      </c>
    </row>
    <row r="23" spans="1:5" ht="16.5" thickTop="1" thickBot="1" x14ac:dyDescent="0.3">
      <c r="A23" s="431" t="s">
        <v>221</v>
      </c>
      <c r="B23" s="432" t="s">
        <v>977</v>
      </c>
      <c r="C23" s="397" t="s">
        <v>1410</v>
      </c>
      <c r="D23" s="432">
        <v>2011</v>
      </c>
      <c r="E23" s="397" t="s">
        <v>19</v>
      </c>
    </row>
    <row r="24" spans="1:5" ht="16.5" thickTop="1" thickBot="1" x14ac:dyDescent="0.3">
      <c r="A24" s="431" t="s">
        <v>221</v>
      </c>
      <c r="B24" s="432" t="s">
        <v>978</v>
      </c>
      <c r="C24" s="397" t="s">
        <v>1410</v>
      </c>
      <c r="D24" s="432">
        <v>2011</v>
      </c>
      <c r="E24" s="397" t="s">
        <v>19</v>
      </c>
    </row>
    <row r="25" spans="1:5" ht="16.5" thickTop="1" thickBot="1" x14ac:dyDescent="0.3">
      <c r="A25" s="431" t="s">
        <v>274</v>
      </c>
      <c r="B25" s="432" t="s">
        <v>987</v>
      </c>
      <c r="C25" s="397" t="s">
        <v>988</v>
      </c>
      <c r="D25" s="432">
        <v>1973</v>
      </c>
      <c r="E25" s="397" t="s">
        <v>104</v>
      </c>
    </row>
    <row r="26" spans="1:5" ht="16.5" thickTop="1" thickBot="1" x14ac:dyDescent="0.3">
      <c r="A26" s="431" t="s">
        <v>274</v>
      </c>
      <c r="B26" s="432" t="s">
        <v>992</v>
      </c>
      <c r="C26" s="397" t="s">
        <v>988</v>
      </c>
      <c r="D26" s="432">
        <v>1973</v>
      </c>
      <c r="E26" s="397" t="s">
        <v>789</v>
      </c>
    </row>
    <row r="27" spans="1:5" ht="16.5" thickTop="1" thickBot="1" x14ac:dyDescent="0.3">
      <c r="A27" s="431" t="s">
        <v>274</v>
      </c>
      <c r="B27" s="432" t="s">
        <v>993</v>
      </c>
      <c r="C27" s="397" t="s">
        <v>988</v>
      </c>
      <c r="D27" s="397">
        <v>1973</v>
      </c>
      <c r="E27" s="397" t="s">
        <v>102</v>
      </c>
    </row>
    <row r="28" spans="1:5" ht="16.5" thickTop="1" thickBot="1" x14ac:dyDescent="0.3">
      <c r="A28" s="431" t="s">
        <v>274</v>
      </c>
      <c r="B28" s="432" t="s">
        <v>994</v>
      </c>
      <c r="C28" s="397" t="s">
        <v>988</v>
      </c>
      <c r="D28" s="432">
        <v>1973</v>
      </c>
      <c r="E28" s="397" t="s">
        <v>791</v>
      </c>
    </row>
    <row r="29" spans="1:5" ht="16.5" thickTop="1" thickBot="1" x14ac:dyDescent="0.3">
      <c r="A29" s="431" t="s">
        <v>274</v>
      </c>
      <c r="B29" s="432" t="s">
        <v>1000</v>
      </c>
      <c r="C29" s="397" t="s">
        <v>988</v>
      </c>
      <c r="D29" s="432">
        <v>1973</v>
      </c>
      <c r="E29" s="397" t="s">
        <v>102</v>
      </c>
    </row>
    <row r="30" spans="1:5" ht="16.5" thickTop="1" thickBot="1" x14ac:dyDescent="0.3">
      <c r="A30" s="431" t="s">
        <v>274</v>
      </c>
      <c r="B30" s="432" t="s">
        <v>1001</v>
      </c>
      <c r="C30" s="397" t="s">
        <v>988</v>
      </c>
      <c r="D30" s="432">
        <v>1973</v>
      </c>
      <c r="E30" s="397" t="s">
        <v>790</v>
      </c>
    </row>
    <row r="31" spans="1:5" ht="16.5" thickTop="1" thickBot="1" x14ac:dyDescent="0.3">
      <c r="A31" s="431" t="s">
        <v>274</v>
      </c>
      <c r="B31" s="432" t="s">
        <v>1011</v>
      </c>
      <c r="C31" s="397" t="s">
        <v>988</v>
      </c>
      <c r="D31" s="397">
        <v>1973</v>
      </c>
      <c r="E31" s="397" t="s">
        <v>104</v>
      </c>
    </row>
    <row r="32" spans="1:5" ht="16.5" thickTop="1" thickBot="1" x14ac:dyDescent="0.3">
      <c r="A32" s="431" t="s">
        <v>274</v>
      </c>
      <c r="B32" s="432" t="s">
        <v>1012</v>
      </c>
      <c r="C32" s="397" t="s">
        <v>988</v>
      </c>
      <c r="D32" s="397">
        <v>1973</v>
      </c>
      <c r="E32" s="397" t="s">
        <v>104</v>
      </c>
    </row>
    <row r="33" spans="1:5" ht="16.5" thickTop="1" thickBot="1" x14ac:dyDescent="0.3">
      <c r="A33" s="431" t="s">
        <v>274</v>
      </c>
      <c r="B33" s="432" t="s">
        <v>1013</v>
      </c>
      <c r="C33" s="397" t="s">
        <v>988</v>
      </c>
      <c r="D33" s="397">
        <v>1973</v>
      </c>
      <c r="E33" s="397" t="s">
        <v>104</v>
      </c>
    </row>
    <row r="34" spans="1:5" ht="16.5" thickTop="1" thickBot="1" x14ac:dyDescent="0.3">
      <c r="A34" s="431" t="s">
        <v>274</v>
      </c>
      <c r="B34" s="432" t="s">
        <v>1014</v>
      </c>
      <c r="C34" s="397" t="s">
        <v>988</v>
      </c>
      <c r="D34" s="397">
        <v>1973</v>
      </c>
      <c r="E34" s="397" t="s">
        <v>104</v>
      </c>
    </row>
    <row r="35" spans="1:5" ht="16.5" thickTop="1" thickBot="1" x14ac:dyDescent="0.3">
      <c r="A35" s="431" t="s">
        <v>274</v>
      </c>
      <c r="B35" s="432" t="s">
        <v>1015</v>
      </c>
      <c r="C35" s="397" t="s">
        <v>988</v>
      </c>
      <c r="D35" s="397">
        <v>1973</v>
      </c>
      <c r="E35" s="397" t="s">
        <v>104</v>
      </c>
    </row>
    <row r="36" spans="1:5" ht="16.5" thickTop="1" thickBot="1" x14ac:dyDescent="0.3">
      <c r="A36" s="431" t="s">
        <v>274</v>
      </c>
      <c r="B36" s="432" t="s">
        <v>1021</v>
      </c>
      <c r="C36" s="397" t="s">
        <v>988</v>
      </c>
      <c r="D36" s="397">
        <v>1973</v>
      </c>
      <c r="E36" s="397" t="s">
        <v>104</v>
      </c>
    </row>
    <row r="37" spans="1:5" ht="16.5" thickTop="1" thickBot="1" x14ac:dyDescent="0.3">
      <c r="A37" s="431" t="s">
        <v>274</v>
      </c>
      <c r="B37" s="432" t="s">
        <v>1022</v>
      </c>
      <c r="C37" s="397" t="s">
        <v>988</v>
      </c>
      <c r="D37" s="432">
        <v>1973</v>
      </c>
      <c r="E37" s="397" t="s">
        <v>104</v>
      </c>
    </row>
    <row r="38" spans="1:5" ht="16.5" thickTop="1" thickBot="1" x14ac:dyDescent="0.3">
      <c r="A38" s="431" t="s">
        <v>274</v>
      </c>
      <c r="B38" s="432" t="s">
        <v>1023</v>
      </c>
      <c r="C38" s="397" t="s">
        <v>988</v>
      </c>
      <c r="D38" s="432">
        <v>1973</v>
      </c>
      <c r="E38" s="397" t="s">
        <v>104</v>
      </c>
    </row>
    <row r="39" spans="1:5" ht="16.5" thickTop="1" thickBot="1" x14ac:dyDescent="0.3">
      <c r="A39" s="431" t="s">
        <v>274</v>
      </c>
      <c r="B39" s="432" t="s">
        <v>1024</v>
      </c>
      <c r="C39" s="397" t="s">
        <v>988</v>
      </c>
      <c r="D39" s="397">
        <v>1973</v>
      </c>
      <c r="E39" s="397" t="s">
        <v>642</v>
      </c>
    </row>
    <row r="40" spans="1:5" ht="16.5" thickTop="1" thickBot="1" x14ac:dyDescent="0.3">
      <c r="A40" s="431" t="s">
        <v>274</v>
      </c>
      <c r="B40" s="432" t="s">
        <v>1025</v>
      </c>
      <c r="C40" s="397" t="s">
        <v>988</v>
      </c>
      <c r="D40" s="397">
        <v>1973</v>
      </c>
      <c r="E40" s="397" t="s">
        <v>642</v>
      </c>
    </row>
    <row r="41" spans="1:5" ht="27" thickTop="1" thickBot="1" x14ac:dyDescent="0.3">
      <c r="A41" s="431" t="s">
        <v>274</v>
      </c>
      <c r="B41" s="432" t="s">
        <v>1026</v>
      </c>
      <c r="C41" s="397" t="s">
        <v>990</v>
      </c>
      <c r="D41" s="397">
        <v>1973</v>
      </c>
      <c r="E41" s="397" t="s">
        <v>642</v>
      </c>
    </row>
    <row r="42" spans="1:5" ht="16.5" thickTop="1" thickBot="1" x14ac:dyDescent="0.3">
      <c r="A42" s="431" t="s">
        <v>274</v>
      </c>
      <c r="B42" s="432" t="s">
        <v>1073</v>
      </c>
      <c r="C42" s="397" t="s">
        <v>1074</v>
      </c>
      <c r="D42" s="397">
        <v>1973</v>
      </c>
      <c r="E42" s="397" t="s">
        <v>642</v>
      </c>
    </row>
    <row r="43" spans="1:5" ht="16.5" thickTop="1" thickBot="1" x14ac:dyDescent="0.3">
      <c r="A43" s="431" t="s">
        <v>274</v>
      </c>
      <c r="B43" s="432" t="s">
        <v>1027</v>
      </c>
      <c r="C43" s="397" t="s">
        <v>988</v>
      </c>
      <c r="D43" s="397">
        <v>1973</v>
      </c>
      <c r="E43" s="397" t="s">
        <v>790</v>
      </c>
    </row>
    <row r="44" spans="1:5" ht="27" thickTop="1" thickBot="1" x14ac:dyDescent="0.3">
      <c r="A44" s="431" t="s">
        <v>274</v>
      </c>
      <c r="B44" s="432" t="s">
        <v>1028</v>
      </c>
      <c r="C44" s="397" t="s">
        <v>990</v>
      </c>
      <c r="D44" s="432">
        <v>1973</v>
      </c>
      <c r="E44" s="397" t="s">
        <v>642</v>
      </c>
    </row>
    <row r="45" spans="1:5" ht="27" thickTop="1" thickBot="1" x14ac:dyDescent="0.3">
      <c r="A45" s="431" t="s">
        <v>274</v>
      </c>
      <c r="B45" s="432" t="s">
        <v>1029</v>
      </c>
      <c r="C45" s="397" t="s">
        <v>990</v>
      </c>
      <c r="D45" s="432">
        <v>1973</v>
      </c>
      <c r="E45" s="397" t="s">
        <v>790</v>
      </c>
    </row>
    <row r="46" spans="1:5" ht="16.5" thickTop="1" thickBot="1" x14ac:dyDescent="0.3">
      <c r="A46" s="431" t="s">
        <v>274</v>
      </c>
      <c r="B46" s="432" t="s">
        <v>1032</v>
      </c>
      <c r="C46" s="397" t="s">
        <v>988</v>
      </c>
      <c r="D46" s="432">
        <v>1973</v>
      </c>
      <c r="E46" s="397" t="s">
        <v>789</v>
      </c>
    </row>
    <row r="47" spans="1:5" ht="16.5" thickTop="1" thickBot="1" x14ac:dyDescent="0.3">
      <c r="A47" s="431" t="s">
        <v>274</v>
      </c>
      <c r="B47" s="432" t="s">
        <v>1037</v>
      </c>
      <c r="C47" s="397" t="s">
        <v>988</v>
      </c>
      <c r="D47" s="432">
        <v>1973</v>
      </c>
      <c r="E47" s="397" t="s">
        <v>790</v>
      </c>
    </row>
    <row r="48" spans="1:5" ht="16.5" thickTop="1" thickBot="1" x14ac:dyDescent="0.3">
      <c r="A48" s="431" t="s">
        <v>274</v>
      </c>
      <c r="B48" s="432" t="s">
        <v>1038</v>
      </c>
      <c r="C48" s="397" t="s">
        <v>1039</v>
      </c>
      <c r="D48" s="397">
        <v>1973</v>
      </c>
      <c r="E48" s="397" t="s">
        <v>19</v>
      </c>
    </row>
    <row r="49" spans="1:5" ht="16.5" thickTop="1" thickBot="1" x14ac:dyDescent="0.3">
      <c r="A49" s="431" t="s">
        <v>274</v>
      </c>
      <c r="B49" s="432" t="s">
        <v>1040</v>
      </c>
      <c r="C49" s="397" t="s">
        <v>1039</v>
      </c>
      <c r="D49" s="397">
        <v>1973</v>
      </c>
      <c r="E49" s="397" t="s">
        <v>107</v>
      </c>
    </row>
    <row r="50" spans="1:5" ht="16.5" thickTop="1" thickBot="1" x14ac:dyDescent="0.3">
      <c r="A50" s="431" t="s">
        <v>274</v>
      </c>
      <c r="B50" s="432" t="s">
        <v>1041</v>
      </c>
      <c r="C50" s="397" t="s">
        <v>1039</v>
      </c>
      <c r="D50" s="432">
        <v>1973</v>
      </c>
      <c r="E50" s="397" t="s">
        <v>107</v>
      </c>
    </row>
    <row r="51" spans="1:5" ht="16.5" thickTop="1" thickBot="1" x14ac:dyDescent="0.3">
      <c r="A51" s="431" t="s">
        <v>274</v>
      </c>
      <c r="B51" s="432" t="s">
        <v>1042</v>
      </c>
      <c r="C51" s="397" t="s">
        <v>1043</v>
      </c>
      <c r="D51" s="432">
        <v>1973</v>
      </c>
      <c r="E51" s="397" t="s">
        <v>104</v>
      </c>
    </row>
    <row r="52" spans="1:5" ht="16.5" thickTop="1" thickBot="1" x14ac:dyDescent="0.3">
      <c r="A52" s="431" t="s">
        <v>274</v>
      </c>
      <c r="B52" s="432" t="s">
        <v>1030</v>
      </c>
      <c r="C52" s="397" t="s">
        <v>988</v>
      </c>
      <c r="D52" s="432">
        <v>1979</v>
      </c>
      <c r="E52" s="397" t="s">
        <v>790</v>
      </c>
    </row>
    <row r="53" spans="1:5" ht="16.5" thickTop="1" thickBot="1" x14ac:dyDescent="0.3">
      <c r="A53" s="431" t="s">
        <v>274</v>
      </c>
      <c r="B53" s="432" t="s">
        <v>1075</v>
      </c>
      <c r="C53" s="397" t="s">
        <v>996</v>
      </c>
      <c r="D53" s="432">
        <v>1981</v>
      </c>
      <c r="E53" s="397" t="s">
        <v>19</v>
      </c>
    </row>
    <row r="54" spans="1:5" ht="16.5" thickTop="1" thickBot="1" x14ac:dyDescent="0.3">
      <c r="A54" s="431" t="s">
        <v>274</v>
      </c>
      <c r="B54" s="432" t="s">
        <v>1070</v>
      </c>
      <c r="C54" s="397" t="s">
        <v>976</v>
      </c>
      <c r="D54" s="432">
        <v>1981</v>
      </c>
      <c r="E54" s="397" t="s">
        <v>19</v>
      </c>
    </row>
    <row r="55" spans="1:5" ht="16.5" thickTop="1" thickBot="1" x14ac:dyDescent="0.3">
      <c r="A55" s="431" t="s">
        <v>274</v>
      </c>
      <c r="B55" s="432" t="s">
        <v>1076</v>
      </c>
      <c r="C55" s="397" t="s">
        <v>996</v>
      </c>
      <c r="D55" s="432">
        <v>1981</v>
      </c>
      <c r="E55" s="397" t="s">
        <v>19</v>
      </c>
    </row>
    <row r="56" spans="1:5" ht="16.5" thickTop="1" thickBot="1" x14ac:dyDescent="0.3">
      <c r="A56" s="431" t="s">
        <v>274</v>
      </c>
      <c r="B56" s="432" t="s">
        <v>1077</v>
      </c>
      <c r="C56" s="397" t="s">
        <v>996</v>
      </c>
      <c r="D56" s="432">
        <v>1981</v>
      </c>
      <c r="E56" s="397" t="s">
        <v>19</v>
      </c>
    </row>
    <row r="57" spans="1:5" ht="16.5" thickTop="1" thickBot="1" x14ac:dyDescent="0.3">
      <c r="A57" s="431" t="s">
        <v>274</v>
      </c>
      <c r="B57" s="432" t="s">
        <v>1078</v>
      </c>
      <c r="C57" s="397" t="s">
        <v>996</v>
      </c>
      <c r="D57" s="432">
        <v>1981</v>
      </c>
      <c r="E57" s="397" t="s">
        <v>19</v>
      </c>
    </row>
    <row r="58" spans="1:5" ht="16.5" thickTop="1" thickBot="1" x14ac:dyDescent="0.3">
      <c r="A58" s="431" t="s">
        <v>274</v>
      </c>
      <c r="B58" s="432" t="s">
        <v>983</v>
      </c>
      <c r="C58" s="397" t="s">
        <v>976</v>
      </c>
      <c r="D58" s="432">
        <v>1981</v>
      </c>
      <c r="E58" s="397" t="s">
        <v>19</v>
      </c>
    </row>
    <row r="59" spans="1:5" ht="16.5" thickTop="1" thickBot="1" x14ac:dyDescent="0.3">
      <c r="A59" s="431" t="s">
        <v>274</v>
      </c>
      <c r="B59" s="432" t="s">
        <v>1079</v>
      </c>
      <c r="C59" s="397" t="s">
        <v>996</v>
      </c>
      <c r="D59" s="432">
        <v>1981</v>
      </c>
      <c r="E59" s="397" t="s">
        <v>19</v>
      </c>
    </row>
    <row r="60" spans="1:5" ht="16.5" thickTop="1" thickBot="1" x14ac:dyDescent="0.3">
      <c r="A60" s="431" t="s">
        <v>274</v>
      </c>
      <c r="B60" s="432" t="s">
        <v>1071</v>
      </c>
      <c r="C60" s="397" t="s">
        <v>976</v>
      </c>
      <c r="D60" s="432">
        <v>1981</v>
      </c>
      <c r="E60" s="397" t="s">
        <v>19</v>
      </c>
    </row>
    <row r="61" spans="1:5" ht="16.5" thickTop="1" thickBot="1" x14ac:dyDescent="0.3">
      <c r="A61" s="431" t="s">
        <v>274</v>
      </c>
      <c r="B61" s="432" t="s">
        <v>995</v>
      </c>
      <c r="C61" s="397" t="s">
        <v>996</v>
      </c>
      <c r="D61" s="432">
        <v>1981</v>
      </c>
      <c r="E61" s="397" t="s">
        <v>19</v>
      </c>
    </row>
    <row r="62" spans="1:5" ht="16.5" thickTop="1" thickBot="1" x14ac:dyDescent="0.3">
      <c r="A62" s="431" t="s">
        <v>274</v>
      </c>
      <c r="B62" s="432" t="s">
        <v>997</v>
      </c>
      <c r="C62" s="397" t="s">
        <v>996</v>
      </c>
      <c r="D62" s="432">
        <v>1981</v>
      </c>
      <c r="E62" s="397" t="s">
        <v>19</v>
      </c>
    </row>
    <row r="63" spans="1:5" ht="16.5" thickTop="1" thickBot="1" x14ac:dyDescent="0.3">
      <c r="A63" s="431" t="s">
        <v>274</v>
      </c>
      <c r="B63" s="432" t="s">
        <v>1016</v>
      </c>
      <c r="C63" s="397" t="s">
        <v>976</v>
      </c>
      <c r="D63" s="397">
        <v>1981</v>
      </c>
      <c r="E63" s="397" t="s">
        <v>1230</v>
      </c>
    </row>
    <row r="64" spans="1:5" ht="27" thickTop="1" thickBot="1" x14ac:dyDescent="0.3">
      <c r="A64" s="431" t="s">
        <v>274</v>
      </c>
      <c r="B64" s="432" t="s">
        <v>1031</v>
      </c>
      <c r="C64" s="397" t="s">
        <v>990</v>
      </c>
      <c r="D64" s="432">
        <v>1981</v>
      </c>
      <c r="E64" s="397" t="s">
        <v>790</v>
      </c>
    </row>
    <row r="65" spans="1:5" ht="16.5" thickTop="1" thickBot="1" x14ac:dyDescent="0.3">
      <c r="A65" s="431" t="s">
        <v>274</v>
      </c>
      <c r="B65" s="432" t="s">
        <v>1003</v>
      </c>
      <c r="C65" s="397" t="s">
        <v>976</v>
      </c>
      <c r="D65" s="432">
        <v>1986</v>
      </c>
      <c r="E65" s="397" t="s">
        <v>1230</v>
      </c>
    </row>
    <row r="66" spans="1:5" ht="16.5" thickTop="1" thickBot="1" x14ac:dyDescent="0.3">
      <c r="A66" s="431" t="s">
        <v>274</v>
      </c>
      <c r="B66" s="432" t="s">
        <v>1007</v>
      </c>
      <c r="C66" s="397" t="s">
        <v>976</v>
      </c>
      <c r="D66" s="432">
        <v>1986</v>
      </c>
      <c r="E66" s="397" t="s">
        <v>1230</v>
      </c>
    </row>
    <row r="67" spans="1:5" ht="16.5" thickTop="1" thickBot="1" x14ac:dyDescent="0.3">
      <c r="A67" s="431" t="s">
        <v>274</v>
      </c>
      <c r="B67" s="432" t="s">
        <v>1008</v>
      </c>
      <c r="C67" s="397" t="s">
        <v>976</v>
      </c>
      <c r="D67" s="432">
        <v>1986</v>
      </c>
      <c r="E67" s="397" t="s">
        <v>1230</v>
      </c>
    </row>
    <row r="68" spans="1:5" ht="16.5" thickTop="1" thickBot="1" x14ac:dyDescent="0.3">
      <c r="A68" s="431" t="s">
        <v>274</v>
      </c>
      <c r="B68" s="432" t="s">
        <v>1009</v>
      </c>
      <c r="C68" s="397" t="s">
        <v>976</v>
      </c>
      <c r="D68" s="432">
        <v>1986</v>
      </c>
      <c r="E68" s="397" t="s">
        <v>1230</v>
      </c>
    </row>
    <row r="69" spans="1:5" ht="16.5" thickTop="1" thickBot="1" x14ac:dyDescent="0.3">
      <c r="A69" s="431" t="s">
        <v>274</v>
      </c>
      <c r="B69" s="432" t="s">
        <v>1010</v>
      </c>
      <c r="C69" s="397" t="s">
        <v>976</v>
      </c>
      <c r="D69" s="432">
        <v>1986</v>
      </c>
      <c r="E69" s="397" t="s">
        <v>1230</v>
      </c>
    </row>
    <row r="70" spans="1:5" ht="16.5" thickTop="1" thickBot="1" x14ac:dyDescent="0.3">
      <c r="A70" s="431" t="s">
        <v>274</v>
      </c>
      <c r="B70" s="432" t="s">
        <v>1017</v>
      </c>
      <c r="C70" s="397" t="s">
        <v>976</v>
      </c>
      <c r="D70" s="397">
        <v>1986</v>
      </c>
      <c r="E70" s="397" t="s">
        <v>1230</v>
      </c>
    </row>
    <row r="71" spans="1:5" ht="16.5" thickTop="1" thickBot="1" x14ac:dyDescent="0.3">
      <c r="A71" s="431" t="s">
        <v>274</v>
      </c>
      <c r="B71" s="432" t="s">
        <v>1020</v>
      </c>
      <c r="C71" s="397" t="s">
        <v>976</v>
      </c>
      <c r="D71" s="397">
        <v>1986</v>
      </c>
      <c r="E71" s="397" t="s">
        <v>1230</v>
      </c>
    </row>
    <row r="72" spans="1:5" ht="16.5" thickTop="1" thickBot="1" x14ac:dyDescent="0.3">
      <c r="A72" s="431" t="s">
        <v>274</v>
      </c>
      <c r="B72" s="432" t="s">
        <v>1005</v>
      </c>
      <c r="C72" s="397" t="s">
        <v>980</v>
      </c>
      <c r="D72" s="397">
        <v>1988</v>
      </c>
      <c r="E72" s="397" t="s">
        <v>642</v>
      </c>
    </row>
    <row r="73" spans="1:5" ht="16.5" thickTop="1" thickBot="1" x14ac:dyDescent="0.3">
      <c r="A73" s="431" t="s">
        <v>274</v>
      </c>
      <c r="B73" s="432" t="s">
        <v>1059</v>
      </c>
      <c r="C73" s="397" t="s">
        <v>980</v>
      </c>
      <c r="D73" s="432">
        <v>1988</v>
      </c>
      <c r="E73" s="397" t="s">
        <v>642</v>
      </c>
    </row>
    <row r="74" spans="1:5" ht="16.5" thickTop="1" thickBot="1" x14ac:dyDescent="0.3">
      <c r="A74" s="431" t="s">
        <v>274</v>
      </c>
      <c r="B74" s="432" t="s">
        <v>1060</v>
      </c>
      <c r="C74" s="397" t="s">
        <v>980</v>
      </c>
      <c r="D74" s="432">
        <v>1988</v>
      </c>
      <c r="E74" s="397" t="s">
        <v>642</v>
      </c>
    </row>
    <row r="75" spans="1:5" ht="16.5" thickTop="1" thickBot="1" x14ac:dyDescent="0.3">
      <c r="A75" s="431" t="s">
        <v>274</v>
      </c>
      <c r="B75" s="432" t="s">
        <v>1061</v>
      </c>
      <c r="C75" s="397" t="s">
        <v>980</v>
      </c>
      <c r="D75" s="432">
        <v>1988</v>
      </c>
      <c r="E75" s="397" t="s">
        <v>642</v>
      </c>
    </row>
    <row r="76" spans="1:5" ht="16.5" thickTop="1" thickBot="1" x14ac:dyDescent="0.3">
      <c r="A76" s="431" t="s">
        <v>274</v>
      </c>
      <c r="B76" s="432" t="s">
        <v>1062</v>
      </c>
      <c r="C76" s="397" t="s">
        <v>980</v>
      </c>
      <c r="D76" s="432">
        <v>1988</v>
      </c>
      <c r="E76" s="397" t="s">
        <v>642</v>
      </c>
    </row>
    <row r="77" spans="1:5" ht="16.5" thickTop="1" thickBot="1" x14ac:dyDescent="0.3">
      <c r="A77" s="431" t="s">
        <v>274</v>
      </c>
      <c r="B77" s="432" t="s">
        <v>1063</v>
      </c>
      <c r="C77" s="397" t="s">
        <v>980</v>
      </c>
      <c r="D77" s="432">
        <v>1988</v>
      </c>
      <c r="E77" s="397" t="s">
        <v>642</v>
      </c>
    </row>
    <row r="78" spans="1:5" ht="16.5" thickTop="1" thickBot="1" x14ac:dyDescent="0.3">
      <c r="A78" s="431" t="s">
        <v>274</v>
      </c>
      <c r="B78" s="432" t="s">
        <v>1064</v>
      </c>
      <c r="C78" s="397" t="s">
        <v>980</v>
      </c>
      <c r="D78" s="432">
        <v>1988</v>
      </c>
      <c r="E78" s="397" t="s">
        <v>642</v>
      </c>
    </row>
    <row r="79" spans="1:5" ht="16.5" thickTop="1" thickBot="1" x14ac:dyDescent="0.3">
      <c r="A79" s="431" t="s">
        <v>274</v>
      </c>
      <c r="B79" s="432" t="s">
        <v>1065</v>
      </c>
      <c r="C79" s="397" t="s">
        <v>980</v>
      </c>
      <c r="D79" s="432">
        <v>1988</v>
      </c>
      <c r="E79" s="397" t="s">
        <v>642</v>
      </c>
    </row>
    <row r="80" spans="1:5" ht="16.5" thickTop="1" thickBot="1" x14ac:dyDescent="0.3">
      <c r="A80" s="431" t="s">
        <v>274</v>
      </c>
      <c r="B80" s="432" t="s">
        <v>1066</v>
      </c>
      <c r="C80" s="397" t="s">
        <v>980</v>
      </c>
      <c r="D80" s="432">
        <v>1988</v>
      </c>
      <c r="E80" s="397" t="s">
        <v>642</v>
      </c>
    </row>
    <row r="81" spans="1:5" ht="16.5" thickTop="1" thickBot="1" x14ac:dyDescent="0.3">
      <c r="A81" s="431" t="s">
        <v>274</v>
      </c>
      <c r="B81" s="432" t="s">
        <v>1067</v>
      </c>
      <c r="C81" s="397" t="s">
        <v>980</v>
      </c>
      <c r="D81" s="432">
        <v>1988</v>
      </c>
      <c r="E81" s="397" t="s">
        <v>642</v>
      </c>
    </row>
    <row r="82" spans="1:5" ht="16.5" thickTop="1" thickBot="1" x14ac:dyDescent="0.3">
      <c r="A82" s="431" t="s">
        <v>274</v>
      </c>
      <c r="B82" s="432" t="s">
        <v>1068</v>
      </c>
      <c r="C82" s="397" t="s">
        <v>980</v>
      </c>
      <c r="D82" s="432">
        <v>1988</v>
      </c>
      <c r="E82" s="397" t="s">
        <v>642</v>
      </c>
    </row>
    <row r="83" spans="1:5" ht="16.5" thickTop="1" thickBot="1" x14ac:dyDescent="0.3">
      <c r="A83" s="431" t="s">
        <v>274</v>
      </c>
      <c r="B83" s="432" t="s">
        <v>1069</v>
      </c>
      <c r="C83" s="397" t="s">
        <v>980</v>
      </c>
      <c r="D83" s="432">
        <v>1988</v>
      </c>
      <c r="E83" s="397" t="s">
        <v>642</v>
      </c>
    </row>
    <row r="84" spans="1:5" ht="16.5" thickTop="1" thickBot="1" x14ac:dyDescent="0.3">
      <c r="A84" s="431" t="s">
        <v>274</v>
      </c>
      <c r="B84" s="432" t="s">
        <v>1018</v>
      </c>
      <c r="C84" s="397" t="s">
        <v>1019</v>
      </c>
      <c r="D84" s="397">
        <v>1996</v>
      </c>
      <c r="E84" s="397" t="s">
        <v>1230</v>
      </c>
    </row>
    <row r="85" spans="1:5" ht="16.5" thickTop="1" thickBot="1" x14ac:dyDescent="0.3">
      <c r="A85" s="431" t="s">
        <v>274</v>
      </c>
      <c r="B85" s="432" t="s">
        <v>1006</v>
      </c>
      <c r="C85" s="397" t="s">
        <v>976</v>
      </c>
      <c r="D85" s="397">
        <v>1997</v>
      </c>
      <c r="E85" s="397" t="s">
        <v>107</v>
      </c>
    </row>
    <row r="86" spans="1:5" ht="16.5" thickTop="1" thickBot="1" x14ac:dyDescent="0.3">
      <c r="A86" s="431" t="s">
        <v>274</v>
      </c>
      <c r="B86" s="432" t="s">
        <v>1002</v>
      </c>
      <c r="C86" s="397" t="s">
        <v>996</v>
      </c>
      <c r="D86" s="432">
        <v>1998</v>
      </c>
      <c r="E86" s="397" t="s">
        <v>9</v>
      </c>
    </row>
    <row r="87" spans="1:5" ht="16.5" thickTop="1" thickBot="1" x14ac:dyDescent="0.3">
      <c r="A87" s="431" t="s">
        <v>274</v>
      </c>
      <c r="B87" s="432" t="s">
        <v>1033</v>
      </c>
      <c r="C87" s="397" t="s">
        <v>1034</v>
      </c>
      <c r="D87" s="432">
        <v>2000</v>
      </c>
      <c r="E87" s="397" t="s">
        <v>790</v>
      </c>
    </row>
    <row r="88" spans="1:5" ht="27" thickTop="1" thickBot="1" x14ac:dyDescent="0.3">
      <c r="A88" s="431" t="s">
        <v>274</v>
      </c>
      <c r="B88" s="432" t="s">
        <v>1035</v>
      </c>
      <c r="C88" s="397" t="s">
        <v>990</v>
      </c>
      <c r="D88" s="432">
        <v>2000</v>
      </c>
      <c r="E88" s="397" t="s">
        <v>790</v>
      </c>
    </row>
    <row r="89" spans="1:5" ht="16.5" thickTop="1" thickBot="1" x14ac:dyDescent="0.3">
      <c r="A89" s="431" t="s">
        <v>274</v>
      </c>
      <c r="B89" s="432" t="s">
        <v>1036</v>
      </c>
      <c r="C89" s="397" t="s">
        <v>1252</v>
      </c>
      <c r="D89" s="432">
        <v>2000</v>
      </c>
      <c r="E89" s="397" t="s">
        <v>790</v>
      </c>
    </row>
    <row r="90" spans="1:5" ht="16.5" thickTop="1" thickBot="1" x14ac:dyDescent="0.3">
      <c r="A90" s="431" t="s">
        <v>274</v>
      </c>
      <c r="B90" s="432">
        <v>2270500</v>
      </c>
      <c r="C90" s="397" t="s">
        <v>982</v>
      </c>
      <c r="D90" s="432">
        <v>2005</v>
      </c>
      <c r="E90" s="397" t="s">
        <v>9</v>
      </c>
    </row>
    <row r="91" spans="1:5" ht="16.5" thickTop="1" thickBot="1" x14ac:dyDescent="0.3">
      <c r="A91" s="431" t="s">
        <v>274</v>
      </c>
      <c r="B91" s="432">
        <v>2273198</v>
      </c>
      <c r="C91" s="397" t="s">
        <v>982</v>
      </c>
      <c r="D91" s="432">
        <v>2005</v>
      </c>
      <c r="E91" s="397" t="s">
        <v>9</v>
      </c>
    </row>
    <row r="92" spans="1:5" ht="16.5" thickTop="1" thickBot="1" x14ac:dyDescent="0.3">
      <c r="A92" s="431" t="s">
        <v>274</v>
      </c>
      <c r="B92" s="432">
        <v>2273198</v>
      </c>
      <c r="C92" s="397" t="s">
        <v>1251</v>
      </c>
      <c r="D92" s="432">
        <v>2005</v>
      </c>
      <c r="E92" s="397" t="s">
        <v>9</v>
      </c>
    </row>
    <row r="93" spans="1:5" ht="16.5" thickTop="1" thickBot="1" x14ac:dyDescent="0.3">
      <c r="A93" s="431" t="s">
        <v>274</v>
      </c>
      <c r="B93" s="432" t="s">
        <v>991</v>
      </c>
      <c r="C93" s="397" t="s">
        <v>980</v>
      </c>
      <c r="D93" s="432">
        <v>2006</v>
      </c>
      <c r="E93" s="397" t="s">
        <v>19</v>
      </c>
    </row>
    <row r="94" spans="1:5" ht="16.5" thickTop="1" thickBot="1" x14ac:dyDescent="0.3">
      <c r="A94" s="431" t="s">
        <v>274</v>
      </c>
      <c r="B94" s="432" t="s">
        <v>999</v>
      </c>
      <c r="C94" s="397" t="s">
        <v>980</v>
      </c>
      <c r="D94" s="432">
        <v>2006</v>
      </c>
      <c r="E94" s="397" t="s">
        <v>19</v>
      </c>
    </row>
    <row r="95" spans="1:5" ht="16.5" thickTop="1" thickBot="1" x14ac:dyDescent="0.3">
      <c r="A95" s="431" t="s">
        <v>274</v>
      </c>
      <c r="B95" s="432" t="s">
        <v>1084</v>
      </c>
      <c r="C95" s="397" t="s">
        <v>1082</v>
      </c>
      <c r="D95" s="432">
        <v>2006</v>
      </c>
      <c r="E95" s="397" t="s">
        <v>642</v>
      </c>
    </row>
    <row r="96" spans="1:5" ht="16.5" thickTop="1" thickBot="1" x14ac:dyDescent="0.3">
      <c r="A96" s="431" t="s">
        <v>274</v>
      </c>
      <c r="B96" s="432" t="s">
        <v>1085</v>
      </c>
      <c r="C96" s="397" t="s">
        <v>1082</v>
      </c>
      <c r="D96" s="432">
        <v>2006</v>
      </c>
      <c r="E96" s="397" t="s">
        <v>642</v>
      </c>
    </row>
    <row r="97" spans="1:5" ht="16.5" thickTop="1" thickBot="1" x14ac:dyDescent="0.3">
      <c r="A97" s="431" t="s">
        <v>274</v>
      </c>
      <c r="B97" s="432" t="s">
        <v>1054</v>
      </c>
      <c r="C97" s="397" t="s">
        <v>1043</v>
      </c>
      <c r="D97" s="432">
        <v>2007</v>
      </c>
      <c r="E97" s="397" t="s">
        <v>104</v>
      </c>
    </row>
    <row r="98" spans="1:5" ht="16.5" thickTop="1" thickBot="1" x14ac:dyDescent="0.3">
      <c r="A98" s="431" t="s">
        <v>274</v>
      </c>
      <c r="B98" s="432" t="s">
        <v>1055</v>
      </c>
      <c r="C98" s="397" t="s">
        <v>1056</v>
      </c>
      <c r="D98" s="432">
        <v>2007</v>
      </c>
      <c r="E98" s="397" t="s">
        <v>1230</v>
      </c>
    </row>
    <row r="99" spans="1:5" ht="16.5" thickTop="1" thickBot="1" x14ac:dyDescent="0.3">
      <c r="A99" s="431" t="s">
        <v>274</v>
      </c>
      <c r="B99" s="432" t="s">
        <v>1057</v>
      </c>
      <c r="C99" s="397" t="s">
        <v>1056</v>
      </c>
      <c r="D99" s="432">
        <v>2007</v>
      </c>
      <c r="E99" s="397" t="s">
        <v>104</v>
      </c>
    </row>
    <row r="100" spans="1:5" ht="27" thickTop="1" thickBot="1" x14ac:dyDescent="0.3">
      <c r="A100" s="431" t="s">
        <v>274</v>
      </c>
      <c r="B100" s="432" t="s">
        <v>989</v>
      </c>
      <c r="C100" s="397" t="s">
        <v>990</v>
      </c>
      <c r="D100" s="432">
        <v>2008</v>
      </c>
      <c r="E100" s="397" t="s">
        <v>104</v>
      </c>
    </row>
    <row r="101" spans="1:5" ht="16.5" thickTop="1" thickBot="1" x14ac:dyDescent="0.3">
      <c r="A101" s="431" t="s">
        <v>274</v>
      </c>
      <c r="B101" s="432" t="s">
        <v>1072</v>
      </c>
      <c r="C101" s="397" t="s">
        <v>980</v>
      </c>
      <c r="D101" s="397">
        <v>2011</v>
      </c>
      <c r="E101" s="397" t="s">
        <v>9</v>
      </c>
    </row>
    <row r="102" spans="1:5" ht="16.5" thickTop="1" thickBot="1" x14ac:dyDescent="0.3">
      <c r="A102" s="431" t="s">
        <v>274</v>
      </c>
      <c r="B102" s="432" t="s">
        <v>1081</v>
      </c>
      <c r="C102" s="397" t="s">
        <v>1082</v>
      </c>
      <c r="D102" s="432">
        <v>2012</v>
      </c>
      <c r="E102" s="397" t="s">
        <v>1230</v>
      </c>
    </row>
    <row r="103" spans="1:5" ht="16.5" thickTop="1" thickBot="1" x14ac:dyDescent="0.3">
      <c r="A103" s="431" t="s">
        <v>274</v>
      </c>
      <c r="B103" s="432" t="s">
        <v>1083</v>
      </c>
      <c r="C103" s="397" t="s">
        <v>1082</v>
      </c>
      <c r="D103" s="397">
        <v>2012</v>
      </c>
      <c r="E103" s="397" t="s">
        <v>642</v>
      </c>
    </row>
    <row r="104" spans="1:5" ht="16.5" thickTop="1" thickBot="1" x14ac:dyDescent="0.3">
      <c r="A104" s="431" t="s">
        <v>274</v>
      </c>
      <c r="B104" s="432" t="s">
        <v>1080</v>
      </c>
      <c r="C104" s="397" t="s">
        <v>783</v>
      </c>
      <c r="D104" s="397" t="s">
        <v>783</v>
      </c>
      <c r="E104" s="397" t="s">
        <v>104</v>
      </c>
    </row>
    <row r="105" spans="1:5" ht="16.5" thickTop="1" thickBot="1" x14ac:dyDescent="0.3">
      <c r="A105" s="431" t="s">
        <v>274</v>
      </c>
      <c r="B105" s="432" t="s">
        <v>981</v>
      </c>
      <c r="C105" s="397" t="s">
        <v>976</v>
      </c>
      <c r="D105" s="397">
        <v>1981</v>
      </c>
      <c r="E105" s="397" t="s">
        <v>19</v>
      </c>
    </row>
    <row r="106" spans="1:5" ht="16.5" thickTop="1" thickBot="1" x14ac:dyDescent="0.3">
      <c r="A106" s="431" t="s">
        <v>979</v>
      </c>
      <c r="B106" s="432" t="s">
        <v>998</v>
      </c>
      <c r="C106" s="397" t="s">
        <v>996</v>
      </c>
      <c r="D106" s="397">
        <v>1981</v>
      </c>
      <c r="E106" s="397" t="s">
        <v>19</v>
      </c>
    </row>
    <row r="107" spans="1:5" ht="16.5" thickTop="1" thickBot="1" x14ac:dyDescent="0.3">
      <c r="A107" s="431" t="s">
        <v>979</v>
      </c>
      <c r="B107" s="432" t="s">
        <v>1004</v>
      </c>
      <c r="C107" s="397" t="s">
        <v>980</v>
      </c>
      <c r="D107" s="397">
        <v>1986</v>
      </c>
      <c r="E107" s="397" t="s">
        <v>19</v>
      </c>
    </row>
    <row r="108" spans="1:5" ht="16.5" thickTop="1" thickBot="1" x14ac:dyDescent="0.3">
      <c r="A108" s="431" t="s">
        <v>979</v>
      </c>
      <c r="B108" s="432">
        <v>2255600</v>
      </c>
      <c r="C108" s="397" t="s">
        <v>980</v>
      </c>
      <c r="D108" s="397">
        <v>2005</v>
      </c>
      <c r="E108" s="397" t="s">
        <v>102</v>
      </c>
    </row>
    <row r="109" spans="1:5" ht="16.5" thickTop="1" thickBot="1" x14ac:dyDescent="0.3">
      <c r="A109" s="431" t="s">
        <v>979</v>
      </c>
      <c r="B109" s="432">
        <v>2256500</v>
      </c>
      <c r="C109" s="397" t="s">
        <v>980</v>
      </c>
      <c r="D109" s="397">
        <v>2005</v>
      </c>
      <c r="E109" s="397" t="s">
        <v>102</v>
      </c>
    </row>
    <row r="110" spans="1:5" ht="16.5" thickTop="1" thickBot="1" x14ac:dyDescent="0.3">
      <c r="A110" s="431" t="s">
        <v>979</v>
      </c>
      <c r="B110" s="432">
        <v>2272676</v>
      </c>
      <c r="C110" s="397" t="s">
        <v>980</v>
      </c>
      <c r="D110" s="397">
        <v>2005</v>
      </c>
      <c r="E110" s="397" t="s">
        <v>19</v>
      </c>
    </row>
    <row r="111" spans="1:5" ht="16.5" thickTop="1" thickBot="1" x14ac:dyDescent="0.3">
      <c r="A111" s="431" t="s">
        <v>979</v>
      </c>
      <c r="B111" s="432">
        <v>2273230</v>
      </c>
      <c r="C111" s="397" t="s">
        <v>980</v>
      </c>
      <c r="D111" s="397">
        <v>2005</v>
      </c>
      <c r="E111" s="397" t="s">
        <v>104</v>
      </c>
    </row>
    <row r="112" spans="1:5" ht="16.5" thickTop="1" thickBot="1" x14ac:dyDescent="0.3">
      <c r="A112" s="431" t="s">
        <v>979</v>
      </c>
      <c r="B112" s="432">
        <v>2275197</v>
      </c>
      <c r="C112" s="397" t="s">
        <v>980</v>
      </c>
      <c r="D112" s="397">
        <v>2005</v>
      </c>
      <c r="E112" s="397" t="s">
        <v>642</v>
      </c>
    </row>
    <row r="113" spans="1:5" ht="16.5" thickTop="1" thickBot="1" x14ac:dyDescent="0.3">
      <c r="A113" s="433" t="s">
        <v>984</v>
      </c>
      <c r="B113" s="434" t="s">
        <v>1058</v>
      </c>
      <c r="C113" s="398" t="s">
        <v>986</v>
      </c>
      <c r="D113" s="398">
        <v>1958</v>
      </c>
      <c r="E113" s="398" t="s">
        <v>19</v>
      </c>
    </row>
    <row r="114" spans="1:5" ht="16.5" thickTop="1" thickBot="1" x14ac:dyDescent="0.3">
      <c r="A114" s="433" t="s">
        <v>984</v>
      </c>
      <c r="B114" s="434" t="s">
        <v>985</v>
      </c>
      <c r="C114" s="398" t="s">
        <v>986</v>
      </c>
      <c r="D114" s="398">
        <v>1959</v>
      </c>
      <c r="E114" s="398" t="s">
        <v>19</v>
      </c>
    </row>
    <row r="115" spans="1:5" ht="16.5" thickTop="1" thickBot="1" x14ac:dyDescent="0.3">
      <c r="A115" s="431" t="s">
        <v>984</v>
      </c>
      <c r="B115" s="432">
        <v>227650</v>
      </c>
      <c r="C115" s="397" t="s">
        <v>986</v>
      </c>
      <c r="D115" s="397" t="s">
        <v>1253</v>
      </c>
      <c r="E115" s="397" t="s">
        <v>107</v>
      </c>
    </row>
    <row r="116" spans="1:5" ht="16.5" thickTop="1" thickBot="1" x14ac:dyDescent="0.3">
      <c r="A116" s="431" t="s">
        <v>984</v>
      </c>
      <c r="B116" s="432">
        <v>2273230</v>
      </c>
      <c r="C116" s="397" t="s">
        <v>986</v>
      </c>
      <c r="D116" s="397" t="s">
        <v>1253</v>
      </c>
      <c r="E116" s="397" t="s">
        <v>104</v>
      </c>
    </row>
    <row r="117" spans="1:5" ht="16.5" thickTop="1" thickBot="1" x14ac:dyDescent="0.3">
      <c r="A117" s="433" t="s">
        <v>984</v>
      </c>
      <c r="B117" s="434">
        <v>2273630</v>
      </c>
      <c r="C117" s="398" t="s">
        <v>986</v>
      </c>
      <c r="D117" s="434" t="s">
        <v>1253</v>
      </c>
      <c r="E117" s="398" t="s">
        <v>642</v>
      </c>
    </row>
    <row r="118" spans="1:5" ht="16.5" thickTop="1" thickBot="1" x14ac:dyDescent="0.3">
      <c r="A118" s="433" t="s">
        <v>984</v>
      </c>
      <c r="B118" s="434">
        <v>2274005</v>
      </c>
      <c r="C118" s="398" t="s">
        <v>986</v>
      </c>
      <c r="D118" s="434" t="s">
        <v>1253</v>
      </c>
      <c r="E118" s="398" t="s">
        <v>642</v>
      </c>
    </row>
    <row r="119" spans="1:5" ht="16.5" thickTop="1" thickBot="1" x14ac:dyDescent="0.3">
      <c r="A119" s="433" t="s">
        <v>984</v>
      </c>
      <c r="B119" s="434">
        <v>2274010</v>
      </c>
      <c r="C119" s="398" t="s">
        <v>986</v>
      </c>
      <c r="D119" s="432" t="s">
        <v>1253</v>
      </c>
      <c r="E119" s="398" t="s">
        <v>642</v>
      </c>
    </row>
    <row r="120" spans="1:5" ht="16.5" thickTop="1" thickBot="1" x14ac:dyDescent="0.3">
      <c r="A120" s="433" t="s">
        <v>984</v>
      </c>
      <c r="B120" s="434">
        <v>2274325</v>
      </c>
      <c r="C120" s="398" t="s">
        <v>986</v>
      </c>
      <c r="D120" s="434" t="s">
        <v>1253</v>
      </c>
      <c r="E120" s="398" t="s">
        <v>642</v>
      </c>
    </row>
    <row r="121" spans="1:5" ht="16.5" thickTop="1" thickBot="1" x14ac:dyDescent="0.3">
      <c r="A121" s="433" t="s">
        <v>984</v>
      </c>
      <c r="B121" s="434">
        <v>2274490</v>
      </c>
      <c r="C121" s="398" t="s">
        <v>986</v>
      </c>
      <c r="D121" s="434" t="s">
        <v>1253</v>
      </c>
      <c r="E121" s="398" t="s">
        <v>642</v>
      </c>
    </row>
    <row r="122" spans="1:5" ht="16.5" thickTop="1" thickBot="1" x14ac:dyDescent="0.3">
      <c r="A122" s="433" t="s">
        <v>984</v>
      </c>
      <c r="B122" s="434">
        <v>2274505</v>
      </c>
      <c r="C122" s="398" t="s">
        <v>986</v>
      </c>
      <c r="D122" s="398" t="s">
        <v>1253</v>
      </c>
      <c r="E122" s="398" t="s">
        <v>642</v>
      </c>
    </row>
    <row r="123" spans="1:5" ht="15.75" thickTop="1" x14ac:dyDescent="0.25"/>
  </sheetData>
  <sortState ref="A2:E123">
    <sortCondition ref="A2:A123"/>
    <sortCondition ref="D2:D123"/>
  </sortState>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6"/>
  <sheetViews>
    <sheetView workbookViewId="0">
      <selection activeCell="G19" sqref="G19"/>
    </sheetView>
  </sheetViews>
  <sheetFormatPr defaultRowHeight="15" x14ac:dyDescent="0.25"/>
  <cols>
    <col min="1" max="1" width="33.28515625" customWidth="1"/>
    <col min="2" max="2" width="33" customWidth="1"/>
  </cols>
  <sheetData>
    <row r="1" spans="1:2" ht="16.5" thickTop="1" thickBot="1" x14ac:dyDescent="0.3">
      <c r="A1" s="112" t="s">
        <v>847</v>
      </c>
      <c r="B1" s="113" t="s">
        <v>848</v>
      </c>
    </row>
    <row r="2" spans="1:2" ht="27" thickTop="1" thickBot="1" x14ac:dyDescent="0.3">
      <c r="A2" s="116" t="s">
        <v>1086</v>
      </c>
      <c r="B2" s="249" t="s">
        <v>1087</v>
      </c>
    </row>
    <row r="3" spans="1:2" ht="27" thickTop="1" thickBot="1" x14ac:dyDescent="0.3">
      <c r="A3" s="116" t="s">
        <v>1088</v>
      </c>
      <c r="B3" s="249" t="s">
        <v>1089</v>
      </c>
    </row>
    <row r="4" spans="1:2" ht="16.5" thickTop="1" thickBot="1" x14ac:dyDescent="0.3">
      <c r="A4" s="116" t="s">
        <v>1090</v>
      </c>
      <c r="B4" s="249" t="s">
        <v>1091</v>
      </c>
    </row>
    <row r="5" spans="1:2" ht="16.5" thickTop="1" thickBot="1" x14ac:dyDescent="0.3">
      <c r="A5" s="116" t="s">
        <v>1092</v>
      </c>
      <c r="B5" s="117" t="s">
        <v>1093</v>
      </c>
    </row>
    <row r="6" spans="1:2" ht="15.75" thickTop="1" x14ac:dyDescent="0.25"/>
  </sheetData>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0"/>
  <sheetViews>
    <sheetView workbookViewId="0">
      <selection activeCell="J8" sqref="J8"/>
    </sheetView>
  </sheetViews>
  <sheetFormatPr defaultRowHeight="15" x14ac:dyDescent="0.25"/>
  <cols>
    <col min="1" max="1" width="45.42578125" customWidth="1"/>
    <col min="2" max="2" width="32.5703125" customWidth="1"/>
    <col min="3" max="3" width="30.28515625" customWidth="1"/>
    <col min="4" max="4" width="40" customWidth="1"/>
  </cols>
  <sheetData>
    <row r="1" spans="1:4" ht="16.5" thickTop="1" thickBot="1" x14ac:dyDescent="0.3">
      <c r="A1" s="112" t="s">
        <v>1094</v>
      </c>
      <c r="B1" s="241" t="s">
        <v>1095</v>
      </c>
      <c r="C1" s="241" t="s">
        <v>1096</v>
      </c>
      <c r="D1" s="113" t="s">
        <v>1097</v>
      </c>
    </row>
    <row r="2" spans="1:4" ht="15.75" thickTop="1" x14ac:dyDescent="0.25">
      <c r="A2" s="122" t="s">
        <v>1098</v>
      </c>
      <c r="B2" s="250">
        <v>0.4</v>
      </c>
      <c r="C2" s="250">
        <v>0.4</v>
      </c>
      <c r="D2" s="564" t="s">
        <v>1106</v>
      </c>
    </row>
    <row r="3" spans="1:4" x14ac:dyDescent="0.25">
      <c r="A3" s="122" t="s">
        <v>1099</v>
      </c>
      <c r="B3" s="250">
        <v>0.62</v>
      </c>
      <c r="C3" s="250">
        <v>0.62</v>
      </c>
      <c r="D3" s="572"/>
    </row>
    <row r="4" spans="1:4" x14ac:dyDescent="0.25">
      <c r="A4" s="122" t="s">
        <v>1100</v>
      </c>
      <c r="B4" s="250">
        <v>0.75</v>
      </c>
      <c r="C4" s="250">
        <v>0.75</v>
      </c>
      <c r="D4" s="572"/>
    </row>
    <row r="5" spans="1:4" x14ac:dyDescent="0.25">
      <c r="A5" s="122" t="s">
        <v>1101</v>
      </c>
      <c r="B5" s="250">
        <v>0.84</v>
      </c>
      <c r="C5" s="250">
        <v>0.84</v>
      </c>
      <c r="D5" s="572"/>
    </row>
    <row r="6" spans="1:4" x14ac:dyDescent="0.25">
      <c r="A6" s="122" t="s">
        <v>1102</v>
      </c>
      <c r="B6" s="250">
        <v>0.3</v>
      </c>
      <c r="C6" s="250">
        <v>0.3</v>
      </c>
      <c r="D6" s="572"/>
    </row>
    <row r="7" spans="1:4" x14ac:dyDescent="0.25">
      <c r="A7" s="122" t="s">
        <v>1103</v>
      </c>
      <c r="B7" s="250">
        <v>0.52</v>
      </c>
      <c r="C7" s="250">
        <v>0.52</v>
      </c>
      <c r="D7" s="572"/>
    </row>
    <row r="8" spans="1:4" x14ac:dyDescent="0.25">
      <c r="A8" s="122" t="s">
        <v>1104</v>
      </c>
      <c r="B8" s="250">
        <v>0.65</v>
      </c>
      <c r="C8" s="250">
        <v>0.65</v>
      </c>
      <c r="D8" s="572"/>
    </row>
    <row r="9" spans="1:4" ht="15.75" thickBot="1" x14ac:dyDescent="0.3">
      <c r="A9" s="116" t="s">
        <v>1105</v>
      </c>
      <c r="B9" s="251">
        <v>0.74</v>
      </c>
      <c r="C9" s="251">
        <v>0.74</v>
      </c>
      <c r="D9" s="565"/>
    </row>
    <row r="10" spans="1:4" ht="15.75" thickTop="1" x14ac:dyDescent="0.25">
      <c r="A10" s="564" t="s">
        <v>1107</v>
      </c>
      <c r="B10" s="252" t="s">
        <v>1108</v>
      </c>
      <c r="C10" s="252" t="s">
        <v>1110</v>
      </c>
      <c r="D10" s="252" t="s">
        <v>1111</v>
      </c>
    </row>
    <row r="11" spans="1:4" ht="29.25" thickBot="1" x14ac:dyDescent="0.3">
      <c r="A11" s="565"/>
      <c r="B11" s="117" t="s">
        <v>1109</v>
      </c>
      <c r="C11" s="117" t="s">
        <v>1109</v>
      </c>
      <c r="D11" s="117" t="s">
        <v>1112</v>
      </c>
    </row>
    <row r="12" spans="1:4" ht="15.75" thickTop="1" x14ac:dyDescent="0.25">
      <c r="A12" s="122" t="s">
        <v>1113</v>
      </c>
      <c r="B12" s="252" t="s">
        <v>1115</v>
      </c>
      <c r="C12" s="252" t="s">
        <v>1115</v>
      </c>
      <c r="D12" s="564" t="s">
        <v>1112</v>
      </c>
    </row>
    <row r="13" spans="1:4" ht="15.75" thickBot="1" x14ac:dyDescent="0.3">
      <c r="A13" s="116" t="s">
        <v>1114</v>
      </c>
      <c r="B13" s="117" t="s">
        <v>1116</v>
      </c>
      <c r="C13" s="117" t="s">
        <v>1116</v>
      </c>
      <c r="D13" s="565"/>
    </row>
    <row r="14" spans="1:4" ht="42.75" thickTop="1" thickBot="1" x14ac:dyDescent="0.3">
      <c r="A14" s="116" t="s">
        <v>28</v>
      </c>
      <c r="B14" s="251">
        <v>0.1</v>
      </c>
      <c r="C14" s="253">
        <v>0.1</v>
      </c>
      <c r="D14" s="117" t="s">
        <v>1106</v>
      </c>
    </row>
    <row r="15" spans="1:4" ht="15.75" thickTop="1" x14ac:dyDescent="0.25">
      <c r="A15" s="564" t="s">
        <v>124</v>
      </c>
      <c r="B15" s="573">
        <v>2.3E-2</v>
      </c>
      <c r="C15" s="575">
        <v>5.0000000000000001E-3</v>
      </c>
      <c r="D15" s="252" t="s">
        <v>1117</v>
      </c>
    </row>
    <row r="16" spans="1:4" ht="15.75" thickBot="1" x14ac:dyDescent="0.3">
      <c r="A16" s="565"/>
      <c r="B16" s="574"/>
      <c r="C16" s="576"/>
      <c r="D16" s="117" t="s">
        <v>1118</v>
      </c>
    </row>
    <row r="17" spans="1:4" ht="15.75" thickTop="1" x14ac:dyDescent="0.25">
      <c r="A17" s="564" t="s">
        <v>1119</v>
      </c>
      <c r="B17" s="573">
        <v>0.155</v>
      </c>
      <c r="C17" s="575">
        <v>0.1905</v>
      </c>
      <c r="D17" s="252" t="s">
        <v>1117</v>
      </c>
    </row>
    <row r="18" spans="1:4" ht="15.75" thickBot="1" x14ac:dyDescent="0.3">
      <c r="A18" s="565"/>
      <c r="B18" s="574"/>
      <c r="C18" s="576"/>
      <c r="D18" s="117" t="s">
        <v>1118</v>
      </c>
    </row>
    <row r="19" spans="1:4" ht="15.75" thickTop="1" x14ac:dyDescent="0.25">
      <c r="A19" s="122" t="s">
        <v>1120</v>
      </c>
      <c r="B19" s="564" t="s">
        <v>1122</v>
      </c>
      <c r="C19" s="564" t="s">
        <v>1122</v>
      </c>
      <c r="D19" s="564" t="s">
        <v>1123</v>
      </c>
    </row>
    <row r="20" spans="1:4" ht="15.75" thickBot="1" x14ac:dyDescent="0.3">
      <c r="A20" s="116" t="s">
        <v>1121</v>
      </c>
      <c r="B20" s="565"/>
      <c r="C20" s="565"/>
      <c r="D20" s="565"/>
    </row>
    <row r="21" spans="1:4" ht="15.75" thickTop="1" x14ac:dyDescent="0.25">
      <c r="A21" s="122" t="s">
        <v>1124</v>
      </c>
      <c r="B21" s="252" t="s">
        <v>1125</v>
      </c>
      <c r="C21" s="252" t="s">
        <v>1125</v>
      </c>
      <c r="D21" s="564" t="s">
        <v>1123</v>
      </c>
    </row>
    <row r="22" spans="1:4" ht="15.75" thickBot="1" x14ac:dyDescent="0.3">
      <c r="A22" s="116" t="s">
        <v>1121</v>
      </c>
      <c r="B22" s="117" t="s">
        <v>1126</v>
      </c>
      <c r="C22" s="117" t="s">
        <v>1126</v>
      </c>
      <c r="D22" s="565"/>
    </row>
    <row r="23" spans="1:4" ht="16.5" thickTop="1" thickBot="1" x14ac:dyDescent="0.3">
      <c r="A23" s="116" t="s">
        <v>61</v>
      </c>
      <c r="B23" s="251">
        <v>0.9</v>
      </c>
      <c r="C23" s="253">
        <v>0.5</v>
      </c>
      <c r="D23" s="117" t="s">
        <v>1123</v>
      </c>
    </row>
    <row r="24" spans="1:4" ht="39.75" thickTop="1" thickBot="1" x14ac:dyDescent="0.3">
      <c r="A24" s="116" t="s">
        <v>184</v>
      </c>
      <c r="B24" s="117" t="s">
        <v>1127</v>
      </c>
      <c r="C24" s="244" t="s">
        <v>1127</v>
      </c>
      <c r="D24" s="117" t="s">
        <v>1128</v>
      </c>
    </row>
    <row r="25" spans="1:4" ht="15.75" thickTop="1" x14ac:dyDescent="0.25">
      <c r="A25" s="564" t="s">
        <v>149</v>
      </c>
      <c r="B25" s="566">
        <v>0.13</v>
      </c>
      <c r="C25" s="568">
        <v>0.02</v>
      </c>
      <c r="D25" s="252" t="s">
        <v>1129</v>
      </c>
    </row>
    <row r="26" spans="1:4" ht="15.75" thickBot="1" x14ac:dyDescent="0.3">
      <c r="A26" s="565"/>
      <c r="B26" s="567"/>
      <c r="C26" s="569"/>
      <c r="D26" s="117" t="s">
        <v>1130</v>
      </c>
    </row>
    <row r="27" spans="1:4" ht="15.75" thickTop="1" x14ac:dyDescent="0.25">
      <c r="A27" s="564" t="s">
        <v>1131</v>
      </c>
      <c r="B27" s="566">
        <v>0.1</v>
      </c>
      <c r="C27" s="570" t="s">
        <v>14</v>
      </c>
      <c r="D27" s="252" t="s">
        <v>1132</v>
      </c>
    </row>
    <row r="28" spans="1:4" ht="15.75" thickBot="1" x14ac:dyDescent="0.3">
      <c r="A28" s="565"/>
      <c r="B28" s="567"/>
      <c r="C28" s="571"/>
      <c r="D28" s="117" t="s">
        <v>1133</v>
      </c>
    </row>
    <row r="29" spans="1:4" ht="52.5" thickTop="1" thickBot="1" x14ac:dyDescent="0.3">
      <c r="A29" s="116" t="s">
        <v>8</v>
      </c>
      <c r="B29" s="117" t="s">
        <v>1134</v>
      </c>
      <c r="C29" s="244" t="s">
        <v>1135</v>
      </c>
      <c r="D29" s="117" t="s">
        <v>1136</v>
      </c>
    </row>
    <row r="30" spans="1:4" ht="52.5" thickTop="1" thickBot="1" x14ac:dyDescent="0.3">
      <c r="A30" s="125" t="s">
        <v>46</v>
      </c>
      <c r="B30" s="126" t="s">
        <v>1135</v>
      </c>
      <c r="C30" s="242" t="s">
        <v>1135</v>
      </c>
      <c r="D30" s="126" t="s">
        <v>1136</v>
      </c>
    </row>
  </sheetData>
  <mergeCells count="19">
    <mergeCell ref="D19:D20"/>
    <mergeCell ref="D2:D9"/>
    <mergeCell ref="A10:A11"/>
    <mergeCell ref="D12:D13"/>
    <mergeCell ref="A15:A16"/>
    <mergeCell ref="B15:B16"/>
    <mergeCell ref="C15:C16"/>
    <mergeCell ref="A17:A18"/>
    <mergeCell ref="B17:B18"/>
    <mergeCell ref="C17:C18"/>
    <mergeCell ref="B19:B20"/>
    <mergeCell ref="C19:C20"/>
    <mergeCell ref="D21:D22"/>
    <mergeCell ref="A25:A26"/>
    <mergeCell ref="B25:B26"/>
    <mergeCell ref="C25:C26"/>
    <mergeCell ref="A27:A28"/>
    <mergeCell ref="B27:B28"/>
    <mergeCell ref="C27:C28"/>
  </mergeCells>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D10"/>
  <sheetViews>
    <sheetView workbookViewId="0">
      <selection activeCell="D16" sqref="D16"/>
    </sheetView>
  </sheetViews>
  <sheetFormatPr defaultRowHeight="15" x14ac:dyDescent="0.25"/>
  <cols>
    <col min="1" max="1" width="17.7109375" customWidth="1"/>
    <col min="2" max="2" width="23.42578125" customWidth="1"/>
    <col min="3" max="3" width="36.42578125" customWidth="1"/>
    <col min="4" max="4" width="54.5703125" customWidth="1"/>
  </cols>
  <sheetData>
    <row r="1" spans="1:4" ht="16.5" thickTop="1" thickBot="1" x14ac:dyDescent="0.3">
      <c r="A1" s="399" t="s">
        <v>1137</v>
      </c>
      <c r="B1" s="399" t="s">
        <v>1095</v>
      </c>
      <c r="C1" s="399" t="s">
        <v>1096</v>
      </c>
      <c r="D1" s="399" t="s">
        <v>1097</v>
      </c>
    </row>
    <row r="2" spans="1:4" ht="39.75" thickTop="1" thickBot="1" x14ac:dyDescent="0.3">
      <c r="A2" s="124" t="s">
        <v>18</v>
      </c>
      <c r="B2" s="124" t="s">
        <v>1138</v>
      </c>
      <c r="C2" s="470" t="s">
        <v>1138</v>
      </c>
      <c r="D2" s="124" t="s">
        <v>1139</v>
      </c>
    </row>
    <row r="3" spans="1:4" ht="27" thickTop="1" thickBot="1" x14ac:dyDescent="0.3">
      <c r="A3" s="471" t="s">
        <v>1387</v>
      </c>
      <c r="B3" s="124" t="s">
        <v>1388</v>
      </c>
      <c r="C3" s="470" t="s">
        <v>1388</v>
      </c>
      <c r="D3" s="124" t="s">
        <v>1140</v>
      </c>
    </row>
    <row r="4" spans="1:4" ht="65.25" thickTop="1" thickBot="1" x14ac:dyDescent="0.3">
      <c r="A4" s="471" t="s">
        <v>1141</v>
      </c>
      <c r="B4" s="124" t="s">
        <v>1142</v>
      </c>
      <c r="C4" s="470" t="s">
        <v>1142</v>
      </c>
      <c r="D4" s="124" t="s">
        <v>1389</v>
      </c>
    </row>
    <row r="5" spans="1:4" s="313" customFormat="1" ht="31.5" thickTop="1" thickBot="1" x14ac:dyDescent="0.3">
      <c r="A5" s="471" t="s">
        <v>40</v>
      </c>
      <c r="B5" s="124" t="s">
        <v>14</v>
      </c>
      <c r="C5" s="470" t="s">
        <v>1143</v>
      </c>
      <c r="D5" s="472" t="s">
        <v>1144</v>
      </c>
    </row>
    <row r="6" spans="1:4" s="313" customFormat="1" ht="39.75" thickTop="1" thickBot="1" x14ac:dyDescent="0.3">
      <c r="A6" s="471" t="s">
        <v>253</v>
      </c>
      <c r="B6" s="124" t="s">
        <v>1391</v>
      </c>
      <c r="C6" s="124" t="s">
        <v>1391</v>
      </c>
      <c r="D6" s="477" t="s">
        <v>1393</v>
      </c>
    </row>
    <row r="7" spans="1:4" s="313" customFormat="1" ht="27" thickTop="1" thickBot="1" x14ac:dyDescent="0.3">
      <c r="A7" s="471" t="s">
        <v>1390</v>
      </c>
      <c r="B7" s="124" t="s">
        <v>1392</v>
      </c>
      <c r="C7" s="470" t="s">
        <v>1392</v>
      </c>
      <c r="D7" s="124" t="s">
        <v>274</v>
      </c>
    </row>
    <row r="8" spans="1:4" ht="15.75" thickTop="1" x14ac:dyDescent="0.25"/>
    <row r="9" spans="1:4" s="313" customFormat="1" x14ac:dyDescent="0.25">
      <c r="A9" s="476"/>
      <c r="B9" s="473"/>
      <c r="C9" s="474"/>
      <c r="D9" s="475"/>
    </row>
    <row r="10" spans="1:4" x14ac:dyDescent="0.25">
      <c r="A10" s="296"/>
    </row>
  </sheetData>
  <hyperlinks>
    <hyperlink ref="D5" r:id="rId1" display="http://people.sc.fsu.edu/~mye/ArcNLET/index.html"/>
  </hyperlinks>
  <pageMargins left="0.7" right="0.7" top="0.75" bottom="0.75" header="0.3" footer="0.3"/>
  <pageSetup orientation="portrait" r:id="rId2"/>
</worksheet>
</file>

<file path=xl/worksheets/sheet4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9" tint="0.39997558519241921"/>
  </sheetPr>
  <dimension ref="A1:T16"/>
  <sheetViews>
    <sheetView zoomScale="90" zoomScaleNormal="90" workbookViewId="0">
      <selection activeCell="S5" sqref="S5"/>
    </sheetView>
  </sheetViews>
  <sheetFormatPr defaultRowHeight="15" x14ac:dyDescent="0.25"/>
  <cols>
    <col min="5" max="5" width="16" customWidth="1"/>
    <col min="7" max="7" width="9.7109375" bestFit="1" customWidth="1"/>
    <col min="8" max="8" width="10" bestFit="1" customWidth="1"/>
    <col min="10" max="10" width="10.85546875" customWidth="1"/>
    <col min="12" max="12" width="10" customWidth="1"/>
    <col min="17" max="17" width="10.140625" bestFit="1" customWidth="1"/>
  </cols>
  <sheetData>
    <row r="1" spans="1:20" ht="37.5" thickTop="1" thickBot="1" x14ac:dyDescent="0.3">
      <c r="A1" s="247" t="s">
        <v>0</v>
      </c>
      <c r="B1" s="247" t="s">
        <v>1</v>
      </c>
      <c r="C1" s="247" t="s">
        <v>277</v>
      </c>
      <c r="D1" s="247" t="s">
        <v>868</v>
      </c>
      <c r="E1" s="247" t="s">
        <v>278</v>
      </c>
      <c r="F1" s="247" t="s">
        <v>2</v>
      </c>
      <c r="G1" s="247" t="s">
        <v>279</v>
      </c>
      <c r="H1" s="247" t="s">
        <v>280</v>
      </c>
      <c r="I1" s="247" t="s">
        <v>281</v>
      </c>
      <c r="J1" s="247" t="s">
        <v>282</v>
      </c>
      <c r="K1" s="247" t="s">
        <v>471</v>
      </c>
      <c r="L1" s="247" t="s">
        <v>283</v>
      </c>
      <c r="M1" s="297" t="s">
        <v>592</v>
      </c>
      <c r="N1" s="297" t="s">
        <v>4</v>
      </c>
      <c r="O1" s="297" t="s">
        <v>593</v>
      </c>
      <c r="P1" s="297" t="s">
        <v>5</v>
      </c>
    </row>
    <row r="2" spans="1:20" ht="73.5" thickTop="1" thickBot="1" x14ac:dyDescent="0.3">
      <c r="A2" s="298" t="s">
        <v>580</v>
      </c>
      <c r="B2" s="298" t="str">
        <f>B11</f>
        <v>Education and Outreach</v>
      </c>
      <c r="C2" s="298" t="str">
        <f t="shared" ref="C2:L2" si="0">C11</f>
        <v>Glades County</v>
      </c>
      <c r="D2" s="298" t="str">
        <f t="shared" si="0"/>
        <v>Public education</v>
      </c>
      <c r="E2" s="298" t="str">
        <f t="shared" si="0"/>
        <v>FYN; landscaping, irrigation, and fertilizer ordinances; PSAs, pamphlets, website, and illicit discharge program</v>
      </c>
      <c r="F2" s="299" t="str">
        <f t="shared" si="0"/>
        <v>N/A</v>
      </c>
      <c r="G2" s="299" t="str">
        <f t="shared" si="0"/>
        <v>Unknown</v>
      </c>
      <c r="H2" s="299" t="str">
        <f t="shared" si="0"/>
        <v>Unknown</v>
      </c>
      <c r="I2" s="298" t="str">
        <f t="shared" si="0"/>
        <v>Glades County</v>
      </c>
      <c r="J2" s="298" t="str">
        <f t="shared" si="0"/>
        <v>Ongoing</v>
      </c>
      <c r="K2" s="298" t="str">
        <f t="shared" si="0"/>
        <v>N/A</v>
      </c>
      <c r="L2" s="298" t="str">
        <f t="shared" si="0"/>
        <v>Ongoing</v>
      </c>
      <c r="M2" s="300">
        <f>N11</f>
        <v>1.3699999999999999E-2</v>
      </c>
      <c r="N2" s="301">
        <f>M11</f>
        <v>13.7</v>
      </c>
      <c r="O2" s="300">
        <f>P11</f>
        <v>7.909999999999999E-2</v>
      </c>
      <c r="P2" s="301">
        <f>O11</f>
        <v>79.099999999999994</v>
      </c>
    </row>
    <row r="3" spans="1:20" ht="61.5" thickTop="1" thickBot="1" x14ac:dyDescent="0.3">
      <c r="A3" s="298" t="s">
        <v>486</v>
      </c>
      <c r="B3" s="298" t="str">
        <f t="shared" ref="B3:L3" si="1">B12</f>
        <v>Fisheating Creek</v>
      </c>
      <c r="C3" s="298" t="str">
        <f t="shared" si="1"/>
        <v>FDACS</v>
      </c>
      <c r="D3" s="298" t="str">
        <f t="shared" si="1"/>
        <v>Floating aquatic vegetation treatment (FAVT)</v>
      </c>
      <c r="E3" s="298" t="str">
        <f t="shared" si="1"/>
        <v>Fully aquatic vegetation treatment.</v>
      </c>
      <c r="F3" s="299" t="str">
        <f t="shared" si="1"/>
        <v>N/A</v>
      </c>
      <c r="G3" s="299" t="str">
        <f t="shared" si="1"/>
        <v>Unknown</v>
      </c>
      <c r="H3" s="299" t="str">
        <f t="shared" si="1"/>
        <v>Unknown</v>
      </c>
      <c r="I3" s="298" t="str">
        <f t="shared" si="1"/>
        <v>FDACS/ SFWMD</v>
      </c>
      <c r="J3" s="298" t="str">
        <f t="shared" si="1"/>
        <v>In Progress</v>
      </c>
      <c r="K3" s="298" t="str">
        <f t="shared" si="1"/>
        <v>N/A</v>
      </c>
      <c r="L3" s="298" t="str">
        <f t="shared" si="1"/>
        <v>Unknown</v>
      </c>
      <c r="M3" s="300">
        <f t="shared" ref="M3:M7" si="2">N12</f>
        <v>8.5948999999999991</v>
      </c>
      <c r="N3" s="301">
        <f t="shared" ref="N3:N7" si="3">M12</f>
        <v>8594.9</v>
      </c>
      <c r="O3" s="300">
        <f t="shared" ref="O3:O4" si="4">P12</f>
        <v>29.174299999999999</v>
      </c>
      <c r="P3" s="301">
        <f t="shared" ref="P3:P4" si="5">O12</f>
        <v>29174.3</v>
      </c>
    </row>
    <row r="4" spans="1:20" ht="49.5" thickTop="1" thickBot="1" x14ac:dyDescent="0.3">
      <c r="A4" s="298" t="s">
        <v>100</v>
      </c>
      <c r="B4" s="298" t="str">
        <f t="shared" ref="B4:L4" si="6">B13</f>
        <v>Education and Outreach</v>
      </c>
      <c r="C4" s="298" t="str">
        <f t="shared" si="6"/>
        <v>Highlands County</v>
      </c>
      <c r="D4" s="298" t="str">
        <f t="shared" si="6"/>
        <v>Public education</v>
      </c>
      <c r="E4" s="298" t="str">
        <f t="shared" si="6"/>
        <v>FYN, landscaping and irrigation ordinances, PSAs, and pamphlets.</v>
      </c>
      <c r="F4" s="299" t="str">
        <f t="shared" si="6"/>
        <v>N/A</v>
      </c>
      <c r="G4" s="299" t="str">
        <f t="shared" si="6"/>
        <v>Unknown</v>
      </c>
      <c r="H4" s="299" t="str">
        <f t="shared" si="6"/>
        <v>Unknown</v>
      </c>
      <c r="I4" s="298" t="str">
        <f t="shared" si="6"/>
        <v>Highlands County</v>
      </c>
      <c r="J4" s="298" t="str">
        <f t="shared" si="6"/>
        <v>Ongoing</v>
      </c>
      <c r="K4" s="298" t="str">
        <f t="shared" si="6"/>
        <v>N/A</v>
      </c>
      <c r="L4" s="298" t="str">
        <f t="shared" si="6"/>
        <v>Ongoing</v>
      </c>
      <c r="M4" s="300">
        <f t="shared" si="2"/>
        <v>2.9499999999999998E-2</v>
      </c>
      <c r="N4" s="301">
        <f t="shared" si="3"/>
        <v>29.5</v>
      </c>
      <c r="O4" s="300">
        <f t="shared" si="4"/>
        <v>0.36230000000000001</v>
      </c>
      <c r="P4" s="301">
        <f t="shared" si="5"/>
        <v>362.3</v>
      </c>
    </row>
    <row r="5" spans="1:20" ht="61.5" thickTop="1" thickBot="1" x14ac:dyDescent="0.3">
      <c r="A5" s="298" t="s">
        <v>266</v>
      </c>
      <c r="B5" s="298" t="str">
        <f t="shared" ref="B5:L5" si="7">B14</f>
        <v>XL Ranch (Lightsey)</v>
      </c>
      <c r="C5" s="298" t="str">
        <f t="shared" si="7"/>
        <v>SFWMD</v>
      </c>
      <c r="D5" s="298" t="str">
        <f t="shared" si="7"/>
        <v>DWM</v>
      </c>
      <c r="E5" s="298" t="str">
        <f t="shared" si="7"/>
        <v>Storage of 887 ac-ft of water through above ground impoundment and pasture.</v>
      </c>
      <c r="F5" s="299" t="str">
        <f t="shared" si="7"/>
        <v>N/A</v>
      </c>
      <c r="G5" s="304">
        <f t="shared" si="7"/>
        <v>52415</v>
      </c>
      <c r="H5" s="304">
        <f t="shared" si="7"/>
        <v>130150</v>
      </c>
      <c r="I5" s="298" t="str">
        <f t="shared" si="7"/>
        <v>SFWMD</v>
      </c>
      <c r="J5" s="298" t="str">
        <f t="shared" si="7"/>
        <v>Operational</v>
      </c>
      <c r="K5" s="298" t="str">
        <f t="shared" si="7"/>
        <v>N/A</v>
      </c>
      <c r="L5" s="298" t="str">
        <f t="shared" si="7"/>
        <v>Unknown</v>
      </c>
      <c r="M5" s="300">
        <f t="shared" si="2"/>
        <v>7.0900000000000005E-2</v>
      </c>
      <c r="N5" s="301">
        <f t="shared" si="3"/>
        <v>70.900000000000006</v>
      </c>
      <c r="O5" s="299" t="s">
        <v>232</v>
      </c>
      <c r="P5" s="299" t="s">
        <v>232</v>
      </c>
    </row>
    <row r="6" spans="1:20" ht="37.5" thickTop="1" thickBot="1" x14ac:dyDescent="0.3">
      <c r="A6" s="298" t="s">
        <v>270</v>
      </c>
      <c r="B6" s="298" t="str">
        <f t="shared" ref="B6:L6" si="8">B15</f>
        <v>Blue Head Ranch</v>
      </c>
      <c r="C6" s="298" t="str">
        <f t="shared" si="8"/>
        <v>SFWMD</v>
      </c>
      <c r="D6" s="298" t="str">
        <f t="shared" si="8"/>
        <v>DWM</v>
      </c>
      <c r="E6" s="298" t="str">
        <f t="shared" si="8"/>
        <v>Storage of 3,462 ac-ft of water through pasture.</v>
      </c>
      <c r="F6" s="299" t="str">
        <f t="shared" si="8"/>
        <v>N/A</v>
      </c>
      <c r="G6" s="304">
        <f t="shared" si="8"/>
        <v>193750</v>
      </c>
      <c r="H6" s="304">
        <f t="shared" si="8"/>
        <v>361200</v>
      </c>
      <c r="I6" s="298" t="str">
        <f t="shared" si="8"/>
        <v>SFWMD</v>
      </c>
      <c r="J6" s="298" t="str">
        <f t="shared" si="8"/>
        <v>Design/ Permitting</v>
      </c>
      <c r="K6" s="298" t="str">
        <f t="shared" si="8"/>
        <v>Unknown</v>
      </c>
      <c r="L6" s="298" t="str">
        <f t="shared" si="8"/>
        <v>Unknown</v>
      </c>
      <c r="M6" s="300">
        <f t="shared" si="2"/>
        <v>0.72420000000000007</v>
      </c>
      <c r="N6" s="301">
        <f t="shared" si="3"/>
        <v>724.2</v>
      </c>
      <c r="O6" s="299" t="s">
        <v>232</v>
      </c>
      <c r="P6" s="299" t="s">
        <v>232</v>
      </c>
    </row>
    <row r="7" spans="1:20" ht="61.5" thickTop="1" thickBot="1" x14ac:dyDescent="0.3">
      <c r="A7" s="298" t="s">
        <v>272</v>
      </c>
      <c r="B7" s="298" t="str">
        <f t="shared" ref="B7:L7" si="9">B16</f>
        <v>Nicodemus Slough</v>
      </c>
      <c r="C7" s="298" t="str">
        <f t="shared" si="9"/>
        <v>SFWMD</v>
      </c>
      <c r="D7" s="298" t="str">
        <f t="shared" si="9"/>
        <v>DWM</v>
      </c>
      <c r="E7" s="298" t="str">
        <f t="shared" si="9"/>
        <v>Storage of 34,000 ac-ft of water through above ground impoundment and pasture.</v>
      </c>
      <c r="F7" s="299" t="str">
        <f t="shared" si="9"/>
        <v>N/A</v>
      </c>
      <c r="G7" s="304">
        <f t="shared" si="9"/>
        <v>4900000</v>
      </c>
      <c r="H7" s="304">
        <f t="shared" si="9"/>
        <v>2968328</v>
      </c>
      <c r="I7" s="298" t="str">
        <f t="shared" si="9"/>
        <v>SFWMD</v>
      </c>
      <c r="J7" s="298" t="str">
        <f t="shared" si="9"/>
        <v>Under Construction</v>
      </c>
      <c r="K7" s="298" t="str">
        <f t="shared" si="9"/>
        <v>Unknown</v>
      </c>
      <c r="L7" s="298" t="str">
        <f t="shared" si="9"/>
        <v>Unknown</v>
      </c>
      <c r="M7" s="300">
        <f t="shared" si="2"/>
        <v>3.2484999999999999</v>
      </c>
      <c r="N7" s="301">
        <f t="shared" si="3"/>
        <v>3248.5</v>
      </c>
      <c r="O7" s="299" t="s">
        <v>232</v>
      </c>
      <c r="P7" s="299" t="s">
        <v>232</v>
      </c>
    </row>
    <row r="8" spans="1:20" ht="15.75" thickTop="1" x14ac:dyDescent="0.25"/>
    <row r="9" spans="1:20" ht="15.75" thickBot="1" x14ac:dyDescent="0.3"/>
    <row r="10" spans="1:20" s="70" customFormat="1" ht="37.5" thickTop="1" thickBot="1" x14ac:dyDescent="0.25">
      <c r="A10" s="1" t="s">
        <v>0</v>
      </c>
      <c r="B10" s="2" t="s">
        <v>1</v>
      </c>
      <c r="C10" s="2" t="s">
        <v>277</v>
      </c>
      <c r="D10" s="2" t="s">
        <v>284</v>
      </c>
      <c r="E10" s="2" t="s">
        <v>278</v>
      </c>
      <c r="F10" s="3" t="s">
        <v>2</v>
      </c>
      <c r="G10" s="4" t="s">
        <v>279</v>
      </c>
      <c r="H10" s="4" t="s">
        <v>280</v>
      </c>
      <c r="I10" s="3" t="s">
        <v>281</v>
      </c>
      <c r="J10" s="3" t="s">
        <v>282</v>
      </c>
      <c r="K10" s="3" t="s">
        <v>471</v>
      </c>
      <c r="L10" s="3" t="s">
        <v>283</v>
      </c>
      <c r="M10" s="5" t="s">
        <v>4</v>
      </c>
      <c r="N10" s="6" t="s">
        <v>592</v>
      </c>
      <c r="O10" s="7" t="s">
        <v>5</v>
      </c>
      <c r="P10" s="7" t="s">
        <v>593</v>
      </c>
      <c r="Q10" s="3" t="s">
        <v>3</v>
      </c>
      <c r="R10" s="2" t="s">
        <v>570</v>
      </c>
      <c r="T10" s="76"/>
    </row>
    <row r="11" spans="1:20" s="30" customFormat="1" ht="72.75" thickTop="1" x14ac:dyDescent="0.2">
      <c r="A11" s="24" t="s">
        <v>580</v>
      </c>
      <c r="B11" s="25" t="s">
        <v>23</v>
      </c>
      <c r="C11" s="25" t="s">
        <v>582</v>
      </c>
      <c r="D11" s="25" t="s">
        <v>18</v>
      </c>
      <c r="E11" s="25" t="s">
        <v>583</v>
      </c>
      <c r="F11" s="26" t="s">
        <v>14</v>
      </c>
      <c r="G11" s="21" t="s">
        <v>287</v>
      </c>
      <c r="H11" s="21" t="s">
        <v>287</v>
      </c>
      <c r="I11" s="25" t="s">
        <v>582</v>
      </c>
      <c r="J11" s="25" t="s">
        <v>285</v>
      </c>
      <c r="K11" s="25" t="s">
        <v>14</v>
      </c>
      <c r="L11" s="25" t="s">
        <v>285</v>
      </c>
      <c r="M11" s="28">
        <v>13.7</v>
      </c>
      <c r="N11" s="220">
        <v>1.3699999999999999E-2</v>
      </c>
      <c r="O11" s="29">
        <v>79.099999999999994</v>
      </c>
      <c r="P11" s="71">
        <v>7.909999999999999E-2</v>
      </c>
      <c r="Q11" s="25" t="s">
        <v>102</v>
      </c>
      <c r="R11" s="25" t="s">
        <v>571</v>
      </c>
    </row>
    <row r="12" spans="1:20" s="70" customFormat="1" ht="60" x14ac:dyDescent="0.2">
      <c r="A12" s="41" t="s">
        <v>486</v>
      </c>
      <c r="B12" s="18" t="s">
        <v>102</v>
      </c>
      <c r="C12" s="18" t="s">
        <v>485</v>
      </c>
      <c r="D12" s="18" t="s">
        <v>579</v>
      </c>
      <c r="E12" s="18" t="s">
        <v>499</v>
      </c>
      <c r="F12" s="42" t="s">
        <v>14</v>
      </c>
      <c r="G12" s="43" t="s">
        <v>287</v>
      </c>
      <c r="H12" s="43" t="s">
        <v>287</v>
      </c>
      <c r="I12" s="18" t="s">
        <v>498</v>
      </c>
      <c r="J12" s="18" t="s">
        <v>594</v>
      </c>
      <c r="K12" s="18" t="s">
        <v>14</v>
      </c>
      <c r="L12" s="18" t="s">
        <v>287</v>
      </c>
      <c r="M12" s="22">
        <v>8594.9</v>
      </c>
      <c r="N12" s="220">
        <v>8.5948999999999991</v>
      </c>
      <c r="O12" s="23">
        <v>29174.3</v>
      </c>
      <c r="P12" s="71">
        <v>29.174299999999999</v>
      </c>
      <c r="Q12" s="18" t="s">
        <v>102</v>
      </c>
      <c r="R12" s="18" t="s">
        <v>572</v>
      </c>
    </row>
    <row r="13" spans="1:20" s="70" customFormat="1" ht="48" x14ac:dyDescent="0.2">
      <c r="A13" s="24" t="s">
        <v>100</v>
      </c>
      <c r="B13" s="25" t="s">
        <v>23</v>
      </c>
      <c r="C13" s="25" t="s">
        <v>101</v>
      </c>
      <c r="D13" s="25" t="s">
        <v>18</v>
      </c>
      <c r="E13" s="25" t="s">
        <v>298</v>
      </c>
      <c r="F13" s="26" t="s">
        <v>14</v>
      </c>
      <c r="G13" s="27" t="s">
        <v>287</v>
      </c>
      <c r="H13" s="27" t="s">
        <v>287</v>
      </c>
      <c r="I13" s="25" t="s">
        <v>101</v>
      </c>
      <c r="J13" s="25" t="s">
        <v>285</v>
      </c>
      <c r="K13" s="25" t="s">
        <v>14</v>
      </c>
      <c r="L13" s="25" t="s">
        <v>285</v>
      </c>
      <c r="M13" s="28">
        <v>29.5</v>
      </c>
      <c r="N13" s="220">
        <v>2.9499999999999998E-2</v>
      </c>
      <c r="O13" s="47">
        <v>362.3</v>
      </c>
      <c r="P13" s="71">
        <v>0.36230000000000001</v>
      </c>
      <c r="Q13" s="25" t="s">
        <v>102</v>
      </c>
      <c r="R13" s="25" t="s">
        <v>571</v>
      </c>
    </row>
    <row r="14" spans="1:20" s="72" customFormat="1" ht="60" x14ac:dyDescent="0.2">
      <c r="A14" s="41" t="s">
        <v>266</v>
      </c>
      <c r="B14" s="18" t="s">
        <v>267</v>
      </c>
      <c r="C14" s="18" t="s">
        <v>274</v>
      </c>
      <c r="D14" s="18" t="s">
        <v>253</v>
      </c>
      <c r="E14" s="18" t="s">
        <v>456</v>
      </c>
      <c r="F14" s="42" t="s">
        <v>14</v>
      </c>
      <c r="G14" s="43">
        <v>52415</v>
      </c>
      <c r="H14" s="43">
        <v>130150</v>
      </c>
      <c r="I14" s="18" t="s">
        <v>274</v>
      </c>
      <c r="J14" s="267" t="s">
        <v>596</v>
      </c>
      <c r="K14" s="18" t="s">
        <v>14</v>
      </c>
      <c r="L14" s="18" t="s">
        <v>287</v>
      </c>
      <c r="M14" s="42">
        <v>70.900000000000006</v>
      </c>
      <c r="N14" s="220">
        <v>7.0900000000000005E-2</v>
      </c>
      <c r="O14" s="49" t="s">
        <v>232</v>
      </c>
      <c r="P14" s="71" t="e">
        <v>#VALUE!</v>
      </c>
      <c r="Q14" s="18" t="s">
        <v>102</v>
      </c>
      <c r="R14" s="18" t="s">
        <v>574</v>
      </c>
    </row>
    <row r="15" spans="1:20" s="72" customFormat="1" ht="36" x14ac:dyDescent="0.2">
      <c r="A15" s="41" t="s">
        <v>270</v>
      </c>
      <c r="B15" s="18" t="s">
        <v>271</v>
      </c>
      <c r="C15" s="18" t="s">
        <v>274</v>
      </c>
      <c r="D15" s="18" t="s">
        <v>253</v>
      </c>
      <c r="E15" s="18" t="s">
        <v>458</v>
      </c>
      <c r="F15" s="42" t="s">
        <v>14</v>
      </c>
      <c r="G15" s="43">
        <v>193750</v>
      </c>
      <c r="H15" s="43">
        <v>361200</v>
      </c>
      <c r="I15" s="18" t="s">
        <v>274</v>
      </c>
      <c r="J15" s="18" t="s">
        <v>460</v>
      </c>
      <c r="K15" s="18" t="s">
        <v>287</v>
      </c>
      <c r="L15" s="18" t="s">
        <v>287</v>
      </c>
      <c r="M15" s="42">
        <v>724.2</v>
      </c>
      <c r="N15" s="220">
        <v>0.72420000000000007</v>
      </c>
      <c r="O15" s="49" t="s">
        <v>232</v>
      </c>
      <c r="P15" s="71" t="e">
        <v>#VALUE!</v>
      </c>
      <c r="Q15" s="18" t="s">
        <v>102</v>
      </c>
      <c r="R15" s="18" t="s">
        <v>574</v>
      </c>
    </row>
    <row r="16" spans="1:20" s="72" customFormat="1" ht="60" x14ac:dyDescent="0.2">
      <c r="A16" s="41" t="s">
        <v>272</v>
      </c>
      <c r="B16" s="18" t="s">
        <v>273</v>
      </c>
      <c r="C16" s="18" t="s">
        <v>274</v>
      </c>
      <c r="D16" s="18" t="s">
        <v>253</v>
      </c>
      <c r="E16" s="18" t="s">
        <v>459</v>
      </c>
      <c r="F16" s="42" t="s">
        <v>14</v>
      </c>
      <c r="G16" s="43">
        <v>4900000</v>
      </c>
      <c r="H16" s="43">
        <v>2968328</v>
      </c>
      <c r="I16" s="18" t="s">
        <v>274</v>
      </c>
      <c r="J16" s="18" t="s">
        <v>439</v>
      </c>
      <c r="K16" s="18" t="s">
        <v>287</v>
      </c>
      <c r="L16" s="18" t="s">
        <v>287</v>
      </c>
      <c r="M16" s="42">
        <v>3248.5</v>
      </c>
      <c r="N16" s="220">
        <v>3.2484999999999999</v>
      </c>
      <c r="O16" s="49" t="s">
        <v>232</v>
      </c>
      <c r="P16" s="71" t="e">
        <v>#VALUE!</v>
      </c>
      <c r="Q16" s="18" t="s">
        <v>102</v>
      </c>
      <c r="R16" s="18" t="s">
        <v>574</v>
      </c>
    </row>
  </sheetData>
  <pageMargins left="0.7" right="0.7" top="0.75" bottom="0.75" header="0.3" footer="0.3"/>
  <pageSetup orientation="portrait" r:id="rId1"/>
  <ignoredErrors>
    <ignoredError sqref="N2:N4" formula="1"/>
  </ignoredErrors>
  <legacyDrawing r:id="rId2"/>
</worksheet>
</file>

<file path=xl/worksheets/sheet4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9" tint="0.39997558519241921"/>
  </sheetPr>
  <dimension ref="A1:T13"/>
  <sheetViews>
    <sheetView zoomScale="90" zoomScaleNormal="90" workbookViewId="0">
      <selection activeCell="T6" sqref="T6"/>
    </sheetView>
  </sheetViews>
  <sheetFormatPr defaultRowHeight="15" x14ac:dyDescent="0.25"/>
  <cols>
    <col min="5" max="5" width="16" customWidth="1"/>
    <col min="10" max="10" width="10.85546875" customWidth="1"/>
    <col min="12" max="12" width="10" customWidth="1"/>
  </cols>
  <sheetData>
    <row r="1" spans="1:20" ht="37.5" thickTop="1" thickBot="1" x14ac:dyDescent="0.3">
      <c r="A1" s="247" t="s">
        <v>0</v>
      </c>
      <c r="B1" s="247" t="s">
        <v>1</v>
      </c>
      <c r="C1" s="247" t="s">
        <v>277</v>
      </c>
      <c r="D1" s="247" t="s">
        <v>868</v>
      </c>
      <c r="E1" s="247" t="s">
        <v>278</v>
      </c>
      <c r="F1" s="247" t="s">
        <v>2</v>
      </c>
      <c r="G1" s="247" t="s">
        <v>279</v>
      </c>
      <c r="H1" s="247" t="s">
        <v>280</v>
      </c>
      <c r="I1" s="247" t="s">
        <v>281</v>
      </c>
      <c r="J1" s="247" t="s">
        <v>282</v>
      </c>
      <c r="K1" s="247" t="s">
        <v>471</v>
      </c>
      <c r="L1" s="247" t="s">
        <v>283</v>
      </c>
      <c r="M1" s="297" t="s">
        <v>592</v>
      </c>
      <c r="N1" s="297" t="s">
        <v>4</v>
      </c>
      <c r="O1" s="297" t="s">
        <v>593</v>
      </c>
      <c r="P1" s="297" t="s">
        <v>5</v>
      </c>
    </row>
    <row r="2" spans="1:20" ht="73.5" thickTop="1" thickBot="1" x14ac:dyDescent="0.3">
      <c r="A2" s="298" t="s">
        <v>581</v>
      </c>
      <c r="B2" s="298" t="str">
        <f>B9</f>
        <v>Education and Outreach</v>
      </c>
      <c r="C2" s="298" t="str">
        <f t="shared" ref="C2:L2" si="0">C9</f>
        <v>Glades County</v>
      </c>
      <c r="D2" s="298" t="str">
        <f t="shared" si="0"/>
        <v>Public education</v>
      </c>
      <c r="E2" s="298" t="str">
        <f t="shared" si="0"/>
        <v>FYN; landscaping, irrigation, and fertilizer ordinances; PSAs, pamphlets, website, and illicit discharge program</v>
      </c>
      <c r="F2" s="299" t="str">
        <f t="shared" si="0"/>
        <v>N/A</v>
      </c>
      <c r="G2" s="299" t="str">
        <f t="shared" si="0"/>
        <v>Unknown</v>
      </c>
      <c r="H2" s="299" t="str">
        <f t="shared" si="0"/>
        <v>Unknown</v>
      </c>
      <c r="I2" s="298" t="str">
        <f t="shared" si="0"/>
        <v>Glades County</v>
      </c>
      <c r="J2" s="298" t="str">
        <f t="shared" si="0"/>
        <v>Ongoing</v>
      </c>
      <c r="K2" s="298" t="str">
        <f t="shared" si="0"/>
        <v>N/A</v>
      </c>
      <c r="L2" s="298" t="str">
        <f t="shared" si="0"/>
        <v>Ongoing</v>
      </c>
      <c r="M2" s="300">
        <f>N9</f>
        <v>3.85E-2</v>
      </c>
      <c r="N2" s="301">
        <f>M9</f>
        <v>38.5</v>
      </c>
      <c r="O2" s="300">
        <f>P9</f>
        <v>0.41389999999999999</v>
      </c>
      <c r="P2" s="301">
        <f>O9</f>
        <v>413.9</v>
      </c>
    </row>
    <row r="3" spans="1:20" ht="49.5" thickTop="1" thickBot="1" x14ac:dyDescent="0.3">
      <c r="A3" s="298" t="s">
        <v>103</v>
      </c>
      <c r="B3" s="298" t="str">
        <f t="shared" ref="B3:L3" si="1">B10</f>
        <v>Education and Outreach</v>
      </c>
      <c r="C3" s="298" t="str">
        <f t="shared" si="1"/>
        <v>Highlands County</v>
      </c>
      <c r="D3" s="298" t="str">
        <f t="shared" si="1"/>
        <v>Public education</v>
      </c>
      <c r="E3" s="298" t="str">
        <f t="shared" si="1"/>
        <v>FYN, landscaping and irrigation ordinances, PSAs, and pamphlets.</v>
      </c>
      <c r="F3" s="299" t="str">
        <f t="shared" si="1"/>
        <v>N/A</v>
      </c>
      <c r="G3" s="299" t="str">
        <f t="shared" si="1"/>
        <v>Unknown</v>
      </c>
      <c r="H3" s="299" t="str">
        <f t="shared" si="1"/>
        <v>Unknown</v>
      </c>
      <c r="I3" s="298" t="str">
        <f t="shared" si="1"/>
        <v>Highlands County</v>
      </c>
      <c r="J3" s="298" t="str">
        <f t="shared" si="1"/>
        <v>Ongoing</v>
      </c>
      <c r="K3" s="298" t="str">
        <f t="shared" si="1"/>
        <v>N/A</v>
      </c>
      <c r="L3" s="298" t="str">
        <f t="shared" si="1"/>
        <v>Ongoing</v>
      </c>
      <c r="M3" s="300">
        <f t="shared" ref="M3:M6" si="2">N10</f>
        <v>2.9600000000000001E-2</v>
      </c>
      <c r="N3" s="301">
        <f t="shared" ref="N3:N6" si="3">M10</f>
        <v>29.6</v>
      </c>
      <c r="O3" s="300">
        <f>P10</f>
        <v>0.41520000000000001</v>
      </c>
      <c r="P3" s="301">
        <f>O10</f>
        <v>415.2</v>
      </c>
    </row>
    <row r="4" spans="1:20" ht="133.5" thickTop="1" thickBot="1" x14ac:dyDescent="0.3">
      <c r="A4" s="298" t="s">
        <v>113</v>
      </c>
      <c r="B4" s="298" t="str">
        <f t="shared" ref="B4:L4" si="4">B11</f>
        <v>Istokpoga Marsh Watershed Improvement District</v>
      </c>
      <c r="C4" s="298" t="str">
        <f t="shared" si="4"/>
        <v>Istokpoga Marsh Watershed Improvement District/ Highlands County, SWFWMD, Department, FDACS</v>
      </c>
      <c r="D4" s="298" t="str">
        <f t="shared" si="4"/>
        <v>STA</v>
      </c>
      <c r="E4" s="298" t="str">
        <f t="shared" si="4"/>
        <v>Stormwater treatment area.</v>
      </c>
      <c r="F4" s="299">
        <f t="shared" si="4"/>
        <v>711</v>
      </c>
      <c r="G4" s="299" t="str">
        <f t="shared" si="4"/>
        <v>Unknown</v>
      </c>
      <c r="H4" s="299" t="str">
        <f t="shared" si="4"/>
        <v>Unknown</v>
      </c>
      <c r="I4" s="298" t="str">
        <f t="shared" si="4"/>
        <v>Unknown</v>
      </c>
      <c r="J4" s="298" t="str">
        <f t="shared" si="4"/>
        <v>Planned and Funded</v>
      </c>
      <c r="K4" s="298" t="str">
        <f t="shared" si="4"/>
        <v>Unknown</v>
      </c>
      <c r="L4" s="298" t="str">
        <f t="shared" si="4"/>
        <v>Unknown</v>
      </c>
      <c r="M4" s="300">
        <f t="shared" si="2"/>
        <v>0.69799999999999995</v>
      </c>
      <c r="N4" s="301">
        <f t="shared" si="3"/>
        <v>698</v>
      </c>
      <c r="O4" s="299" t="s">
        <v>232</v>
      </c>
      <c r="P4" s="299" t="s">
        <v>232</v>
      </c>
    </row>
    <row r="5" spans="1:20" ht="49.5" thickTop="1" thickBot="1" x14ac:dyDescent="0.3">
      <c r="A5" s="298" t="s">
        <v>250</v>
      </c>
      <c r="B5" s="298" t="str">
        <f t="shared" ref="B5:L5" si="5">B12</f>
        <v>West Waterhole Marsh</v>
      </c>
      <c r="C5" s="298" t="str">
        <f t="shared" si="5"/>
        <v>SFWMD</v>
      </c>
      <c r="D5" s="298" t="str">
        <f t="shared" si="5"/>
        <v>DWM</v>
      </c>
      <c r="E5" s="298" t="str">
        <f t="shared" si="5"/>
        <v>Storage of 5,000 ac-ft of water through above ground impoundment.</v>
      </c>
      <c r="F5" s="299" t="str">
        <f t="shared" si="5"/>
        <v>N/A</v>
      </c>
      <c r="G5" s="302">
        <f t="shared" si="5"/>
        <v>50000</v>
      </c>
      <c r="H5" s="302">
        <f t="shared" si="5"/>
        <v>493750</v>
      </c>
      <c r="I5" s="298" t="str">
        <f t="shared" si="5"/>
        <v>FRESP</v>
      </c>
      <c r="J5" s="298" t="str">
        <f t="shared" si="5"/>
        <v>Operational</v>
      </c>
      <c r="K5" s="298" t="str">
        <f t="shared" si="5"/>
        <v>N/A</v>
      </c>
      <c r="L5" s="298" t="str">
        <f t="shared" si="5"/>
        <v>Unknown</v>
      </c>
      <c r="M5" s="300">
        <f t="shared" si="2"/>
        <v>4.1663999999999994</v>
      </c>
      <c r="N5" s="301">
        <f t="shared" si="3"/>
        <v>4166.3999999999996</v>
      </c>
      <c r="O5" s="303">
        <f>P12</f>
        <v>20.619499999999999</v>
      </c>
      <c r="P5" s="301">
        <f>O12</f>
        <v>20619.5</v>
      </c>
    </row>
    <row r="6" spans="1:20" ht="37.5" thickTop="1" thickBot="1" x14ac:dyDescent="0.3">
      <c r="A6" s="298" t="s">
        <v>254</v>
      </c>
      <c r="B6" s="298" t="str">
        <f t="shared" ref="B6:L6" si="6">B13</f>
        <v>Buck Island Ranch</v>
      </c>
      <c r="C6" s="298" t="str">
        <f t="shared" si="6"/>
        <v>SFWMD</v>
      </c>
      <c r="D6" s="298" t="str">
        <f t="shared" si="6"/>
        <v>DWM</v>
      </c>
      <c r="E6" s="298" t="str">
        <f t="shared" si="6"/>
        <v>Storage of 1,573 ac-ft of water through pasture.</v>
      </c>
      <c r="F6" s="299" t="str">
        <f t="shared" si="6"/>
        <v>N/A</v>
      </c>
      <c r="G6" s="302">
        <f t="shared" si="6"/>
        <v>1928</v>
      </c>
      <c r="H6" s="302">
        <f t="shared" si="6"/>
        <v>173600</v>
      </c>
      <c r="I6" s="298" t="str">
        <f t="shared" si="6"/>
        <v>SFWMD</v>
      </c>
      <c r="J6" s="298" t="str">
        <f t="shared" si="6"/>
        <v>Operational</v>
      </c>
      <c r="K6" s="298" t="str">
        <f t="shared" si="6"/>
        <v>N/A</v>
      </c>
      <c r="L6" s="298" t="str">
        <f t="shared" si="6"/>
        <v>Unknown</v>
      </c>
      <c r="M6" s="300">
        <f t="shared" si="2"/>
        <v>1.0871999999999999</v>
      </c>
      <c r="N6" s="301">
        <f t="shared" si="3"/>
        <v>1087.2</v>
      </c>
      <c r="O6" s="299" t="s">
        <v>232</v>
      </c>
      <c r="P6" s="299" t="s">
        <v>232</v>
      </c>
    </row>
    <row r="7" spans="1:20" ht="16.5" thickTop="1" thickBot="1" x14ac:dyDescent="0.3"/>
    <row r="8" spans="1:20" s="70" customFormat="1" ht="37.5" thickTop="1" thickBot="1" x14ac:dyDescent="0.25">
      <c r="A8" s="1" t="s">
        <v>0</v>
      </c>
      <c r="B8" s="2" t="s">
        <v>1</v>
      </c>
      <c r="C8" s="2" t="s">
        <v>277</v>
      </c>
      <c r="D8" s="2" t="s">
        <v>284</v>
      </c>
      <c r="E8" s="2" t="s">
        <v>278</v>
      </c>
      <c r="F8" s="3" t="s">
        <v>2</v>
      </c>
      <c r="G8" s="4" t="s">
        <v>279</v>
      </c>
      <c r="H8" s="4" t="s">
        <v>280</v>
      </c>
      <c r="I8" s="3" t="s">
        <v>281</v>
      </c>
      <c r="J8" s="3" t="s">
        <v>282</v>
      </c>
      <c r="K8" s="3" t="s">
        <v>471</v>
      </c>
      <c r="L8" s="3" t="s">
        <v>283</v>
      </c>
      <c r="M8" s="5" t="s">
        <v>4</v>
      </c>
      <c r="N8" s="6" t="s">
        <v>592</v>
      </c>
      <c r="O8" s="7" t="s">
        <v>5</v>
      </c>
      <c r="P8" s="7" t="s">
        <v>593</v>
      </c>
      <c r="Q8" s="3" t="s">
        <v>3</v>
      </c>
      <c r="R8" s="2" t="s">
        <v>570</v>
      </c>
      <c r="T8" s="76"/>
    </row>
    <row r="9" spans="1:20" s="30" customFormat="1" ht="72.75" thickTop="1" x14ac:dyDescent="0.2">
      <c r="A9" s="24" t="s">
        <v>581</v>
      </c>
      <c r="B9" s="25" t="s">
        <v>23</v>
      </c>
      <c r="C9" s="25" t="s">
        <v>582</v>
      </c>
      <c r="D9" s="25" t="s">
        <v>18</v>
      </c>
      <c r="E9" s="25" t="s">
        <v>583</v>
      </c>
      <c r="F9" s="26" t="s">
        <v>14</v>
      </c>
      <c r="G9" s="21" t="s">
        <v>287</v>
      </c>
      <c r="H9" s="21" t="s">
        <v>287</v>
      </c>
      <c r="I9" s="25" t="s">
        <v>582</v>
      </c>
      <c r="J9" s="25" t="s">
        <v>285</v>
      </c>
      <c r="K9" s="25" t="s">
        <v>14</v>
      </c>
      <c r="L9" s="25" t="s">
        <v>285</v>
      </c>
      <c r="M9" s="28">
        <v>38.5</v>
      </c>
      <c r="N9" s="220">
        <v>3.85E-2</v>
      </c>
      <c r="O9" s="29">
        <v>413.9</v>
      </c>
      <c r="P9" s="77">
        <v>0.41389999999999999</v>
      </c>
      <c r="Q9" s="25" t="s">
        <v>104</v>
      </c>
      <c r="R9" s="25" t="s">
        <v>571</v>
      </c>
    </row>
    <row r="10" spans="1:20" s="70" customFormat="1" ht="48" x14ac:dyDescent="0.2">
      <c r="A10" s="24" t="s">
        <v>103</v>
      </c>
      <c r="B10" s="25" t="s">
        <v>23</v>
      </c>
      <c r="C10" s="25" t="s">
        <v>101</v>
      </c>
      <c r="D10" s="25" t="s">
        <v>18</v>
      </c>
      <c r="E10" s="25" t="s">
        <v>298</v>
      </c>
      <c r="F10" s="26" t="s">
        <v>14</v>
      </c>
      <c r="G10" s="27" t="s">
        <v>287</v>
      </c>
      <c r="H10" s="27" t="s">
        <v>287</v>
      </c>
      <c r="I10" s="25" t="s">
        <v>101</v>
      </c>
      <c r="J10" s="25" t="s">
        <v>285</v>
      </c>
      <c r="K10" s="25" t="s">
        <v>14</v>
      </c>
      <c r="L10" s="25" t="s">
        <v>285</v>
      </c>
      <c r="M10" s="28">
        <v>29.6</v>
      </c>
      <c r="N10" s="220">
        <v>2.9600000000000001E-2</v>
      </c>
      <c r="O10" s="47">
        <v>415.2</v>
      </c>
      <c r="P10" s="77">
        <v>0.41520000000000001</v>
      </c>
      <c r="Q10" s="25" t="s">
        <v>104</v>
      </c>
      <c r="R10" s="25" t="s">
        <v>571</v>
      </c>
    </row>
    <row r="11" spans="1:20" s="73" customFormat="1" ht="132" x14ac:dyDescent="0.2">
      <c r="A11" s="41" t="s">
        <v>113</v>
      </c>
      <c r="B11" s="18" t="s">
        <v>114</v>
      </c>
      <c r="C11" s="267" t="s">
        <v>1217</v>
      </c>
      <c r="D11" s="267" t="s">
        <v>231</v>
      </c>
      <c r="E11" s="267" t="s">
        <v>578</v>
      </c>
      <c r="F11" s="42">
        <v>711</v>
      </c>
      <c r="G11" s="43" t="s">
        <v>287</v>
      </c>
      <c r="H11" s="43" t="s">
        <v>287</v>
      </c>
      <c r="I11" s="18" t="s">
        <v>287</v>
      </c>
      <c r="J11" s="18" t="s">
        <v>295</v>
      </c>
      <c r="K11" s="18" t="s">
        <v>287</v>
      </c>
      <c r="L11" s="18" t="s">
        <v>287</v>
      </c>
      <c r="M11" s="274">
        <v>698</v>
      </c>
      <c r="N11" s="275">
        <v>0.69799999999999995</v>
      </c>
      <c r="O11" s="49" t="s">
        <v>232</v>
      </c>
      <c r="P11" s="77" t="e">
        <v>#VALUE!</v>
      </c>
      <c r="Q11" s="18" t="s">
        <v>104</v>
      </c>
      <c r="R11" s="18" t="s">
        <v>573</v>
      </c>
    </row>
    <row r="12" spans="1:20" s="70" customFormat="1" ht="48" x14ac:dyDescent="0.2">
      <c r="A12" s="41" t="s">
        <v>250</v>
      </c>
      <c r="B12" s="18" t="s">
        <v>252</v>
      </c>
      <c r="C12" s="18" t="s">
        <v>274</v>
      </c>
      <c r="D12" s="18" t="s">
        <v>253</v>
      </c>
      <c r="E12" s="18" t="s">
        <v>449</v>
      </c>
      <c r="F12" s="42" t="s">
        <v>14</v>
      </c>
      <c r="G12" s="43">
        <v>50000</v>
      </c>
      <c r="H12" s="43">
        <v>493750</v>
      </c>
      <c r="I12" s="18" t="s">
        <v>448</v>
      </c>
      <c r="J12" s="267" t="s">
        <v>596</v>
      </c>
      <c r="K12" s="18" t="s">
        <v>14</v>
      </c>
      <c r="L12" s="18" t="s">
        <v>287</v>
      </c>
      <c r="M12" s="42">
        <v>4166.3999999999996</v>
      </c>
      <c r="N12" s="220">
        <v>4.1663999999999994</v>
      </c>
      <c r="O12" s="49">
        <v>20619.5</v>
      </c>
      <c r="P12" s="77">
        <v>20.619499999999999</v>
      </c>
      <c r="Q12" s="18" t="s">
        <v>104</v>
      </c>
      <c r="R12" s="18" t="s">
        <v>574</v>
      </c>
    </row>
    <row r="13" spans="1:20" s="72" customFormat="1" ht="36" x14ac:dyDescent="0.2">
      <c r="A13" s="41" t="s">
        <v>254</v>
      </c>
      <c r="B13" s="18" t="s">
        <v>257</v>
      </c>
      <c r="C13" s="18" t="s">
        <v>274</v>
      </c>
      <c r="D13" s="18" t="s">
        <v>253</v>
      </c>
      <c r="E13" s="18" t="s">
        <v>451</v>
      </c>
      <c r="F13" s="42" t="s">
        <v>14</v>
      </c>
      <c r="G13" s="43">
        <v>1928</v>
      </c>
      <c r="H13" s="43">
        <v>173600</v>
      </c>
      <c r="I13" s="18" t="s">
        <v>274</v>
      </c>
      <c r="J13" s="267" t="s">
        <v>596</v>
      </c>
      <c r="K13" s="18" t="s">
        <v>14</v>
      </c>
      <c r="L13" s="18" t="s">
        <v>287</v>
      </c>
      <c r="M13" s="42">
        <v>1087.2</v>
      </c>
      <c r="N13" s="220">
        <v>1.0871999999999999</v>
      </c>
      <c r="O13" s="49" t="s">
        <v>232</v>
      </c>
      <c r="P13" s="77" t="e">
        <v>#VALUE!</v>
      </c>
      <c r="Q13" s="18" t="s">
        <v>104</v>
      </c>
      <c r="R13" s="18" t="s">
        <v>574</v>
      </c>
    </row>
  </sheetData>
  <pageMargins left="0.7" right="0.7" top="0.75" bottom="0.75" header="0.3" footer="0.3"/>
  <ignoredErrors>
    <ignoredError sqref="N2:N6" formula="1"/>
  </ignoredErrors>
  <legacyDrawing r:id="rId1"/>
</worksheet>
</file>

<file path=xl/worksheets/sheet4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9" tint="0.39997558519241921"/>
  </sheetPr>
  <dimension ref="A1:T26"/>
  <sheetViews>
    <sheetView zoomScale="90" zoomScaleNormal="90" workbookViewId="0">
      <selection activeCell="R12" sqref="R12"/>
    </sheetView>
  </sheetViews>
  <sheetFormatPr defaultRowHeight="15" x14ac:dyDescent="0.25"/>
  <cols>
    <col min="5" max="5" width="16" customWidth="1"/>
    <col min="10" max="10" width="10.85546875" customWidth="1"/>
    <col min="12" max="12" width="10" customWidth="1"/>
  </cols>
  <sheetData>
    <row r="1" spans="1:20" ht="37.5" thickTop="1" thickBot="1" x14ac:dyDescent="0.3">
      <c r="A1" s="247" t="s">
        <v>0</v>
      </c>
      <c r="B1" s="247" t="s">
        <v>1</v>
      </c>
      <c r="C1" s="247" t="s">
        <v>277</v>
      </c>
      <c r="D1" s="247" t="s">
        <v>868</v>
      </c>
      <c r="E1" s="247" t="s">
        <v>278</v>
      </c>
      <c r="F1" s="247" t="s">
        <v>2</v>
      </c>
      <c r="G1" s="247" t="s">
        <v>279</v>
      </c>
      <c r="H1" s="247" t="s">
        <v>280</v>
      </c>
      <c r="I1" s="247" t="s">
        <v>281</v>
      </c>
      <c r="J1" s="247" t="s">
        <v>282</v>
      </c>
      <c r="K1" s="247" t="s">
        <v>471</v>
      </c>
      <c r="L1" s="247" t="s">
        <v>283</v>
      </c>
      <c r="M1" s="297" t="s">
        <v>592</v>
      </c>
      <c r="N1" s="297" t="s">
        <v>4</v>
      </c>
      <c r="O1" s="297" t="s">
        <v>593</v>
      </c>
      <c r="P1" s="297" t="s">
        <v>5</v>
      </c>
    </row>
    <row r="2" spans="1:20" ht="37.5" thickTop="1" thickBot="1" x14ac:dyDescent="0.3">
      <c r="A2" s="298" t="s">
        <v>6</v>
      </c>
      <c r="B2" s="298" t="str">
        <f>B15</f>
        <v>Avon Park Street Sweeping</v>
      </c>
      <c r="C2" s="298" t="str">
        <f t="shared" ref="C2:L2" si="0">C15</f>
        <v>City of Avon Park</v>
      </c>
      <c r="D2" s="298" t="str">
        <f t="shared" si="0"/>
        <v>Street sweeping</v>
      </c>
      <c r="E2" s="298" t="str">
        <f t="shared" si="0"/>
        <v>Street sweeping.</v>
      </c>
      <c r="F2" s="298" t="str">
        <f t="shared" si="0"/>
        <v>N/A</v>
      </c>
      <c r="G2" s="298" t="str">
        <f t="shared" si="0"/>
        <v>Unknown</v>
      </c>
      <c r="H2" s="298" t="str">
        <f t="shared" si="0"/>
        <v>Unknown</v>
      </c>
      <c r="I2" s="298" t="str">
        <f t="shared" si="0"/>
        <v>City of Avon Park</v>
      </c>
      <c r="J2" s="298" t="str">
        <f t="shared" si="0"/>
        <v>Ongoing</v>
      </c>
      <c r="K2" s="298" t="str">
        <f t="shared" si="0"/>
        <v>N/A</v>
      </c>
      <c r="L2" s="298" t="str">
        <f t="shared" si="0"/>
        <v>Ongoing</v>
      </c>
      <c r="M2" s="305">
        <f>N15</f>
        <v>4.4999999999999997E-3</v>
      </c>
      <c r="N2" s="306">
        <f>M15</f>
        <v>4.5</v>
      </c>
      <c r="O2" s="305">
        <f>P15</f>
        <v>1.12E-2</v>
      </c>
      <c r="P2" s="306">
        <f>O15</f>
        <v>11.2</v>
      </c>
    </row>
    <row r="3" spans="1:20" ht="109.5" thickTop="1" thickBot="1" x14ac:dyDescent="0.3">
      <c r="A3" s="298" t="s">
        <v>10</v>
      </c>
      <c r="B3" s="298" t="str">
        <f t="shared" ref="B3:L3" si="1">B16</f>
        <v>Lake Tulane Stormwater Improvement Project</v>
      </c>
      <c r="C3" s="298" t="str">
        <f t="shared" si="1"/>
        <v>City of Avon Park/ SWFWMD</v>
      </c>
      <c r="D3" s="298" t="str">
        <f t="shared" si="1"/>
        <v>Swales</v>
      </c>
      <c r="E3" s="298" t="str">
        <f t="shared" si="1"/>
        <v>The runoff will be captured in a series of swales that will allow the runoff to percolate into the sandy soils, preventing further degradation of Lake Tulane.</v>
      </c>
      <c r="F3" s="298">
        <f t="shared" si="1"/>
        <v>32.1</v>
      </c>
      <c r="G3" s="298" t="str">
        <f t="shared" si="1"/>
        <v>Unknown</v>
      </c>
      <c r="H3" s="298" t="str">
        <f t="shared" si="1"/>
        <v>Unknown</v>
      </c>
      <c r="I3" s="298" t="str">
        <f t="shared" si="1"/>
        <v>City of Avon Park/ SWFWMD</v>
      </c>
      <c r="J3" s="298" t="str">
        <f t="shared" si="1"/>
        <v>Envisioned, Not Funded</v>
      </c>
      <c r="K3" s="298" t="str">
        <f t="shared" si="1"/>
        <v>Unknown</v>
      </c>
      <c r="L3" s="298" t="str">
        <f t="shared" si="1"/>
        <v>Unknown</v>
      </c>
      <c r="M3" s="305">
        <f t="shared" ref="M3:M12" si="2">N16</f>
        <v>1.6999999999999999E-3</v>
      </c>
      <c r="N3" s="306">
        <f t="shared" ref="N3:N12" si="3">M16</f>
        <v>1.7</v>
      </c>
      <c r="O3" s="305">
        <f t="shared" ref="O3:O12" si="4">P16</f>
        <v>1.6199999999999999E-2</v>
      </c>
      <c r="P3" s="306">
        <f t="shared" ref="P3:P12" si="5">O16</f>
        <v>16.2</v>
      </c>
    </row>
    <row r="4" spans="1:20" ht="121.5" thickTop="1" thickBot="1" x14ac:dyDescent="0.3">
      <c r="A4" s="298" t="s">
        <v>15</v>
      </c>
      <c r="B4" s="298" t="str">
        <f t="shared" ref="B4:L4" si="6">B17</f>
        <v>Lake Isis Stormwater Improvement Project</v>
      </c>
      <c r="C4" s="298" t="str">
        <f t="shared" si="6"/>
        <v>City of Avon Park/ SWFWMD</v>
      </c>
      <c r="D4" s="298" t="str">
        <f t="shared" si="6"/>
        <v>Wet detention pond</v>
      </c>
      <c r="E4" s="298" t="str">
        <f t="shared" si="6"/>
        <v>The runoff will be captured in a lakeside swale and a re-designed pond that will allow the runoff to percolate into the sandy soils, preventing further degradation of Lake Isis.</v>
      </c>
      <c r="F4" s="298">
        <f t="shared" si="6"/>
        <v>37.1</v>
      </c>
      <c r="G4" s="298" t="str">
        <f t="shared" si="6"/>
        <v>Unknown</v>
      </c>
      <c r="H4" s="298" t="str">
        <f t="shared" si="6"/>
        <v>Unknown</v>
      </c>
      <c r="I4" s="298" t="str">
        <f t="shared" si="6"/>
        <v>City of Avon Park/ SWFWMD</v>
      </c>
      <c r="J4" s="298" t="str">
        <f t="shared" si="6"/>
        <v>Envisioned, Not Funded</v>
      </c>
      <c r="K4" s="298" t="str">
        <f t="shared" si="6"/>
        <v>Unknown</v>
      </c>
      <c r="L4" s="298" t="str">
        <f t="shared" si="6"/>
        <v>Unknown</v>
      </c>
      <c r="M4" s="305">
        <f t="shared" si="2"/>
        <v>5.0000000000000001E-4</v>
      </c>
      <c r="N4" s="306">
        <f t="shared" si="3"/>
        <v>0.5</v>
      </c>
      <c r="O4" s="305">
        <f t="shared" si="4"/>
        <v>4.9000000000000007E-3</v>
      </c>
      <c r="P4" s="306">
        <f t="shared" si="5"/>
        <v>4.9000000000000004</v>
      </c>
    </row>
    <row r="5" spans="1:20" ht="145.5" thickTop="1" thickBot="1" x14ac:dyDescent="0.3">
      <c r="A5" s="298" t="s">
        <v>58</v>
      </c>
      <c r="B5" s="298" t="str">
        <f t="shared" ref="B5:L5" si="7">B18</f>
        <v>Little Lake Jackson Off-line Alum Injection Stormwater Treatment</v>
      </c>
      <c r="C5" s="298" t="str">
        <f t="shared" si="7"/>
        <v>City of Sebring/ Highlands County</v>
      </c>
      <c r="D5" s="298" t="str">
        <f t="shared" si="7"/>
        <v>Alum injection</v>
      </c>
      <c r="E5" s="298" t="str">
        <f t="shared" si="7"/>
        <v>Stormwater is diverted through underground culvert, alum is injected and the water settles for 7 days in a detention pond. Treated water is released to Little Lake Jackson.</v>
      </c>
      <c r="F5" s="298">
        <f t="shared" si="7"/>
        <v>0</v>
      </c>
      <c r="G5" s="298">
        <f t="shared" si="7"/>
        <v>231494</v>
      </c>
      <c r="H5" s="298">
        <f t="shared" si="7"/>
        <v>18500</v>
      </c>
      <c r="I5" s="298" t="str">
        <f t="shared" si="7"/>
        <v>Department 319 grant, SWFWMD, City of Sebring, and Highlands County Board of County Commissioners</v>
      </c>
      <c r="J5" s="298" t="str">
        <f t="shared" si="7"/>
        <v>Ongoing</v>
      </c>
      <c r="K5" s="298" t="str">
        <f t="shared" si="7"/>
        <v>N/A</v>
      </c>
      <c r="L5" s="298" t="str">
        <f t="shared" si="7"/>
        <v>July 2011</v>
      </c>
      <c r="M5" s="300" t="s">
        <v>869</v>
      </c>
      <c r="N5" s="301" t="s">
        <v>869</v>
      </c>
      <c r="O5" s="300" t="s">
        <v>232</v>
      </c>
      <c r="P5" s="301" t="s">
        <v>232</v>
      </c>
    </row>
    <row r="6" spans="1:20" ht="37.5" thickTop="1" thickBot="1" x14ac:dyDescent="0.3">
      <c r="A6" s="298" t="s">
        <v>62</v>
      </c>
      <c r="B6" s="298" t="str">
        <f t="shared" ref="B6:L6" si="8">B19</f>
        <v xml:space="preserve">Street Sweeping </v>
      </c>
      <c r="C6" s="298" t="str">
        <f t="shared" si="8"/>
        <v>City of Sebring</v>
      </c>
      <c r="D6" s="298" t="str">
        <f t="shared" si="8"/>
        <v>Street sweeping</v>
      </c>
      <c r="E6" s="298" t="str">
        <f t="shared" si="8"/>
        <v>Street sweeping to collect 602,940 lbs/yr of material.</v>
      </c>
      <c r="F6" s="298" t="str">
        <f t="shared" si="8"/>
        <v>N/A</v>
      </c>
      <c r="G6" s="298" t="str">
        <f t="shared" si="8"/>
        <v>See annual O&amp;M</v>
      </c>
      <c r="H6" s="298">
        <f t="shared" si="8"/>
        <v>35000</v>
      </c>
      <c r="I6" s="298" t="str">
        <f t="shared" si="8"/>
        <v>City of Sebring</v>
      </c>
      <c r="J6" s="298" t="str">
        <f t="shared" si="8"/>
        <v>Ongoing</v>
      </c>
      <c r="K6" s="298" t="str">
        <f t="shared" si="8"/>
        <v>N/A</v>
      </c>
      <c r="L6" s="298" t="str">
        <f t="shared" si="8"/>
        <v>Ongoing</v>
      </c>
      <c r="M6" s="305">
        <f t="shared" si="2"/>
        <v>5.0900000000000001E-2</v>
      </c>
      <c r="N6" s="306">
        <f t="shared" si="3"/>
        <v>50.9</v>
      </c>
      <c r="O6" s="305">
        <f t="shared" si="4"/>
        <v>0.11840000000000001</v>
      </c>
      <c r="P6" s="306">
        <f t="shared" si="5"/>
        <v>118.4</v>
      </c>
    </row>
    <row r="7" spans="1:20" ht="49.5" thickTop="1" thickBot="1" x14ac:dyDescent="0.3">
      <c r="A7" s="298" t="s">
        <v>105</v>
      </c>
      <c r="B7" s="298" t="str">
        <f t="shared" ref="B7:L7" si="9">B20</f>
        <v>Education and Outreach</v>
      </c>
      <c r="C7" s="298" t="str">
        <f t="shared" si="9"/>
        <v>Highlands County</v>
      </c>
      <c r="D7" s="298" t="str">
        <f t="shared" si="9"/>
        <v>Public education</v>
      </c>
      <c r="E7" s="298" t="str">
        <f t="shared" si="9"/>
        <v>FYN, landscaping and irrigation ordinances, PSAs, and pamphlets.</v>
      </c>
      <c r="F7" s="298" t="str">
        <f t="shared" si="9"/>
        <v>N/A</v>
      </c>
      <c r="G7" s="298" t="str">
        <f t="shared" si="9"/>
        <v>Unknown</v>
      </c>
      <c r="H7" s="298" t="str">
        <f t="shared" si="9"/>
        <v>Unknown</v>
      </c>
      <c r="I7" s="298" t="str">
        <f t="shared" si="9"/>
        <v>Highlands County</v>
      </c>
      <c r="J7" s="298" t="str">
        <f t="shared" si="9"/>
        <v>Ongoing</v>
      </c>
      <c r="K7" s="298" t="str">
        <f t="shared" si="9"/>
        <v>N/A</v>
      </c>
      <c r="L7" s="298" t="str">
        <f t="shared" si="9"/>
        <v>Ongoing</v>
      </c>
      <c r="M7" s="305">
        <f t="shared" si="2"/>
        <v>0.15519999999999998</v>
      </c>
      <c r="N7" s="306">
        <f t="shared" si="3"/>
        <v>155.19999999999999</v>
      </c>
      <c r="O7" s="305">
        <f t="shared" si="4"/>
        <v>6.5807000000000002</v>
      </c>
      <c r="P7" s="306">
        <f t="shared" si="5"/>
        <v>6580.7</v>
      </c>
    </row>
    <row r="8" spans="1:20" ht="73.5" thickTop="1" thickBot="1" x14ac:dyDescent="0.3">
      <c r="A8" s="298" t="s">
        <v>108</v>
      </c>
      <c r="B8" s="298" t="str">
        <f t="shared" ref="B8:L8" si="10">B21</f>
        <v>Lake June Stormwater Project</v>
      </c>
      <c r="C8" s="298" t="str">
        <f t="shared" si="10"/>
        <v>Highlands County/ SWFWMD</v>
      </c>
      <c r="D8" s="298" t="str">
        <f t="shared" si="10"/>
        <v>Online retention</v>
      </c>
      <c r="E8" s="298" t="str">
        <f t="shared" si="10"/>
        <v>The conceptual plan includes the installation of 450 feet of 24-inch French drain in four contributing basins.</v>
      </c>
      <c r="F8" s="298">
        <f t="shared" si="10"/>
        <v>43.3</v>
      </c>
      <c r="G8" s="298">
        <f t="shared" si="10"/>
        <v>440000</v>
      </c>
      <c r="H8" s="298" t="str">
        <f t="shared" si="10"/>
        <v>Unknown</v>
      </c>
      <c r="I8" s="298" t="str">
        <f t="shared" si="10"/>
        <v>SWFWMD and Highlands County</v>
      </c>
      <c r="J8" s="298" t="str">
        <f t="shared" si="10"/>
        <v>Planned and Funded</v>
      </c>
      <c r="K8" s="298" t="str">
        <f t="shared" si="10"/>
        <v>Unknown</v>
      </c>
      <c r="L8" s="298" t="str">
        <f t="shared" si="10"/>
        <v>Unknown</v>
      </c>
      <c r="M8" s="300" t="s">
        <v>232</v>
      </c>
      <c r="N8" s="301" t="s">
        <v>232</v>
      </c>
      <c r="O8" s="300" t="s">
        <v>232</v>
      </c>
      <c r="P8" s="301" t="s">
        <v>232</v>
      </c>
    </row>
    <row r="9" spans="1:20" ht="97.5" thickTop="1" thickBot="1" x14ac:dyDescent="0.3">
      <c r="A9" s="298" t="s">
        <v>111</v>
      </c>
      <c r="B9" s="298" t="str">
        <f t="shared" ref="B9:L9" si="11">B22</f>
        <v>Lake Clay Stormwater Project</v>
      </c>
      <c r="C9" s="298" t="str">
        <f t="shared" si="11"/>
        <v>Highlands County/ SWFWMD</v>
      </c>
      <c r="D9" s="298" t="str">
        <f t="shared" si="11"/>
        <v>Online retention</v>
      </c>
      <c r="E9" s="298" t="str">
        <f t="shared" si="11"/>
        <v>600 feet of 24-inch on-line French drain for parking lot subbasin; 300 feet of 24-inch on-line French drain will treat the street subbasin.</v>
      </c>
      <c r="F9" s="298">
        <f t="shared" si="11"/>
        <v>26.6</v>
      </c>
      <c r="G9" s="298">
        <f t="shared" si="11"/>
        <v>330000</v>
      </c>
      <c r="H9" s="298">
        <f t="shared" si="11"/>
        <v>1973</v>
      </c>
      <c r="I9" s="298" t="str">
        <f t="shared" si="11"/>
        <v>SWFWMD and Highlands County</v>
      </c>
      <c r="J9" s="298" t="str">
        <f t="shared" si="11"/>
        <v>Completed</v>
      </c>
      <c r="K9" s="298" t="str">
        <f t="shared" si="11"/>
        <v>N/A</v>
      </c>
      <c r="L9" s="298" t="str">
        <f t="shared" si="11"/>
        <v>January 2013</v>
      </c>
      <c r="M9" s="305">
        <f t="shared" si="2"/>
        <v>1.2999999999999999E-3</v>
      </c>
      <c r="N9" s="306">
        <f t="shared" si="3"/>
        <v>1.3</v>
      </c>
      <c r="O9" s="305">
        <f t="shared" si="4"/>
        <v>2.41E-2</v>
      </c>
      <c r="P9" s="306">
        <f t="shared" si="5"/>
        <v>24.1</v>
      </c>
    </row>
    <row r="10" spans="1:20" ht="61.5" thickTop="1" thickBot="1" x14ac:dyDescent="0.3">
      <c r="A10" s="298" t="s">
        <v>223</v>
      </c>
      <c r="B10" s="298" t="str">
        <f t="shared" ref="B10:L10" si="12">B23</f>
        <v>Education and Outreach</v>
      </c>
      <c r="C10" s="298" t="str">
        <f t="shared" si="12"/>
        <v>Polk County</v>
      </c>
      <c r="D10" s="298" t="str">
        <f t="shared" si="12"/>
        <v>Public education</v>
      </c>
      <c r="E10" s="298" t="str">
        <f t="shared" si="12"/>
        <v>FYN, fertilizer ordinance, PSAs, pamphlets, website, and illicit discharge inspection program.</v>
      </c>
      <c r="F10" s="298" t="str">
        <f t="shared" si="12"/>
        <v>N/A</v>
      </c>
      <c r="G10" s="298" t="str">
        <f t="shared" si="12"/>
        <v>Unknown</v>
      </c>
      <c r="H10" s="298" t="str">
        <f t="shared" si="12"/>
        <v>Unknown</v>
      </c>
      <c r="I10" s="298" t="str">
        <f t="shared" si="12"/>
        <v>Polk County</v>
      </c>
      <c r="J10" s="298" t="str">
        <f t="shared" si="12"/>
        <v>Ongoing</v>
      </c>
      <c r="K10" s="298" t="str">
        <f t="shared" si="12"/>
        <v>N/A</v>
      </c>
      <c r="L10" s="298" t="str">
        <f t="shared" si="12"/>
        <v>Ongoing</v>
      </c>
      <c r="M10" s="305">
        <f t="shared" si="2"/>
        <v>3.8799999999999994E-2</v>
      </c>
      <c r="N10" s="306">
        <f t="shared" si="3"/>
        <v>38.799999999999997</v>
      </c>
      <c r="O10" s="305">
        <f t="shared" si="4"/>
        <v>1.0869000000000002</v>
      </c>
      <c r="P10" s="306">
        <f t="shared" si="5"/>
        <v>1086.9000000000001</v>
      </c>
    </row>
    <row r="11" spans="1:20" ht="61.5" thickTop="1" thickBot="1" x14ac:dyDescent="0.3">
      <c r="A11" s="298" t="s">
        <v>251</v>
      </c>
      <c r="B11" s="298" t="str">
        <f t="shared" ref="B11:L11" si="13">B24</f>
        <v>Rafter T Ranch</v>
      </c>
      <c r="C11" s="298" t="str">
        <f t="shared" si="13"/>
        <v>SFWMD</v>
      </c>
      <c r="D11" s="298" t="str">
        <f t="shared" si="13"/>
        <v>DWM</v>
      </c>
      <c r="E11" s="298" t="str">
        <f t="shared" si="13"/>
        <v>Storage of 1,145 ac-ft of water through above ground impoundment and pasture.</v>
      </c>
      <c r="F11" s="298" t="str">
        <f t="shared" si="13"/>
        <v>N/A</v>
      </c>
      <c r="G11" s="298">
        <f t="shared" si="13"/>
        <v>431524</v>
      </c>
      <c r="H11" s="298">
        <f t="shared" si="13"/>
        <v>92490</v>
      </c>
      <c r="I11" s="298" t="str">
        <f t="shared" si="13"/>
        <v>FRESP</v>
      </c>
      <c r="J11" s="298" t="str">
        <f t="shared" si="13"/>
        <v>Operational</v>
      </c>
      <c r="K11" s="298" t="str">
        <f t="shared" si="13"/>
        <v>N/A</v>
      </c>
      <c r="L11" s="298" t="str">
        <f t="shared" si="13"/>
        <v>Unknown</v>
      </c>
      <c r="M11" s="305">
        <f t="shared" si="2"/>
        <v>8.9799999999999991E-2</v>
      </c>
      <c r="N11" s="306">
        <f t="shared" si="3"/>
        <v>89.8</v>
      </c>
      <c r="O11" s="300" t="s">
        <v>232</v>
      </c>
      <c r="P11" s="301" t="s">
        <v>232</v>
      </c>
    </row>
    <row r="12" spans="1:20" ht="73.5" customHeight="1" thickTop="1" thickBot="1" x14ac:dyDescent="0.3">
      <c r="A12" s="298" t="s">
        <v>275</v>
      </c>
      <c r="B12" s="298" t="str">
        <f t="shared" ref="B12:L12" si="14">B25</f>
        <v>Spring Lake Improvement District Improvements</v>
      </c>
      <c r="C12" s="298" t="str">
        <f t="shared" si="14"/>
        <v>Spring Lake Improvement District</v>
      </c>
      <c r="D12" s="298" t="str">
        <f t="shared" si="14"/>
        <v>STA</v>
      </c>
      <c r="E12" s="298" t="str">
        <f t="shared" si="14"/>
        <v>Treatment of runoff through a stormwater treatment area.</v>
      </c>
      <c r="F12" s="298">
        <f t="shared" si="14"/>
        <v>2308</v>
      </c>
      <c r="G12" s="298">
        <f t="shared" si="14"/>
        <v>4262105</v>
      </c>
      <c r="H12" s="298" t="str">
        <f t="shared" si="14"/>
        <v>Unknown</v>
      </c>
      <c r="I12" s="298" t="str">
        <f t="shared" si="14"/>
        <v>SLID and Department Section 319 Grant</v>
      </c>
      <c r="J12" s="298" t="str">
        <f t="shared" si="14"/>
        <v>Planned and Funded</v>
      </c>
      <c r="K12" s="298" t="str">
        <f t="shared" si="14"/>
        <v>Unknown</v>
      </c>
      <c r="L12" s="298" t="str">
        <f t="shared" si="14"/>
        <v>Unknown</v>
      </c>
      <c r="M12" s="305">
        <f t="shared" si="2"/>
        <v>4.4999999999999997E-3</v>
      </c>
      <c r="N12" s="306">
        <f t="shared" si="3"/>
        <v>4.5</v>
      </c>
      <c r="O12" s="305">
        <f t="shared" si="4"/>
        <v>3.2899999999999999E-2</v>
      </c>
      <c r="P12" s="306">
        <f t="shared" si="5"/>
        <v>32.9</v>
      </c>
    </row>
    <row r="13" spans="1:20" ht="16.5" thickTop="1" thickBot="1" x14ac:dyDescent="0.3"/>
    <row r="14" spans="1:20" s="70" customFormat="1" ht="37.5" thickTop="1" thickBot="1" x14ac:dyDescent="0.25">
      <c r="A14" s="1" t="s">
        <v>0</v>
      </c>
      <c r="B14" s="2" t="s">
        <v>1</v>
      </c>
      <c r="C14" s="2" t="s">
        <v>277</v>
      </c>
      <c r="D14" s="2" t="s">
        <v>284</v>
      </c>
      <c r="E14" s="2" t="s">
        <v>278</v>
      </c>
      <c r="F14" s="3" t="s">
        <v>2</v>
      </c>
      <c r="G14" s="4" t="s">
        <v>279</v>
      </c>
      <c r="H14" s="4" t="s">
        <v>280</v>
      </c>
      <c r="I14" s="3" t="s">
        <v>281</v>
      </c>
      <c r="J14" s="3" t="s">
        <v>282</v>
      </c>
      <c r="K14" s="3" t="s">
        <v>471</v>
      </c>
      <c r="L14" s="3" t="s">
        <v>283</v>
      </c>
      <c r="M14" s="5" t="s">
        <v>4</v>
      </c>
      <c r="N14" s="6" t="s">
        <v>592</v>
      </c>
      <c r="O14" s="7" t="s">
        <v>5</v>
      </c>
      <c r="P14" s="7" t="s">
        <v>593</v>
      </c>
      <c r="Q14" s="3" t="s">
        <v>3</v>
      </c>
      <c r="R14" s="2" t="s">
        <v>570</v>
      </c>
      <c r="T14" s="76"/>
    </row>
    <row r="15" spans="1:20" s="72" customFormat="1" ht="36.75" thickTop="1" x14ac:dyDescent="0.2">
      <c r="A15" s="8" t="s">
        <v>6</v>
      </c>
      <c r="B15" s="9" t="s">
        <v>293</v>
      </c>
      <c r="C15" s="9" t="s">
        <v>7</v>
      </c>
      <c r="D15" s="10" t="s">
        <v>8</v>
      </c>
      <c r="E15" s="10" t="s">
        <v>342</v>
      </c>
      <c r="F15" s="11" t="s">
        <v>14</v>
      </c>
      <c r="G15" s="13" t="s">
        <v>287</v>
      </c>
      <c r="H15" s="13" t="s">
        <v>287</v>
      </c>
      <c r="I15" s="9" t="s">
        <v>7</v>
      </c>
      <c r="J15" s="9" t="s">
        <v>285</v>
      </c>
      <c r="K15" s="9" t="s">
        <v>14</v>
      </c>
      <c r="L15" s="9" t="s">
        <v>285</v>
      </c>
      <c r="M15" s="14">
        <v>4.5</v>
      </c>
      <c r="N15" s="15">
        <v>4.4999999999999997E-3</v>
      </c>
      <c r="O15" s="16">
        <v>11.2</v>
      </c>
      <c r="P15" s="77">
        <v>1.12E-2</v>
      </c>
      <c r="Q15" s="12" t="s">
        <v>9</v>
      </c>
      <c r="R15" s="9" t="s">
        <v>571</v>
      </c>
    </row>
    <row r="16" spans="1:20" s="70" customFormat="1" ht="108" x14ac:dyDescent="0.2">
      <c r="A16" s="17" t="s">
        <v>10</v>
      </c>
      <c r="B16" s="18" t="s">
        <v>11</v>
      </c>
      <c r="C16" s="18" t="s">
        <v>12</v>
      </c>
      <c r="D16" s="19" t="s">
        <v>13</v>
      </c>
      <c r="E16" s="19" t="s">
        <v>288</v>
      </c>
      <c r="F16" s="20">
        <v>32.1</v>
      </c>
      <c r="G16" s="21" t="s">
        <v>287</v>
      </c>
      <c r="H16" s="21" t="s">
        <v>287</v>
      </c>
      <c r="I16" s="18" t="s">
        <v>12</v>
      </c>
      <c r="J16" s="271" t="s">
        <v>286</v>
      </c>
      <c r="K16" s="19" t="s">
        <v>287</v>
      </c>
      <c r="L16" s="19" t="s">
        <v>287</v>
      </c>
      <c r="M16" s="22">
        <v>1.7</v>
      </c>
      <c r="N16" s="15">
        <v>1.6999999999999999E-3</v>
      </c>
      <c r="O16" s="23">
        <v>16.2</v>
      </c>
      <c r="P16" s="77">
        <v>1.6199999999999999E-2</v>
      </c>
      <c r="Q16" s="19" t="s">
        <v>9</v>
      </c>
      <c r="R16" s="18" t="s">
        <v>571</v>
      </c>
    </row>
    <row r="17" spans="1:18" s="70" customFormat="1" ht="120" x14ac:dyDescent="0.2">
      <c r="A17" s="17" t="s">
        <v>15</v>
      </c>
      <c r="B17" s="18" t="s">
        <v>16</v>
      </c>
      <c r="C17" s="18" t="s">
        <v>12</v>
      </c>
      <c r="D17" s="19" t="s">
        <v>17</v>
      </c>
      <c r="E17" s="19" t="s">
        <v>461</v>
      </c>
      <c r="F17" s="20">
        <v>37.1</v>
      </c>
      <c r="G17" s="21" t="s">
        <v>287</v>
      </c>
      <c r="H17" s="21" t="s">
        <v>287</v>
      </c>
      <c r="I17" s="18" t="s">
        <v>12</v>
      </c>
      <c r="J17" s="271" t="s">
        <v>286</v>
      </c>
      <c r="K17" s="19" t="s">
        <v>287</v>
      </c>
      <c r="L17" s="19" t="s">
        <v>287</v>
      </c>
      <c r="M17" s="22">
        <v>0.5</v>
      </c>
      <c r="N17" s="15">
        <v>5.0000000000000001E-4</v>
      </c>
      <c r="O17" s="23">
        <v>4.9000000000000004</v>
      </c>
      <c r="P17" s="77">
        <v>4.9000000000000007E-3</v>
      </c>
      <c r="Q17" s="19" t="s">
        <v>9</v>
      </c>
      <c r="R17" s="18" t="s">
        <v>571</v>
      </c>
    </row>
    <row r="18" spans="1:18" s="70" customFormat="1" ht="144" x14ac:dyDescent="0.2">
      <c r="A18" s="31" t="s">
        <v>58</v>
      </c>
      <c r="B18" s="32" t="s">
        <v>59</v>
      </c>
      <c r="C18" s="32" t="s">
        <v>289</v>
      </c>
      <c r="D18" s="32" t="s">
        <v>61</v>
      </c>
      <c r="E18" s="32" t="s">
        <v>290</v>
      </c>
      <c r="F18" s="33"/>
      <c r="G18" s="34">
        <v>231494</v>
      </c>
      <c r="H18" s="34">
        <v>18500</v>
      </c>
      <c r="I18" s="32" t="s">
        <v>564</v>
      </c>
      <c r="J18" s="35" t="s">
        <v>285</v>
      </c>
      <c r="K18" s="35" t="s">
        <v>14</v>
      </c>
      <c r="L18" s="40" t="s">
        <v>291</v>
      </c>
      <c r="M18" s="33"/>
      <c r="N18" s="15">
        <v>0</v>
      </c>
      <c r="O18" s="36"/>
      <c r="P18" s="77">
        <v>0</v>
      </c>
      <c r="Q18" s="32" t="s">
        <v>9</v>
      </c>
      <c r="R18" s="32" t="s">
        <v>571</v>
      </c>
    </row>
    <row r="19" spans="1:18" s="70" customFormat="1" ht="36" x14ac:dyDescent="0.2">
      <c r="A19" s="24" t="s">
        <v>62</v>
      </c>
      <c r="B19" s="25" t="s">
        <v>506</v>
      </c>
      <c r="C19" s="25" t="s">
        <v>60</v>
      </c>
      <c r="D19" s="25" t="s">
        <v>8</v>
      </c>
      <c r="E19" s="25" t="s">
        <v>292</v>
      </c>
      <c r="F19" s="26" t="s">
        <v>14</v>
      </c>
      <c r="G19" s="277" t="s">
        <v>1220</v>
      </c>
      <c r="H19" s="27">
        <v>35000</v>
      </c>
      <c r="I19" s="25" t="s">
        <v>60</v>
      </c>
      <c r="J19" s="28" t="s">
        <v>285</v>
      </c>
      <c r="K19" s="28" t="s">
        <v>14</v>
      </c>
      <c r="L19" s="28" t="s">
        <v>285</v>
      </c>
      <c r="M19" s="26">
        <v>50.9</v>
      </c>
      <c r="N19" s="15">
        <v>5.0900000000000001E-2</v>
      </c>
      <c r="O19" s="29">
        <v>118.4</v>
      </c>
      <c r="P19" s="77">
        <v>0.11840000000000001</v>
      </c>
      <c r="Q19" s="25" t="s">
        <v>9</v>
      </c>
      <c r="R19" s="25" t="s">
        <v>571</v>
      </c>
    </row>
    <row r="20" spans="1:18" s="70" customFormat="1" ht="48" x14ac:dyDescent="0.2">
      <c r="A20" s="24" t="s">
        <v>105</v>
      </c>
      <c r="B20" s="25" t="s">
        <v>23</v>
      </c>
      <c r="C20" s="25" t="s">
        <v>101</v>
      </c>
      <c r="D20" s="25" t="s">
        <v>18</v>
      </c>
      <c r="E20" s="25" t="s">
        <v>298</v>
      </c>
      <c r="F20" s="26" t="s">
        <v>14</v>
      </c>
      <c r="G20" s="27" t="s">
        <v>287</v>
      </c>
      <c r="H20" s="27" t="s">
        <v>287</v>
      </c>
      <c r="I20" s="25" t="s">
        <v>101</v>
      </c>
      <c r="J20" s="25" t="s">
        <v>285</v>
      </c>
      <c r="K20" s="25" t="s">
        <v>14</v>
      </c>
      <c r="L20" s="25" t="s">
        <v>285</v>
      </c>
      <c r="M20" s="28">
        <v>155.19999999999999</v>
      </c>
      <c r="N20" s="15">
        <v>0.15519999999999998</v>
      </c>
      <c r="O20" s="47">
        <v>6580.7</v>
      </c>
      <c r="P20" s="77">
        <v>6.5807000000000002</v>
      </c>
      <c r="Q20" s="25" t="s">
        <v>9</v>
      </c>
      <c r="R20" s="25" t="s">
        <v>571</v>
      </c>
    </row>
    <row r="21" spans="1:18" s="30" customFormat="1" ht="72" x14ac:dyDescent="0.2">
      <c r="A21" s="31" t="s">
        <v>108</v>
      </c>
      <c r="B21" s="32" t="s">
        <v>109</v>
      </c>
      <c r="C21" s="32" t="s">
        <v>110</v>
      </c>
      <c r="D21" s="32" t="s">
        <v>173</v>
      </c>
      <c r="E21" s="32" t="s">
        <v>465</v>
      </c>
      <c r="F21" s="33">
        <v>43.3</v>
      </c>
      <c r="G21" s="34">
        <v>440000</v>
      </c>
      <c r="H21" s="277" t="s">
        <v>287</v>
      </c>
      <c r="I21" s="32" t="s">
        <v>294</v>
      </c>
      <c r="J21" s="267" t="s">
        <v>295</v>
      </c>
      <c r="K21" s="32" t="s">
        <v>287</v>
      </c>
      <c r="L21" s="32" t="s">
        <v>287</v>
      </c>
      <c r="M21" s="35"/>
      <c r="N21" s="15">
        <v>0</v>
      </c>
      <c r="O21" s="46"/>
      <c r="P21" s="77">
        <v>0</v>
      </c>
      <c r="Q21" s="32" t="s">
        <v>9</v>
      </c>
      <c r="R21" s="32" t="s">
        <v>571</v>
      </c>
    </row>
    <row r="22" spans="1:18" s="30" customFormat="1" ht="96" x14ac:dyDescent="0.2">
      <c r="A22" s="24" t="s">
        <v>111</v>
      </c>
      <c r="B22" s="25" t="s">
        <v>112</v>
      </c>
      <c r="C22" s="25" t="s">
        <v>110</v>
      </c>
      <c r="D22" s="25" t="s">
        <v>173</v>
      </c>
      <c r="E22" s="25" t="s">
        <v>466</v>
      </c>
      <c r="F22" s="26">
        <v>26.6</v>
      </c>
      <c r="G22" s="27">
        <v>330000</v>
      </c>
      <c r="H22" s="27">
        <v>1973</v>
      </c>
      <c r="I22" s="25" t="s">
        <v>294</v>
      </c>
      <c r="J22" s="25" t="s">
        <v>296</v>
      </c>
      <c r="K22" s="25" t="s">
        <v>14</v>
      </c>
      <c r="L22" s="37" t="s">
        <v>297</v>
      </c>
      <c r="M22" s="28">
        <v>1.3</v>
      </c>
      <c r="N22" s="15">
        <v>1.2999999999999999E-3</v>
      </c>
      <c r="O22" s="47">
        <v>24.1</v>
      </c>
      <c r="P22" s="77">
        <v>2.41E-2</v>
      </c>
      <c r="Q22" s="25" t="s">
        <v>9</v>
      </c>
      <c r="R22" s="25" t="s">
        <v>571</v>
      </c>
    </row>
    <row r="23" spans="1:18" s="70" customFormat="1" ht="60" x14ac:dyDescent="0.2">
      <c r="A23" s="24" t="s">
        <v>223</v>
      </c>
      <c r="B23" s="25" t="s">
        <v>23</v>
      </c>
      <c r="C23" s="25" t="s">
        <v>228</v>
      </c>
      <c r="D23" s="25" t="s">
        <v>18</v>
      </c>
      <c r="E23" s="25" t="s">
        <v>432</v>
      </c>
      <c r="F23" s="26" t="s">
        <v>14</v>
      </c>
      <c r="G23" s="27" t="s">
        <v>287</v>
      </c>
      <c r="H23" s="27" t="s">
        <v>287</v>
      </c>
      <c r="I23" s="25" t="s">
        <v>228</v>
      </c>
      <c r="J23" s="25" t="s">
        <v>285</v>
      </c>
      <c r="K23" s="25" t="s">
        <v>14</v>
      </c>
      <c r="L23" s="25" t="s">
        <v>285</v>
      </c>
      <c r="M23" s="26">
        <v>38.799999999999997</v>
      </c>
      <c r="N23" s="15">
        <v>3.8799999999999994E-2</v>
      </c>
      <c r="O23" s="29">
        <v>1086.9000000000001</v>
      </c>
      <c r="P23" s="77">
        <v>1.0869000000000002</v>
      </c>
      <c r="Q23" s="25" t="s">
        <v>9</v>
      </c>
      <c r="R23" s="18" t="s">
        <v>571</v>
      </c>
    </row>
    <row r="24" spans="1:18" s="70" customFormat="1" ht="60" x14ac:dyDescent="0.2">
      <c r="A24" s="41" t="s">
        <v>251</v>
      </c>
      <c r="B24" s="18" t="s">
        <v>255</v>
      </c>
      <c r="C24" s="18" t="s">
        <v>274</v>
      </c>
      <c r="D24" s="18" t="s">
        <v>253</v>
      </c>
      <c r="E24" s="18" t="s">
        <v>450</v>
      </c>
      <c r="F24" s="42" t="s">
        <v>14</v>
      </c>
      <c r="G24" s="43">
        <v>431524</v>
      </c>
      <c r="H24" s="43">
        <v>92490</v>
      </c>
      <c r="I24" s="18" t="s">
        <v>448</v>
      </c>
      <c r="J24" s="267" t="s">
        <v>596</v>
      </c>
      <c r="K24" s="18" t="s">
        <v>14</v>
      </c>
      <c r="L24" s="18" t="s">
        <v>287</v>
      </c>
      <c r="M24" s="42">
        <v>89.8</v>
      </c>
      <c r="N24" s="220">
        <v>8.9799999999999991E-2</v>
      </c>
      <c r="O24" s="49" t="s">
        <v>232</v>
      </c>
      <c r="P24" s="77" t="e">
        <v>#VALUE!</v>
      </c>
      <c r="Q24" s="18" t="s">
        <v>9</v>
      </c>
      <c r="R24" s="18" t="s">
        <v>574</v>
      </c>
    </row>
    <row r="25" spans="1:18" s="72" customFormat="1" ht="60.75" thickBot="1" x14ac:dyDescent="0.25">
      <c r="A25" s="60" t="s">
        <v>275</v>
      </c>
      <c r="B25" s="61" t="s">
        <v>555</v>
      </c>
      <c r="C25" s="61" t="s">
        <v>276</v>
      </c>
      <c r="D25" s="61" t="s">
        <v>231</v>
      </c>
      <c r="E25" s="61" t="s">
        <v>435</v>
      </c>
      <c r="F25" s="62">
        <v>2308</v>
      </c>
      <c r="G25" s="63">
        <v>4262105</v>
      </c>
      <c r="H25" s="63" t="s">
        <v>287</v>
      </c>
      <c r="I25" s="61" t="s">
        <v>436</v>
      </c>
      <c r="J25" s="61" t="s">
        <v>295</v>
      </c>
      <c r="K25" s="61" t="s">
        <v>287</v>
      </c>
      <c r="L25" s="61" t="s">
        <v>287</v>
      </c>
      <c r="M25" s="64">
        <v>4.5</v>
      </c>
      <c r="N25" s="220">
        <v>4.4999999999999997E-3</v>
      </c>
      <c r="O25" s="65">
        <v>32.9</v>
      </c>
      <c r="P25" s="77">
        <v>3.2899999999999999E-2</v>
      </c>
      <c r="Q25" s="61" t="s">
        <v>9</v>
      </c>
      <c r="R25" s="61" t="s">
        <v>573</v>
      </c>
    </row>
    <row r="26" spans="1:18" ht="15.75" thickTop="1" x14ac:dyDescent="0.25"/>
  </sheetData>
  <pageMargins left="0.7" right="0.7" top="0.75" bottom="0.75" header="0.3" footer="0.3"/>
  <legacy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sheetPr>
  <dimension ref="A1:T21"/>
  <sheetViews>
    <sheetView workbookViewId="0">
      <selection activeCell="M2" sqref="M2"/>
    </sheetView>
  </sheetViews>
  <sheetFormatPr defaultRowHeight="15" x14ac:dyDescent="0.25"/>
  <cols>
    <col min="5" max="5" width="16" customWidth="1"/>
    <col min="10" max="10" width="10.85546875" customWidth="1"/>
    <col min="12" max="12" width="10" customWidth="1"/>
  </cols>
  <sheetData>
    <row r="1" spans="1:20" ht="37.5" thickTop="1" thickBot="1" x14ac:dyDescent="0.3">
      <c r="A1" s="208" t="s">
        <v>0</v>
      </c>
      <c r="B1" s="209" t="s">
        <v>1</v>
      </c>
      <c r="C1" s="209" t="s">
        <v>277</v>
      </c>
      <c r="D1" s="209" t="s">
        <v>868</v>
      </c>
      <c r="E1" s="209" t="s">
        <v>278</v>
      </c>
      <c r="F1" s="209" t="s">
        <v>2</v>
      </c>
      <c r="G1" s="209" t="s">
        <v>279</v>
      </c>
      <c r="H1" s="209" t="s">
        <v>280</v>
      </c>
      <c r="I1" s="209" t="s">
        <v>281</v>
      </c>
      <c r="J1" s="209" t="s">
        <v>282</v>
      </c>
      <c r="K1" s="209" t="s">
        <v>471</v>
      </c>
      <c r="L1" s="209" t="s">
        <v>283</v>
      </c>
      <c r="M1" s="210" t="s">
        <v>592</v>
      </c>
      <c r="N1" s="210" t="s">
        <v>4</v>
      </c>
      <c r="O1" s="211" t="s">
        <v>593</v>
      </c>
      <c r="P1" s="211" t="s">
        <v>5</v>
      </c>
    </row>
    <row r="2" spans="1:20" ht="49.5" thickTop="1" thickBot="1" x14ac:dyDescent="0.3">
      <c r="A2" s="212" t="str">
        <f>A13</f>
        <v>HC-4</v>
      </c>
      <c r="B2" s="213" t="str">
        <f t="shared" ref="B2:L2" si="0">B13</f>
        <v>Education and Outreach</v>
      </c>
      <c r="C2" s="213" t="str">
        <f t="shared" si="0"/>
        <v>Highlands County</v>
      </c>
      <c r="D2" s="213" t="str">
        <f t="shared" si="0"/>
        <v>Public education</v>
      </c>
      <c r="E2" s="213" t="str">
        <f t="shared" si="0"/>
        <v>FYN, landscaping and irrigation ordinances, PSAs, and pamphlets.</v>
      </c>
      <c r="F2" s="214" t="str">
        <f t="shared" si="0"/>
        <v>N/A</v>
      </c>
      <c r="G2" s="214" t="str">
        <f t="shared" si="0"/>
        <v>Unknown</v>
      </c>
      <c r="H2" s="214" t="str">
        <f t="shared" si="0"/>
        <v>Unknown</v>
      </c>
      <c r="I2" s="213" t="str">
        <f t="shared" si="0"/>
        <v>Highlands County</v>
      </c>
      <c r="J2" s="213" t="str">
        <f t="shared" si="0"/>
        <v>Ongoing</v>
      </c>
      <c r="K2" s="213" t="str">
        <f t="shared" si="0"/>
        <v>N/A</v>
      </c>
      <c r="L2" s="213" t="str">
        <f t="shared" si="0"/>
        <v>Ongoing</v>
      </c>
      <c r="M2" s="423">
        <f>N13</f>
        <v>0.13600000000000001</v>
      </c>
      <c r="N2" s="293">
        <f>M13</f>
        <v>136</v>
      </c>
      <c r="O2" s="423">
        <f>P13</f>
        <v>0.53859999999999997</v>
      </c>
      <c r="P2" s="214">
        <f>O13</f>
        <v>538.6</v>
      </c>
    </row>
    <row r="3" spans="1:20" ht="97.5" thickTop="1" thickBot="1" x14ac:dyDescent="0.3">
      <c r="A3" s="420" t="str">
        <f t="shared" ref="A3:L3" si="1">A14</f>
        <v>OSC-11</v>
      </c>
      <c r="B3" s="421" t="str">
        <f t="shared" si="1"/>
        <v>Education</v>
      </c>
      <c r="C3" s="421" t="str">
        <f t="shared" si="1"/>
        <v>Osceola County</v>
      </c>
      <c r="D3" s="421" t="str">
        <f t="shared" si="1"/>
        <v>Public education</v>
      </c>
      <c r="E3" s="421" t="str">
        <f t="shared" si="1"/>
        <v>FYN; landscaping, irrigation, fertilizer, and pet waste management ordinances; PSAs; pamphlets; website; and illicit discharge program.</v>
      </c>
      <c r="F3" s="422" t="str">
        <f t="shared" si="1"/>
        <v>N/A</v>
      </c>
      <c r="G3" s="422" t="str">
        <f t="shared" si="1"/>
        <v>Unknown</v>
      </c>
      <c r="H3" s="422" t="str">
        <f t="shared" si="1"/>
        <v>Unknown</v>
      </c>
      <c r="I3" s="421" t="str">
        <f t="shared" si="1"/>
        <v>Unknown</v>
      </c>
      <c r="J3" s="421" t="str">
        <f t="shared" si="1"/>
        <v>Ongoing</v>
      </c>
      <c r="K3" s="421" t="str">
        <f t="shared" si="1"/>
        <v>N/A</v>
      </c>
      <c r="L3" s="421" t="str">
        <f t="shared" si="1"/>
        <v>Ongoing</v>
      </c>
      <c r="M3" s="423">
        <f t="shared" ref="M3:M10" si="2">N14</f>
        <v>2.5000000000000001E-3</v>
      </c>
      <c r="N3" s="293">
        <f t="shared" ref="N3:N10" si="3">M14</f>
        <v>2.5</v>
      </c>
      <c r="O3" s="423">
        <f t="shared" ref="O3:O4" si="4">P14</f>
        <v>2.4399999999999998E-2</v>
      </c>
      <c r="P3" s="422">
        <f t="shared" ref="P3:P4" si="5">O14</f>
        <v>24.4</v>
      </c>
    </row>
    <row r="4" spans="1:20" ht="61.5" thickTop="1" thickBot="1" x14ac:dyDescent="0.3">
      <c r="A4" s="420" t="str">
        <f t="shared" ref="A4:L4" si="6">A15</f>
        <v>PC-2</v>
      </c>
      <c r="B4" s="421" t="str">
        <f t="shared" si="6"/>
        <v>Education and Outreach</v>
      </c>
      <c r="C4" s="421" t="str">
        <f t="shared" si="6"/>
        <v>Polk County</v>
      </c>
      <c r="D4" s="421" t="str">
        <f t="shared" si="6"/>
        <v>Public education</v>
      </c>
      <c r="E4" s="421" t="str">
        <f t="shared" si="6"/>
        <v>FYN, fertilizer ordinance, PSAs, pamphlets, website, and illicit discharge inspection program.</v>
      </c>
      <c r="F4" s="422" t="str">
        <f t="shared" si="6"/>
        <v>N/A</v>
      </c>
      <c r="G4" s="422" t="str">
        <f t="shared" si="6"/>
        <v>Unknown</v>
      </c>
      <c r="H4" s="422" t="str">
        <f t="shared" si="6"/>
        <v>Unknown</v>
      </c>
      <c r="I4" s="421" t="str">
        <f t="shared" si="6"/>
        <v>Polk County</v>
      </c>
      <c r="J4" s="421" t="str">
        <f t="shared" si="6"/>
        <v>Ongoing</v>
      </c>
      <c r="K4" s="421" t="str">
        <f t="shared" si="6"/>
        <v>N/A</v>
      </c>
      <c r="L4" s="421" t="str">
        <f t="shared" si="6"/>
        <v>Ongoing</v>
      </c>
      <c r="M4" s="423">
        <f t="shared" si="2"/>
        <v>2.2699999999999998E-2</v>
      </c>
      <c r="N4" s="293">
        <f t="shared" si="3"/>
        <v>22.7</v>
      </c>
      <c r="O4" s="423">
        <f t="shared" si="4"/>
        <v>0.40889999999999999</v>
      </c>
      <c r="P4" s="422">
        <f t="shared" si="5"/>
        <v>408.9</v>
      </c>
    </row>
    <row r="5" spans="1:20" ht="157.5" thickTop="1" thickBot="1" x14ac:dyDescent="0.3">
      <c r="A5" s="420" t="str">
        <f t="shared" ref="A5:L5" si="7">A16</f>
        <v>SFWMD-4</v>
      </c>
      <c r="B5" s="421" t="str">
        <f t="shared" si="7"/>
        <v>Otter Slough Restoration</v>
      </c>
      <c r="C5" s="421" t="str">
        <f t="shared" si="7"/>
        <v>SFWMD</v>
      </c>
      <c r="D5" s="421" t="str">
        <f t="shared" si="7"/>
        <v>Restoration</v>
      </c>
      <c r="E5" s="421" t="str">
        <f t="shared" si="7"/>
        <v>Includes five ditch plugs and removal of two berms. It helps attenuate regional stormwater runoff, as well as providing nutrient reductions due to plant uptake from overland flows.  In 2011 LOPP, it was estimated to create 71 acre-ft of storage.</v>
      </c>
      <c r="F5" s="422" t="str">
        <f t="shared" si="7"/>
        <v>N/A</v>
      </c>
      <c r="G5" s="422" t="str">
        <f t="shared" si="7"/>
        <v>Unknown</v>
      </c>
      <c r="H5" s="422" t="str">
        <f t="shared" si="7"/>
        <v>Unknown</v>
      </c>
      <c r="I5" s="421" t="str">
        <f t="shared" si="7"/>
        <v>SFWMD</v>
      </c>
      <c r="J5" s="421" t="str">
        <f t="shared" si="7"/>
        <v>Completed</v>
      </c>
      <c r="K5" s="421" t="str">
        <f t="shared" si="7"/>
        <v>N/A</v>
      </c>
      <c r="L5" s="421">
        <f t="shared" si="7"/>
        <v>2009</v>
      </c>
      <c r="M5" s="423">
        <f t="shared" si="2"/>
        <v>5.5839999999999996E-3</v>
      </c>
      <c r="N5" s="293">
        <f t="shared" si="3"/>
        <v>5.5839999999999996</v>
      </c>
      <c r="O5" s="214" t="s">
        <v>232</v>
      </c>
      <c r="P5" s="214" t="s">
        <v>232</v>
      </c>
    </row>
    <row r="6" spans="1:20" ht="157.5" thickTop="1" thickBot="1" x14ac:dyDescent="0.3">
      <c r="A6" s="420" t="str">
        <f t="shared" ref="A6:L6" si="8">A17</f>
        <v>SFWMD-5</v>
      </c>
      <c r="B6" s="421" t="str">
        <f t="shared" si="8"/>
        <v>Kissimmee River Restoration</v>
      </c>
      <c r="C6" s="421" t="str">
        <f t="shared" si="8"/>
        <v>SFWMD</v>
      </c>
      <c r="D6" s="421" t="str">
        <f t="shared" si="8"/>
        <v>Restoration</v>
      </c>
      <c r="E6" s="421" t="str">
        <f t="shared" si="8"/>
        <v>Restore ecological integrity by restoring 40 miles of meandering river and more than 12,000 miles of wetlands through the design and construction of physical project features coupled with application of optimized hydrologic conditions.</v>
      </c>
      <c r="F6" s="422">
        <f t="shared" si="8"/>
        <v>26500</v>
      </c>
      <c r="G6" s="422">
        <f t="shared" si="8"/>
        <v>780000000</v>
      </c>
      <c r="H6" s="422" t="str">
        <f t="shared" si="8"/>
        <v>Unknown</v>
      </c>
      <c r="I6" s="421" t="str">
        <f t="shared" si="8"/>
        <v>SFWMD and USACE</v>
      </c>
      <c r="J6" s="421" t="str">
        <f t="shared" si="8"/>
        <v>Under Construction</v>
      </c>
      <c r="K6" s="421">
        <f t="shared" si="8"/>
        <v>0</v>
      </c>
      <c r="L6" s="421" t="str">
        <f t="shared" si="8"/>
        <v>2017-2020</v>
      </c>
      <c r="M6" s="423">
        <f t="shared" si="2"/>
        <v>17.748000000000001</v>
      </c>
      <c r="N6" s="293">
        <f t="shared" si="3"/>
        <v>17748</v>
      </c>
      <c r="O6" s="214" t="s">
        <v>232</v>
      </c>
      <c r="P6" s="214" t="s">
        <v>232</v>
      </c>
    </row>
    <row r="7" spans="1:20" ht="37.5" thickTop="1" thickBot="1" x14ac:dyDescent="0.3">
      <c r="A7" s="420" t="str">
        <f t="shared" ref="A7:L7" si="9">A18</f>
        <v>SFWMD-13</v>
      </c>
      <c r="B7" s="421" t="str">
        <f t="shared" si="9"/>
        <v>Dixie West</v>
      </c>
      <c r="C7" s="421" t="str">
        <f t="shared" si="9"/>
        <v>SFWMD</v>
      </c>
      <c r="D7" s="421" t="str">
        <f t="shared" si="9"/>
        <v>DWM</v>
      </c>
      <c r="E7" s="421" t="str">
        <f t="shared" si="9"/>
        <v>Storage of 315 ac-ft of water through pasture.</v>
      </c>
      <c r="F7" s="422" t="str">
        <f t="shared" si="9"/>
        <v>N/A</v>
      </c>
      <c r="G7" s="422">
        <f t="shared" si="9"/>
        <v>7228</v>
      </c>
      <c r="H7" s="422">
        <f t="shared" si="9"/>
        <v>51500</v>
      </c>
      <c r="I7" s="421" t="str">
        <f t="shared" si="9"/>
        <v>SFWMD</v>
      </c>
      <c r="J7" s="421" t="str">
        <f t="shared" si="9"/>
        <v>Operational</v>
      </c>
      <c r="K7" s="421" t="str">
        <f t="shared" si="9"/>
        <v>N/A</v>
      </c>
      <c r="L7" s="421" t="str">
        <f t="shared" si="9"/>
        <v>Unknown</v>
      </c>
      <c r="M7" s="423">
        <f t="shared" si="2"/>
        <v>0.23050000000000001</v>
      </c>
      <c r="N7" s="293">
        <f t="shared" si="3"/>
        <v>230.5</v>
      </c>
      <c r="O7" s="214" t="s">
        <v>232</v>
      </c>
      <c r="P7" s="214" t="s">
        <v>232</v>
      </c>
    </row>
    <row r="8" spans="1:20" ht="37.5" thickTop="1" thickBot="1" x14ac:dyDescent="0.3">
      <c r="A8" s="420" t="str">
        <f t="shared" ref="A8:L8" si="10">A19</f>
        <v>SFWMD-14</v>
      </c>
      <c r="B8" s="421" t="str">
        <f t="shared" si="10"/>
        <v>Dixie Ranch</v>
      </c>
      <c r="C8" s="421" t="str">
        <f t="shared" si="10"/>
        <v>SFWMD</v>
      </c>
      <c r="D8" s="421" t="str">
        <f t="shared" si="10"/>
        <v>DWM</v>
      </c>
      <c r="E8" s="421" t="str">
        <f t="shared" si="10"/>
        <v>Storage of 856 ac-ft of water through pasture.</v>
      </c>
      <c r="F8" s="422" t="str">
        <f t="shared" si="10"/>
        <v>N/A</v>
      </c>
      <c r="G8" s="422">
        <f t="shared" si="10"/>
        <v>17015</v>
      </c>
      <c r="H8" s="422">
        <f t="shared" si="10"/>
        <v>146500</v>
      </c>
      <c r="I8" s="421" t="str">
        <f t="shared" si="10"/>
        <v>SFWMD</v>
      </c>
      <c r="J8" s="421" t="str">
        <f t="shared" si="10"/>
        <v>Operational</v>
      </c>
      <c r="K8" s="421" t="str">
        <f t="shared" si="10"/>
        <v>N/A</v>
      </c>
      <c r="L8" s="421" t="str">
        <f t="shared" si="10"/>
        <v>Unknown</v>
      </c>
      <c r="M8" s="423">
        <f t="shared" si="2"/>
        <v>0.13369999999999999</v>
      </c>
      <c r="N8" s="293">
        <f t="shared" si="3"/>
        <v>133.69999999999999</v>
      </c>
      <c r="O8" s="214" t="s">
        <v>232</v>
      </c>
      <c r="P8" s="214" t="s">
        <v>232</v>
      </c>
    </row>
    <row r="9" spans="1:20" ht="49.5" thickTop="1" thickBot="1" x14ac:dyDescent="0.3">
      <c r="A9" s="420" t="str">
        <f t="shared" ref="A9:L9" si="11">A20</f>
        <v>SFWMD-17</v>
      </c>
      <c r="B9" s="421" t="str">
        <f t="shared" si="11"/>
        <v>Willaway Cattle &amp; Sod</v>
      </c>
      <c r="C9" s="421" t="str">
        <f t="shared" si="11"/>
        <v>SFWMD</v>
      </c>
      <c r="D9" s="421" t="str">
        <f t="shared" si="11"/>
        <v>DWM</v>
      </c>
      <c r="E9" s="421" t="str">
        <f t="shared" si="11"/>
        <v>Storage of 229 ac-ft of water through above ground impoundment.</v>
      </c>
      <c r="F9" s="422" t="str">
        <f t="shared" si="11"/>
        <v>N/A</v>
      </c>
      <c r="G9" s="422">
        <f t="shared" si="11"/>
        <v>325494</v>
      </c>
      <c r="H9" s="422">
        <f t="shared" si="11"/>
        <v>1879</v>
      </c>
      <c r="I9" s="421" t="str">
        <f t="shared" si="11"/>
        <v>SFWMD</v>
      </c>
      <c r="J9" s="421" t="str">
        <f t="shared" si="11"/>
        <v xml:space="preserve">Completed </v>
      </c>
      <c r="K9" s="421" t="str">
        <f t="shared" si="11"/>
        <v>N/A</v>
      </c>
      <c r="L9" s="421" t="str">
        <f t="shared" si="11"/>
        <v>Unknown</v>
      </c>
      <c r="M9" s="423">
        <f t="shared" si="2"/>
        <v>0.1144</v>
      </c>
      <c r="N9" s="293">
        <f t="shared" si="3"/>
        <v>114.4</v>
      </c>
      <c r="O9" s="214" t="s">
        <v>232</v>
      </c>
      <c r="P9" s="214" t="s">
        <v>232</v>
      </c>
    </row>
    <row r="10" spans="1:20" ht="49.5" thickTop="1" thickBot="1" x14ac:dyDescent="0.3">
      <c r="A10" s="420" t="str">
        <f t="shared" ref="A10:L10" si="12">A21</f>
        <v>SFWMD-19</v>
      </c>
      <c r="B10" s="421" t="str">
        <f t="shared" si="12"/>
        <v>Triple A Ranch</v>
      </c>
      <c r="C10" s="421" t="str">
        <f t="shared" si="12"/>
        <v>SFWMD</v>
      </c>
      <c r="D10" s="421" t="str">
        <f t="shared" si="12"/>
        <v>DWM</v>
      </c>
      <c r="E10" s="421" t="str">
        <f t="shared" si="12"/>
        <v>Storage of 397 ac-ft of water through above ground impoundment.</v>
      </c>
      <c r="F10" s="422" t="str">
        <f t="shared" si="12"/>
        <v>N/A</v>
      </c>
      <c r="G10" s="422">
        <f t="shared" si="12"/>
        <v>322186</v>
      </c>
      <c r="H10" s="422">
        <f t="shared" si="12"/>
        <v>28500</v>
      </c>
      <c r="I10" s="421" t="str">
        <f t="shared" si="12"/>
        <v>SFWMD</v>
      </c>
      <c r="J10" s="421" t="str">
        <f t="shared" si="12"/>
        <v>Under Construction</v>
      </c>
      <c r="K10" s="421" t="str">
        <f t="shared" si="12"/>
        <v>Unknown</v>
      </c>
      <c r="L10" s="421" t="str">
        <f t="shared" si="12"/>
        <v>Unknown</v>
      </c>
      <c r="M10" s="423">
        <f t="shared" si="2"/>
        <v>7.8599999999999989E-2</v>
      </c>
      <c r="N10" s="293">
        <f t="shared" si="3"/>
        <v>78.599999999999994</v>
      </c>
      <c r="O10" s="214" t="s">
        <v>232</v>
      </c>
      <c r="P10" s="214" t="s">
        <v>232</v>
      </c>
    </row>
    <row r="11" spans="1:20" ht="16.5" thickTop="1" thickBot="1" x14ac:dyDescent="0.3"/>
    <row r="12" spans="1:20" s="70" customFormat="1" ht="37.5" thickTop="1" thickBot="1" x14ac:dyDescent="0.25">
      <c r="A12" s="340" t="s">
        <v>0</v>
      </c>
      <c r="B12" s="341" t="s">
        <v>1</v>
      </c>
      <c r="C12" s="341" t="s">
        <v>277</v>
      </c>
      <c r="D12" s="341" t="s">
        <v>284</v>
      </c>
      <c r="E12" s="341" t="s">
        <v>278</v>
      </c>
      <c r="F12" s="342" t="s">
        <v>2</v>
      </c>
      <c r="G12" s="343" t="s">
        <v>279</v>
      </c>
      <c r="H12" s="343" t="s">
        <v>280</v>
      </c>
      <c r="I12" s="342" t="s">
        <v>281</v>
      </c>
      <c r="J12" s="342" t="s">
        <v>282</v>
      </c>
      <c r="K12" s="342" t="s">
        <v>471</v>
      </c>
      <c r="L12" s="342" t="s">
        <v>283</v>
      </c>
      <c r="M12" s="344" t="s">
        <v>4</v>
      </c>
      <c r="N12" s="345" t="s">
        <v>592</v>
      </c>
      <c r="O12" s="346" t="s">
        <v>5</v>
      </c>
      <c r="P12" s="346" t="s">
        <v>593</v>
      </c>
      <c r="Q12" s="342" t="s">
        <v>3</v>
      </c>
      <c r="R12" s="341" t="s">
        <v>570</v>
      </c>
      <c r="T12" s="76"/>
    </row>
    <row r="13" spans="1:20" s="30" customFormat="1" ht="48.75" thickTop="1" x14ac:dyDescent="0.2">
      <c r="A13" s="351" t="s">
        <v>106</v>
      </c>
      <c r="B13" s="352" t="s">
        <v>23</v>
      </c>
      <c r="C13" s="352" t="s">
        <v>101</v>
      </c>
      <c r="D13" s="352" t="s">
        <v>18</v>
      </c>
      <c r="E13" s="352" t="s">
        <v>298</v>
      </c>
      <c r="F13" s="353" t="s">
        <v>14</v>
      </c>
      <c r="G13" s="354" t="s">
        <v>287</v>
      </c>
      <c r="H13" s="354" t="s">
        <v>287</v>
      </c>
      <c r="I13" s="352" t="s">
        <v>101</v>
      </c>
      <c r="J13" s="352" t="s">
        <v>285</v>
      </c>
      <c r="K13" s="352" t="s">
        <v>14</v>
      </c>
      <c r="L13" s="352" t="s">
        <v>285</v>
      </c>
      <c r="M13" s="373">
        <v>136</v>
      </c>
      <c r="N13" s="425">
        <v>0.13600000000000001</v>
      </c>
      <c r="O13" s="372">
        <v>538.6</v>
      </c>
      <c r="P13" s="385">
        <v>0.53859999999999997</v>
      </c>
      <c r="Q13" s="352" t="s">
        <v>107</v>
      </c>
      <c r="R13" s="352" t="s">
        <v>571</v>
      </c>
    </row>
    <row r="14" spans="1:20" s="70" customFormat="1" ht="96" x14ac:dyDescent="0.2">
      <c r="A14" s="351" t="s">
        <v>180</v>
      </c>
      <c r="B14" s="352" t="s">
        <v>127</v>
      </c>
      <c r="C14" s="352" t="s">
        <v>221</v>
      </c>
      <c r="D14" s="352" t="s">
        <v>18</v>
      </c>
      <c r="E14" s="352" t="s">
        <v>356</v>
      </c>
      <c r="F14" s="353" t="s">
        <v>14</v>
      </c>
      <c r="G14" s="354" t="s">
        <v>287</v>
      </c>
      <c r="H14" s="354" t="s">
        <v>287</v>
      </c>
      <c r="I14" s="352" t="s">
        <v>287</v>
      </c>
      <c r="J14" s="352" t="s">
        <v>285</v>
      </c>
      <c r="K14" s="352" t="s">
        <v>14</v>
      </c>
      <c r="L14" s="352" t="s">
        <v>285</v>
      </c>
      <c r="M14" s="353">
        <v>2.5</v>
      </c>
      <c r="N14" s="425">
        <v>2.5000000000000001E-3</v>
      </c>
      <c r="O14" s="356">
        <v>24.4</v>
      </c>
      <c r="P14" s="385">
        <v>2.4399999999999998E-2</v>
      </c>
      <c r="Q14" s="352" t="s">
        <v>107</v>
      </c>
      <c r="R14" s="348" t="s">
        <v>571</v>
      </c>
    </row>
    <row r="15" spans="1:20" s="70" customFormat="1" ht="60" x14ac:dyDescent="0.2">
      <c r="A15" s="351" t="s">
        <v>224</v>
      </c>
      <c r="B15" s="352" t="s">
        <v>23</v>
      </c>
      <c r="C15" s="352" t="s">
        <v>228</v>
      </c>
      <c r="D15" s="352" t="s">
        <v>18</v>
      </c>
      <c r="E15" s="352" t="s">
        <v>432</v>
      </c>
      <c r="F15" s="353" t="s">
        <v>14</v>
      </c>
      <c r="G15" s="354" t="s">
        <v>287</v>
      </c>
      <c r="H15" s="354" t="s">
        <v>287</v>
      </c>
      <c r="I15" s="352" t="s">
        <v>228</v>
      </c>
      <c r="J15" s="352" t="s">
        <v>285</v>
      </c>
      <c r="K15" s="352" t="s">
        <v>14</v>
      </c>
      <c r="L15" s="352" t="s">
        <v>285</v>
      </c>
      <c r="M15" s="353">
        <v>22.7</v>
      </c>
      <c r="N15" s="425">
        <v>2.2699999999999998E-2</v>
      </c>
      <c r="O15" s="356">
        <v>408.9</v>
      </c>
      <c r="P15" s="385">
        <v>0.40889999999999999</v>
      </c>
      <c r="Q15" s="352" t="s">
        <v>107</v>
      </c>
      <c r="R15" s="348" t="s">
        <v>571</v>
      </c>
    </row>
    <row r="16" spans="1:20" s="70" customFormat="1" ht="144" x14ac:dyDescent="0.2">
      <c r="A16" s="351" t="s">
        <v>237</v>
      </c>
      <c r="B16" s="352" t="s">
        <v>238</v>
      </c>
      <c r="C16" s="352" t="s">
        <v>274</v>
      </c>
      <c r="D16" s="352" t="s">
        <v>239</v>
      </c>
      <c r="E16" s="352" t="s">
        <v>446</v>
      </c>
      <c r="F16" s="353" t="s">
        <v>14</v>
      </c>
      <c r="G16" s="354" t="s">
        <v>287</v>
      </c>
      <c r="H16" s="354" t="s">
        <v>287</v>
      </c>
      <c r="I16" s="352" t="s">
        <v>274</v>
      </c>
      <c r="J16" s="352" t="s">
        <v>296</v>
      </c>
      <c r="K16" s="352" t="s">
        <v>14</v>
      </c>
      <c r="L16" s="352">
        <v>2009</v>
      </c>
      <c r="M16" s="353">
        <v>5.5839999999999996</v>
      </c>
      <c r="N16" s="425">
        <v>5.5839999999999996E-3</v>
      </c>
      <c r="O16" s="356" t="s">
        <v>232</v>
      </c>
      <c r="P16" s="385" t="e">
        <v>#VALUE!</v>
      </c>
      <c r="Q16" s="352" t="s">
        <v>107</v>
      </c>
      <c r="R16" s="352" t="s">
        <v>574</v>
      </c>
    </row>
    <row r="17" spans="1:18" s="70" customFormat="1" ht="156" x14ac:dyDescent="0.2">
      <c r="A17" s="351" t="s">
        <v>240</v>
      </c>
      <c r="B17" s="348" t="s">
        <v>242</v>
      </c>
      <c r="C17" s="348" t="s">
        <v>274</v>
      </c>
      <c r="D17" s="348" t="s">
        <v>239</v>
      </c>
      <c r="E17" s="348" t="s">
        <v>437</v>
      </c>
      <c r="F17" s="367">
        <v>26500</v>
      </c>
      <c r="G17" s="368">
        <v>780000000</v>
      </c>
      <c r="H17" s="440" t="s">
        <v>287</v>
      </c>
      <c r="I17" s="348" t="s">
        <v>438</v>
      </c>
      <c r="J17" s="348" t="s">
        <v>439</v>
      </c>
      <c r="K17" s="348"/>
      <c r="L17" s="348" t="s">
        <v>440</v>
      </c>
      <c r="M17" s="367">
        <v>17748</v>
      </c>
      <c r="N17" s="425">
        <v>17.748000000000001</v>
      </c>
      <c r="O17" s="374" t="s">
        <v>232</v>
      </c>
      <c r="P17" s="385" t="e">
        <v>#VALUE!</v>
      </c>
      <c r="Q17" s="348" t="s">
        <v>107</v>
      </c>
      <c r="R17" s="352" t="s">
        <v>574</v>
      </c>
    </row>
    <row r="18" spans="1:18" s="72" customFormat="1" ht="36" x14ac:dyDescent="0.2">
      <c r="A18" s="366" t="s">
        <v>256</v>
      </c>
      <c r="B18" s="348" t="s">
        <v>259</v>
      </c>
      <c r="C18" s="348" t="s">
        <v>274</v>
      </c>
      <c r="D18" s="348" t="s">
        <v>253</v>
      </c>
      <c r="E18" s="348" t="s">
        <v>452</v>
      </c>
      <c r="F18" s="367" t="s">
        <v>14</v>
      </c>
      <c r="G18" s="368">
        <v>7228</v>
      </c>
      <c r="H18" s="368">
        <v>51500</v>
      </c>
      <c r="I18" s="348" t="s">
        <v>274</v>
      </c>
      <c r="J18" s="436" t="s">
        <v>596</v>
      </c>
      <c r="K18" s="348" t="s">
        <v>14</v>
      </c>
      <c r="L18" s="348" t="s">
        <v>287</v>
      </c>
      <c r="M18" s="367">
        <v>230.5</v>
      </c>
      <c r="N18" s="347">
        <v>0.23050000000000001</v>
      </c>
      <c r="O18" s="374" t="s">
        <v>232</v>
      </c>
      <c r="P18" s="385" t="e">
        <v>#VALUE!</v>
      </c>
      <c r="Q18" s="348" t="s">
        <v>107</v>
      </c>
      <c r="R18" s="348" t="s">
        <v>574</v>
      </c>
    </row>
    <row r="19" spans="1:18" s="72" customFormat="1" ht="36" x14ac:dyDescent="0.2">
      <c r="A19" s="366" t="s">
        <v>258</v>
      </c>
      <c r="B19" s="348" t="s">
        <v>261</v>
      </c>
      <c r="C19" s="348" t="s">
        <v>274</v>
      </c>
      <c r="D19" s="348" t="s">
        <v>253</v>
      </c>
      <c r="E19" s="348" t="s">
        <v>453</v>
      </c>
      <c r="F19" s="367" t="s">
        <v>14</v>
      </c>
      <c r="G19" s="368">
        <v>17015</v>
      </c>
      <c r="H19" s="368">
        <v>146500</v>
      </c>
      <c r="I19" s="348" t="s">
        <v>274</v>
      </c>
      <c r="J19" s="436" t="s">
        <v>596</v>
      </c>
      <c r="K19" s="348" t="s">
        <v>14</v>
      </c>
      <c r="L19" s="348" t="s">
        <v>287</v>
      </c>
      <c r="M19" s="367">
        <v>133.69999999999999</v>
      </c>
      <c r="N19" s="425">
        <v>0.13369999999999999</v>
      </c>
      <c r="O19" s="374" t="s">
        <v>232</v>
      </c>
      <c r="P19" s="385" t="e">
        <v>#VALUE!</v>
      </c>
      <c r="Q19" s="348" t="s">
        <v>107</v>
      </c>
      <c r="R19" s="348" t="s">
        <v>574</v>
      </c>
    </row>
    <row r="20" spans="1:18" s="72" customFormat="1" ht="48" x14ac:dyDescent="0.2">
      <c r="A20" s="366" t="s">
        <v>264</v>
      </c>
      <c r="B20" s="348" t="s">
        <v>265</v>
      </c>
      <c r="C20" s="348" t="s">
        <v>274</v>
      </c>
      <c r="D20" s="348" t="s">
        <v>253</v>
      </c>
      <c r="E20" s="348" t="s">
        <v>455</v>
      </c>
      <c r="F20" s="367" t="s">
        <v>14</v>
      </c>
      <c r="G20" s="368">
        <v>325494</v>
      </c>
      <c r="H20" s="368">
        <v>1879</v>
      </c>
      <c r="I20" s="348" t="s">
        <v>274</v>
      </c>
      <c r="J20" s="348" t="s">
        <v>442</v>
      </c>
      <c r="K20" s="348" t="s">
        <v>14</v>
      </c>
      <c r="L20" s="348" t="s">
        <v>287</v>
      </c>
      <c r="M20" s="367">
        <v>114.4</v>
      </c>
      <c r="N20" s="425">
        <v>0.1144</v>
      </c>
      <c r="O20" s="374" t="s">
        <v>232</v>
      </c>
      <c r="P20" s="385" t="e">
        <v>#VALUE!</v>
      </c>
      <c r="Q20" s="348" t="s">
        <v>107</v>
      </c>
      <c r="R20" s="348" t="s">
        <v>574</v>
      </c>
    </row>
    <row r="21" spans="1:18" s="72" customFormat="1" ht="48" x14ac:dyDescent="0.2">
      <c r="A21" s="366" t="s">
        <v>268</v>
      </c>
      <c r="B21" s="348" t="s">
        <v>269</v>
      </c>
      <c r="C21" s="348" t="s">
        <v>274</v>
      </c>
      <c r="D21" s="348" t="s">
        <v>253</v>
      </c>
      <c r="E21" s="348" t="s">
        <v>457</v>
      </c>
      <c r="F21" s="367" t="s">
        <v>14</v>
      </c>
      <c r="G21" s="368">
        <v>322186</v>
      </c>
      <c r="H21" s="368">
        <v>28500</v>
      </c>
      <c r="I21" s="348" t="s">
        <v>274</v>
      </c>
      <c r="J21" s="348" t="s">
        <v>439</v>
      </c>
      <c r="K21" s="348" t="s">
        <v>287</v>
      </c>
      <c r="L21" s="348" t="s">
        <v>287</v>
      </c>
      <c r="M21" s="367">
        <v>78.599999999999994</v>
      </c>
      <c r="N21" s="347">
        <v>7.8599999999999989E-2</v>
      </c>
      <c r="O21" s="374" t="s">
        <v>232</v>
      </c>
      <c r="P21" s="385" t="e">
        <v>#VALUE!</v>
      </c>
      <c r="Q21" s="348" t="s">
        <v>107</v>
      </c>
      <c r="R21" s="348" t="s">
        <v>574</v>
      </c>
    </row>
  </sheetData>
  <pageMargins left="0.7" right="0.7" top="0.75" bottom="0.75" header="0.3" footer="0.3"/>
</worksheet>
</file>

<file path=xl/worksheets/sheet4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9" tint="0.39997558519241921"/>
  </sheetPr>
  <dimension ref="A1:T37"/>
  <sheetViews>
    <sheetView workbookViewId="0">
      <selection activeCell="S2" sqref="S2"/>
    </sheetView>
  </sheetViews>
  <sheetFormatPr defaultRowHeight="15" x14ac:dyDescent="0.25"/>
  <cols>
    <col min="5" max="5" width="16" customWidth="1"/>
    <col min="7" max="7" width="9.5703125" bestFit="1" customWidth="1"/>
    <col min="8" max="8" width="9.28515625" bestFit="1" customWidth="1"/>
    <col min="10" max="10" width="10.85546875" customWidth="1"/>
    <col min="12" max="12" width="10" customWidth="1"/>
  </cols>
  <sheetData>
    <row r="1" spans="1:16" ht="37.5" thickTop="1" thickBot="1" x14ac:dyDescent="0.3">
      <c r="A1" s="429" t="s">
        <v>0</v>
      </c>
      <c r="B1" s="429" t="s">
        <v>1</v>
      </c>
      <c r="C1" s="429" t="s">
        <v>277</v>
      </c>
      <c r="D1" s="429" t="s">
        <v>868</v>
      </c>
      <c r="E1" s="429" t="s">
        <v>278</v>
      </c>
      <c r="F1" s="429" t="s">
        <v>2</v>
      </c>
      <c r="G1" s="429" t="s">
        <v>279</v>
      </c>
      <c r="H1" s="429" t="s">
        <v>280</v>
      </c>
      <c r="I1" s="429" t="s">
        <v>281</v>
      </c>
      <c r="J1" s="429" t="s">
        <v>282</v>
      </c>
      <c r="K1" s="429" t="s">
        <v>471</v>
      </c>
      <c r="L1" s="429" t="s">
        <v>283</v>
      </c>
      <c r="M1" s="297" t="s">
        <v>592</v>
      </c>
      <c r="N1" s="297" t="s">
        <v>4</v>
      </c>
      <c r="O1" s="297" t="s">
        <v>593</v>
      </c>
      <c r="P1" s="297" t="s">
        <v>5</v>
      </c>
    </row>
    <row r="2" spans="1:16" ht="109.5" thickTop="1" thickBot="1" x14ac:dyDescent="0.3">
      <c r="A2" s="298" t="str">
        <f>A21</f>
        <v>FDACS-1</v>
      </c>
      <c r="B2" s="298" t="str">
        <f t="shared" ref="B2:L2" si="0">B21</f>
        <v>Lemkin Creek</v>
      </c>
      <c r="C2" s="298" t="str">
        <f t="shared" si="0"/>
        <v>FDACS</v>
      </c>
      <c r="D2" s="298" t="str">
        <f t="shared" si="0"/>
        <v>Hybrid wetland treatment technology (HWTT)</v>
      </c>
      <c r="E2" s="298" t="str">
        <f t="shared" si="0"/>
        <v>HWTT is a combination of wetland and chemical treatment technologies designed mainly to remove phosphorus at the sub-basin and parcel scales.</v>
      </c>
      <c r="F2" s="300">
        <f t="shared" si="0"/>
        <v>1522</v>
      </c>
      <c r="G2" s="304" t="str">
        <f t="shared" si="0"/>
        <v>Unknown</v>
      </c>
      <c r="H2" s="304" t="str">
        <f t="shared" si="0"/>
        <v>Unknown</v>
      </c>
      <c r="I2" s="298" t="str">
        <f t="shared" si="0"/>
        <v>FDACS/ SFWMD</v>
      </c>
      <c r="J2" s="298" t="str">
        <f t="shared" si="0"/>
        <v>Operational</v>
      </c>
      <c r="K2" s="298" t="str">
        <f t="shared" si="0"/>
        <v>N/A</v>
      </c>
      <c r="L2" s="298">
        <f t="shared" si="0"/>
        <v>2009</v>
      </c>
      <c r="M2" s="305">
        <f>N21</f>
        <v>0.15159999999999998</v>
      </c>
      <c r="N2" s="306">
        <f>M21</f>
        <v>151.6</v>
      </c>
      <c r="O2" s="305">
        <f>P21</f>
        <v>0.65210000000000001</v>
      </c>
      <c r="P2" s="306">
        <f>O21</f>
        <v>652.1</v>
      </c>
    </row>
    <row r="3" spans="1:16" ht="109.5" thickTop="1" thickBot="1" x14ac:dyDescent="0.3">
      <c r="A3" s="298" t="str">
        <f t="shared" ref="A3:L3" si="1">A22</f>
        <v>FDACS-2</v>
      </c>
      <c r="B3" s="298" t="str">
        <f t="shared" si="1"/>
        <v>Wolff Ditch</v>
      </c>
      <c r="C3" s="298" t="str">
        <f t="shared" si="1"/>
        <v>FDACS</v>
      </c>
      <c r="D3" s="298" t="str">
        <f t="shared" si="1"/>
        <v>HWTT</v>
      </c>
      <c r="E3" s="298" t="str">
        <f t="shared" si="1"/>
        <v>HWTT is a combination of wetland and chemical treatment technologies designed mainly to remove phosphorus at the sub-basin and parcel scales.</v>
      </c>
      <c r="F3" s="300">
        <f t="shared" si="1"/>
        <v>1930</v>
      </c>
      <c r="G3" s="304" t="str">
        <f t="shared" si="1"/>
        <v>Unknown</v>
      </c>
      <c r="H3" s="304" t="str">
        <f t="shared" si="1"/>
        <v>Unknown</v>
      </c>
      <c r="I3" s="298" t="str">
        <f t="shared" si="1"/>
        <v>FDACS/ SFWMD</v>
      </c>
      <c r="J3" s="298" t="str">
        <f t="shared" si="1"/>
        <v>Operational</v>
      </c>
      <c r="K3" s="298" t="str">
        <f t="shared" si="1"/>
        <v>N/A</v>
      </c>
      <c r="L3" s="298">
        <f t="shared" si="1"/>
        <v>2009</v>
      </c>
      <c r="M3" s="305">
        <f t="shared" ref="M3:M18" si="2">N22</f>
        <v>0.84550000000000003</v>
      </c>
      <c r="N3" s="306">
        <f t="shared" ref="N3:N18" si="3">M22</f>
        <v>845.5</v>
      </c>
      <c r="O3" s="305">
        <f t="shared" ref="O3:O14" si="4">P22</f>
        <v>1.722</v>
      </c>
      <c r="P3" s="306">
        <f t="shared" ref="P3:P14" si="5">O22</f>
        <v>1722</v>
      </c>
    </row>
    <row r="4" spans="1:16" ht="109.5" thickTop="1" thickBot="1" x14ac:dyDescent="0.3">
      <c r="A4" s="298" t="str">
        <f t="shared" ref="A4:L4" si="6">A23</f>
        <v>FDACS-3</v>
      </c>
      <c r="B4" s="298" t="str">
        <f t="shared" si="6"/>
        <v>Grassy Island</v>
      </c>
      <c r="C4" s="298" t="str">
        <f t="shared" si="6"/>
        <v>FDACS</v>
      </c>
      <c r="D4" s="298" t="str">
        <f t="shared" si="6"/>
        <v>HWTT</v>
      </c>
      <c r="E4" s="298" t="str">
        <f t="shared" si="6"/>
        <v>HWTT is a combination of wetland and chemical treatment technologies designed mainly to remove phosphorus at the sub-basin and parcel scales.</v>
      </c>
      <c r="F4" s="300">
        <f t="shared" si="6"/>
        <v>37802</v>
      </c>
      <c r="G4" s="304" t="str">
        <f t="shared" si="6"/>
        <v>Unknown</v>
      </c>
      <c r="H4" s="304" t="str">
        <f t="shared" si="6"/>
        <v>Unknown</v>
      </c>
      <c r="I4" s="298" t="str">
        <f t="shared" si="6"/>
        <v>FDACS/ SFWMD</v>
      </c>
      <c r="J4" s="298" t="str">
        <f t="shared" si="6"/>
        <v>Completed</v>
      </c>
      <c r="K4" s="298" t="str">
        <f t="shared" si="6"/>
        <v>N/A</v>
      </c>
      <c r="L4" s="298">
        <f t="shared" si="6"/>
        <v>2010</v>
      </c>
      <c r="M4" s="305">
        <f t="shared" si="2"/>
        <v>5.5472999999999999</v>
      </c>
      <c r="N4" s="306">
        <f t="shared" si="3"/>
        <v>5547.3</v>
      </c>
      <c r="O4" s="305">
        <f t="shared" si="4"/>
        <v>8.3731000000000009</v>
      </c>
      <c r="P4" s="306">
        <f t="shared" si="5"/>
        <v>8373.1</v>
      </c>
    </row>
    <row r="5" spans="1:16" ht="109.5" thickTop="1" thickBot="1" x14ac:dyDescent="0.3">
      <c r="A5" s="298" t="str">
        <f t="shared" ref="A5:L5" si="7">A24</f>
        <v>FDACS-5</v>
      </c>
      <c r="B5" s="298" t="str">
        <f t="shared" si="7"/>
        <v xml:space="preserve">Nubbin Slough </v>
      </c>
      <c r="C5" s="298" t="str">
        <f t="shared" si="7"/>
        <v>FDACS</v>
      </c>
      <c r="D5" s="298" t="str">
        <f t="shared" si="7"/>
        <v>HWTT</v>
      </c>
      <c r="E5" s="298" t="str">
        <f t="shared" si="7"/>
        <v>HWTT is a combination of wetland and chemical treatment technologies designed mainly to remove phosphorus at the sub-basin and parcel scales.</v>
      </c>
      <c r="F5" s="300" t="str">
        <f t="shared" si="7"/>
        <v>N/A</v>
      </c>
      <c r="G5" s="304" t="str">
        <f t="shared" si="7"/>
        <v>Unknown</v>
      </c>
      <c r="H5" s="304" t="str">
        <f t="shared" si="7"/>
        <v>Unknown</v>
      </c>
      <c r="I5" s="298" t="str">
        <f t="shared" si="7"/>
        <v>FDACS/ SFWMD</v>
      </c>
      <c r="J5" s="298" t="str">
        <f t="shared" si="7"/>
        <v>Completed</v>
      </c>
      <c r="K5" s="298" t="str">
        <f t="shared" si="7"/>
        <v>N/A</v>
      </c>
      <c r="L5" s="298" t="str">
        <f t="shared" si="7"/>
        <v>Unknown</v>
      </c>
      <c r="M5" s="305">
        <f t="shared" si="2"/>
        <v>0.55459999999999998</v>
      </c>
      <c r="N5" s="306">
        <f t="shared" si="3"/>
        <v>554.6</v>
      </c>
      <c r="O5" s="305">
        <f t="shared" si="4"/>
        <v>0.37089999999999995</v>
      </c>
      <c r="P5" s="306">
        <f t="shared" si="5"/>
        <v>370.9</v>
      </c>
    </row>
    <row r="6" spans="1:16" ht="109.5" thickTop="1" thickBot="1" x14ac:dyDescent="0.3">
      <c r="A6" s="298" t="str">
        <f t="shared" ref="A6:L6" si="8">A25</f>
        <v>FDACS-6</v>
      </c>
      <c r="B6" s="298" t="str">
        <f t="shared" si="8"/>
        <v>Mosquito Creek</v>
      </c>
      <c r="C6" s="298" t="str">
        <f t="shared" si="8"/>
        <v>FDACS</v>
      </c>
      <c r="D6" s="298" t="str">
        <f t="shared" si="8"/>
        <v>HWTT</v>
      </c>
      <c r="E6" s="298" t="str">
        <f t="shared" si="8"/>
        <v>HWTT is a combination of wetland and chemical treatment technologies designed mainly to remove phosphorus at the sub-basin and parcel scales.</v>
      </c>
      <c r="F6" s="300" t="str">
        <f t="shared" si="8"/>
        <v>N/A</v>
      </c>
      <c r="G6" s="304" t="str">
        <f t="shared" si="8"/>
        <v>Unknown</v>
      </c>
      <c r="H6" s="304" t="str">
        <f t="shared" si="8"/>
        <v>Unknown</v>
      </c>
      <c r="I6" s="298" t="str">
        <f t="shared" si="8"/>
        <v>FDACS/ SFWMD</v>
      </c>
      <c r="J6" s="298" t="str">
        <f t="shared" si="8"/>
        <v>Completed</v>
      </c>
      <c r="K6" s="298" t="str">
        <f t="shared" si="8"/>
        <v>N/A</v>
      </c>
      <c r="L6" s="298" t="str">
        <f t="shared" si="8"/>
        <v>Unknown</v>
      </c>
      <c r="M6" s="305">
        <f t="shared" si="2"/>
        <v>0.47560000000000002</v>
      </c>
      <c r="N6" s="306">
        <f t="shared" si="3"/>
        <v>475.6</v>
      </c>
      <c r="O6" s="305">
        <f t="shared" si="4"/>
        <v>0.60209999999999997</v>
      </c>
      <c r="P6" s="306">
        <f t="shared" si="5"/>
        <v>602.1</v>
      </c>
    </row>
    <row r="7" spans="1:16" ht="73.5" thickTop="1" thickBot="1" x14ac:dyDescent="0.3">
      <c r="A7" s="298" t="str">
        <f t="shared" ref="A7:L7" si="9">A26</f>
        <v>FDOT1-1</v>
      </c>
      <c r="B7" s="298" t="str">
        <f t="shared" si="9"/>
        <v>State Road 70 from 34th Avenue to 80th Avenue</v>
      </c>
      <c r="C7" s="298" t="str">
        <f t="shared" si="9"/>
        <v>FDOT District 1</v>
      </c>
      <c r="D7" s="298" t="str">
        <f t="shared" si="9"/>
        <v>Wet detention pond</v>
      </c>
      <c r="E7" s="298" t="str">
        <f t="shared" si="9"/>
        <v>Six wet detention ponds.</v>
      </c>
      <c r="F7" s="300">
        <f t="shared" si="9"/>
        <v>57.4</v>
      </c>
      <c r="G7" s="304">
        <f t="shared" si="9"/>
        <v>22041000</v>
      </c>
      <c r="H7" s="304" t="str">
        <f t="shared" si="9"/>
        <v>Unknown</v>
      </c>
      <c r="I7" s="298" t="str">
        <f t="shared" si="9"/>
        <v>FDOT</v>
      </c>
      <c r="J7" s="298" t="str">
        <f t="shared" si="9"/>
        <v>Planned and Funded</v>
      </c>
      <c r="K7" s="298" t="str">
        <f t="shared" si="9"/>
        <v>April 2014</v>
      </c>
      <c r="L7" s="298" t="str">
        <f t="shared" si="9"/>
        <v>Unknown</v>
      </c>
      <c r="M7" s="305">
        <f t="shared" si="2"/>
        <v>2.2600000000000002E-2</v>
      </c>
      <c r="N7" s="306">
        <f t="shared" si="3"/>
        <v>22.6</v>
      </c>
      <c r="O7" s="305">
        <f t="shared" si="4"/>
        <v>4.2599999999999999E-2</v>
      </c>
      <c r="P7" s="306">
        <f t="shared" si="5"/>
        <v>42.6</v>
      </c>
    </row>
    <row r="8" spans="1:16" ht="85.5" thickTop="1" thickBot="1" x14ac:dyDescent="0.3">
      <c r="A8" s="298" t="str">
        <f t="shared" ref="A8:L8" si="10">A27</f>
        <v>FDOT1-2</v>
      </c>
      <c r="B8" s="298" t="str">
        <f t="shared" si="10"/>
        <v>State Road 70 from 80th Avenue to St. Lucie County Line</v>
      </c>
      <c r="C8" s="298" t="str">
        <f t="shared" si="10"/>
        <v>FDOT District 1</v>
      </c>
      <c r="D8" s="298" t="str">
        <f t="shared" si="10"/>
        <v>Wet detention pond</v>
      </c>
      <c r="E8" s="298" t="str">
        <f t="shared" si="10"/>
        <v>Three wet detention ponds and three dry retention swales.</v>
      </c>
      <c r="F8" s="300">
        <f t="shared" si="10"/>
        <v>31.4</v>
      </c>
      <c r="G8" s="304">
        <f t="shared" si="10"/>
        <v>8746000</v>
      </c>
      <c r="H8" s="304" t="str">
        <f t="shared" si="10"/>
        <v>Unknown</v>
      </c>
      <c r="I8" s="298" t="str">
        <f t="shared" si="10"/>
        <v>FDOT</v>
      </c>
      <c r="J8" s="298" t="str">
        <f t="shared" si="10"/>
        <v>Planned and Funded</v>
      </c>
      <c r="K8" s="298" t="str">
        <f t="shared" si="10"/>
        <v>April 2014</v>
      </c>
      <c r="L8" s="298" t="str">
        <f t="shared" si="10"/>
        <v>Unknown</v>
      </c>
      <c r="M8" s="305">
        <f t="shared" si="2"/>
        <v>1.7500000000000002E-2</v>
      </c>
      <c r="N8" s="306">
        <f t="shared" si="3"/>
        <v>17.5</v>
      </c>
      <c r="O8" s="305">
        <f t="shared" si="4"/>
        <v>3.9399999999999998E-2</v>
      </c>
      <c r="P8" s="306">
        <f t="shared" si="5"/>
        <v>39.4</v>
      </c>
    </row>
    <row r="9" spans="1:16" ht="25.5" thickTop="1" thickBot="1" x14ac:dyDescent="0.3">
      <c r="A9" s="298" t="str">
        <f t="shared" ref="A9:L9" si="11">A28</f>
        <v>FDOT1-3</v>
      </c>
      <c r="B9" s="298" t="str">
        <f t="shared" si="11"/>
        <v>Street Sweeping</v>
      </c>
      <c r="C9" s="298" t="str">
        <f t="shared" si="11"/>
        <v>FDOT District 1</v>
      </c>
      <c r="D9" s="298" t="str">
        <f t="shared" si="11"/>
        <v xml:space="preserve">Street sweeping </v>
      </c>
      <c r="E9" s="298" t="str">
        <f t="shared" si="11"/>
        <v>Street sweeping.</v>
      </c>
      <c r="F9" s="300" t="str">
        <f t="shared" si="11"/>
        <v>N/A</v>
      </c>
      <c r="G9" s="304" t="str">
        <f t="shared" si="11"/>
        <v>Unknown</v>
      </c>
      <c r="H9" s="304" t="str">
        <f t="shared" si="11"/>
        <v>Unknown</v>
      </c>
      <c r="I9" s="298" t="str">
        <f t="shared" si="11"/>
        <v>FDOT</v>
      </c>
      <c r="J9" s="298" t="str">
        <f t="shared" si="11"/>
        <v>Ongoing</v>
      </c>
      <c r="K9" s="298" t="str">
        <f t="shared" si="11"/>
        <v>N/A</v>
      </c>
      <c r="L9" s="298" t="str">
        <f t="shared" si="11"/>
        <v>Ongoing</v>
      </c>
      <c r="M9" s="305">
        <f t="shared" si="2"/>
        <v>6.13E-2</v>
      </c>
      <c r="N9" s="306">
        <f t="shared" si="3"/>
        <v>61.3</v>
      </c>
      <c r="O9" s="305">
        <f t="shared" si="4"/>
        <v>5.5299999999999995E-2</v>
      </c>
      <c r="P9" s="306">
        <f t="shared" si="5"/>
        <v>55.3</v>
      </c>
    </row>
    <row r="10" spans="1:16" ht="73.5" thickTop="1" thickBot="1" x14ac:dyDescent="0.3">
      <c r="A10" s="298" t="str">
        <f t="shared" ref="A10:L10" si="12">A29</f>
        <v>OK-1</v>
      </c>
      <c r="B10" s="298" t="str">
        <f t="shared" si="12"/>
        <v>Douglas Park North</v>
      </c>
      <c r="C10" s="298" t="str">
        <f t="shared" si="12"/>
        <v>Okeechobee County</v>
      </c>
      <c r="D10" s="298" t="str">
        <f t="shared" si="12"/>
        <v>Dry detention and CDS unit</v>
      </c>
      <c r="E10" s="298" t="str">
        <f t="shared" si="12"/>
        <v>New roadside swales and addition of three vortex separators to the existing swales for water quality improvement.</v>
      </c>
      <c r="F10" s="300">
        <f t="shared" si="12"/>
        <v>66.3</v>
      </c>
      <c r="G10" s="304" t="str">
        <f t="shared" si="12"/>
        <v>Unknown</v>
      </c>
      <c r="H10" s="304" t="str">
        <f t="shared" si="12"/>
        <v>Unknown</v>
      </c>
      <c r="I10" s="298" t="str">
        <f t="shared" si="12"/>
        <v>Unknown</v>
      </c>
      <c r="J10" s="298" t="str">
        <f t="shared" si="12"/>
        <v>Unknown</v>
      </c>
      <c r="K10" s="298" t="str">
        <f t="shared" si="12"/>
        <v>Unknown</v>
      </c>
      <c r="L10" s="298" t="str">
        <f t="shared" si="12"/>
        <v>Unknown</v>
      </c>
      <c r="M10" s="305">
        <f t="shared" si="2"/>
        <v>2.7000000000000001E-3</v>
      </c>
      <c r="N10" s="306">
        <f t="shared" si="3"/>
        <v>2.7</v>
      </c>
      <c r="O10" s="305">
        <f t="shared" si="4"/>
        <v>1.52E-2</v>
      </c>
      <c r="P10" s="306">
        <f t="shared" si="5"/>
        <v>15.2</v>
      </c>
    </row>
    <row r="11" spans="1:16" ht="49.5" thickTop="1" thickBot="1" x14ac:dyDescent="0.3">
      <c r="A11" s="298" t="str">
        <f t="shared" ref="A11:L11" si="13">A30</f>
        <v>OK-2</v>
      </c>
      <c r="B11" s="298" t="str">
        <f t="shared" si="13"/>
        <v>Oak Park</v>
      </c>
      <c r="C11" s="298" t="str">
        <f t="shared" si="13"/>
        <v>Okeechobee County</v>
      </c>
      <c r="D11" s="298" t="str">
        <f t="shared" si="13"/>
        <v>Dry detention and CDS unit</v>
      </c>
      <c r="E11" s="298" t="str">
        <f t="shared" si="13"/>
        <v>Roadside swales with raised inlets and two vortex separators.</v>
      </c>
      <c r="F11" s="300">
        <f t="shared" si="13"/>
        <v>56.4</v>
      </c>
      <c r="G11" s="304" t="str">
        <f t="shared" si="13"/>
        <v>Unknown</v>
      </c>
      <c r="H11" s="304" t="str">
        <f t="shared" si="13"/>
        <v>Unknown</v>
      </c>
      <c r="I11" s="298" t="str">
        <f t="shared" si="13"/>
        <v>Unknown</v>
      </c>
      <c r="J11" s="298" t="str">
        <f t="shared" si="13"/>
        <v>Unknown</v>
      </c>
      <c r="K11" s="298" t="str">
        <f t="shared" si="13"/>
        <v>Unknown</v>
      </c>
      <c r="L11" s="298" t="str">
        <f t="shared" si="13"/>
        <v>Unknown</v>
      </c>
      <c r="M11" s="305">
        <f t="shared" si="2"/>
        <v>2.2000000000000001E-3</v>
      </c>
      <c r="N11" s="306">
        <f t="shared" si="3"/>
        <v>2.2000000000000002</v>
      </c>
      <c r="O11" s="305">
        <f t="shared" si="4"/>
        <v>1.44E-2</v>
      </c>
      <c r="P11" s="306">
        <f t="shared" si="5"/>
        <v>14.4</v>
      </c>
    </row>
    <row r="12" spans="1:16" ht="37.5" thickTop="1" thickBot="1" x14ac:dyDescent="0.3">
      <c r="A12" s="298" t="str">
        <f t="shared" ref="A12:L12" si="14">A31</f>
        <v>OK-3</v>
      </c>
      <c r="B12" s="298" t="str">
        <f t="shared" si="14"/>
        <v>Southwest 21st Street</v>
      </c>
      <c r="C12" s="298" t="str">
        <f t="shared" si="14"/>
        <v>Okeechobee County</v>
      </c>
      <c r="D12" s="298" t="str">
        <f t="shared" si="14"/>
        <v>Dry detention</v>
      </c>
      <c r="E12" s="298" t="str">
        <f t="shared" si="14"/>
        <v>Dry detention roadside swales with raised inlets.</v>
      </c>
      <c r="F12" s="300">
        <f t="shared" si="14"/>
        <v>2.1</v>
      </c>
      <c r="G12" s="304" t="str">
        <f t="shared" si="14"/>
        <v>Unknown</v>
      </c>
      <c r="H12" s="304" t="str">
        <f t="shared" si="14"/>
        <v>Unknown</v>
      </c>
      <c r="I12" s="298" t="str">
        <f t="shared" si="14"/>
        <v>Unknown</v>
      </c>
      <c r="J12" s="298" t="str">
        <f t="shared" si="14"/>
        <v>Unknown</v>
      </c>
      <c r="K12" s="298" t="str">
        <f t="shared" si="14"/>
        <v>Unknown</v>
      </c>
      <c r="L12" s="298" t="str">
        <f t="shared" si="14"/>
        <v>Unknown</v>
      </c>
      <c r="M12" s="305">
        <f t="shared" si="2"/>
        <v>1E-4</v>
      </c>
      <c r="N12" s="306">
        <f t="shared" si="3"/>
        <v>0.1</v>
      </c>
      <c r="O12" s="305">
        <f t="shared" si="4"/>
        <v>5.0000000000000001E-4</v>
      </c>
      <c r="P12" s="306">
        <f t="shared" si="5"/>
        <v>0.5</v>
      </c>
    </row>
    <row r="13" spans="1:16" ht="61.5" thickTop="1" thickBot="1" x14ac:dyDescent="0.3">
      <c r="A13" s="298" t="str">
        <f t="shared" ref="A13:L13" si="15">A32</f>
        <v>OK-4</v>
      </c>
      <c r="B13" s="298" t="str">
        <f t="shared" si="15"/>
        <v>Southwest Drainage Area Improvements</v>
      </c>
      <c r="C13" s="298" t="str">
        <f t="shared" si="15"/>
        <v>Okeechobee County</v>
      </c>
      <c r="D13" s="298" t="str">
        <f t="shared" si="15"/>
        <v>Baffle box</v>
      </c>
      <c r="E13" s="298" t="str">
        <f t="shared" si="15"/>
        <v>Installation of sediment control boxes.</v>
      </c>
      <c r="F13" s="300">
        <f t="shared" si="15"/>
        <v>32.200000000000003</v>
      </c>
      <c r="G13" s="304" t="str">
        <f t="shared" si="15"/>
        <v>Unknown</v>
      </c>
      <c r="H13" s="304" t="str">
        <f t="shared" si="15"/>
        <v>Unknown</v>
      </c>
      <c r="I13" s="298" t="str">
        <f t="shared" si="15"/>
        <v>Unknown</v>
      </c>
      <c r="J13" s="298" t="str">
        <f t="shared" si="15"/>
        <v>Unknown</v>
      </c>
      <c r="K13" s="298" t="str">
        <f t="shared" si="15"/>
        <v>Unknown</v>
      </c>
      <c r="L13" s="298" t="str">
        <f t="shared" si="15"/>
        <v>Unknown</v>
      </c>
      <c r="M13" s="305">
        <f t="shared" si="2"/>
        <v>4.0000000000000002E-4</v>
      </c>
      <c r="N13" s="306">
        <f t="shared" si="3"/>
        <v>0.4</v>
      </c>
      <c r="O13" s="305">
        <f t="shared" si="4"/>
        <v>2.9999999999999997E-4</v>
      </c>
      <c r="P13" s="306">
        <f t="shared" si="5"/>
        <v>0.3</v>
      </c>
    </row>
    <row r="14" spans="1:16" ht="121.5" thickTop="1" thickBot="1" x14ac:dyDescent="0.3">
      <c r="A14" s="298" t="str">
        <f t="shared" ref="A14:L14" si="16">A33</f>
        <v>OK-5</v>
      </c>
      <c r="B14" s="298" t="str">
        <f t="shared" si="16"/>
        <v>Okeechobee County 2008 Disaster Recovery Community Development Block Grant</v>
      </c>
      <c r="C14" s="298" t="str">
        <f t="shared" si="16"/>
        <v>Okeechobee County</v>
      </c>
      <c r="D14" s="298" t="str">
        <f t="shared" si="16"/>
        <v>Dry detention</v>
      </c>
      <c r="E14" s="298" t="str">
        <f t="shared" si="16"/>
        <v>Dry detention area to improve water quality and alleviate flooding.</v>
      </c>
      <c r="F14" s="300">
        <f t="shared" si="16"/>
        <v>17.2</v>
      </c>
      <c r="G14" s="304" t="str">
        <f t="shared" si="16"/>
        <v>Unknown</v>
      </c>
      <c r="H14" s="304" t="str">
        <f t="shared" si="16"/>
        <v>Unknown</v>
      </c>
      <c r="I14" s="298" t="str">
        <f t="shared" si="16"/>
        <v>Unknown</v>
      </c>
      <c r="J14" s="298" t="str">
        <f t="shared" si="16"/>
        <v>Unknown</v>
      </c>
      <c r="K14" s="298" t="str">
        <f t="shared" si="16"/>
        <v>Unknown</v>
      </c>
      <c r="L14" s="298" t="str">
        <f t="shared" si="16"/>
        <v>Unknown</v>
      </c>
      <c r="M14" s="305">
        <f t="shared" si="2"/>
        <v>2.0000000000000001E-4</v>
      </c>
      <c r="N14" s="306">
        <f t="shared" si="3"/>
        <v>0.2</v>
      </c>
      <c r="O14" s="305">
        <f t="shared" si="4"/>
        <v>4.2000000000000006E-3</v>
      </c>
      <c r="P14" s="306">
        <f t="shared" si="5"/>
        <v>4.2</v>
      </c>
    </row>
    <row r="15" spans="1:16" ht="37.5" thickTop="1" thickBot="1" x14ac:dyDescent="0.3">
      <c r="A15" s="298" t="str">
        <f t="shared" ref="A15:L15" si="17">A34</f>
        <v>SFWMD-1</v>
      </c>
      <c r="B15" s="298" t="str">
        <f t="shared" si="17"/>
        <v>Taylor Creek</v>
      </c>
      <c r="C15" s="298" t="str">
        <f t="shared" si="17"/>
        <v>SFWMD</v>
      </c>
      <c r="D15" s="298" t="str">
        <f t="shared" si="17"/>
        <v>STA</v>
      </c>
      <c r="E15" s="298" t="str">
        <f t="shared" si="17"/>
        <v xml:space="preserve">The Taylor Creek STA is a two-celled STA. </v>
      </c>
      <c r="F15" s="300">
        <f t="shared" si="17"/>
        <v>118</v>
      </c>
      <c r="G15" s="304">
        <f t="shared" si="17"/>
        <v>26900000</v>
      </c>
      <c r="H15" s="304">
        <f t="shared" si="17"/>
        <v>50000</v>
      </c>
      <c r="I15" s="298" t="str">
        <f t="shared" si="17"/>
        <v>SFWMD and USACE</v>
      </c>
      <c r="J15" s="298" t="str">
        <f t="shared" si="17"/>
        <v>Completed</v>
      </c>
      <c r="K15" s="298" t="str">
        <f t="shared" si="17"/>
        <v>N/A</v>
      </c>
      <c r="L15" s="298">
        <f t="shared" si="17"/>
        <v>2009</v>
      </c>
      <c r="M15" s="305">
        <f t="shared" si="2"/>
        <v>1.8025</v>
      </c>
      <c r="N15" s="306">
        <f t="shared" si="3"/>
        <v>1802.5</v>
      </c>
      <c r="O15" s="299" t="s">
        <v>232</v>
      </c>
      <c r="P15" s="299" t="s">
        <v>232</v>
      </c>
    </row>
    <row r="16" spans="1:16" ht="73.5" thickTop="1" thickBot="1" x14ac:dyDescent="0.3">
      <c r="A16" s="298" t="str">
        <f t="shared" ref="A16:E16" si="18">A35</f>
        <v>SFWMD-2</v>
      </c>
      <c r="B16" s="298" t="str">
        <f t="shared" si="18"/>
        <v xml:space="preserve">Nubbin Slough </v>
      </c>
      <c r="C16" s="298" t="str">
        <f t="shared" si="18"/>
        <v>SFWMD</v>
      </c>
      <c r="D16" s="298" t="str">
        <f t="shared" si="18"/>
        <v>STA</v>
      </c>
      <c r="E16" s="298" t="str">
        <f t="shared" si="18"/>
        <v>The Nubbin Slough STA is the larger of the two pilot STAs constructed north of the lake. It is a two-celled enclosure.</v>
      </c>
      <c r="F16" s="446">
        <f t="shared" ref="F16:L16" si="19">F35</f>
        <v>773</v>
      </c>
      <c r="G16" s="447" t="str">
        <f t="shared" si="19"/>
        <v>Included in SFWMD-1</v>
      </c>
      <c r="H16" s="447">
        <f t="shared" si="19"/>
        <v>100000</v>
      </c>
      <c r="I16" s="448" t="str">
        <f t="shared" si="19"/>
        <v>SFWMD and USACE</v>
      </c>
      <c r="J16" s="448" t="str">
        <f t="shared" si="19"/>
        <v>Completed, Not Operational</v>
      </c>
      <c r="K16" s="448" t="str">
        <f t="shared" si="19"/>
        <v>Unknown</v>
      </c>
      <c r="L16" s="448" t="str">
        <f t="shared" si="19"/>
        <v>Unknown</v>
      </c>
      <c r="M16" s="305">
        <f t="shared" si="2"/>
        <v>6.1936</v>
      </c>
      <c r="N16" s="306">
        <f t="shared" si="3"/>
        <v>6193.6</v>
      </c>
      <c r="O16" s="448" t="s">
        <v>232</v>
      </c>
      <c r="P16" s="448" t="s">
        <v>232</v>
      </c>
    </row>
    <row r="17" spans="1:20" ht="85.5" thickTop="1" thickBot="1" x14ac:dyDescent="0.3">
      <c r="A17" s="298" t="str">
        <f t="shared" ref="A17:E17" si="20">A36</f>
        <v>SFWMD-3</v>
      </c>
      <c r="B17" s="298" t="str">
        <f t="shared" si="20"/>
        <v>Lakeside Ranch Phase I</v>
      </c>
      <c r="C17" s="298" t="str">
        <f t="shared" si="20"/>
        <v>SFWMD</v>
      </c>
      <c r="D17" s="298" t="str">
        <f t="shared" si="20"/>
        <v>STA</v>
      </c>
      <c r="E17" s="298" t="str">
        <f t="shared" si="20"/>
        <v xml:space="preserve">Phase I included construction of a 1,200-acre STA, canal improvements, and the installation of the S-650 pump station. </v>
      </c>
      <c r="F17" s="300" t="str">
        <f t="shared" ref="F17:L17" si="21">F36</f>
        <v>N/A</v>
      </c>
      <c r="G17" s="304">
        <f t="shared" si="21"/>
        <v>22800000</v>
      </c>
      <c r="H17" s="304">
        <f t="shared" si="21"/>
        <v>341000</v>
      </c>
      <c r="I17" s="298" t="str">
        <f t="shared" si="21"/>
        <v>SFWMD</v>
      </c>
      <c r="J17" s="298" t="str">
        <f t="shared" si="21"/>
        <v xml:space="preserve">Completed </v>
      </c>
      <c r="K17" s="298" t="str">
        <f t="shared" si="21"/>
        <v>N/A</v>
      </c>
      <c r="L17" s="298">
        <f t="shared" si="21"/>
        <v>2012</v>
      </c>
      <c r="M17" s="305">
        <f t="shared" si="2"/>
        <v>13.9788</v>
      </c>
      <c r="N17" s="306">
        <f t="shared" si="3"/>
        <v>13978.8</v>
      </c>
      <c r="O17" s="299" t="s">
        <v>232</v>
      </c>
      <c r="P17" s="299" t="s">
        <v>232</v>
      </c>
    </row>
    <row r="18" spans="1:20" ht="37.5" thickTop="1" thickBot="1" x14ac:dyDescent="0.3">
      <c r="A18" s="298" t="str">
        <f t="shared" ref="A18:E18" si="22">A37</f>
        <v>SFWMD-15</v>
      </c>
      <c r="B18" s="298" t="str">
        <f t="shared" si="22"/>
        <v>Dixie Ranch</v>
      </c>
      <c r="C18" s="298" t="str">
        <f t="shared" si="22"/>
        <v>SFWMD</v>
      </c>
      <c r="D18" s="298" t="str">
        <f t="shared" si="22"/>
        <v>DWM</v>
      </c>
      <c r="E18" s="298" t="str">
        <f t="shared" si="22"/>
        <v>Storage of 856 ac-ft of water through pasture.</v>
      </c>
      <c r="F18" s="299" t="str">
        <f t="shared" ref="F18:L18" si="23">F37</f>
        <v>N/A</v>
      </c>
      <c r="G18" s="304">
        <f t="shared" si="23"/>
        <v>17015</v>
      </c>
      <c r="H18" s="304">
        <f t="shared" si="23"/>
        <v>146500</v>
      </c>
      <c r="I18" s="298" t="str">
        <f t="shared" si="23"/>
        <v>SFWMD</v>
      </c>
      <c r="J18" s="298" t="str">
        <f t="shared" si="23"/>
        <v xml:space="preserve">Completed </v>
      </c>
      <c r="K18" s="298" t="str">
        <f t="shared" si="23"/>
        <v>N/A</v>
      </c>
      <c r="L18" s="298" t="str">
        <f t="shared" si="23"/>
        <v>Unknown</v>
      </c>
      <c r="M18" s="305">
        <f t="shared" si="2"/>
        <v>0.2059</v>
      </c>
      <c r="N18" s="306">
        <f t="shared" si="3"/>
        <v>205.9</v>
      </c>
      <c r="O18" s="299" t="s">
        <v>232</v>
      </c>
      <c r="P18" s="299" t="s">
        <v>232</v>
      </c>
    </row>
    <row r="19" spans="1:20" ht="16.5" thickTop="1" thickBot="1" x14ac:dyDescent="0.3"/>
    <row r="20" spans="1:20" s="70" customFormat="1" ht="37.5" thickTop="1" thickBot="1" x14ac:dyDescent="0.25">
      <c r="A20" s="340" t="s">
        <v>0</v>
      </c>
      <c r="B20" s="341" t="s">
        <v>1</v>
      </c>
      <c r="C20" s="341" t="s">
        <v>277</v>
      </c>
      <c r="D20" s="341" t="s">
        <v>284</v>
      </c>
      <c r="E20" s="341" t="s">
        <v>278</v>
      </c>
      <c r="F20" s="342" t="s">
        <v>2</v>
      </c>
      <c r="G20" s="343" t="s">
        <v>279</v>
      </c>
      <c r="H20" s="343" t="s">
        <v>280</v>
      </c>
      <c r="I20" s="342" t="s">
        <v>281</v>
      </c>
      <c r="J20" s="342" t="s">
        <v>282</v>
      </c>
      <c r="K20" s="342" t="s">
        <v>471</v>
      </c>
      <c r="L20" s="342" t="s">
        <v>283</v>
      </c>
      <c r="M20" s="344" t="s">
        <v>4</v>
      </c>
      <c r="N20" s="345" t="s">
        <v>592</v>
      </c>
      <c r="O20" s="346" t="s">
        <v>5</v>
      </c>
      <c r="P20" s="346" t="s">
        <v>593</v>
      </c>
      <c r="Q20" s="342" t="s">
        <v>3</v>
      </c>
      <c r="R20" s="341" t="s">
        <v>570</v>
      </c>
      <c r="T20" s="76"/>
    </row>
    <row r="21" spans="1:20" s="70" customFormat="1" ht="108.75" thickTop="1" x14ac:dyDescent="0.2">
      <c r="A21" s="435" t="s">
        <v>482</v>
      </c>
      <c r="B21" s="436" t="s">
        <v>244</v>
      </c>
      <c r="C21" s="348" t="s">
        <v>485</v>
      </c>
      <c r="D21" s="348" t="s">
        <v>565</v>
      </c>
      <c r="E21" s="348" t="s">
        <v>447</v>
      </c>
      <c r="F21" s="367">
        <v>1522</v>
      </c>
      <c r="G21" s="368" t="s">
        <v>287</v>
      </c>
      <c r="H21" s="368" t="s">
        <v>287</v>
      </c>
      <c r="I21" s="348" t="s">
        <v>498</v>
      </c>
      <c r="J21" s="436" t="s">
        <v>596</v>
      </c>
      <c r="K21" s="348" t="s">
        <v>14</v>
      </c>
      <c r="L21" s="348">
        <v>2009</v>
      </c>
      <c r="M21" s="349">
        <v>151.6</v>
      </c>
      <c r="N21" s="425">
        <v>0.15159999999999998</v>
      </c>
      <c r="O21" s="350">
        <v>652.1</v>
      </c>
      <c r="P21" s="386">
        <v>0.65210000000000001</v>
      </c>
      <c r="Q21" s="348" t="s">
        <v>64</v>
      </c>
      <c r="R21" s="348" t="s">
        <v>572</v>
      </c>
    </row>
    <row r="22" spans="1:20" s="70" customFormat="1" ht="108" x14ac:dyDescent="0.2">
      <c r="A22" s="435" t="s">
        <v>483</v>
      </c>
      <c r="B22" s="436" t="s">
        <v>247</v>
      </c>
      <c r="C22" s="348" t="s">
        <v>485</v>
      </c>
      <c r="D22" s="348" t="s">
        <v>245</v>
      </c>
      <c r="E22" s="348" t="s">
        <v>447</v>
      </c>
      <c r="F22" s="367">
        <v>1930</v>
      </c>
      <c r="G22" s="368" t="s">
        <v>287</v>
      </c>
      <c r="H22" s="368" t="s">
        <v>287</v>
      </c>
      <c r="I22" s="348" t="s">
        <v>498</v>
      </c>
      <c r="J22" s="436" t="s">
        <v>596</v>
      </c>
      <c r="K22" s="348" t="s">
        <v>14</v>
      </c>
      <c r="L22" s="348">
        <v>2009</v>
      </c>
      <c r="M22" s="369">
        <v>845.5</v>
      </c>
      <c r="N22" s="425">
        <v>0.84550000000000003</v>
      </c>
      <c r="O22" s="370">
        <v>1722</v>
      </c>
      <c r="P22" s="386">
        <v>1.722</v>
      </c>
      <c r="Q22" s="348" t="s">
        <v>64</v>
      </c>
      <c r="R22" s="348" t="s">
        <v>572</v>
      </c>
    </row>
    <row r="23" spans="1:20" s="70" customFormat="1" ht="108" x14ac:dyDescent="0.2">
      <c r="A23" s="435" t="s">
        <v>484</v>
      </c>
      <c r="B23" s="436" t="s">
        <v>249</v>
      </c>
      <c r="C23" s="348" t="s">
        <v>485</v>
      </c>
      <c r="D23" s="348" t="s">
        <v>245</v>
      </c>
      <c r="E23" s="348" t="s">
        <v>447</v>
      </c>
      <c r="F23" s="367">
        <v>37802</v>
      </c>
      <c r="G23" s="368" t="s">
        <v>287</v>
      </c>
      <c r="H23" s="368" t="s">
        <v>287</v>
      </c>
      <c r="I23" s="348" t="s">
        <v>498</v>
      </c>
      <c r="J23" s="348" t="s">
        <v>296</v>
      </c>
      <c r="K23" s="348" t="s">
        <v>14</v>
      </c>
      <c r="L23" s="348">
        <v>2010</v>
      </c>
      <c r="M23" s="369">
        <v>5547.3</v>
      </c>
      <c r="N23" s="425">
        <v>5.5472999999999999</v>
      </c>
      <c r="O23" s="370">
        <v>8373.1</v>
      </c>
      <c r="P23" s="386">
        <v>8.3731000000000009</v>
      </c>
      <c r="Q23" s="348" t="s">
        <v>64</v>
      </c>
      <c r="R23" s="348" t="s">
        <v>572</v>
      </c>
    </row>
    <row r="24" spans="1:20" s="70" customFormat="1" ht="108" x14ac:dyDescent="0.2">
      <c r="A24" s="435" t="s">
        <v>575</v>
      </c>
      <c r="B24" s="436" t="s">
        <v>234</v>
      </c>
      <c r="C24" s="348" t="s">
        <v>485</v>
      </c>
      <c r="D24" s="348" t="s">
        <v>245</v>
      </c>
      <c r="E24" s="348" t="s">
        <v>447</v>
      </c>
      <c r="F24" s="367" t="s">
        <v>14</v>
      </c>
      <c r="G24" s="368" t="s">
        <v>287</v>
      </c>
      <c r="H24" s="368" t="s">
        <v>287</v>
      </c>
      <c r="I24" s="348" t="s">
        <v>498</v>
      </c>
      <c r="J24" s="348" t="s">
        <v>296</v>
      </c>
      <c r="K24" s="348" t="s">
        <v>14</v>
      </c>
      <c r="L24" s="348" t="s">
        <v>287</v>
      </c>
      <c r="M24" s="349">
        <v>554.6</v>
      </c>
      <c r="N24" s="425">
        <v>0.55459999999999998</v>
      </c>
      <c r="O24" s="350">
        <v>370.9</v>
      </c>
      <c r="P24" s="386">
        <v>0.37089999999999995</v>
      </c>
      <c r="Q24" s="348" t="s">
        <v>64</v>
      </c>
      <c r="R24" s="348" t="s">
        <v>572</v>
      </c>
    </row>
    <row r="25" spans="1:20" s="70" customFormat="1" ht="108" x14ac:dyDescent="0.2">
      <c r="A25" s="435" t="s">
        <v>576</v>
      </c>
      <c r="B25" s="436" t="s">
        <v>577</v>
      </c>
      <c r="C25" s="348" t="s">
        <v>485</v>
      </c>
      <c r="D25" s="348" t="s">
        <v>245</v>
      </c>
      <c r="E25" s="348" t="s">
        <v>447</v>
      </c>
      <c r="F25" s="367" t="s">
        <v>14</v>
      </c>
      <c r="G25" s="368" t="s">
        <v>287</v>
      </c>
      <c r="H25" s="368" t="s">
        <v>287</v>
      </c>
      <c r="I25" s="348" t="s">
        <v>498</v>
      </c>
      <c r="J25" s="348" t="s">
        <v>296</v>
      </c>
      <c r="K25" s="348" t="s">
        <v>14</v>
      </c>
      <c r="L25" s="348" t="s">
        <v>287</v>
      </c>
      <c r="M25" s="349">
        <v>475.6</v>
      </c>
      <c r="N25" s="425">
        <v>0.47560000000000002</v>
      </c>
      <c r="O25" s="350">
        <v>602.1</v>
      </c>
      <c r="P25" s="386">
        <v>0.60209999999999997</v>
      </c>
      <c r="Q25" s="348" t="s">
        <v>64</v>
      </c>
      <c r="R25" s="348" t="s">
        <v>572</v>
      </c>
    </row>
    <row r="26" spans="1:20" s="70" customFormat="1" ht="72" x14ac:dyDescent="0.2">
      <c r="A26" s="351" t="s">
        <v>63</v>
      </c>
      <c r="B26" s="352" t="s">
        <v>507</v>
      </c>
      <c r="C26" s="352" t="s">
        <v>69</v>
      </c>
      <c r="D26" s="352" t="s">
        <v>17</v>
      </c>
      <c r="E26" s="352" t="s">
        <v>340</v>
      </c>
      <c r="F26" s="353">
        <v>57.4</v>
      </c>
      <c r="G26" s="354">
        <v>22041000</v>
      </c>
      <c r="H26" s="440" t="s">
        <v>287</v>
      </c>
      <c r="I26" s="352" t="s">
        <v>343</v>
      </c>
      <c r="J26" s="352" t="s">
        <v>295</v>
      </c>
      <c r="K26" s="363" t="s">
        <v>474</v>
      </c>
      <c r="L26" s="352" t="s">
        <v>287</v>
      </c>
      <c r="M26" s="355">
        <v>22.6</v>
      </c>
      <c r="N26" s="425">
        <v>2.2600000000000002E-2</v>
      </c>
      <c r="O26" s="356">
        <v>42.6</v>
      </c>
      <c r="P26" s="386">
        <v>4.2599999999999999E-2</v>
      </c>
      <c r="Q26" s="352" t="s">
        <v>64</v>
      </c>
      <c r="R26" s="352" t="s">
        <v>571</v>
      </c>
    </row>
    <row r="27" spans="1:20" s="70" customFormat="1" ht="84" x14ac:dyDescent="0.2">
      <c r="A27" s="351" t="s">
        <v>65</v>
      </c>
      <c r="B27" s="352" t="s">
        <v>508</v>
      </c>
      <c r="C27" s="352" t="s">
        <v>69</v>
      </c>
      <c r="D27" s="352" t="s">
        <v>17</v>
      </c>
      <c r="E27" s="352" t="s">
        <v>341</v>
      </c>
      <c r="F27" s="353">
        <v>31.4</v>
      </c>
      <c r="G27" s="354">
        <v>8746000</v>
      </c>
      <c r="H27" s="440" t="s">
        <v>287</v>
      </c>
      <c r="I27" s="352" t="s">
        <v>343</v>
      </c>
      <c r="J27" s="352" t="s">
        <v>295</v>
      </c>
      <c r="K27" s="363" t="s">
        <v>474</v>
      </c>
      <c r="L27" s="352" t="s">
        <v>287</v>
      </c>
      <c r="M27" s="355">
        <v>17.5</v>
      </c>
      <c r="N27" s="425">
        <v>1.7500000000000002E-2</v>
      </c>
      <c r="O27" s="356">
        <v>39.4</v>
      </c>
      <c r="P27" s="386">
        <v>3.9399999999999998E-2</v>
      </c>
      <c r="Q27" s="352" t="s">
        <v>64</v>
      </c>
      <c r="R27" s="352" t="s">
        <v>571</v>
      </c>
    </row>
    <row r="28" spans="1:20" s="70" customFormat="1" ht="48" x14ac:dyDescent="0.2">
      <c r="A28" s="351" t="s">
        <v>66</v>
      </c>
      <c r="B28" s="352" t="s">
        <v>67</v>
      </c>
      <c r="C28" s="352" t="s">
        <v>69</v>
      </c>
      <c r="D28" s="352" t="s">
        <v>68</v>
      </c>
      <c r="E28" s="352" t="s">
        <v>342</v>
      </c>
      <c r="F28" s="353" t="s">
        <v>14</v>
      </c>
      <c r="G28" s="354" t="s">
        <v>287</v>
      </c>
      <c r="H28" s="440" t="s">
        <v>287</v>
      </c>
      <c r="I28" s="352" t="s">
        <v>343</v>
      </c>
      <c r="J28" s="352" t="s">
        <v>285</v>
      </c>
      <c r="K28" s="352" t="s">
        <v>14</v>
      </c>
      <c r="L28" s="352" t="s">
        <v>285</v>
      </c>
      <c r="M28" s="355">
        <v>61.3</v>
      </c>
      <c r="N28" s="425">
        <v>6.13E-2</v>
      </c>
      <c r="O28" s="356">
        <v>55.3</v>
      </c>
      <c r="P28" s="386">
        <v>5.5299999999999995E-2</v>
      </c>
      <c r="Q28" s="352" t="s">
        <v>64</v>
      </c>
      <c r="R28" s="352" t="s">
        <v>571</v>
      </c>
    </row>
    <row r="29" spans="1:20" s="30" customFormat="1" ht="72" x14ac:dyDescent="0.2">
      <c r="A29" s="366" t="s">
        <v>115</v>
      </c>
      <c r="B29" s="348" t="s">
        <v>116</v>
      </c>
      <c r="C29" s="348" t="s">
        <v>125</v>
      </c>
      <c r="D29" s="348" t="s">
        <v>584</v>
      </c>
      <c r="E29" s="348" t="s">
        <v>585</v>
      </c>
      <c r="F29" s="367">
        <v>66.3</v>
      </c>
      <c r="G29" s="368" t="s">
        <v>287</v>
      </c>
      <c r="H29" s="368" t="s">
        <v>287</v>
      </c>
      <c r="I29" s="348" t="s">
        <v>287</v>
      </c>
      <c r="J29" s="436" t="s">
        <v>287</v>
      </c>
      <c r="K29" s="348" t="s">
        <v>287</v>
      </c>
      <c r="L29" s="348" t="s">
        <v>287</v>
      </c>
      <c r="M29" s="367">
        <v>2.7</v>
      </c>
      <c r="N29" s="425">
        <v>2.7000000000000001E-3</v>
      </c>
      <c r="O29" s="375">
        <v>15.2</v>
      </c>
      <c r="P29" s="386">
        <v>1.52E-2</v>
      </c>
      <c r="Q29" s="348" t="s">
        <v>64</v>
      </c>
      <c r="R29" s="348" t="s">
        <v>571</v>
      </c>
    </row>
    <row r="30" spans="1:20" s="70" customFormat="1" ht="48" x14ac:dyDescent="0.2">
      <c r="A30" s="366" t="s">
        <v>118</v>
      </c>
      <c r="B30" s="376" t="s">
        <v>120</v>
      </c>
      <c r="C30" s="348" t="s">
        <v>125</v>
      </c>
      <c r="D30" s="348" t="s">
        <v>584</v>
      </c>
      <c r="E30" s="348" t="s">
        <v>428</v>
      </c>
      <c r="F30" s="377">
        <v>56.4</v>
      </c>
      <c r="G30" s="368" t="s">
        <v>287</v>
      </c>
      <c r="H30" s="368" t="s">
        <v>287</v>
      </c>
      <c r="I30" s="348" t="s">
        <v>287</v>
      </c>
      <c r="J30" s="436" t="s">
        <v>287</v>
      </c>
      <c r="K30" s="348" t="s">
        <v>287</v>
      </c>
      <c r="L30" s="348" t="s">
        <v>287</v>
      </c>
      <c r="M30" s="378">
        <v>2.2000000000000002</v>
      </c>
      <c r="N30" s="425">
        <v>2.2000000000000001E-3</v>
      </c>
      <c r="O30" s="375">
        <v>14.4</v>
      </c>
      <c r="P30" s="386">
        <v>1.44E-2</v>
      </c>
      <c r="Q30" s="348" t="s">
        <v>64</v>
      </c>
      <c r="R30" s="348" t="s">
        <v>571</v>
      </c>
    </row>
    <row r="31" spans="1:20" s="70" customFormat="1" ht="48" x14ac:dyDescent="0.2">
      <c r="A31" s="366" t="s">
        <v>119</v>
      </c>
      <c r="B31" s="376" t="s">
        <v>122</v>
      </c>
      <c r="C31" s="348" t="s">
        <v>125</v>
      </c>
      <c r="D31" s="348" t="s">
        <v>28</v>
      </c>
      <c r="E31" s="348" t="s">
        <v>429</v>
      </c>
      <c r="F31" s="377">
        <v>2.1</v>
      </c>
      <c r="G31" s="368" t="s">
        <v>287</v>
      </c>
      <c r="H31" s="368" t="s">
        <v>287</v>
      </c>
      <c r="I31" s="348" t="s">
        <v>287</v>
      </c>
      <c r="J31" s="436" t="s">
        <v>287</v>
      </c>
      <c r="K31" s="348" t="s">
        <v>287</v>
      </c>
      <c r="L31" s="348" t="s">
        <v>287</v>
      </c>
      <c r="M31" s="378">
        <v>0.1</v>
      </c>
      <c r="N31" s="425">
        <v>1E-4</v>
      </c>
      <c r="O31" s="375">
        <v>0.5</v>
      </c>
      <c r="P31" s="386">
        <v>5.0000000000000001E-4</v>
      </c>
      <c r="Q31" s="348" t="s">
        <v>64</v>
      </c>
      <c r="R31" s="348" t="s">
        <v>571</v>
      </c>
    </row>
    <row r="32" spans="1:20" s="70" customFormat="1" ht="60" x14ac:dyDescent="0.2">
      <c r="A32" s="366" t="s">
        <v>121</v>
      </c>
      <c r="B32" s="376" t="s">
        <v>467</v>
      </c>
      <c r="C32" s="348" t="s">
        <v>125</v>
      </c>
      <c r="D32" s="348" t="s">
        <v>124</v>
      </c>
      <c r="E32" s="348" t="s">
        <v>430</v>
      </c>
      <c r="F32" s="377">
        <v>32.200000000000003</v>
      </c>
      <c r="G32" s="368" t="s">
        <v>287</v>
      </c>
      <c r="H32" s="368" t="s">
        <v>287</v>
      </c>
      <c r="I32" s="348" t="s">
        <v>287</v>
      </c>
      <c r="J32" s="436" t="s">
        <v>287</v>
      </c>
      <c r="K32" s="348" t="s">
        <v>287</v>
      </c>
      <c r="L32" s="348" t="s">
        <v>287</v>
      </c>
      <c r="M32" s="367">
        <v>0.4</v>
      </c>
      <c r="N32" s="425">
        <v>4.0000000000000002E-4</v>
      </c>
      <c r="O32" s="375">
        <v>0.3</v>
      </c>
      <c r="P32" s="386">
        <v>2.9999999999999997E-4</v>
      </c>
      <c r="Q32" s="348" t="s">
        <v>64</v>
      </c>
      <c r="R32" s="348" t="s">
        <v>571</v>
      </c>
    </row>
    <row r="33" spans="1:18" s="72" customFormat="1" ht="120" x14ac:dyDescent="0.2">
      <c r="A33" s="366" t="s">
        <v>123</v>
      </c>
      <c r="B33" s="376" t="s">
        <v>543</v>
      </c>
      <c r="C33" s="348" t="s">
        <v>125</v>
      </c>
      <c r="D33" s="348" t="s">
        <v>28</v>
      </c>
      <c r="E33" s="348" t="s">
        <v>431</v>
      </c>
      <c r="F33" s="377">
        <v>17.2</v>
      </c>
      <c r="G33" s="368" t="s">
        <v>287</v>
      </c>
      <c r="H33" s="368" t="s">
        <v>287</v>
      </c>
      <c r="I33" s="348" t="s">
        <v>287</v>
      </c>
      <c r="J33" s="436" t="s">
        <v>287</v>
      </c>
      <c r="K33" s="348" t="s">
        <v>287</v>
      </c>
      <c r="L33" s="348" t="s">
        <v>287</v>
      </c>
      <c r="M33" s="378">
        <v>0.2</v>
      </c>
      <c r="N33" s="425">
        <v>2.0000000000000001E-4</v>
      </c>
      <c r="O33" s="375">
        <v>4.2</v>
      </c>
      <c r="P33" s="386">
        <v>4.2000000000000006E-3</v>
      </c>
      <c r="Q33" s="348" t="s">
        <v>64</v>
      </c>
      <c r="R33" s="348" t="s">
        <v>571</v>
      </c>
    </row>
    <row r="34" spans="1:18" s="70" customFormat="1" ht="48" x14ac:dyDescent="0.2">
      <c r="A34" s="435" t="s">
        <v>229</v>
      </c>
      <c r="B34" s="436" t="s">
        <v>230</v>
      </c>
      <c r="C34" s="352" t="s">
        <v>274</v>
      </c>
      <c r="D34" s="352" t="s">
        <v>231</v>
      </c>
      <c r="E34" s="352" t="s">
        <v>444</v>
      </c>
      <c r="F34" s="353">
        <v>118</v>
      </c>
      <c r="G34" s="354">
        <v>26900000</v>
      </c>
      <c r="H34" s="354">
        <v>50000</v>
      </c>
      <c r="I34" s="352" t="s">
        <v>438</v>
      </c>
      <c r="J34" s="352" t="s">
        <v>296</v>
      </c>
      <c r="K34" s="352" t="s">
        <v>14</v>
      </c>
      <c r="L34" s="352">
        <v>2009</v>
      </c>
      <c r="M34" s="353">
        <v>1802.5</v>
      </c>
      <c r="N34" s="347">
        <v>1.8025</v>
      </c>
      <c r="O34" s="356" t="s">
        <v>232</v>
      </c>
      <c r="P34" s="386" t="e">
        <v>#VALUE!</v>
      </c>
      <c r="Q34" s="352" t="s">
        <v>64</v>
      </c>
      <c r="R34" s="352" t="s">
        <v>574</v>
      </c>
    </row>
    <row r="35" spans="1:18" s="70" customFormat="1" ht="72" x14ac:dyDescent="0.2">
      <c r="A35" s="435" t="s">
        <v>233</v>
      </c>
      <c r="B35" s="436" t="s">
        <v>234</v>
      </c>
      <c r="C35" s="352" t="s">
        <v>274</v>
      </c>
      <c r="D35" s="352" t="s">
        <v>231</v>
      </c>
      <c r="E35" s="352" t="s">
        <v>445</v>
      </c>
      <c r="F35" s="353">
        <v>773</v>
      </c>
      <c r="G35" s="354" t="s">
        <v>443</v>
      </c>
      <c r="H35" s="354">
        <v>100000</v>
      </c>
      <c r="I35" s="352" t="s">
        <v>438</v>
      </c>
      <c r="J35" s="436" t="s">
        <v>619</v>
      </c>
      <c r="K35" s="352" t="s">
        <v>287</v>
      </c>
      <c r="L35" s="352" t="s">
        <v>287</v>
      </c>
      <c r="M35" s="353">
        <v>6193.6</v>
      </c>
      <c r="N35" s="425">
        <v>6.1936</v>
      </c>
      <c r="O35" s="356" t="s">
        <v>232</v>
      </c>
      <c r="P35" s="386" t="e">
        <v>#VALUE!</v>
      </c>
      <c r="Q35" s="352" t="s">
        <v>64</v>
      </c>
      <c r="R35" s="352" t="s">
        <v>574</v>
      </c>
    </row>
    <row r="36" spans="1:18" s="70" customFormat="1" ht="84" x14ac:dyDescent="0.2">
      <c r="A36" s="435" t="s">
        <v>235</v>
      </c>
      <c r="B36" s="436" t="s">
        <v>236</v>
      </c>
      <c r="C36" s="352" t="s">
        <v>274</v>
      </c>
      <c r="D36" s="352" t="s">
        <v>231</v>
      </c>
      <c r="E36" s="352" t="s">
        <v>441</v>
      </c>
      <c r="F36" s="353" t="s">
        <v>14</v>
      </c>
      <c r="G36" s="354">
        <v>22800000</v>
      </c>
      <c r="H36" s="354">
        <v>341000</v>
      </c>
      <c r="I36" s="352" t="s">
        <v>274</v>
      </c>
      <c r="J36" s="352" t="s">
        <v>442</v>
      </c>
      <c r="K36" s="352" t="s">
        <v>14</v>
      </c>
      <c r="L36" s="352">
        <v>2012</v>
      </c>
      <c r="M36" s="353">
        <v>13978.8</v>
      </c>
      <c r="N36" s="425">
        <v>13.9788</v>
      </c>
      <c r="O36" s="356" t="s">
        <v>232</v>
      </c>
      <c r="P36" s="386" t="e">
        <v>#VALUE!</v>
      </c>
      <c r="Q36" s="352" t="s">
        <v>64</v>
      </c>
      <c r="R36" s="352" t="s">
        <v>574</v>
      </c>
    </row>
    <row r="37" spans="1:18" s="72" customFormat="1" ht="48" x14ac:dyDescent="0.2">
      <c r="A37" s="435" t="s">
        <v>260</v>
      </c>
      <c r="B37" s="436" t="s">
        <v>261</v>
      </c>
      <c r="C37" s="348" t="s">
        <v>274</v>
      </c>
      <c r="D37" s="348" t="s">
        <v>253</v>
      </c>
      <c r="E37" s="348" t="s">
        <v>453</v>
      </c>
      <c r="F37" s="367" t="s">
        <v>14</v>
      </c>
      <c r="G37" s="368">
        <v>17015</v>
      </c>
      <c r="H37" s="368">
        <v>146500</v>
      </c>
      <c r="I37" s="348" t="s">
        <v>274</v>
      </c>
      <c r="J37" s="348" t="s">
        <v>442</v>
      </c>
      <c r="K37" s="348" t="s">
        <v>14</v>
      </c>
      <c r="L37" s="348" t="s">
        <v>287</v>
      </c>
      <c r="M37" s="367">
        <v>205.9</v>
      </c>
      <c r="N37" s="425">
        <v>0.2059</v>
      </c>
      <c r="O37" s="374" t="s">
        <v>232</v>
      </c>
      <c r="P37" s="386" t="e">
        <v>#VALUE!</v>
      </c>
      <c r="Q37" s="348" t="s">
        <v>64</v>
      </c>
      <c r="R37" s="348" t="s">
        <v>574</v>
      </c>
    </row>
  </sheetData>
  <pageMargins left="0.7" right="0.7" top="0.75" bottom="0.75" header="0.3" footer="0.3"/>
  <legacy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T12"/>
  <sheetViews>
    <sheetView workbookViewId="0">
      <selection activeCell="B8" sqref="B8"/>
    </sheetView>
  </sheetViews>
  <sheetFormatPr defaultRowHeight="15" x14ac:dyDescent="0.25"/>
  <cols>
    <col min="2" max="2" width="28.28515625" customWidth="1"/>
  </cols>
  <sheetData>
    <row r="1" spans="1:20" s="70" customFormat="1" ht="37.5" thickTop="1" thickBot="1" x14ac:dyDescent="0.25">
      <c r="A1" s="1" t="s">
        <v>0</v>
      </c>
      <c r="B1" s="2" t="s">
        <v>1</v>
      </c>
      <c r="C1" s="2" t="s">
        <v>277</v>
      </c>
      <c r="D1" s="2" t="s">
        <v>284</v>
      </c>
      <c r="E1" s="2" t="s">
        <v>278</v>
      </c>
      <c r="F1" s="3" t="s">
        <v>2</v>
      </c>
      <c r="G1" s="4" t="s">
        <v>279</v>
      </c>
      <c r="H1" s="4" t="s">
        <v>280</v>
      </c>
      <c r="I1" s="3" t="s">
        <v>281</v>
      </c>
      <c r="J1" s="3" t="s">
        <v>282</v>
      </c>
      <c r="K1" s="3" t="s">
        <v>471</v>
      </c>
      <c r="L1" s="3" t="s">
        <v>283</v>
      </c>
      <c r="M1" s="5" t="s">
        <v>4</v>
      </c>
      <c r="N1" s="6" t="s">
        <v>592</v>
      </c>
      <c r="O1" s="7" t="s">
        <v>5</v>
      </c>
      <c r="P1" s="7" t="s">
        <v>593</v>
      </c>
      <c r="Q1" s="3" t="s">
        <v>3</v>
      </c>
      <c r="R1" s="2" t="s">
        <v>570</v>
      </c>
      <c r="T1" s="76"/>
    </row>
    <row r="2" spans="1:20" s="70" customFormat="1" ht="36.75" thickTop="1" x14ac:dyDescent="0.2">
      <c r="A2" s="31" t="s">
        <v>70</v>
      </c>
      <c r="B2" s="32" t="s">
        <v>509</v>
      </c>
      <c r="C2" s="32" t="s">
        <v>99</v>
      </c>
      <c r="D2" s="267" t="s">
        <v>287</v>
      </c>
      <c r="E2" s="32" t="s">
        <v>344</v>
      </c>
      <c r="F2" s="33">
        <v>25.2</v>
      </c>
      <c r="G2" s="34" t="s">
        <v>287</v>
      </c>
      <c r="H2" s="277" t="s">
        <v>287</v>
      </c>
      <c r="I2" s="32" t="s">
        <v>347</v>
      </c>
      <c r="J2" s="267" t="s">
        <v>286</v>
      </c>
      <c r="K2" s="32" t="s">
        <v>287</v>
      </c>
      <c r="L2" s="32" t="s">
        <v>287</v>
      </c>
      <c r="M2" s="33"/>
      <c r="N2" s="15">
        <f t="shared" ref="N2:N12" si="0">M2/1000</f>
        <v>0</v>
      </c>
      <c r="O2" s="46"/>
      <c r="P2" s="77">
        <f t="shared" ref="P2:P12" si="1">O2/1000</f>
        <v>0</v>
      </c>
      <c r="Q2" s="32" t="s">
        <v>19</v>
      </c>
      <c r="R2" s="32" t="s">
        <v>571</v>
      </c>
    </row>
    <row r="3" spans="1:20" s="70" customFormat="1" ht="48" x14ac:dyDescent="0.2">
      <c r="A3" s="24" t="s">
        <v>75</v>
      </c>
      <c r="B3" s="25" t="s">
        <v>539</v>
      </c>
      <c r="C3" s="25" t="s">
        <v>99</v>
      </c>
      <c r="D3" s="25" t="s">
        <v>28</v>
      </c>
      <c r="E3" s="25" t="s">
        <v>344</v>
      </c>
      <c r="F3" s="26">
        <v>21.8</v>
      </c>
      <c r="G3" s="27" t="s">
        <v>287</v>
      </c>
      <c r="H3" s="277" t="s">
        <v>287</v>
      </c>
      <c r="I3" s="25" t="s">
        <v>347</v>
      </c>
      <c r="J3" s="267" t="s">
        <v>286</v>
      </c>
      <c r="K3" s="25" t="s">
        <v>287</v>
      </c>
      <c r="L3" s="25" t="s">
        <v>287</v>
      </c>
      <c r="M3" s="26">
        <v>0.1</v>
      </c>
      <c r="N3" s="15">
        <f t="shared" si="0"/>
        <v>1E-4</v>
      </c>
      <c r="O3" s="47">
        <v>1</v>
      </c>
      <c r="P3" s="77">
        <f t="shared" si="1"/>
        <v>1E-3</v>
      </c>
      <c r="Q3" s="25" t="s">
        <v>19</v>
      </c>
      <c r="R3" s="25" t="s">
        <v>571</v>
      </c>
    </row>
    <row r="4" spans="1:20" s="70" customFormat="1" ht="48" x14ac:dyDescent="0.2">
      <c r="A4" s="24" t="s">
        <v>76</v>
      </c>
      <c r="B4" s="25" t="s">
        <v>540</v>
      </c>
      <c r="C4" s="25" t="s">
        <v>99</v>
      </c>
      <c r="D4" s="25" t="s">
        <v>28</v>
      </c>
      <c r="E4" s="25" t="s">
        <v>344</v>
      </c>
      <c r="F4" s="26">
        <v>28.4</v>
      </c>
      <c r="G4" s="27" t="s">
        <v>287</v>
      </c>
      <c r="H4" s="277" t="s">
        <v>287</v>
      </c>
      <c r="I4" s="25" t="s">
        <v>347</v>
      </c>
      <c r="J4" s="267" t="s">
        <v>286</v>
      </c>
      <c r="K4" s="25" t="s">
        <v>287</v>
      </c>
      <c r="L4" s="25" t="s">
        <v>287</v>
      </c>
      <c r="M4" s="26">
        <v>0.2</v>
      </c>
      <c r="N4" s="15">
        <f t="shared" si="0"/>
        <v>2.0000000000000001E-4</v>
      </c>
      <c r="O4" s="47">
        <v>1.1000000000000001</v>
      </c>
      <c r="P4" s="77">
        <f t="shared" si="1"/>
        <v>1.1000000000000001E-3</v>
      </c>
      <c r="Q4" s="25" t="s">
        <v>19</v>
      </c>
      <c r="R4" s="25" t="s">
        <v>571</v>
      </c>
    </row>
    <row r="5" spans="1:20" s="70" customFormat="1" ht="36" x14ac:dyDescent="0.2">
      <c r="A5" s="24" t="s">
        <v>77</v>
      </c>
      <c r="B5" s="25" t="s">
        <v>541</v>
      </c>
      <c r="C5" s="25" t="s">
        <v>99</v>
      </c>
      <c r="D5" s="25" t="s">
        <v>28</v>
      </c>
      <c r="E5" s="25" t="s">
        <v>344</v>
      </c>
      <c r="F5" s="26">
        <v>6.7</v>
      </c>
      <c r="G5" s="27" t="s">
        <v>287</v>
      </c>
      <c r="H5" s="277" t="s">
        <v>287</v>
      </c>
      <c r="I5" s="25" t="s">
        <v>347</v>
      </c>
      <c r="J5" s="267" t="s">
        <v>286</v>
      </c>
      <c r="K5" s="25" t="s">
        <v>287</v>
      </c>
      <c r="L5" s="25" t="s">
        <v>287</v>
      </c>
      <c r="M5" s="26">
        <v>0</v>
      </c>
      <c r="N5" s="15">
        <f t="shared" si="0"/>
        <v>0</v>
      </c>
      <c r="O5" s="47">
        <v>0.3</v>
      </c>
      <c r="P5" s="77">
        <f t="shared" si="1"/>
        <v>2.9999999999999997E-4</v>
      </c>
      <c r="Q5" s="25" t="s">
        <v>19</v>
      </c>
      <c r="R5" s="25" t="s">
        <v>571</v>
      </c>
    </row>
    <row r="6" spans="1:20" s="70" customFormat="1" ht="36" x14ac:dyDescent="0.2">
      <c r="A6" s="24" t="s">
        <v>78</v>
      </c>
      <c r="B6" s="25" t="s">
        <v>542</v>
      </c>
      <c r="C6" s="25" t="s">
        <v>99</v>
      </c>
      <c r="D6" s="25" t="s">
        <v>28</v>
      </c>
      <c r="E6" s="25" t="s">
        <v>344</v>
      </c>
      <c r="F6" s="26">
        <v>25.6</v>
      </c>
      <c r="G6" s="27" t="s">
        <v>287</v>
      </c>
      <c r="H6" s="277" t="s">
        <v>287</v>
      </c>
      <c r="I6" s="25" t="s">
        <v>347</v>
      </c>
      <c r="J6" s="267" t="s">
        <v>286</v>
      </c>
      <c r="K6" s="25" t="s">
        <v>287</v>
      </c>
      <c r="L6" s="25" t="s">
        <v>287</v>
      </c>
      <c r="M6" s="26">
        <v>0.2</v>
      </c>
      <c r="N6" s="15">
        <f t="shared" si="0"/>
        <v>2.0000000000000001E-4</v>
      </c>
      <c r="O6" s="47">
        <v>1.1000000000000001</v>
      </c>
      <c r="P6" s="77">
        <f t="shared" si="1"/>
        <v>1.1000000000000001E-3</v>
      </c>
      <c r="Q6" s="25" t="s">
        <v>19</v>
      </c>
      <c r="R6" s="25" t="s">
        <v>571</v>
      </c>
    </row>
    <row r="7" spans="1:20" s="70" customFormat="1" ht="36" x14ac:dyDescent="0.2">
      <c r="A7" s="31" t="s">
        <v>87</v>
      </c>
      <c r="B7" s="32" t="s">
        <v>518</v>
      </c>
      <c r="C7" s="32" t="s">
        <v>99</v>
      </c>
      <c r="D7" s="267" t="s">
        <v>287</v>
      </c>
      <c r="E7" s="32" t="s">
        <v>345</v>
      </c>
      <c r="F7" s="33"/>
      <c r="G7" s="34" t="s">
        <v>287</v>
      </c>
      <c r="H7" s="277" t="s">
        <v>287</v>
      </c>
      <c r="I7" s="32" t="s">
        <v>347</v>
      </c>
      <c r="J7" s="267" t="s">
        <v>286</v>
      </c>
      <c r="K7" s="32" t="s">
        <v>287</v>
      </c>
      <c r="L7" s="32" t="s">
        <v>287</v>
      </c>
      <c r="M7" s="33"/>
      <c r="N7" s="15">
        <f t="shared" si="0"/>
        <v>0</v>
      </c>
      <c r="O7" s="46"/>
      <c r="P7" s="77">
        <f t="shared" si="1"/>
        <v>0</v>
      </c>
      <c r="Q7" s="32" t="s">
        <v>19</v>
      </c>
      <c r="R7" s="32" t="s">
        <v>571</v>
      </c>
    </row>
    <row r="8" spans="1:20" s="70" customFormat="1" ht="36" x14ac:dyDescent="0.2">
      <c r="A8" s="31" t="s">
        <v>88</v>
      </c>
      <c r="B8" s="32" t="s">
        <v>519</v>
      </c>
      <c r="C8" s="32" t="s">
        <v>99</v>
      </c>
      <c r="D8" s="32" t="s">
        <v>17</v>
      </c>
      <c r="E8" s="32" t="s">
        <v>344</v>
      </c>
      <c r="F8" s="33">
        <v>8.4</v>
      </c>
      <c r="G8" s="34" t="s">
        <v>287</v>
      </c>
      <c r="H8" s="277" t="s">
        <v>287</v>
      </c>
      <c r="I8" s="32" t="s">
        <v>347</v>
      </c>
      <c r="J8" s="32" t="s">
        <v>296</v>
      </c>
      <c r="K8" s="32" t="s">
        <v>14</v>
      </c>
      <c r="L8" s="38" t="s">
        <v>350</v>
      </c>
      <c r="M8" s="33"/>
      <c r="N8" s="15">
        <f t="shared" si="0"/>
        <v>0</v>
      </c>
      <c r="O8" s="46"/>
      <c r="P8" s="77">
        <f t="shared" si="1"/>
        <v>0</v>
      </c>
      <c r="Q8" s="32" t="s">
        <v>19</v>
      </c>
      <c r="R8" s="32" t="s">
        <v>571</v>
      </c>
    </row>
    <row r="9" spans="1:20" s="70" customFormat="1" ht="36" x14ac:dyDescent="0.2">
      <c r="A9" s="31" t="s">
        <v>89</v>
      </c>
      <c r="B9" s="32" t="s">
        <v>521</v>
      </c>
      <c r="C9" s="32" t="s">
        <v>99</v>
      </c>
      <c r="D9" s="32" t="s">
        <v>17</v>
      </c>
      <c r="E9" s="32" t="s">
        <v>344</v>
      </c>
      <c r="F9" s="33">
        <v>13.9</v>
      </c>
      <c r="G9" s="34" t="s">
        <v>287</v>
      </c>
      <c r="H9" s="277" t="s">
        <v>287</v>
      </c>
      <c r="I9" s="32" t="s">
        <v>347</v>
      </c>
      <c r="J9" s="32" t="s">
        <v>296</v>
      </c>
      <c r="K9" s="32" t="s">
        <v>14</v>
      </c>
      <c r="L9" s="38" t="s">
        <v>350</v>
      </c>
      <c r="M9" s="33"/>
      <c r="N9" s="15">
        <f t="shared" si="0"/>
        <v>0</v>
      </c>
      <c r="O9" s="46"/>
      <c r="P9" s="77">
        <f t="shared" si="1"/>
        <v>0</v>
      </c>
      <c r="Q9" s="32" t="s">
        <v>19</v>
      </c>
      <c r="R9" s="32" t="s">
        <v>571</v>
      </c>
    </row>
    <row r="10" spans="1:20" s="70" customFormat="1" ht="36" x14ac:dyDescent="0.2">
      <c r="A10" s="31" t="s">
        <v>90</v>
      </c>
      <c r="B10" s="32" t="s">
        <v>522</v>
      </c>
      <c r="C10" s="32" t="s">
        <v>99</v>
      </c>
      <c r="D10" s="32" t="s">
        <v>17</v>
      </c>
      <c r="E10" s="32" t="s">
        <v>344</v>
      </c>
      <c r="F10" s="33">
        <v>47.9</v>
      </c>
      <c r="G10" s="34" t="s">
        <v>287</v>
      </c>
      <c r="H10" s="277" t="s">
        <v>287</v>
      </c>
      <c r="I10" s="32" t="s">
        <v>347</v>
      </c>
      <c r="J10" s="32" t="s">
        <v>296</v>
      </c>
      <c r="K10" s="32" t="s">
        <v>14</v>
      </c>
      <c r="L10" s="38" t="s">
        <v>350</v>
      </c>
      <c r="M10" s="33"/>
      <c r="N10" s="15">
        <f t="shared" si="0"/>
        <v>0</v>
      </c>
      <c r="O10" s="46"/>
      <c r="P10" s="77">
        <f t="shared" si="1"/>
        <v>0</v>
      </c>
      <c r="Q10" s="32" t="s">
        <v>19</v>
      </c>
      <c r="R10" s="32" t="s">
        <v>571</v>
      </c>
    </row>
    <row r="11" spans="1:20" s="70" customFormat="1" ht="36" x14ac:dyDescent="0.2">
      <c r="A11" s="31" t="s">
        <v>91</v>
      </c>
      <c r="B11" s="32" t="s">
        <v>523</v>
      </c>
      <c r="C11" s="32" t="s">
        <v>99</v>
      </c>
      <c r="D11" s="32" t="s">
        <v>17</v>
      </c>
      <c r="E11" s="32" t="s">
        <v>344</v>
      </c>
      <c r="F11" s="33">
        <v>16.7</v>
      </c>
      <c r="G11" s="34" t="s">
        <v>287</v>
      </c>
      <c r="H11" s="277" t="s">
        <v>287</v>
      </c>
      <c r="I11" s="32" t="s">
        <v>347</v>
      </c>
      <c r="J11" s="32" t="s">
        <v>296</v>
      </c>
      <c r="K11" s="32" t="s">
        <v>14</v>
      </c>
      <c r="L11" s="38" t="s">
        <v>350</v>
      </c>
      <c r="M11" s="33"/>
      <c r="N11" s="15">
        <f t="shared" si="0"/>
        <v>0</v>
      </c>
      <c r="O11" s="46"/>
      <c r="P11" s="77">
        <f t="shared" si="1"/>
        <v>0</v>
      </c>
      <c r="Q11" s="32" t="s">
        <v>19</v>
      </c>
      <c r="R11" s="32" t="s">
        <v>571</v>
      </c>
    </row>
    <row r="12" spans="1:20" s="70" customFormat="1" ht="36" x14ac:dyDescent="0.2">
      <c r="A12" s="31" t="s">
        <v>92</v>
      </c>
      <c r="B12" s="32" t="s">
        <v>524</v>
      </c>
      <c r="C12" s="32" t="s">
        <v>99</v>
      </c>
      <c r="D12" s="32" t="s">
        <v>17</v>
      </c>
      <c r="E12" s="32" t="s">
        <v>344</v>
      </c>
      <c r="F12" s="33">
        <v>6.6</v>
      </c>
      <c r="G12" s="34" t="s">
        <v>287</v>
      </c>
      <c r="H12" s="277" t="s">
        <v>287</v>
      </c>
      <c r="I12" s="32" t="s">
        <v>347</v>
      </c>
      <c r="J12" s="32" t="s">
        <v>296</v>
      </c>
      <c r="K12" s="32" t="s">
        <v>14</v>
      </c>
      <c r="L12" s="38" t="s">
        <v>350</v>
      </c>
      <c r="M12" s="33"/>
      <c r="N12" s="15">
        <f t="shared" si="0"/>
        <v>0</v>
      </c>
      <c r="O12" s="46"/>
      <c r="P12" s="77">
        <f t="shared" si="1"/>
        <v>0</v>
      </c>
      <c r="Q12" s="32" t="s">
        <v>19</v>
      </c>
      <c r="R12" s="32" t="s">
        <v>571</v>
      </c>
    </row>
  </sheetData>
  <pageMargins left="0.7" right="0.7" top="0.75" bottom="0.75" header="0.3" footer="0.3"/>
  <legacyDrawing r:id="rId1"/>
</worksheet>
</file>

<file path=xl/worksheets/sheet5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9" tint="0.39997558519241921"/>
  </sheetPr>
  <dimension ref="A1:T235"/>
  <sheetViews>
    <sheetView zoomScale="80" zoomScaleNormal="80" workbookViewId="0">
      <selection activeCell="Y3" sqref="Y3"/>
    </sheetView>
  </sheetViews>
  <sheetFormatPr defaultRowHeight="15" x14ac:dyDescent="0.25"/>
  <cols>
    <col min="5" max="5" width="16" customWidth="1"/>
    <col min="7" max="7" width="12" bestFit="1" customWidth="1"/>
    <col min="8" max="8" width="10.5703125" bestFit="1" customWidth="1"/>
    <col min="10" max="10" width="10.85546875" customWidth="1"/>
    <col min="12" max="12" width="10" customWidth="1"/>
  </cols>
  <sheetData>
    <row r="1" spans="1:16" ht="56.25" customHeight="1" thickTop="1" thickBot="1" x14ac:dyDescent="0.3">
      <c r="A1" s="208" t="s">
        <v>0</v>
      </c>
      <c r="B1" s="209" t="s">
        <v>1</v>
      </c>
      <c r="C1" s="209" t="s">
        <v>277</v>
      </c>
      <c r="D1" s="209" t="s">
        <v>868</v>
      </c>
      <c r="E1" s="209" t="s">
        <v>278</v>
      </c>
      <c r="F1" s="209" t="s">
        <v>2</v>
      </c>
      <c r="G1" s="209" t="s">
        <v>279</v>
      </c>
      <c r="H1" s="209" t="s">
        <v>280</v>
      </c>
      <c r="I1" s="209" t="s">
        <v>281</v>
      </c>
      <c r="J1" s="209" t="s">
        <v>282</v>
      </c>
      <c r="K1" s="209" t="s">
        <v>471</v>
      </c>
      <c r="L1" s="209" t="s">
        <v>283</v>
      </c>
      <c r="M1" s="210" t="s">
        <v>592</v>
      </c>
      <c r="N1" s="210" t="s">
        <v>4</v>
      </c>
      <c r="O1" s="211" t="s">
        <v>593</v>
      </c>
      <c r="P1" s="211" t="s">
        <v>5</v>
      </c>
    </row>
    <row r="2" spans="1:16" ht="133.5" thickTop="1" thickBot="1" x14ac:dyDescent="0.3">
      <c r="A2" s="212" t="str">
        <f t="shared" ref="A2:L2" si="0">A120</f>
        <v>EW-1</v>
      </c>
      <c r="B2" s="213" t="str">
        <f t="shared" si="0"/>
        <v>Water Quality Awareness Program</v>
      </c>
      <c r="C2" s="213" t="str">
        <f t="shared" si="0"/>
        <v>City of Edgewood</v>
      </c>
      <c r="D2" s="213" t="str">
        <f t="shared" si="0"/>
        <v>Public education</v>
      </c>
      <c r="E2" s="213" t="str">
        <f t="shared" si="0"/>
        <v>Water quality education and awareness articles in the city's quarterly newsletter. Various water quality related informational brochures, fliers and other publications displayed at city hall for the public.</v>
      </c>
      <c r="F2" s="214" t="str">
        <f t="shared" si="0"/>
        <v>N/A</v>
      </c>
      <c r="G2" s="292" t="str">
        <f t="shared" si="0"/>
        <v>See annual O&amp;M</v>
      </c>
      <c r="H2" s="292">
        <f t="shared" si="0"/>
        <v>1000</v>
      </c>
      <c r="I2" s="213" t="str">
        <f t="shared" si="0"/>
        <v xml:space="preserve">City of Edgewood </v>
      </c>
      <c r="J2" s="213" t="str">
        <f t="shared" si="0"/>
        <v>Ongoing</v>
      </c>
      <c r="K2" s="213" t="str">
        <f t="shared" si="0"/>
        <v>N/A</v>
      </c>
      <c r="L2" s="213" t="str">
        <f t="shared" si="0"/>
        <v>Ongoing</v>
      </c>
      <c r="M2" s="423">
        <f t="shared" ref="M2:M33" si="1">N120</f>
        <v>5.9999999999999995E-4</v>
      </c>
      <c r="N2" s="293">
        <f t="shared" ref="N2:N33" si="2">M120</f>
        <v>0.6</v>
      </c>
      <c r="O2" s="423">
        <f t="shared" ref="O2:O33" si="3">P120</f>
        <v>1.7299999999999999E-2</v>
      </c>
      <c r="P2" s="424">
        <f t="shared" ref="P2:P33" si="4">O120</f>
        <v>17.3</v>
      </c>
    </row>
    <row r="3" spans="1:16" ht="61.5" thickTop="1" thickBot="1" x14ac:dyDescent="0.3">
      <c r="A3" s="420" t="str">
        <f t="shared" ref="A3:L3" si="5">A121</f>
        <v>KS-1</v>
      </c>
      <c r="B3" s="421" t="str">
        <f t="shared" si="5"/>
        <v>Education and Outreach</v>
      </c>
      <c r="C3" s="421" t="str">
        <f t="shared" si="5"/>
        <v>City of Kissimmee</v>
      </c>
      <c r="D3" s="421" t="str">
        <f t="shared" si="5"/>
        <v>Public education</v>
      </c>
      <c r="E3" s="421" t="str">
        <f t="shared" si="5"/>
        <v>PSAs, pamphlets, website, and illicit discharge inspection program.</v>
      </c>
      <c r="F3" s="422" t="str">
        <f t="shared" si="5"/>
        <v>N/A</v>
      </c>
      <c r="G3" s="292">
        <f t="shared" si="5"/>
        <v>65000</v>
      </c>
      <c r="H3" s="292" t="str">
        <f t="shared" si="5"/>
        <v>Unknown</v>
      </c>
      <c r="I3" s="421" t="str">
        <f t="shared" si="5"/>
        <v>City of Kissimmee Stormwater Utility Fund</v>
      </c>
      <c r="J3" s="421" t="str">
        <f t="shared" si="5"/>
        <v>Ongoing</v>
      </c>
      <c r="K3" s="421" t="str">
        <f t="shared" si="5"/>
        <v>N/A</v>
      </c>
      <c r="L3" s="421" t="str">
        <f t="shared" si="5"/>
        <v>Ongoing</v>
      </c>
      <c r="M3" s="423">
        <f t="shared" si="1"/>
        <v>8.3000000000000001E-3</v>
      </c>
      <c r="N3" s="293">
        <f t="shared" si="2"/>
        <v>8.3000000000000007</v>
      </c>
      <c r="O3" s="423">
        <f t="shared" si="3"/>
        <v>0.19989999999999999</v>
      </c>
      <c r="P3" s="424">
        <f t="shared" si="4"/>
        <v>199.9</v>
      </c>
    </row>
    <row r="4" spans="1:16" ht="85.5" thickTop="1" thickBot="1" x14ac:dyDescent="0.3">
      <c r="A4" s="420" t="str">
        <f t="shared" ref="A4:L4" si="6">A122</f>
        <v>KS-2</v>
      </c>
      <c r="B4" s="421" t="str">
        <f t="shared" si="6"/>
        <v>Street Sweeping</v>
      </c>
      <c r="C4" s="421" t="str">
        <f t="shared" si="6"/>
        <v>City of Kissimmee</v>
      </c>
      <c r="D4" s="421" t="str">
        <f t="shared" si="6"/>
        <v>Street sweeping</v>
      </c>
      <c r="E4" s="421" t="str">
        <f t="shared" si="6"/>
        <v>Sweeping over 8,500 miles per year.  Material is not currently weighed, but city is currently developing a program to weigh material.</v>
      </c>
      <c r="F4" s="422" t="str">
        <f t="shared" si="6"/>
        <v>N/A</v>
      </c>
      <c r="G4" s="292">
        <f t="shared" si="6"/>
        <v>50000</v>
      </c>
      <c r="H4" s="292" t="str">
        <f t="shared" si="6"/>
        <v>Unknown</v>
      </c>
      <c r="I4" s="421" t="str">
        <f t="shared" si="6"/>
        <v>City of Kissimmee Stormwater Utility Fund</v>
      </c>
      <c r="J4" s="421" t="str">
        <f t="shared" si="6"/>
        <v>Ongoing</v>
      </c>
      <c r="K4" s="421" t="str">
        <f t="shared" si="6"/>
        <v>N/A</v>
      </c>
      <c r="L4" s="421" t="str">
        <f t="shared" si="6"/>
        <v>Ongoing</v>
      </c>
      <c r="M4" s="423">
        <f t="shared" si="1"/>
        <v>0.1004</v>
      </c>
      <c r="N4" s="293">
        <f t="shared" si="2"/>
        <v>100.4</v>
      </c>
      <c r="O4" s="423">
        <f t="shared" si="3"/>
        <v>0.27760000000000001</v>
      </c>
      <c r="P4" s="424">
        <f t="shared" si="4"/>
        <v>277.60000000000002</v>
      </c>
    </row>
    <row r="5" spans="1:16" ht="97.5" thickTop="1" thickBot="1" x14ac:dyDescent="0.3">
      <c r="A5" s="420" t="str">
        <f t="shared" ref="A5:L5" si="7">A123</f>
        <v>KS-3</v>
      </c>
      <c r="B5" s="421" t="str">
        <f t="shared" si="7"/>
        <v>Lake Tivoli</v>
      </c>
      <c r="C5" s="421" t="str">
        <f t="shared" si="7"/>
        <v>City of Kissimmee</v>
      </c>
      <c r="D5" s="421" t="str">
        <f t="shared" si="7"/>
        <v>Wet detention pond</v>
      </c>
      <c r="E5" s="421" t="str">
        <f t="shared" si="7"/>
        <v>Treatment for older existing development as well as future on-line development; treatment  provides 2.5 times the proposed percent impervious area.</v>
      </c>
      <c r="F5" s="422">
        <f t="shared" si="7"/>
        <v>132.80000000000001</v>
      </c>
      <c r="G5" s="292">
        <f t="shared" si="7"/>
        <v>300000</v>
      </c>
      <c r="H5" s="292" t="str">
        <f t="shared" si="7"/>
        <v>Unknown</v>
      </c>
      <c r="I5" s="421" t="str">
        <f t="shared" si="7"/>
        <v>Unknown</v>
      </c>
      <c r="J5" s="421" t="str">
        <f t="shared" si="7"/>
        <v>Envisioned, Not Funded</v>
      </c>
      <c r="K5" s="421" t="str">
        <f t="shared" si="7"/>
        <v>Unknown</v>
      </c>
      <c r="L5" s="421" t="str">
        <f t="shared" si="7"/>
        <v>Unknown</v>
      </c>
      <c r="M5" s="423">
        <f t="shared" si="1"/>
        <v>0</v>
      </c>
      <c r="N5" s="293">
        <f t="shared" si="2"/>
        <v>0</v>
      </c>
      <c r="O5" s="423">
        <f t="shared" si="3"/>
        <v>0</v>
      </c>
      <c r="P5" s="424">
        <f t="shared" si="4"/>
        <v>0</v>
      </c>
    </row>
    <row r="6" spans="1:16" ht="73.5" thickTop="1" thickBot="1" x14ac:dyDescent="0.3">
      <c r="A6" s="420" t="str">
        <f t="shared" ref="A6:L6" si="8">A124</f>
        <v>KS-4</v>
      </c>
      <c r="B6" s="421" t="str">
        <f t="shared" si="8"/>
        <v>Lakefront Park Redevelopment -Swales/Rain Gardens</v>
      </c>
      <c r="C6" s="421" t="str">
        <f t="shared" si="8"/>
        <v>City of Kissimmee</v>
      </c>
      <c r="D6" s="421" t="str">
        <f t="shared" si="8"/>
        <v>Dry detention</v>
      </c>
      <c r="E6" s="421" t="str">
        <f t="shared" si="8"/>
        <v>Swale/rain garden system with 2.07 acres of dry detention.</v>
      </c>
      <c r="F6" s="422">
        <f t="shared" si="8"/>
        <v>14.2</v>
      </c>
      <c r="G6" s="292">
        <f t="shared" si="8"/>
        <v>500000</v>
      </c>
      <c r="H6" s="292" t="str">
        <f t="shared" si="8"/>
        <v>Unknown</v>
      </c>
      <c r="I6" s="421" t="str">
        <f t="shared" si="8"/>
        <v xml:space="preserve">City of Kissimmee General Fund </v>
      </c>
      <c r="J6" s="421" t="str">
        <f t="shared" si="8"/>
        <v>Started</v>
      </c>
      <c r="K6" s="421">
        <f t="shared" si="8"/>
        <v>2013</v>
      </c>
      <c r="L6" s="421">
        <f t="shared" si="8"/>
        <v>2015</v>
      </c>
      <c r="M6" s="423">
        <f t="shared" si="1"/>
        <v>2.0000000000000001E-4</v>
      </c>
      <c r="N6" s="293">
        <f t="shared" si="2"/>
        <v>0.2</v>
      </c>
      <c r="O6" s="423">
        <f t="shared" si="3"/>
        <v>5.7000000000000002E-3</v>
      </c>
      <c r="P6" s="424">
        <f t="shared" si="4"/>
        <v>5.7</v>
      </c>
    </row>
    <row r="7" spans="1:16" ht="109.5" thickTop="1" thickBot="1" x14ac:dyDescent="0.3">
      <c r="A7" s="420" t="str">
        <f t="shared" ref="A7:L7" si="9">A125</f>
        <v>KS-5</v>
      </c>
      <c r="B7" s="421" t="str">
        <f t="shared" si="9"/>
        <v>Lakefront Park Redevelopment - Baffle Boxes</v>
      </c>
      <c r="C7" s="421" t="str">
        <f t="shared" si="9"/>
        <v>City of Kissimmee</v>
      </c>
      <c r="D7" s="421" t="str">
        <f t="shared" si="9"/>
        <v>2nd generation baffle box</v>
      </c>
      <c r="E7" s="421" t="str">
        <f t="shared" si="9"/>
        <v>Three nutrient separating baffle boxes and three filter boxes within the lakefront park area.  Intend to install up to and additional two baffle boxes in the next five years.</v>
      </c>
      <c r="F7" s="422">
        <f t="shared" si="9"/>
        <v>14.2</v>
      </c>
      <c r="G7" s="292" t="str">
        <f t="shared" si="9"/>
        <v>$394,267 completed; additional $50,000 for future boxes</v>
      </c>
      <c r="H7" s="292" t="str">
        <f t="shared" si="9"/>
        <v>Unknown</v>
      </c>
      <c r="I7" s="421" t="str">
        <f t="shared" si="9"/>
        <v>City of Kissimmee Stormwater Utility Fund</v>
      </c>
      <c r="J7" s="421" t="str">
        <f t="shared" si="9"/>
        <v>Started</v>
      </c>
      <c r="K7" s="421">
        <f t="shared" si="9"/>
        <v>2012</v>
      </c>
      <c r="L7" s="421">
        <f t="shared" si="9"/>
        <v>2015</v>
      </c>
      <c r="M7" s="423">
        <f t="shared" si="1"/>
        <v>2.0000000000000001E-4</v>
      </c>
      <c r="N7" s="293">
        <f t="shared" si="2"/>
        <v>0.2</v>
      </c>
      <c r="O7" s="423">
        <f t="shared" si="3"/>
        <v>9.8000000000000014E-3</v>
      </c>
      <c r="P7" s="424">
        <f t="shared" si="4"/>
        <v>9.8000000000000007</v>
      </c>
    </row>
    <row r="8" spans="1:16" ht="121.5" thickTop="1" thickBot="1" x14ac:dyDescent="0.3">
      <c r="A8" s="420" t="str">
        <f t="shared" ref="A8:L8" si="10">A126</f>
        <v>KS-6</v>
      </c>
      <c r="B8" s="421" t="str">
        <f t="shared" si="10"/>
        <v>Martin Luther King Boulevard Phase III from Thacker Avenue to Dyer Boulevard</v>
      </c>
      <c r="C8" s="421" t="str">
        <f t="shared" si="10"/>
        <v>City of Kissimmee</v>
      </c>
      <c r="D8" s="421" t="str">
        <f t="shared" si="10"/>
        <v>Dry detention</v>
      </c>
      <c r="E8" s="421" t="str">
        <f t="shared" si="10"/>
        <v>Construction of dry detention with particular standards (side slopes, littoral zones) per the Federal Aviation Administration for reduction of bird strikes.</v>
      </c>
      <c r="F8" s="422">
        <f t="shared" si="10"/>
        <v>5.5</v>
      </c>
      <c r="G8" s="292">
        <f t="shared" si="10"/>
        <v>1500000</v>
      </c>
      <c r="H8" s="292" t="str">
        <f t="shared" si="10"/>
        <v>Unknown</v>
      </c>
      <c r="I8" s="421" t="str">
        <f t="shared" si="10"/>
        <v>City of Kissimmee Stormwater Utility Fund</v>
      </c>
      <c r="J8" s="421" t="str">
        <f t="shared" si="10"/>
        <v>Started</v>
      </c>
      <c r="K8" s="421">
        <f t="shared" si="10"/>
        <v>2013</v>
      </c>
      <c r="L8" s="421">
        <f t="shared" si="10"/>
        <v>2015</v>
      </c>
      <c r="M8" s="423">
        <f t="shared" si="1"/>
        <v>1E-4</v>
      </c>
      <c r="N8" s="293">
        <f t="shared" si="2"/>
        <v>0.1</v>
      </c>
      <c r="O8" s="423">
        <f t="shared" si="3"/>
        <v>1.1999999999999999E-3</v>
      </c>
      <c r="P8" s="424">
        <f t="shared" si="4"/>
        <v>1.2</v>
      </c>
    </row>
    <row r="9" spans="1:16" ht="109.5" thickTop="1" thickBot="1" x14ac:dyDescent="0.3">
      <c r="A9" s="420" t="str">
        <f t="shared" ref="A9:L9" si="11">A127</f>
        <v>ORL-1</v>
      </c>
      <c r="B9" s="421" t="str">
        <f t="shared" si="11"/>
        <v>18th Street/ Parramore Ave Baffle Box</v>
      </c>
      <c r="C9" s="421" t="str">
        <f t="shared" si="11"/>
        <v>City of Orlando</v>
      </c>
      <c r="D9" s="421" t="str">
        <f t="shared" si="11"/>
        <v>2nd generation baffle box</v>
      </c>
      <c r="E9" s="421" t="str">
        <f t="shared" si="11"/>
        <v>Baffle box installed to remove gross pollutants, including organic debris, sediment and litter.</v>
      </c>
      <c r="F9" s="422">
        <f t="shared" si="11"/>
        <v>4.5999999999999996</v>
      </c>
      <c r="G9" s="292">
        <f t="shared" si="11"/>
        <v>578138</v>
      </c>
      <c r="H9" s="292" t="str">
        <f t="shared" si="11"/>
        <v>Unknown</v>
      </c>
      <c r="I9" s="421" t="str">
        <f t="shared" si="11"/>
        <v>City of Orlando Stormwater Utility + 50% cost funded from SFWMD Grant</v>
      </c>
      <c r="J9" s="421" t="str">
        <f t="shared" si="11"/>
        <v>Completed</v>
      </c>
      <c r="K9" s="421" t="str">
        <f t="shared" si="11"/>
        <v>N/A</v>
      </c>
      <c r="L9" s="421" t="str">
        <f t="shared" si="11"/>
        <v>August 2009</v>
      </c>
      <c r="M9" s="423">
        <f t="shared" si="1"/>
        <v>0</v>
      </c>
      <c r="N9" s="293">
        <f t="shared" si="2"/>
        <v>0</v>
      </c>
      <c r="O9" s="423">
        <f t="shared" si="3"/>
        <v>3.3E-3</v>
      </c>
      <c r="P9" s="424">
        <f t="shared" si="4"/>
        <v>3.3</v>
      </c>
    </row>
    <row r="10" spans="1:16" ht="109.5" thickTop="1" thickBot="1" x14ac:dyDescent="0.3">
      <c r="A10" s="420" t="str">
        <f t="shared" ref="A10:L10" si="12">A128</f>
        <v>ORL-2</v>
      </c>
      <c r="B10" s="421" t="str">
        <f t="shared" si="12"/>
        <v>19th Street/ Parramore Avenue Baffle Box</v>
      </c>
      <c r="C10" s="421" t="str">
        <f t="shared" si="12"/>
        <v>City of Orlando</v>
      </c>
      <c r="D10" s="421" t="str">
        <f t="shared" si="12"/>
        <v>2nd generation baffle box</v>
      </c>
      <c r="E10" s="421" t="str">
        <f t="shared" si="12"/>
        <v>Baffle box installed to remove gross pollutants, including organic debris, sediment and litter.</v>
      </c>
      <c r="F10" s="422">
        <f t="shared" si="12"/>
        <v>9.9</v>
      </c>
      <c r="G10" s="292" t="str">
        <f t="shared" si="12"/>
        <v>Part of project ORL-1</v>
      </c>
      <c r="H10" s="292" t="str">
        <f t="shared" si="12"/>
        <v>Unknown</v>
      </c>
      <c r="I10" s="421" t="str">
        <f t="shared" si="12"/>
        <v>City of Orlando Stormwater Utility + 50% cost funded from SFWMD Grant</v>
      </c>
      <c r="J10" s="421" t="str">
        <f t="shared" si="12"/>
        <v>Completed</v>
      </c>
      <c r="K10" s="421" t="str">
        <f t="shared" si="12"/>
        <v>N/A</v>
      </c>
      <c r="L10" s="421" t="str">
        <f t="shared" si="12"/>
        <v>August 2009</v>
      </c>
      <c r="M10" s="423">
        <f t="shared" si="1"/>
        <v>1E-4</v>
      </c>
      <c r="N10" s="293">
        <f t="shared" si="2"/>
        <v>0.1</v>
      </c>
      <c r="O10" s="423">
        <f t="shared" si="3"/>
        <v>7.0999999999999995E-3</v>
      </c>
      <c r="P10" s="424">
        <f t="shared" si="4"/>
        <v>7.1</v>
      </c>
    </row>
    <row r="11" spans="1:16" ht="97.5" thickTop="1" thickBot="1" x14ac:dyDescent="0.3">
      <c r="A11" s="420" t="str">
        <f t="shared" ref="A11:L11" si="13">A129</f>
        <v>ORL-3</v>
      </c>
      <c r="B11" s="421" t="str">
        <f t="shared" si="13"/>
        <v>Pine Street/Orange Blossom Trail Corridor Stormwater Improvements</v>
      </c>
      <c r="C11" s="421" t="str">
        <f t="shared" si="13"/>
        <v>City of Orlando</v>
      </c>
      <c r="D11" s="421" t="str">
        <f t="shared" si="13"/>
        <v>2nd generation baffle box</v>
      </c>
      <c r="E11" s="421" t="str">
        <f t="shared" si="13"/>
        <v>Installation of 1,800 feet of stormwater pipe from Pine Street to Lake Lorna Doone, which includes a baffle box.</v>
      </c>
      <c r="F11" s="422">
        <f t="shared" si="13"/>
        <v>11.5</v>
      </c>
      <c r="G11" s="292">
        <f t="shared" si="13"/>
        <v>577822</v>
      </c>
      <c r="H11" s="292" t="str">
        <f t="shared" si="13"/>
        <v>Unknown</v>
      </c>
      <c r="I11" s="421" t="str">
        <f t="shared" si="13"/>
        <v>City of Orlando Stormwater Utility + 50% cost funded by CBIR Grant</v>
      </c>
      <c r="J11" s="421" t="str">
        <f t="shared" si="13"/>
        <v>Completed</v>
      </c>
      <c r="K11" s="421" t="str">
        <f t="shared" si="13"/>
        <v>N/A</v>
      </c>
      <c r="L11" s="421" t="str">
        <f t="shared" si="13"/>
        <v>May 2010</v>
      </c>
      <c r="M11" s="423">
        <f t="shared" si="1"/>
        <v>2.9999999999999997E-4</v>
      </c>
      <c r="N11" s="293">
        <f t="shared" si="2"/>
        <v>0.3</v>
      </c>
      <c r="O11" s="423">
        <f t="shared" si="3"/>
        <v>2.8E-3</v>
      </c>
      <c r="P11" s="424">
        <f t="shared" si="4"/>
        <v>2.8</v>
      </c>
    </row>
    <row r="12" spans="1:16" ht="145.5" thickTop="1" thickBot="1" x14ac:dyDescent="0.3">
      <c r="A12" s="420" t="str">
        <f t="shared" ref="A12:L12" si="14">A130</f>
        <v>ORL-4</v>
      </c>
      <c r="B12" s="421" t="str">
        <f t="shared" si="14"/>
        <v>Lake Holden Terrace/Albert Shores Sanitary Components</v>
      </c>
      <c r="C12" s="421" t="str">
        <f t="shared" si="14"/>
        <v>City of Orlando</v>
      </c>
      <c r="D12" s="421" t="str">
        <f t="shared" si="14"/>
        <v>Septic tank phase out</v>
      </c>
      <c r="E12" s="421" t="str">
        <f t="shared" si="14"/>
        <v>Sanitary infrastructure installed for septic tank conversions.  11 of 77 homes converted.</v>
      </c>
      <c r="F12" s="422">
        <f t="shared" si="14"/>
        <v>0</v>
      </c>
      <c r="G12" s="292">
        <f t="shared" si="14"/>
        <v>3522911</v>
      </c>
      <c r="H12" s="292" t="str">
        <f t="shared" si="14"/>
        <v>Unknown</v>
      </c>
      <c r="I12" s="421" t="str">
        <f t="shared" si="14"/>
        <v>City of Orlando Wastewater Division, City of Orlando Stormwater Utility, Orlando Utility Commission</v>
      </c>
      <c r="J12" s="421" t="str">
        <f t="shared" si="14"/>
        <v>Completed</v>
      </c>
      <c r="K12" s="421" t="str">
        <f t="shared" si="14"/>
        <v>N/A</v>
      </c>
      <c r="L12" s="421" t="str">
        <f t="shared" si="14"/>
        <v>February 2012</v>
      </c>
      <c r="M12" s="423">
        <f t="shared" si="1"/>
        <v>0</v>
      </c>
      <c r="N12" s="293">
        <f t="shared" si="2"/>
        <v>0</v>
      </c>
      <c r="O12" s="423">
        <f t="shared" si="3"/>
        <v>0</v>
      </c>
      <c r="P12" s="424">
        <f t="shared" si="4"/>
        <v>0</v>
      </c>
    </row>
    <row r="13" spans="1:16" ht="145.5" thickTop="1" thickBot="1" x14ac:dyDescent="0.3">
      <c r="A13" s="420" t="str">
        <f t="shared" ref="A13:L13" si="15">A131</f>
        <v>ORL-5</v>
      </c>
      <c r="B13" s="421" t="str">
        <f t="shared" si="15"/>
        <v>Lake Holden Terrace/Albert Shores Stormwater Components</v>
      </c>
      <c r="C13" s="421" t="str">
        <f t="shared" si="15"/>
        <v>City of Orlando</v>
      </c>
      <c r="D13" s="421" t="str">
        <f t="shared" si="15"/>
        <v>2nd generation baffle box</v>
      </c>
      <c r="E13" s="421" t="str">
        <f t="shared" si="15"/>
        <v>Two baffle boxes and one Storm Flo unit installed within stormwater infrastructure for capturing organic debris, sediment and litter; stormwater infrastructure added to alleviate flooding.</v>
      </c>
      <c r="F13" s="422">
        <f t="shared" si="15"/>
        <v>76.400000000000006</v>
      </c>
      <c r="G13" s="292" t="str">
        <f t="shared" si="15"/>
        <v>Part of ORL-4</v>
      </c>
      <c r="H13" s="292" t="str">
        <f t="shared" si="15"/>
        <v>Unknown</v>
      </c>
      <c r="I13" s="421" t="str">
        <f t="shared" si="15"/>
        <v>City of Orlando Wastewater Division, City of Orlando Stormwater Utility, Orlando Utility Commission</v>
      </c>
      <c r="J13" s="421" t="str">
        <f t="shared" si="15"/>
        <v>Completed</v>
      </c>
      <c r="K13" s="421" t="str">
        <f t="shared" si="15"/>
        <v>N/A</v>
      </c>
      <c r="L13" s="421" t="str">
        <f t="shared" si="15"/>
        <v>February 2012</v>
      </c>
      <c r="M13" s="423">
        <f t="shared" si="1"/>
        <v>1E-3</v>
      </c>
      <c r="N13" s="293">
        <f t="shared" si="2"/>
        <v>1</v>
      </c>
      <c r="O13" s="423">
        <f t="shared" si="3"/>
        <v>3.9299999999999995E-2</v>
      </c>
      <c r="P13" s="424">
        <f t="shared" si="4"/>
        <v>39.299999999999997</v>
      </c>
    </row>
    <row r="14" spans="1:16" ht="85.5" thickTop="1" thickBot="1" x14ac:dyDescent="0.3">
      <c r="A14" s="420" t="str">
        <f t="shared" ref="A14:L14" si="16">A132</f>
        <v>ORL-6</v>
      </c>
      <c r="B14" s="421" t="str">
        <f t="shared" si="16"/>
        <v>Lake Angel Drainage Improvements</v>
      </c>
      <c r="C14" s="421" t="str">
        <f t="shared" si="16"/>
        <v>City of Orlando</v>
      </c>
      <c r="D14" s="421" t="str">
        <f t="shared" si="16"/>
        <v>Wet detention pond</v>
      </c>
      <c r="E14" s="421" t="str">
        <f t="shared" si="16"/>
        <v>Expand the permanent pool volume of Lake Angel and install three baffle boxes in the main inflow pipes.</v>
      </c>
      <c r="F14" s="422">
        <f t="shared" si="16"/>
        <v>94.5</v>
      </c>
      <c r="G14" s="292">
        <f t="shared" si="16"/>
        <v>2000000</v>
      </c>
      <c r="H14" s="292" t="str">
        <f t="shared" si="16"/>
        <v>Unknown</v>
      </c>
      <c r="I14" s="421" t="str">
        <f t="shared" si="16"/>
        <v>City of Orlando Stormwater Utility + EPA Grant</v>
      </c>
      <c r="J14" s="421" t="str">
        <f t="shared" si="16"/>
        <v>Planned and Funded</v>
      </c>
      <c r="K14" s="421" t="str">
        <f t="shared" si="16"/>
        <v>February 2014</v>
      </c>
      <c r="L14" s="421" t="str">
        <f t="shared" si="16"/>
        <v>December 2014</v>
      </c>
      <c r="M14" s="423">
        <f t="shared" si="1"/>
        <v>5.0000000000000001E-4</v>
      </c>
      <c r="N14" s="293">
        <f t="shared" si="2"/>
        <v>0.5</v>
      </c>
      <c r="O14" s="423">
        <f t="shared" si="3"/>
        <v>1.66E-2</v>
      </c>
      <c r="P14" s="424">
        <f t="shared" si="4"/>
        <v>16.600000000000001</v>
      </c>
    </row>
    <row r="15" spans="1:16" ht="145.5" thickTop="1" thickBot="1" x14ac:dyDescent="0.3">
      <c r="A15" s="420" t="str">
        <f t="shared" ref="A15:L15" si="17">A133</f>
        <v>ORL-7</v>
      </c>
      <c r="B15" s="421" t="str">
        <f t="shared" si="17"/>
        <v>Cemex-South Division Avenue Roadway and Drainage Improvements</v>
      </c>
      <c r="C15" s="421" t="str">
        <f t="shared" si="17"/>
        <v>City of Orlando</v>
      </c>
      <c r="D15" s="421" t="str">
        <f t="shared" si="17"/>
        <v>2nd generation baffle box</v>
      </c>
      <c r="E15" s="421" t="str">
        <f t="shared" si="17"/>
        <v>Pave unimproved access road to industrial park and install baffle box to capture sediment; install curbing along additional areas of Division Avenue to allow street sweepers to effectively capture more sediment in the Lake Holden basin.</v>
      </c>
      <c r="F15" s="422">
        <f t="shared" si="17"/>
        <v>52.6</v>
      </c>
      <c r="G15" s="292">
        <f t="shared" si="17"/>
        <v>1500000</v>
      </c>
      <c r="H15" s="292" t="str">
        <f t="shared" si="17"/>
        <v>Unknown</v>
      </c>
      <c r="I15" s="421" t="str">
        <f t="shared" si="17"/>
        <v>City of Orlando Stormwater Utility</v>
      </c>
      <c r="J15" s="421" t="str">
        <f t="shared" si="17"/>
        <v>Planned and Funded</v>
      </c>
      <c r="K15" s="421" t="str">
        <f t="shared" si="17"/>
        <v>July 2014</v>
      </c>
      <c r="L15" s="421" t="str">
        <f t="shared" si="17"/>
        <v>April 2015</v>
      </c>
      <c r="M15" s="423">
        <f t="shared" si="1"/>
        <v>1.2999999999999999E-3</v>
      </c>
      <c r="N15" s="293">
        <f t="shared" si="2"/>
        <v>1.3</v>
      </c>
      <c r="O15" s="423">
        <f t="shared" si="3"/>
        <v>1.2699999999999999E-2</v>
      </c>
      <c r="P15" s="424">
        <f t="shared" si="4"/>
        <v>12.7</v>
      </c>
    </row>
    <row r="16" spans="1:16" ht="97.5" thickTop="1" thickBot="1" x14ac:dyDescent="0.3">
      <c r="A16" s="420" t="str">
        <f t="shared" ref="A16:L16" si="18">A134</f>
        <v>ORL-8</v>
      </c>
      <c r="B16" s="421" t="str">
        <f t="shared" si="18"/>
        <v>Lake Pineloch Basin Inlet Baskets</v>
      </c>
      <c r="C16" s="421" t="str">
        <f t="shared" si="18"/>
        <v>City of Orlando</v>
      </c>
      <c r="D16" s="421" t="str">
        <f t="shared" si="18"/>
        <v>Catch basin inserts/inlet filters</v>
      </c>
      <c r="E16" s="421" t="str">
        <f t="shared" si="18"/>
        <v>32 inlet baskets installed to remove gross pollutants, including organic debris, sediment and litter.  27.7 cubic yards/yr of material collected.</v>
      </c>
      <c r="F16" s="422" t="str">
        <f t="shared" si="18"/>
        <v>N/A</v>
      </c>
      <c r="G16" s="292">
        <f t="shared" si="18"/>
        <v>40480</v>
      </c>
      <c r="H16" s="292">
        <f t="shared" si="18"/>
        <v>10444</v>
      </c>
      <c r="I16" s="421" t="str">
        <f t="shared" si="18"/>
        <v>City of Orlando Stormwater Utility</v>
      </c>
      <c r="J16" s="421" t="str">
        <f t="shared" si="18"/>
        <v>Ongoing</v>
      </c>
      <c r="K16" s="421" t="str">
        <f t="shared" si="18"/>
        <v>N/A</v>
      </c>
      <c r="L16" s="421" t="str">
        <f t="shared" si="18"/>
        <v>Ongoing</v>
      </c>
      <c r="M16" s="423">
        <f t="shared" si="1"/>
        <v>5.7999999999999996E-3</v>
      </c>
      <c r="N16" s="293">
        <f t="shared" si="2"/>
        <v>5.8</v>
      </c>
      <c r="O16" s="423">
        <f t="shared" si="3"/>
        <v>1.72E-2</v>
      </c>
      <c r="P16" s="424">
        <f t="shared" si="4"/>
        <v>17.2</v>
      </c>
    </row>
    <row r="17" spans="1:16" ht="97.5" thickTop="1" thickBot="1" x14ac:dyDescent="0.3">
      <c r="A17" s="420" t="str">
        <f t="shared" ref="A17:L17" si="19">A135</f>
        <v>ORL-9</v>
      </c>
      <c r="B17" s="421" t="str">
        <f t="shared" si="19"/>
        <v>Clear Lake Basin Inlet Baskets</v>
      </c>
      <c r="C17" s="421" t="str">
        <f t="shared" si="19"/>
        <v>City of Orlando</v>
      </c>
      <c r="D17" s="421" t="str">
        <f t="shared" si="19"/>
        <v>Catch basin inserts/inlet filters</v>
      </c>
      <c r="E17" s="421" t="str">
        <f t="shared" si="19"/>
        <v>29 inlet baskets installed to remove gross pollutants, including organic debris, sediment and litter.  32.39cubic yards/year of material collected.</v>
      </c>
      <c r="F17" s="422" t="str">
        <f t="shared" si="19"/>
        <v>N/A</v>
      </c>
      <c r="G17" s="292">
        <f t="shared" si="19"/>
        <v>8550</v>
      </c>
      <c r="H17" s="292">
        <f t="shared" si="19"/>
        <v>9400</v>
      </c>
      <c r="I17" s="421" t="str">
        <f t="shared" si="19"/>
        <v>City of Orlando</v>
      </c>
      <c r="J17" s="421" t="str">
        <f t="shared" si="19"/>
        <v>Ongoing</v>
      </c>
      <c r="K17" s="421" t="str">
        <f t="shared" si="19"/>
        <v>N/A</v>
      </c>
      <c r="L17" s="421" t="str">
        <f t="shared" si="19"/>
        <v>Ongoing</v>
      </c>
      <c r="M17" s="423">
        <f t="shared" si="1"/>
        <v>6.7000000000000002E-3</v>
      </c>
      <c r="N17" s="293">
        <f t="shared" si="2"/>
        <v>6.7</v>
      </c>
      <c r="O17" s="423">
        <f t="shared" si="3"/>
        <v>2.0199999999999999E-2</v>
      </c>
      <c r="P17" s="424">
        <f t="shared" si="4"/>
        <v>20.2</v>
      </c>
    </row>
    <row r="18" spans="1:16" ht="97.5" thickTop="1" thickBot="1" x14ac:dyDescent="0.3">
      <c r="A18" s="420" t="str">
        <f t="shared" ref="A18:L18" si="20">A136</f>
        <v>ORL-10</v>
      </c>
      <c r="B18" s="421" t="str">
        <f t="shared" si="20"/>
        <v>Lake Lorna Doone Basin Inlet Baskets</v>
      </c>
      <c r="C18" s="421" t="str">
        <f t="shared" si="20"/>
        <v>City of Orlando</v>
      </c>
      <c r="D18" s="421" t="str">
        <f t="shared" si="20"/>
        <v>Catch basin inserts/inlet filters</v>
      </c>
      <c r="E18" s="421" t="str">
        <f t="shared" si="20"/>
        <v>16 inlet baskets installed to remove gross pollutants, including organic debris, sediment and litter.  31.53 cubic yards/yr of material collected.</v>
      </c>
      <c r="F18" s="422" t="str">
        <f t="shared" si="20"/>
        <v>N/A</v>
      </c>
      <c r="G18" s="292">
        <f t="shared" si="20"/>
        <v>17755</v>
      </c>
      <c r="H18" s="292">
        <f t="shared" si="20"/>
        <v>5222</v>
      </c>
      <c r="I18" s="421" t="str">
        <f t="shared" si="20"/>
        <v>City of Orlando</v>
      </c>
      <c r="J18" s="421" t="str">
        <f t="shared" si="20"/>
        <v>Ongoing</v>
      </c>
      <c r="K18" s="421" t="str">
        <f t="shared" si="20"/>
        <v>N/A</v>
      </c>
      <c r="L18" s="421" t="str">
        <f t="shared" si="20"/>
        <v>Ongoing</v>
      </c>
      <c r="M18" s="423">
        <f t="shared" si="1"/>
        <v>6.4999999999999997E-3</v>
      </c>
      <c r="N18" s="293">
        <f t="shared" si="2"/>
        <v>6.5</v>
      </c>
      <c r="O18" s="423">
        <f t="shared" si="3"/>
        <v>1.9600000000000003E-2</v>
      </c>
      <c r="P18" s="424">
        <f t="shared" si="4"/>
        <v>19.600000000000001</v>
      </c>
    </row>
    <row r="19" spans="1:16" ht="97.5" thickTop="1" thickBot="1" x14ac:dyDescent="0.3">
      <c r="A19" s="420" t="str">
        <f t="shared" ref="A19:L19" si="21">A137</f>
        <v>ORL-11</v>
      </c>
      <c r="B19" s="421" t="str">
        <f t="shared" si="21"/>
        <v>Lake Mann Basin Inlet Baskets</v>
      </c>
      <c r="C19" s="421" t="str">
        <f t="shared" si="21"/>
        <v>City of Orlando</v>
      </c>
      <c r="D19" s="421" t="str">
        <f t="shared" si="21"/>
        <v>Catch basin inserts/inlet filters</v>
      </c>
      <c r="E19" s="421" t="str">
        <f t="shared" si="21"/>
        <v>44 inlet baskets installed to remove gross pollutants, including organic debris, sediment and litter.  53.29 cubic yards/yr of material collected.</v>
      </c>
      <c r="F19" s="422" t="str">
        <f t="shared" si="21"/>
        <v>N/A</v>
      </c>
      <c r="G19" s="292">
        <f t="shared" si="21"/>
        <v>48826</v>
      </c>
      <c r="H19" s="292">
        <f t="shared" si="21"/>
        <v>143616</v>
      </c>
      <c r="I19" s="421" t="str">
        <f t="shared" si="21"/>
        <v>City of Orlando</v>
      </c>
      <c r="J19" s="421" t="str">
        <f t="shared" si="21"/>
        <v>Ongoing</v>
      </c>
      <c r="K19" s="421" t="str">
        <f t="shared" si="21"/>
        <v>N/A</v>
      </c>
      <c r="L19" s="421" t="str">
        <f t="shared" si="21"/>
        <v>Ongoing</v>
      </c>
      <c r="M19" s="423">
        <f t="shared" si="1"/>
        <v>1.0999999999999999E-2</v>
      </c>
      <c r="N19" s="293">
        <f t="shared" si="2"/>
        <v>11</v>
      </c>
      <c r="O19" s="423">
        <f t="shared" si="3"/>
        <v>3.32E-2</v>
      </c>
      <c r="P19" s="424">
        <f t="shared" si="4"/>
        <v>33.200000000000003</v>
      </c>
    </row>
    <row r="20" spans="1:16" ht="97.5" thickTop="1" thickBot="1" x14ac:dyDescent="0.3">
      <c r="A20" s="420" t="str">
        <f t="shared" ref="A20:L20" si="22">A138</f>
        <v>ORL-12</v>
      </c>
      <c r="B20" s="421" t="str">
        <f t="shared" si="22"/>
        <v>Lake Rabama Basin Inlet Baskets</v>
      </c>
      <c r="C20" s="421" t="str">
        <f t="shared" si="22"/>
        <v>City of Orlando</v>
      </c>
      <c r="D20" s="421" t="str">
        <f t="shared" si="22"/>
        <v>Catch basin inserts/inlet filters</v>
      </c>
      <c r="E20" s="421" t="str">
        <f t="shared" si="22"/>
        <v>16 inlet baskets installed to remove gross pollutants, including organic debris, sediment and litter.  24.5cubic yards/yr of material collected.</v>
      </c>
      <c r="F20" s="422" t="str">
        <f t="shared" si="22"/>
        <v>N/A</v>
      </c>
      <c r="G20" s="292">
        <f t="shared" si="22"/>
        <v>14720</v>
      </c>
      <c r="H20" s="292">
        <f t="shared" si="22"/>
        <v>5222</v>
      </c>
      <c r="I20" s="421" t="str">
        <f t="shared" si="22"/>
        <v>City of Orlando</v>
      </c>
      <c r="J20" s="421" t="str">
        <f t="shared" si="22"/>
        <v>Ongoing</v>
      </c>
      <c r="K20" s="421" t="str">
        <f t="shared" si="22"/>
        <v>N/A</v>
      </c>
      <c r="L20" s="421" t="str">
        <f t="shared" si="22"/>
        <v>Ongoing</v>
      </c>
      <c r="M20" s="423">
        <f t="shared" si="1"/>
        <v>5.0999999999999995E-3</v>
      </c>
      <c r="N20" s="293">
        <f t="shared" si="2"/>
        <v>5.0999999999999996</v>
      </c>
      <c r="O20" s="423">
        <f t="shared" si="3"/>
        <v>1.52E-2</v>
      </c>
      <c r="P20" s="424">
        <f t="shared" si="4"/>
        <v>15.2</v>
      </c>
    </row>
    <row r="21" spans="1:16" ht="97.5" thickTop="1" thickBot="1" x14ac:dyDescent="0.3">
      <c r="A21" s="420" t="str">
        <f t="shared" ref="A21:L21" si="23">A139</f>
        <v>ORL-13</v>
      </c>
      <c r="B21" s="421" t="str">
        <f t="shared" si="23"/>
        <v>Rock Lake Basin Inlet Baskets</v>
      </c>
      <c r="C21" s="421" t="str">
        <f t="shared" si="23"/>
        <v>City of Orlando</v>
      </c>
      <c r="D21" s="421" t="str">
        <f t="shared" si="23"/>
        <v>Catch basin inserts/inlet filters</v>
      </c>
      <c r="E21" s="421" t="str">
        <f t="shared" si="23"/>
        <v>10 inlet baskets installed to remove gross pollutants, including organic debris, sediment and litter.  20.06 cubic yards/yr of material collected.</v>
      </c>
      <c r="F21" s="422" t="str">
        <f t="shared" si="23"/>
        <v>N/A</v>
      </c>
      <c r="G21" s="292">
        <f t="shared" si="23"/>
        <v>8550</v>
      </c>
      <c r="H21" s="292">
        <f t="shared" si="23"/>
        <v>3264</v>
      </c>
      <c r="I21" s="421" t="str">
        <f t="shared" si="23"/>
        <v>City of Orlando</v>
      </c>
      <c r="J21" s="421" t="str">
        <f t="shared" si="23"/>
        <v>Ongoing</v>
      </c>
      <c r="K21" s="421" t="str">
        <f t="shared" si="23"/>
        <v>N/A</v>
      </c>
      <c r="L21" s="421" t="str">
        <f t="shared" si="23"/>
        <v>Ongoing</v>
      </c>
      <c r="M21" s="423">
        <f t="shared" si="1"/>
        <v>4.2000000000000006E-3</v>
      </c>
      <c r="N21" s="293">
        <f t="shared" si="2"/>
        <v>4.2</v>
      </c>
      <c r="O21" s="423">
        <f t="shared" si="3"/>
        <v>1.2500000000000001E-2</v>
      </c>
      <c r="P21" s="424">
        <f t="shared" si="4"/>
        <v>12.5</v>
      </c>
    </row>
    <row r="22" spans="1:16" ht="97.5" thickTop="1" thickBot="1" x14ac:dyDescent="0.3">
      <c r="A22" s="420" t="str">
        <f t="shared" ref="A22:L22" si="24">A140</f>
        <v>ORL-14</v>
      </c>
      <c r="B22" s="421" t="str">
        <f t="shared" si="24"/>
        <v>Lake Sunset Basin Inlet Baskets</v>
      </c>
      <c r="C22" s="421" t="str">
        <f t="shared" si="24"/>
        <v>City of Orlando</v>
      </c>
      <c r="D22" s="421" t="str">
        <f t="shared" si="24"/>
        <v>Catch basin inserts/inlet filters</v>
      </c>
      <c r="E22" s="421" t="str">
        <f t="shared" si="24"/>
        <v>8 inlet baskets installed to remove gross pollutants, including organic debris, sediment and litter.  36.45 cubic yards/yr of material collected.</v>
      </c>
      <c r="F22" s="422" t="str">
        <f t="shared" si="24"/>
        <v>N/A</v>
      </c>
      <c r="G22" s="292">
        <f t="shared" si="24"/>
        <v>8550</v>
      </c>
      <c r="H22" s="292">
        <f t="shared" si="24"/>
        <v>2611</v>
      </c>
      <c r="I22" s="421" t="str">
        <f t="shared" si="24"/>
        <v>City of Orlando</v>
      </c>
      <c r="J22" s="421" t="str">
        <f t="shared" si="24"/>
        <v>Ongoing</v>
      </c>
      <c r="K22" s="421" t="str">
        <f t="shared" si="24"/>
        <v>N/A</v>
      </c>
      <c r="L22" s="421" t="str">
        <f t="shared" si="24"/>
        <v>Ongoing</v>
      </c>
      <c r="M22" s="423">
        <f t="shared" si="1"/>
        <v>7.6E-3</v>
      </c>
      <c r="N22" s="293">
        <f t="shared" si="2"/>
        <v>7.6</v>
      </c>
      <c r="O22" s="423">
        <f t="shared" si="3"/>
        <v>2.2699999999999998E-2</v>
      </c>
      <c r="P22" s="424">
        <f t="shared" si="4"/>
        <v>22.7</v>
      </c>
    </row>
    <row r="23" spans="1:16" ht="97.5" thickTop="1" thickBot="1" x14ac:dyDescent="0.3">
      <c r="A23" s="420" t="str">
        <f t="shared" ref="A23:L23" si="25">A141</f>
        <v>ORL-15</v>
      </c>
      <c r="B23" s="421" t="str">
        <f t="shared" si="25"/>
        <v xml:space="preserve">Walker Lagoon Basin Inlet Baskets </v>
      </c>
      <c r="C23" s="421" t="str">
        <f t="shared" si="25"/>
        <v>City of Orlando</v>
      </c>
      <c r="D23" s="421" t="str">
        <f t="shared" si="25"/>
        <v>Catch basin inserts/inlet filters</v>
      </c>
      <c r="E23" s="421" t="str">
        <f t="shared" si="25"/>
        <v>16 inlet baskets installed to remove gross pollutants, including organic debris, sediment and litter.  31.9 cubic yards/yr of material collected.</v>
      </c>
      <c r="F23" s="422" t="str">
        <f t="shared" si="25"/>
        <v>N/A</v>
      </c>
      <c r="G23" s="292">
        <f t="shared" si="25"/>
        <v>17755</v>
      </c>
      <c r="H23" s="292">
        <f t="shared" si="25"/>
        <v>5222</v>
      </c>
      <c r="I23" s="421" t="str">
        <f t="shared" si="25"/>
        <v>City Orlando</v>
      </c>
      <c r="J23" s="421" t="str">
        <f t="shared" si="25"/>
        <v>Ongoing</v>
      </c>
      <c r="K23" s="421" t="str">
        <f t="shared" si="25"/>
        <v>N/A</v>
      </c>
      <c r="L23" s="421" t="str">
        <f t="shared" si="25"/>
        <v>Ongoing</v>
      </c>
      <c r="M23" s="423">
        <f t="shared" si="1"/>
        <v>6.6E-3</v>
      </c>
      <c r="N23" s="293">
        <f t="shared" si="2"/>
        <v>6.6</v>
      </c>
      <c r="O23" s="423">
        <f t="shared" si="3"/>
        <v>1.9899999999999998E-2</v>
      </c>
      <c r="P23" s="424">
        <f t="shared" si="4"/>
        <v>19.899999999999999</v>
      </c>
    </row>
    <row r="24" spans="1:16" ht="61.5" thickTop="1" thickBot="1" x14ac:dyDescent="0.3">
      <c r="A24" s="420" t="str">
        <f t="shared" ref="A24:L24" si="26">A142</f>
        <v>ORL-16</v>
      </c>
      <c r="B24" s="421" t="str">
        <f t="shared" si="26"/>
        <v>Street Sweeping</v>
      </c>
      <c r="C24" s="421" t="str">
        <f t="shared" si="26"/>
        <v>City of Orlando</v>
      </c>
      <c r="D24" s="421" t="str">
        <f t="shared" si="26"/>
        <v>Street sweeping</v>
      </c>
      <c r="E24" s="421" t="str">
        <f t="shared" si="26"/>
        <v>Street sweeping within all public roads in city limits.  2,682,8967 lbs/yr of material collected.</v>
      </c>
      <c r="F24" s="422" t="str">
        <f t="shared" si="26"/>
        <v>N/A</v>
      </c>
      <c r="G24" s="292" t="str">
        <f t="shared" si="26"/>
        <v>See annual O&amp;M</v>
      </c>
      <c r="H24" s="292">
        <f t="shared" si="26"/>
        <v>1800000</v>
      </c>
      <c r="I24" s="421" t="str">
        <f t="shared" si="26"/>
        <v>City of Orlando Stormwater Utility</v>
      </c>
      <c r="J24" s="421" t="str">
        <f t="shared" si="26"/>
        <v>Ongoing</v>
      </c>
      <c r="K24" s="421" t="str">
        <f t="shared" si="26"/>
        <v>N/A</v>
      </c>
      <c r="L24" s="421" t="str">
        <f t="shared" si="26"/>
        <v>Ongoing</v>
      </c>
      <c r="M24" s="423">
        <f t="shared" si="1"/>
        <v>8.9599999999999999E-2</v>
      </c>
      <c r="N24" s="293">
        <f t="shared" si="2"/>
        <v>89.6</v>
      </c>
      <c r="O24" s="423">
        <f t="shared" si="3"/>
        <v>0.2576</v>
      </c>
      <c r="P24" s="424">
        <f t="shared" si="4"/>
        <v>257.60000000000002</v>
      </c>
    </row>
    <row r="25" spans="1:16" ht="85.5" thickTop="1" thickBot="1" x14ac:dyDescent="0.3">
      <c r="A25" s="420" t="str">
        <f t="shared" ref="A25:L25" si="27">A143</f>
        <v>ORL-17</v>
      </c>
      <c r="B25" s="421" t="str">
        <f t="shared" si="27"/>
        <v>Public Education</v>
      </c>
      <c r="C25" s="421" t="str">
        <f t="shared" si="27"/>
        <v>City of Orlando</v>
      </c>
      <c r="D25" s="421" t="str">
        <f t="shared" si="27"/>
        <v>Public education</v>
      </c>
      <c r="E25" s="421" t="str">
        <f t="shared" si="27"/>
        <v>FYN; landscaping, irrigation, and pet waste management ordinances; PSAs; pamphlets; website; and illicit discharge program.</v>
      </c>
      <c r="F25" s="422" t="str">
        <f t="shared" si="27"/>
        <v>N/A</v>
      </c>
      <c r="G25" s="292" t="str">
        <f t="shared" si="27"/>
        <v>See annual O&amp;M</v>
      </c>
      <c r="H25" s="292">
        <f t="shared" si="27"/>
        <v>80000</v>
      </c>
      <c r="I25" s="421" t="str">
        <f t="shared" si="27"/>
        <v>City of Orlando Stormwater Utility</v>
      </c>
      <c r="J25" s="421" t="str">
        <f t="shared" si="27"/>
        <v>Ongoing</v>
      </c>
      <c r="K25" s="421" t="str">
        <f t="shared" si="27"/>
        <v>N/A</v>
      </c>
      <c r="L25" s="421" t="str">
        <f t="shared" si="27"/>
        <v>Ongoing</v>
      </c>
      <c r="M25" s="423">
        <f t="shared" si="1"/>
        <v>0.20669999999999999</v>
      </c>
      <c r="N25" s="293">
        <f t="shared" si="2"/>
        <v>206.7</v>
      </c>
      <c r="O25" s="423">
        <f t="shared" si="3"/>
        <v>3.44</v>
      </c>
      <c r="P25" s="424">
        <f t="shared" si="4"/>
        <v>3440</v>
      </c>
    </row>
    <row r="26" spans="1:16" ht="145.5" thickTop="1" thickBot="1" x14ac:dyDescent="0.3">
      <c r="A26" s="420" t="str">
        <f t="shared" ref="A26:L26" si="28">A144</f>
        <v>FDOT5-1</v>
      </c>
      <c r="B26" s="421" t="str">
        <f t="shared" si="28"/>
        <v>239266-B State Road 15 (Hoffner Road) From North of Lee Vista Boulevard to West of State Road 436 (Pond 2)</v>
      </c>
      <c r="C26" s="421" t="str">
        <f t="shared" si="28"/>
        <v>FDOT District 5</v>
      </c>
      <c r="D26" s="421" t="str">
        <f t="shared" si="28"/>
        <v>Wet detention pond</v>
      </c>
      <c r="E26" s="421" t="str">
        <f t="shared" si="28"/>
        <v>Add lanes and reconstruct.</v>
      </c>
      <c r="F26" s="422">
        <f t="shared" si="28"/>
        <v>4.8</v>
      </c>
      <c r="G26" s="292" t="str">
        <f t="shared" si="28"/>
        <v>Unknown</v>
      </c>
      <c r="H26" s="292" t="str">
        <f t="shared" si="28"/>
        <v>Unknown</v>
      </c>
      <c r="I26" s="421" t="str">
        <f t="shared" si="28"/>
        <v>Florida Legislative</v>
      </c>
      <c r="J26" s="421" t="str">
        <f t="shared" si="28"/>
        <v>Planned and Funded</v>
      </c>
      <c r="K26" s="421" t="str">
        <f t="shared" si="28"/>
        <v>Estimated Start – Summer 2015</v>
      </c>
      <c r="L26" s="421" t="str">
        <f t="shared" si="28"/>
        <v>Unknown</v>
      </c>
      <c r="M26" s="423">
        <f t="shared" si="1"/>
        <v>1E-4</v>
      </c>
      <c r="N26" s="293">
        <f t="shared" si="2"/>
        <v>0.1</v>
      </c>
      <c r="O26" s="423">
        <f t="shared" si="3"/>
        <v>2.9999999999999997E-4</v>
      </c>
      <c r="P26" s="424">
        <f t="shared" si="4"/>
        <v>0.3</v>
      </c>
    </row>
    <row r="27" spans="1:16" ht="121.5" thickTop="1" thickBot="1" x14ac:dyDescent="0.3">
      <c r="A27" s="420" t="str">
        <f t="shared" ref="A27:L27" si="29">A145</f>
        <v>FDOT5-2</v>
      </c>
      <c r="B27" s="421" t="str">
        <f t="shared" si="29"/>
        <v>239266-A State Road 15 Hoffner Ave From West of State Road 436 to Conway Road (Pond 1)</v>
      </c>
      <c r="C27" s="421" t="str">
        <f t="shared" si="29"/>
        <v>FDOT District 5</v>
      </c>
      <c r="D27" s="421" t="str">
        <f t="shared" si="29"/>
        <v>Wet detention pond</v>
      </c>
      <c r="E27" s="421" t="str">
        <f t="shared" si="29"/>
        <v>Add lanes and reconstruct.</v>
      </c>
      <c r="F27" s="422">
        <f t="shared" si="29"/>
        <v>3.6</v>
      </c>
      <c r="G27" s="292" t="str">
        <f t="shared" si="29"/>
        <v>Unknown</v>
      </c>
      <c r="H27" s="292" t="str">
        <f t="shared" si="29"/>
        <v>Unknown</v>
      </c>
      <c r="I27" s="421" t="str">
        <f t="shared" si="29"/>
        <v>Florida Legislative</v>
      </c>
      <c r="J27" s="421" t="str">
        <f t="shared" si="29"/>
        <v>Planned and Funded</v>
      </c>
      <c r="K27" s="421" t="str">
        <f t="shared" si="29"/>
        <v>Estimated Start – Summer 2015</v>
      </c>
      <c r="L27" s="421" t="str">
        <f t="shared" si="29"/>
        <v>Unknown</v>
      </c>
      <c r="M27" s="423">
        <f t="shared" si="1"/>
        <v>1E-4</v>
      </c>
      <c r="N27" s="293">
        <f t="shared" si="2"/>
        <v>0.1</v>
      </c>
      <c r="O27" s="423">
        <f t="shared" si="3"/>
        <v>8.9999999999999998E-4</v>
      </c>
      <c r="P27" s="424">
        <f t="shared" si="4"/>
        <v>0.9</v>
      </c>
    </row>
    <row r="28" spans="1:16" ht="121.5" thickTop="1" thickBot="1" x14ac:dyDescent="0.3">
      <c r="A28" s="420" t="str">
        <f t="shared" ref="A28:L28" si="30">A146</f>
        <v>FDOT5-3</v>
      </c>
      <c r="B28" s="421" t="str">
        <f t="shared" si="30"/>
        <v>239266-C State Road 15 Hoffner Avenue From West of State 436 to Conway Road (Pond 3)</v>
      </c>
      <c r="C28" s="421" t="str">
        <f t="shared" si="30"/>
        <v>FDOT District 5</v>
      </c>
      <c r="D28" s="421" t="str">
        <f t="shared" si="30"/>
        <v>Wet detention pond</v>
      </c>
      <c r="E28" s="421" t="str">
        <f t="shared" si="30"/>
        <v>Add lanes and reconstruct.</v>
      </c>
      <c r="F28" s="422">
        <f t="shared" si="30"/>
        <v>11.9</v>
      </c>
      <c r="G28" s="292" t="str">
        <f t="shared" si="30"/>
        <v>Unknown</v>
      </c>
      <c r="H28" s="292" t="str">
        <f t="shared" si="30"/>
        <v>Unknown</v>
      </c>
      <c r="I28" s="421" t="str">
        <f t="shared" si="30"/>
        <v>Florida Legislative</v>
      </c>
      <c r="J28" s="421" t="str">
        <f t="shared" si="30"/>
        <v>Planned and Funded</v>
      </c>
      <c r="K28" s="421" t="str">
        <f t="shared" si="30"/>
        <v>Estimated Start – Summer 2015</v>
      </c>
      <c r="L28" s="421" t="str">
        <f t="shared" si="30"/>
        <v>Unknown</v>
      </c>
      <c r="M28" s="423">
        <f t="shared" si="1"/>
        <v>5.0000000000000001E-4</v>
      </c>
      <c r="N28" s="293">
        <f t="shared" si="2"/>
        <v>0.5</v>
      </c>
      <c r="O28" s="423">
        <f t="shared" si="3"/>
        <v>6.7000000000000002E-3</v>
      </c>
      <c r="P28" s="424">
        <f t="shared" si="4"/>
        <v>6.7</v>
      </c>
    </row>
    <row r="29" spans="1:16" ht="121.5" thickTop="1" thickBot="1" x14ac:dyDescent="0.3">
      <c r="A29" s="420" t="str">
        <f t="shared" ref="A29:L29" si="31">A147</f>
        <v>FDOT5-4</v>
      </c>
      <c r="B29" s="421" t="str">
        <f t="shared" si="31"/>
        <v>239266-D State Road 15 Hoffner Avenue From West of State Road 436 to Conway Road (Pond 4)</v>
      </c>
      <c r="C29" s="421" t="str">
        <f t="shared" si="31"/>
        <v>FDOT District 5</v>
      </c>
      <c r="D29" s="421" t="str">
        <f t="shared" si="31"/>
        <v>Wet detention pond</v>
      </c>
      <c r="E29" s="421" t="str">
        <f t="shared" si="31"/>
        <v>Add lanes and reconstruct.</v>
      </c>
      <c r="F29" s="422">
        <f t="shared" si="31"/>
        <v>11.4</v>
      </c>
      <c r="G29" s="292" t="str">
        <f t="shared" si="31"/>
        <v>Unknown</v>
      </c>
      <c r="H29" s="292" t="str">
        <f t="shared" si="31"/>
        <v>Unknown</v>
      </c>
      <c r="I29" s="421" t="str">
        <f t="shared" si="31"/>
        <v>Florida Legislative</v>
      </c>
      <c r="J29" s="421" t="str">
        <f t="shared" si="31"/>
        <v>Planned and Funded</v>
      </c>
      <c r="K29" s="421" t="str">
        <f t="shared" si="31"/>
        <v>Estimated Start – Summer 2015</v>
      </c>
      <c r="L29" s="421" t="str">
        <f t="shared" si="31"/>
        <v>Unknown</v>
      </c>
      <c r="M29" s="423">
        <f t="shared" si="1"/>
        <v>4.0000000000000002E-4</v>
      </c>
      <c r="N29" s="293">
        <f t="shared" si="2"/>
        <v>0.4</v>
      </c>
      <c r="O29" s="423">
        <f t="shared" si="3"/>
        <v>1.04E-2</v>
      </c>
      <c r="P29" s="424">
        <f t="shared" si="4"/>
        <v>10.4</v>
      </c>
    </row>
    <row r="30" spans="1:16" ht="109.5" thickTop="1" thickBot="1" x14ac:dyDescent="0.3">
      <c r="A30" s="420" t="str">
        <f t="shared" ref="A30:L30" si="32">A148</f>
        <v>FDOT5-5</v>
      </c>
      <c r="B30" s="421" t="str">
        <f t="shared" si="32"/>
        <v>239535-F State Road 50 From Good Homes Road to Pine Hills Road (Pond 4)</v>
      </c>
      <c r="C30" s="421" t="str">
        <f t="shared" si="32"/>
        <v>FDOT District 5</v>
      </c>
      <c r="D30" s="421" t="str">
        <f t="shared" si="32"/>
        <v>Dry retention</v>
      </c>
      <c r="E30" s="421" t="str">
        <f t="shared" si="32"/>
        <v>Add lanes and reconstruct.</v>
      </c>
      <c r="F30" s="422">
        <f t="shared" si="32"/>
        <v>16.399999999999999</v>
      </c>
      <c r="G30" s="292" t="str">
        <f t="shared" si="32"/>
        <v>Unknown</v>
      </c>
      <c r="H30" s="292" t="str">
        <f t="shared" si="32"/>
        <v>Unknown</v>
      </c>
      <c r="I30" s="421" t="str">
        <f t="shared" si="32"/>
        <v>Florida Legislative</v>
      </c>
      <c r="J30" s="421" t="str">
        <f t="shared" si="32"/>
        <v>Completed</v>
      </c>
      <c r="K30" s="421" t="str">
        <f t="shared" si="32"/>
        <v>Unknown</v>
      </c>
      <c r="L30" s="421" t="str">
        <f t="shared" si="32"/>
        <v>Unknown</v>
      </c>
      <c r="M30" s="423">
        <f t="shared" si="1"/>
        <v>6.9999999999999999E-4</v>
      </c>
      <c r="N30" s="293">
        <f t="shared" si="2"/>
        <v>0.7</v>
      </c>
      <c r="O30" s="423">
        <f t="shared" si="3"/>
        <v>3.8999999999999998E-3</v>
      </c>
      <c r="P30" s="424">
        <f t="shared" si="4"/>
        <v>3.9</v>
      </c>
    </row>
    <row r="31" spans="1:16" ht="133.5" thickTop="1" thickBot="1" x14ac:dyDescent="0.3">
      <c r="A31" s="420" t="str">
        <f t="shared" ref="A31:L31" si="33">A149</f>
        <v>FDOT5-6</v>
      </c>
      <c r="B31" s="421" t="str">
        <f t="shared" si="33"/>
        <v>416518-A Interstate-4 Braided Ramp from US 192 Interchange to Osceola Parkway Interchange (Pond SE-1)</v>
      </c>
      <c r="C31" s="421" t="str">
        <f t="shared" si="33"/>
        <v>FDOT District 5</v>
      </c>
      <c r="D31" s="421" t="str">
        <f t="shared" si="33"/>
        <v>Wet detention pond</v>
      </c>
      <c r="E31" s="421" t="str">
        <f t="shared" si="33"/>
        <v>New road construction.</v>
      </c>
      <c r="F31" s="422">
        <f t="shared" si="33"/>
        <v>13.8</v>
      </c>
      <c r="G31" s="292" t="str">
        <f t="shared" si="33"/>
        <v>Unknown</v>
      </c>
      <c r="H31" s="292" t="str">
        <f t="shared" si="33"/>
        <v>Unknown</v>
      </c>
      <c r="I31" s="421" t="str">
        <f t="shared" si="33"/>
        <v>Florida Legislative</v>
      </c>
      <c r="J31" s="421" t="str">
        <f t="shared" si="33"/>
        <v>Completed</v>
      </c>
      <c r="K31" s="421" t="str">
        <f t="shared" si="33"/>
        <v>Unknown</v>
      </c>
      <c r="L31" s="421" t="str">
        <f t="shared" si="33"/>
        <v>Unknown</v>
      </c>
      <c r="M31" s="423">
        <f t="shared" si="1"/>
        <v>5.0000000000000001E-4</v>
      </c>
      <c r="N31" s="293">
        <f t="shared" si="2"/>
        <v>0.5</v>
      </c>
      <c r="O31" s="423">
        <f t="shared" si="3"/>
        <v>2.3E-3</v>
      </c>
      <c r="P31" s="424">
        <f t="shared" si="4"/>
        <v>2.2999999999999998</v>
      </c>
    </row>
    <row r="32" spans="1:16" ht="133.5" thickTop="1" thickBot="1" x14ac:dyDescent="0.3">
      <c r="A32" s="420" t="str">
        <f t="shared" ref="A32:L32" si="34">A150</f>
        <v>FDOT5-7</v>
      </c>
      <c r="B32" s="421" t="str">
        <f t="shared" si="34"/>
        <v>416518-B Interstate-4 Braided Ramp from US 192 Interchange to Osceola Parkway Interchange (Pond SE-2)</v>
      </c>
      <c r="C32" s="421" t="str">
        <f t="shared" si="34"/>
        <v>FDOT District 5</v>
      </c>
      <c r="D32" s="421" t="str">
        <f t="shared" si="34"/>
        <v>Wet detention pond</v>
      </c>
      <c r="E32" s="421" t="str">
        <f t="shared" si="34"/>
        <v>New road construction.</v>
      </c>
      <c r="F32" s="422">
        <f t="shared" si="34"/>
        <v>6.1</v>
      </c>
      <c r="G32" s="292" t="str">
        <f t="shared" si="34"/>
        <v>Unknown</v>
      </c>
      <c r="H32" s="292" t="str">
        <f t="shared" si="34"/>
        <v>Unknown</v>
      </c>
      <c r="I32" s="421" t="str">
        <f t="shared" si="34"/>
        <v>Florida Legislative</v>
      </c>
      <c r="J32" s="421" t="str">
        <f t="shared" si="34"/>
        <v>Completed</v>
      </c>
      <c r="K32" s="421" t="str">
        <f t="shared" si="34"/>
        <v>Unknown</v>
      </c>
      <c r="L32" s="421" t="str">
        <f t="shared" si="34"/>
        <v>Unknown</v>
      </c>
      <c r="M32" s="423">
        <f t="shared" si="1"/>
        <v>2.0000000000000001E-4</v>
      </c>
      <c r="N32" s="293">
        <f t="shared" si="2"/>
        <v>0.2</v>
      </c>
      <c r="O32" s="423">
        <f t="shared" si="3"/>
        <v>6.9999999999999999E-4</v>
      </c>
      <c r="P32" s="424">
        <f t="shared" si="4"/>
        <v>0.7</v>
      </c>
    </row>
    <row r="33" spans="1:16" ht="109.5" thickTop="1" thickBot="1" x14ac:dyDescent="0.3">
      <c r="A33" s="420" t="str">
        <f t="shared" ref="A33:L33" si="35">A151</f>
        <v>FDOT5-8</v>
      </c>
      <c r="B33" s="421" t="str">
        <f t="shared" si="35"/>
        <v>239682-A State Road 500 (US 17-92) From Aeronautical Drive to Budinger Avenue (Pond 1)</v>
      </c>
      <c r="C33" s="421" t="str">
        <f t="shared" si="35"/>
        <v>FDOT District 5</v>
      </c>
      <c r="D33" s="421" t="str">
        <f t="shared" si="35"/>
        <v>Wet detention pond</v>
      </c>
      <c r="E33" s="421" t="str">
        <f t="shared" si="35"/>
        <v>Add lanes and rehabilitate pavement.</v>
      </c>
      <c r="F33" s="422">
        <f t="shared" si="35"/>
        <v>26.5</v>
      </c>
      <c r="G33" s="292" t="str">
        <f t="shared" si="35"/>
        <v>Unknown</v>
      </c>
      <c r="H33" s="292" t="str">
        <f t="shared" si="35"/>
        <v>Unknown</v>
      </c>
      <c r="I33" s="421" t="str">
        <f t="shared" si="35"/>
        <v>Florida Legislative</v>
      </c>
      <c r="J33" s="421" t="str">
        <f t="shared" si="35"/>
        <v>Planned and Funded</v>
      </c>
      <c r="K33" s="421" t="str">
        <f t="shared" si="35"/>
        <v>Estimated Start – Summer 2015</v>
      </c>
      <c r="L33" s="421" t="str">
        <f t="shared" si="35"/>
        <v>Unknown</v>
      </c>
      <c r="M33" s="423">
        <f t="shared" si="1"/>
        <v>8.9999999999999998E-4</v>
      </c>
      <c r="N33" s="293">
        <f t="shared" si="2"/>
        <v>0.9</v>
      </c>
      <c r="O33" s="423">
        <f t="shared" si="3"/>
        <v>6.0999999999999995E-3</v>
      </c>
      <c r="P33" s="424">
        <f t="shared" si="4"/>
        <v>6.1</v>
      </c>
    </row>
    <row r="34" spans="1:16" ht="109.5" thickTop="1" thickBot="1" x14ac:dyDescent="0.3">
      <c r="A34" s="420" t="str">
        <f t="shared" ref="A34:L34" si="36">A152</f>
        <v>FDOT5-9</v>
      </c>
      <c r="B34" s="421" t="str">
        <f t="shared" si="36"/>
        <v>239682-B State Road 500 (US 17-92) From Aeronautical Drive to Budinger Avenue (Pond 2)</v>
      </c>
      <c r="C34" s="421" t="str">
        <f t="shared" si="36"/>
        <v>FDOT District 5</v>
      </c>
      <c r="D34" s="421" t="str">
        <f t="shared" si="36"/>
        <v>Wet detention pond</v>
      </c>
      <c r="E34" s="421" t="str">
        <f t="shared" si="36"/>
        <v>Add lanes and rehabilitate pavement.</v>
      </c>
      <c r="F34" s="422">
        <f t="shared" si="36"/>
        <v>13.4</v>
      </c>
      <c r="G34" s="292" t="str">
        <f t="shared" si="36"/>
        <v>Unknown</v>
      </c>
      <c r="H34" s="292" t="str">
        <f t="shared" si="36"/>
        <v>Unknown</v>
      </c>
      <c r="I34" s="421" t="str">
        <f t="shared" si="36"/>
        <v>Florida Legislative</v>
      </c>
      <c r="J34" s="421" t="str">
        <f t="shared" si="36"/>
        <v>Planned and Funded</v>
      </c>
      <c r="K34" s="421" t="str">
        <f t="shared" si="36"/>
        <v>Estimated Start – Summer 2015</v>
      </c>
      <c r="L34" s="421" t="str">
        <f t="shared" si="36"/>
        <v>Unknown</v>
      </c>
      <c r="M34" s="423">
        <f t="shared" ref="M34:M65" si="37">N152</f>
        <v>5.0000000000000001E-4</v>
      </c>
      <c r="N34" s="293">
        <f t="shared" ref="N34:N65" si="38">M152</f>
        <v>0.5</v>
      </c>
      <c r="O34" s="423">
        <f t="shared" ref="O34:O65" si="39">P152</f>
        <v>3.5000000000000001E-3</v>
      </c>
      <c r="P34" s="424">
        <f t="shared" ref="P34:P65" si="40">O152</f>
        <v>3.5</v>
      </c>
    </row>
    <row r="35" spans="1:16" ht="109.5" thickTop="1" thickBot="1" x14ac:dyDescent="0.3">
      <c r="A35" s="420" t="str">
        <f t="shared" ref="A35:L35" si="41">A153</f>
        <v>FDOT5-10</v>
      </c>
      <c r="B35" s="421" t="str">
        <f t="shared" si="41"/>
        <v>239682-C State Road 500 (US 17-92) From Aeronautical Drive to Budinger Avenue (Pond 3)</v>
      </c>
      <c r="C35" s="421" t="str">
        <f t="shared" si="41"/>
        <v>FDOT District 5</v>
      </c>
      <c r="D35" s="421" t="str">
        <f t="shared" si="41"/>
        <v>Wet detention pond</v>
      </c>
      <c r="E35" s="421" t="str">
        <f t="shared" si="41"/>
        <v>Add lanes and rehabilitate pavement.</v>
      </c>
      <c r="F35" s="422">
        <f t="shared" si="41"/>
        <v>15.8</v>
      </c>
      <c r="G35" s="292" t="str">
        <f t="shared" si="41"/>
        <v>Unknown</v>
      </c>
      <c r="H35" s="292" t="str">
        <f t="shared" si="41"/>
        <v>Unknown</v>
      </c>
      <c r="I35" s="421" t="str">
        <f t="shared" si="41"/>
        <v>Florida Legislative</v>
      </c>
      <c r="J35" s="421" t="str">
        <f t="shared" si="41"/>
        <v>Planned and Funded</v>
      </c>
      <c r="K35" s="421" t="str">
        <f t="shared" si="41"/>
        <v>Estimated Start – Summer 2015</v>
      </c>
      <c r="L35" s="421" t="str">
        <f t="shared" si="41"/>
        <v>Unknown</v>
      </c>
      <c r="M35" s="423">
        <f t="shared" si="37"/>
        <v>5.9999999999999995E-4</v>
      </c>
      <c r="N35" s="293">
        <f t="shared" si="38"/>
        <v>0.6</v>
      </c>
      <c r="O35" s="423">
        <f t="shared" si="39"/>
        <v>3.3999999999999998E-3</v>
      </c>
      <c r="P35" s="424">
        <f t="shared" si="40"/>
        <v>3.4</v>
      </c>
    </row>
    <row r="36" spans="1:16" ht="109.5" thickTop="1" thickBot="1" x14ac:dyDescent="0.3">
      <c r="A36" s="420" t="str">
        <f t="shared" ref="A36:L36" si="42">A154</f>
        <v>FDOT5-11</v>
      </c>
      <c r="B36" s="421" t="str">
        <f t="shared" si="42"/>
        <v>239682-D State Road 500 (US 17-92) From Aeronautical Drive to Budinger Avenue (Pond 4)</v>
      </c>
      <c r="C36" s="421" t="str">
        <f t="shared" si="42"/>
        <v>FDOT District 5</v>
      </c>
      <c r="D36" s="421" t="str">
        <f t="shared" si="42"/>
        <v>Wet detention pond</v>
      </c>
      <c r="E36" s="421" t="str">
        <f t="shared" si="42"/>
        <v>Add lanes and rehabilitate pavement.</v>
      </c>
      <c r="F36" s="422">
        <f t="shared" si="42"/>
        <v>33.700000000000003</v>
      </c>
      <c r="G36" s="292" t="str">
        <f t="shared" si="42"/>
        <v>Unknown</v>
      </c>
      <c r="H36" s="292" t="str">
        <f t="shared" si="42"/>
        <v>Unknown</v>
      </c>
      <c r="I36" s="421" t="str">
        <f t="shared" si="42"/>
        <v>Florida Legislative</v>
      </c>
      <c r="J36" s="421" t="str">
        <f t="shared" si="42"/>
        <v>Planned and Funded</v>
      </c>
      <c r="K36" s="421" t="str">
        <f t="shared" si="42"/>
        <v>Estimated Start – Summer 2015</v>
      </c>
      <c r="L36" s="421" t="str">
        <f t="shared" si="42"/>
        <v>Unknown</v>
      </c>
      <c r="M36" s="423">
        <f t="shared" si="37"/>
        <v>1.1000000000000001E-3</v>
      </c>
      <c r="N36" s="293">
        <f t="shared" si="38"/>
        <v>1.1000000000000001</v>
      </c>
      <c r="O36" s="423">
        <f t="shared" si="39"/>
        <v>6.7000000000000002E-3</v>
      </c>
      <c r="P36" s="424">
        <f t="shared" si="40"/>
        <v>6.7</v>
      </c>
    </row>
    <row r="37" spans="1:16" ht="169.5" thickTop="1" thickBot="1" x14ac:dyDescent="0.3">
      <c r="A37" s="420" t="str">
        <f t="shared" ref="A37:L37" si="43">A155</f>
        <v>FDOT5-12</v>
      </c>
      <c r="B37" s="421" t="str">
        <f t="shared" si="43"/>
        <v>418403-A, B State Road 600 (US 17/92) JYP From South of Portage Street to North of Vine Street (US192) (Ponds East and West)</v>
      </c>
      <c r="C37" s="421" t="str">
        <f t="shared" si="43"/>
        <v>FDOT District 5</v>
      </c>
      <c r="D37" s="421" t="str">
        <f t="shared" si="43"/>
        <v>Wet detention pond</v>
      </c>
      <c r="E37" s="421" t="str">
        <f t="shared" si="43"/>
        <v>Add lanes and reconstruct.</v>
      </c>
      <c r="F37" s="422">
        <f t="shared" si="43"/>
        <v>14.2</v>
      </c>
      <c r="G37" s="292" t="str">
        <f t="shared" si="43"/>
        <v>Unknown</v>
      </c>
      <c r="H37" s="292" t="str">
        <f t="shared" si="43"/>
        <v>Unknown</v>
      </c>
      <c r="I37" s="421" t="str">
        <f t="shared" si="43"/>
        <v>Florida Legislative</v>
      </c>
      <c r="J37" s="421" t="str">
        <f t="shared" si="43"/>
        <v>Planned and Funded</v>
      </c>
      <c r="K37" s="421" t="str">
        <f t="shared" si="43"/>
        <v>Estimated Start – Summer 2015</v>
      </c>
      <c r="L37" s="421" t="str">
        <f t="shared" si="43"/>
        <v>Unknown</v>
      </c>
      <c r="M37" s="423">
        <f t="shared" si="37"/>
        <v>5.0000000000000001E-4</v>
      </c>
      <c r="N37" s="293">
        <f t="shared" si="38"/>
        <v>0.5</v>
      </c>
      <c r="O37" s="423">
        <f t="shared" si="39"/>
        <v>3.3999999999999998E-3</v>
      </c>
      <c r="P37" s="424">
        <f t="shared" si="40"/>
        <v>3.4</v>
      </c>
    </row>
    <row r="38" spans="1:16" ht="85.5" thickTop="1" thickBot="1" x14ac:dyDescent="0.3">
      <c r="A38" s="420" t="str">
        <f t="shared" ref="A38:L38" si="44">A156</f>
        <v>FDOT5-13</v>
      </c>
      <c r="B38" s="421" t="str">
        <f t="shared" si="44"/>
        <v>239454-A Widening of SR436 from SR528 to SR552 (Pond A)</v>
      </c>
      <c r="C38" s="421" t="str">
        <f t="shared" si="44"/>
        <v>FDOT District 5</v>
      </c>
      <c r="D38" s="421" t="str">
        <f t="shared" si="44"/>
        <v>Wet detention pond</v>
      </c>
      <c r="E38" s="421" t="str">
        <f t="shared" si="44"/>
        <v>Add lanes and reconstruct.</v>
      </c>
      <c r="F38" s="422">
        <f t="shared" si="44"/>
        <v>38.799999999999997</v>
      </c>
      <c r="G38" s="292" t="str">
        <f t="shared" si="44"/>
        <v>Unknown</v>
      </c>
      <c r="H38" s="292" t="str">
        <f t="shared" si="44"/>
        <v>Unknown</v>
      </c>
      <c r="I38" s="421" t="str">
        <f t="shared" si="44"/>
        <v>Florida Legislative</v>
      </c>
      <c r="J38" s="421" t="str">
        <f t="shared" si="44"/>
        <v>Completed</v>
      </c>
      <c r="K38" s="421" t="str">
        <f t="shared" si="44"/>
        <v>N/A</v>
      </c>
      <c r="L38" s="421" t="str">
        <f t="shared" si="44"/>
        <v>July 2010</v>
      </c>
      <c r="M38" s="423">
        <f t="shared" si="37"/>
        <v>2.9999999999999997E-4</v>
      </c>
      <c r="N38" s="293">
        <f t="shared" si="38"/>
        <v>0.3</v>
      </c>
      <c r="O38" s="423">
        <f t="shared" si="39"/>
        <v>8.9999999999999998E-4</v>
      </c>
      <c r="P38" s="424">
        <f t="shared" si="40"/>
        <v>0.9</v>
      </c>
    </row>
    <row r="39" spans="1:16" ht="85.5" thickTop="1" thickBot="1" x14ac:dyDescent="0.3">
      <c r="A39" s="420" t="str">
        <f t="shared" ref="A39:L39" si="45">A157</f>
        <v>FDOT5-14</v>
      </c>
      <c r="B39" s="421" t="str">
        <f t="shared" si="45"/>
        <v>239635-A New Bridge State Road 500 at Reedy Creek (Pond 1)</v>
      </c>
      <c r="C39" s="421" t="str">
        <f t="shared" si="45"/>
        <v>FDOT District 5</v>
      </c>
      <c r="D39" s="421" t="str">
        <f t="shared" si="45"/>
        <v>Dry retention</v>
      </c>
      <c r="E39" s="421" t="str">
        <f t="shared" si="45"/>
        <v>New bridge.</v>
      </c>
      <c r="F39" s="422">
        <f t="shared" si="45"/>
        <v>4.0999999999999996</v>
      </c>
      <c r="G39" s="292" t="str">
        <f t="shared" si="45"/>
        <v>Unknown</v>
      </c>
      <c r="H39" s="292" t="str">
        <f t="shared" si="45"/>
        <v>Unknown</v>
      </c>
      <c r="I39" s="421" t="str">
        <f t="shared" si="45"/>
        <v>Florida Legislative</v>
      </c>
      <c r="J39" s="421" t="str">
        <f t="shared" si="45"/>
        <v>Completed</v>
      </c>
      <c r="K39" s="421" t="str">
        <f t="shared" si="45"/>
        <v>N/A</v>
      </c>
      <c r="L39" s="421" t="str">
        <f t="shared" si="45"/>
        <v>July 2010</v>
      </c>
      <c r="M39" s="423">
        <f t="shared" si="37"/>
        <v>0</v>
      </c>
      <c r="N39" s="293">
        <f t="shared" si="38"/>
        <v>0</v>
      </c>
      <c r="O39" s="423">
        <f t="shared" si="39"/>
        <v>5.9999999999999995E-4</v>
      </c>
      <c r="P39" s="424">
        <f t="shared" si="40"/>
        <v>0.6</v>
      </c>
    </row>
    <row r="40" spans="1:16" ht="85.5" thickTop="1" thickBot="1" x14ac:dyDescent="0.3">
      <c r="A40" s="420" t="str">
        <f t="shared" ref="A40:L40" si="46">A158</f>
        <v>FDOT5-15</v>
      </c>
      <c r="B40" s="421" t="str">
        <f t="shared" si="46"/>
        <v>239635-B New Bridge State Road 500 at Reedy Creek (Pond 2)</v>
      </c>
      <c r="C40" s="421" t="str">
        <f t="shared" si="46"/>
        <v>FDOT District 5</v>
      </c>
      <c r="D40" s="421" t="str">
        <f t="shared" si="46"/>
        <v>Wet detention pond</v>
      </c>
      <c r="E40" s="421" t="str">
        <f t="shared" si="46"/>
        <v>New bridge.</v>
      </c>
      <c r="F40" s="422">
        <f t="shared" si="46"/>
        <v>7.6</v>
      </c>
      <c r="G40" s="292" t="str">
        <f t="shared" si="46"/>
        <v>Unknown</v>
      </c>
      <c r="H40" s="292" t="str">
        <f t="shared" si="46"/>
        <v>Unknown</v>
      </c>
      <c r="I40" s="421" t="str">
        <f t="shared" si="46"/>
        <v>Florida Legislative</v>
      </c>
      <c r="J40" s="421" t="str">
        <f t="shared" si="46"/>
        <v>Completed</v>
      </c>
      <c r="K40" s="421" t="str">
        <f t="shared" si="46"/>
        <v>N/A</v>
      </c>
      <c r="L40" s="421" t="str">
        <f t="shared" si="46"/>
        <v>July 2010</v>
      </c>
      <c r="M40" s="423">
        <f t="shared" si="37"/>
        <v>2.0000000000000001E-4</v>
      </c>
      <c r="N40" s="293">
        <f t="shared" si="38"/>
        <v>0.2</v>
      </c>
      <c r="O40" s="423">
        <f t="shared" si="39"/>
        <v>3.3999999999999998E-3</v>
      </c>
      <c r="P40" s="424">
        <f t="shared" si="40"/>
        <v>3.4</v>
      </c>
    </row>
    <row r="41" spans="1:16" ht="121.5" thickTop="1" thickBot="1" x14ac:dyDescent="0.3">
      <c r="A41" s="420" t="str">
        <f t="shared" ref="A41:L41" si="47">A159</f>
        <v>FDOT5-16</v>
      </c>
      <c r="B41" s="421" t="str">
        <f t="shared" si="47"/>
        <v>239663-A Widening of State Road 530 from State Road 535 to Hoagland Boulevard (Pond 1)</v>
      </c>
      <c r="C41" s="421" t="str">
        <f t="shared" si="47"/>
        <v>FDOT District 5</v>
      </c>
      <c r="D41" s="421" t="str">
        <f t="shared" si="47"/>
        <v>Wet detention pond</v>
      </c>
      <c r="E41" s="421" t="str">
        <f t="shared" si="47"/>
        <v>Add lanes and reconstruct.</v>
      </c>
      <c r="F41" s="422">
        <f t="shared" si="47"/>
        <v>14.6</v>
      </c>
      <c r="G41" s="292" t="str">
        <f t="shared" si="47"/>
        <v>Unknown</v>
      </c>
      <c r="H41" s="292" t="str">
        <f t="shared" si="47"/>
        <v>Unknown</v>
      </c>
      <c r="I41" s="421" t="str">
        <f t="shared" si="47"/>
        <v>Florida Legislative</v>
      </c>
      <c r="J41" s="421" t="str">
        <f t="shared" si="47"/>
        <v>Completed</v>
      </c>
      <c r="K41" s="421" t="str">
        <f t="shared" si="47"/>
        <v>N/A</v>
      </c>
      <c r="L41" s="421" t="str">
        <f t="shared" si="47"/>
        <v>June 2010</v>
      </c>
      <c r="M41" s="423">
        <f t="shared" si="37"/>
        <v>5.9999999999999995E-4</v>
      </c>
      <c r="N41" s="293">
        <f t="shared" si="38"/>
        <v>0.6</v>
      </c>
      <c r="O41" s="423">
        <f t="shared" si="39"/>
        <v>2.1000000000000003E-3</v>
      </c>
      <c r="P41" s="424">
        <f t="shared" si="40"/>
        <v>2.1</v>
      </c>
    </row>
    <row r="42" spans="1:16" ht="121.5" thickTop="1" thickBot="1" x14ac:dyDescent="0.3">
      <c r="A42" s="420" t="str">
        <f t="shared" ref="A42:L42" si="48">A160</f>
        <v>FDOT5-17</v>
      </c>
      <c r="B42" s="421" t="str">
        <f t="shared" si="48"/>
        <v>239663-B Widening of State Road 530 from State Road 535 to Hoagland Boulevard (Pond 2)</v>
      </c>
      <c r="C42" s="421" t="str">
        <f t="shared" si="48"/>
        <v>FDOT District 5</v>
      </c>
      <c r="D42" s="421" t="str">
        <f t="shared" si="48"/>
        <v>Wet detention pond</v>
      </c>
      <c r="E42" s="421" t="str">
        <f t="shared" si="48"/>
        <v>Add lanes and reconstruct.</v>
      </c>
      <c r="F42" s="422">
        <f t="shared" si="48"/>
        <v>17.899999999999999</v>
      </c>
      <c r="G42" s="292" t="str">
        <f t="shared" si="48"/>
        <v>Unknown</v>
      </c>
      <c r="H42" s="292" t="str">
        <f t="shared" si="48"/>
        <v>Unknown</v>
      </c>
      <c r="I42" s="421" t="str">
        <f t="shared" si="48"/>
        <v>Florida Legislative</v>
      </c>
      <c r="J42" s="421" t="str">
        <f t="shared" si="48"/>
        <v>Completed</v>
      </c>
      <c r="K42" s="421" t="str">
        <f t="shared" si="48"/>
        <v>N/A</v>
      </c>
      <c r="L42" s="421" t="str">
        <f t="shared" si="48"/>
        <v>June 2010</v>
      </c>
      <c r="M42" s="423">
        <f t="shared" si="37"/>
        <v>6.9999999999999999E-4</v>
      </c>
      <c r="N42" s="293">
        <f t="shared" si="38"/>
        <v>0.7</v>
      </c>
      <c r="O42" s="423">
        <f t="shared" si="39"/>
        <v>2.5999999999999999E-3</v>
      </c>
      <c r="P42" s="424">
        <f t="shared" si="40"/>
        <v>2.6</v>
      </c>
    </row>
    <row r="43" spans="1:16" ht="121.5" thickTop="1" thickBot="1" x14ac:dyDescent="0.3">
      <c r="A43" s="420" t="str">
        <f t="shared" ref="A43:L43" si="49">A161</f>
        <v>FDOT5-18</v>
      </c>
      <c r="B43" s="421" t="str">
        <f t="shared" si="49"/>
        <v>239663-C Widening of State Road 530 from State Road 535 to Hoagland Boulevard (Pond 3)</v>
      </c>
      <c r="C43" s="421" t="str">
        <f t="shared" si="49"/>
        <v>FDOT District 5</v>
      </c>
      <c r="D43" s="421" t="str">
        <f t="shared" si="49"/>
        <v>Wet detention pond</v>
      </c>
      <c r="E43" s="421" t="str">
        <f t="shared" si="49"/>
        <v>Add lanes and reconstruct.</v>
      </c>
      <c r="F43" s="422">
        <f t="shared" si="49"/>
        <v>16.899999999999999</v>
      </c>
      <c r="G43" s="292" t="str">
        <f t="shared" si="49"/>
        <v>Unknown</v>
      </c>
      <c r="H43" s="292" t="str">
        <f t="shared" si="49"/>
        <v>Unknown</v>
      </c>
      <c r="I43" s="421" t="str">
        <f t="shared" si="49"/>
        <v>Florida Legislative</v>
      </c>
      <c r="J43" s="421" t="str">
        <f t="shared" si="49"/>
        <v>Completed</v>
      </c>
      <c r="K43" s="421" t="str">
        <f t="shared" si="49"/>
        <v>N/A</v>
      </c>
      <c r="L43" s="421" t="str">
        <f t="shared" si="49"/>
        <v>June 2010</v>
      </c>
      <c r="M43" s="423">
        <f t="shared" si="37"/>
        <v>6.9999999999999999E-4</v>
      </c>
      <c r="N43" s="293">
        <f t="shared" si="38"/>
        <v>0.7</v>
      </c>
      <c r="O43" s="423">
        <f t="shared" si="39"/>
        <v>2.3E-3</v>
      </c>
      <c r="P43" s="424">
        <f t="shared" si="40"/>
        <v>2.2999999999999998</v>
      </c>
    </row>
    <row r="44" spans="1:16" ht="121.5" thickTop="1" thickBot="1" x14ac:dyDescent="0.3">
      <c r="A44" s="420" t="str">
        <f t="shared" ref="A44:L44" si="50">A162</f>
        <v>FDOT5-19</v>
      </c>
      <c r="B44" s="421" t="str">
        <f t="shared" si="50"/>
        <v>239663-D Widening of State Road 530 from State Road 535 to Hoagland Boulevard (Pond 4)</v>
      </c>
      <c r="C44" s="421" t="str">
        <f t="shared" si="50"/>
        <v>FDOT District 5</v>
      </c>
      <c r="D44" s="421" t="str">
        <f t="shared" si="50"/>
        <v>Wet detention pond</v>
      </c>
      <c r="E44" s="421" t="str">
        <f t="shared" si="50"/>
        <v>Add lanes and reconstruct.</v>
      </c>
      <c r="F44" s="422">
        <f t="shared" si="50"/>
        <v>12.6</v>
      </c>
      <c r="G44" s="292" t="str">
        <f t="shared" si="50"/>
        <v>Unknown</v>
      </c>
      <c r="H44" s="292" t="str">
        <f t="shared" si="50"/>
        <v>Unknown</v>
      </c>
      <c r="I44" s="421" t="str">
        <f t="shared" si="50"/>
        <v>Florida Legislative</v>
      </c>
      <c r="J44" s="421" t="str">
        <f t="shared" si="50"/>
        <v>Completed</v>
      </c>
      <c r="K44" s="421" t="str">
        <f t="shared" si="50"/>
        <v>N/A</v>
      </c>
      <c r="L44" s="421" t="str">
        <f t="shared" si="50"/>
        <v>June 2010</v>
      </c>
      <c r="M44" s="423">
        <f t="shared" si="37"/>
        <v>5.0000000000000001E-4</v>
      </c>
      <c r="N44" s="293">
        <f t="shared" si="38"/>
        <v>0.5</v>
      </c>
      <c r="O44" s="423">
        <f t="shared" si="39"/>
        <v>2.2000000000000001E-3</v>
      </c>
      <c r="P44" s="424">
        <f t="shared" si="40"/>
        <v>2.2000000000000002</v>
      </c>
    </row>
    <row r="45" spans="1:16" ht="97.5" thickTop="1" thickBot="1" x14ac:dyDescent="0.3">
      <c r="A45" s="420" t="str">
        <f t="shared" ref="A45:L45" si="51">A163</f>
        <v>FDOT5-20</v>
      </c>
      <c r="B45" s="421" t="str">
        <f t="shared" si="51"/>
        <v>242436-A State Road 400 Ramps at Gore Avenue Retention Pits (Pond 1 and 2)</v>
      </c>
      <c r="C45" s="421" t="str">
        <f t="shared" si="51"/>
        <v>FDOT District 5</v>
      </c>
      <c r="D45" s="421" t="str">
        <f t="shared" si="51"/>
        <v>Online dry retention</v>
      </c>
      <c r="E45" s="421" t="str">
        <f t="shared" si="51"/>
        <v>Ramps.</v>
      </c>
      <c r="F45" s="422">
        <f t="shared" si="51"/>
        <v>9.8000000000000007</v>
      </c>
      <c r="G45" s="292" t="str">
        <f t="shared" si="51"/>
        <v>Unknown</v>
      </c>
      <c r="H45" s="292" t="str">
        <f t="shared" si="51"/>
        <v>Unknown</v>
      </c>
      <c r="I45" s="421" t="str">
        <f t="shared" si="51"/>
        <v>Florida Legislative</v>
      </c>
      <c r="J45" s="421" t="str">
        <f t="shared" si="51"/>
        <v>Completed</v>
      </c>
      <c r="K45" s="421" t="str">
        <f t="shared" si="51"/>
        <v>N/A</v>
      </c>
      <c r="L45" s="421" t="str">
        <f t="shared" si="51"/>
        <v>May 2011</v>
      </c>
      <c r="M45" s="423">
        <f t="shared" si="37"/>
        <v>2.0000000000000001E-4</v>
      </c>
      <c r="N45" s="293">
        <f t="shared" si="38"/>
        <v>0.2</v>
      </c>
      <c r="O45" s="423">
        <f t="shared" si="39"/>
        <v>2.5999999999999999E-3</v>
      </c>
      <c r="P45" s="424">
        <f t="shared" si="40"/>
        <v>2.6</v>
      </c>
    </row>
    <row r="46" spans="1:16" ht="121.5" thickTop="1" thickBot="1" x14ac:dyDescent="0.3">
      <c r="A46" s="420" t="str">
        <f t="shared" ref="A46:L46" si="52">A164</f>
        <v>FDOT5-21</v>
      </c>
      <c r="B46" s="421" t="str">
        <f t="shared" si="52"/>
        <v>242484-A Widening of State Road 400 from Universal Boulevard to South Street (Pond 4)</v>
      </c>
      <c r="C46" s="421" t="str">
        <f t="shared" si="52"/>
        <v>FDOT District 5</v>
      </c>
      <c r="D46" s="421" t="str">
        <f t="shared" si="52"/>
        <v>Wet detention pond</v>
      </c>
      <c r="E46" s="421" t="str">
        <f t="shared" si="52"/>
        <v>Add lanes and reconstruct.</v>
      </c>
      <c r="F46" s="422">
        <f t="shared" si="52"/>
        <v>21.8</v>
      </c>
      <c r="G46" s="292" t="str">
        <f t="shared" si="52"/>
        <v>Unknown</v>
      </c>
      <c r="H46" s="292" t="str">
        <f t="shared" si="52"/>
        <v>Unknown</v>
      </c>
      <c r="I46" s="421" t="str">
        <f t="shared" si="52"/>
        <v>Florida Legislative</v>
      </c>
      <c r="J46" s="421" t="str">
        <f t="shared" si="52"/>
        <v>Completed</v>
      </c>
      <c r="K46" s="421" t="str">
        <f t="shared" si="52"/>
        <v>N/A</v>
      </c>
      <c r="L46" s="421" t="str">
        <f t="shared" si="52"/>
        <v>May 2011</v>
      </c>
      <c r="M46" s="423">
        <f t="shared" si="37"/>
        <v>5.9999999999999995E-4</v>
      </c>
      <c r="N46" s="293">
        <f t="shared" si="38"/>
        <v>0.6</v>
      </c>
      <c r="O46" s="423">
        <f t="shared" si="39"/>
        <v>3.0999999999999999E-3</v>
      </c>
      <c r="P46" s="424">
        <f t="shared" si="40"/>
        <v>3.1</v>
      </c>
    </row>
    <row r="47" spans="1:16" ht="85.5" thickTop="1" thickBot="1" x14ac:dyDescent="0.3">
      <c r="A47" s="420" t="str">
        <f t="shared" ref="A47:L47" si="53">A165</f>
        <v>FDOT5-22</v>
      </c>
      <c r="B47" s="421" t="str">
        <f t="shared" si="53"/>
        <v>405515-A and B State Road 400 Wet Detention Pond (Pond 1 and 2)</v>
      </c>
      <c r="C47" s="421" t="str">
        <f t="shared" si="53"/>
        <v>FDOT District 5</v>
      </c>
      <c r="D47" s="421" t="str">
        <f t="shared" si="53"/>
        <v>Wet retention</v>
      </c>
      <c r="E47" s="421" t="str">
        <f t="shared" si="53"/>
        <v>Add lanes and reconstruct.</v>
      </c>
      <c r="F47" s="422">
        <f t="shared" si="53"/>
        <v>14.8</v>
      </c>
      <c r="G47" s="292" t="str">
        <f t="shared" si="53"/>
        <v>Unknown</v>
      </c>
      <c r="H47" s="292" t="str">
        <f t="shared" si="53"/>
        <v>Unknown</v>
      </c>
      <c r="I47" s="421" t="str">
        <f t="shared" si="53"/>
        <v>Florida Legislative</v>
      </c>
      <c r="J47" s="421" t="str">
        <f t="shared" si="53"/>
        <v>Completed</v>
      </c>
      <c r="K47" s="421" t="str">
        <f t="shared" si="53"/>
        <v>N/A</v>
      </c>
      <c r="L47" s="421" t="str">
        <f t="shared" si="53"/>
        <v>June 2011</v>
      </c>
      <c r="M47" s="423">
        <f t="shared" si="37"/>
        <v>2.0000000000000001E-4</v>
      </c>
      <c r="N47" s="293">
        <f t="shared" si="38"/>
        <v>0.2</v>
      </c>
      <c r="O47" s="423">
        <f t="shared" si="39"/>
        <v>1.1999999999999999E-3</v>
      </c>
      <c r="P47" s="424">
        <f t="shared" si="40"/>
        <v>1.2</v>
      </c>
    </row>
    <row r="48" spans="1:16" ht="37.5" thickTop="1" thickBot="1" x14ac:dyDescent="0.3">
      <c r="A48" s="420" t="str">
        <f t="shared" ref="A48:L48" si="54">A166</f>
        <v>FDOT5-23</v>
      </c>
      <c r="B48" s="421" t="str">
        <f t="shared" si="54"/>
        <v>410732-B State Road 400 Swales</v>
      </c>
      <c r="C48" s="421" t="str">
        <f t="shared" si="54"/>
        <v>FDOT District 5</v>
      </c>
      <c r="D48" s="421" t="str">
        <f t="shared" si="54"/>
        <v>Dry detention</v>
      </c>
      <c r="E48" s="421" t="str">
        <f t="shared" si="54"/>
        <v>Add lanes and reconstruct.</v>
      </c>
      <c r="F48" s="422">
        <f t="shared" si="54"/>
        <v>32.200000000000003</v>
      </c>
      <c r="G48" s="292" t="str">
        <f t="shared" si="54"/>
        <v>Unknown</v>
      </c>
      <c r="H48" s="292" t="str">
        <f t="shared" si="54"/>
        <v>Unknown</v>
      </c>
      <c r="I48" s="421" t="str">
        <f t="shared" si="54"/>
        <v>Florida Legislative</v>
      </c>
      <c r="J48" s="421" t="str">
        <f t="shared" si="54"/>
        <v>Completed</v>
      </c>
      <c r="K48" s="421" t="str">
        <f t="shared" si="54"/>
        <v>N/A</v>
      </c>
      <c r="L48" s="421" t="str">
        <f t="shared" si="54"/>
        <v>November 2010</v>
      </c>
      <c r="M48" s="423">
        <f t="shared" si="37"/>
        <v>2.0000000000000001E-4</v>
      </c>
      <c r="N48" s="293">
        <f t="shared" si="38"/>
        <v>0.2</v>
      </c>
      <c r="O48" s="423">
        <f t="shared" si="39"/>
        <v>1.2999999999999999E-3</v>
      </c>
      <c r="P48" s="424">
        <f t="shared" si="40"/>
        <v>1.3</v>
      </c>
    </row>
    <row r="49" spans="1:16" ht="37.5" thickTop="1" thickBot="1" x14ac:dyDescent="0.3">
      <c r="A49" s="420" t="str">
        <f t="shared" ref="A49:L49" si="55">A167</f>
        <v>FDOT5-24</v>
      </c>
      <c r="B49" s="421" t="str">
        <f t="shared" si="55"/>
        <v>Street Sweeping</v>
      </c>
      <c r="C49" s="421" t="str">
        <f t="shared" si="55"/>
        <v>FDOT District 5</v>
      </c>
      <c r="D49" s="421" t="str">
        <f t="shared" si="55"/>
        <v>Street sweeping</v>
      </c>
      <c r="E49" s="421" t="str">
        <f t="shared" si="55"/>
        <v>Street sweeping to collect 1,507,453 lbs/yr of material.</v>
      </c>
      <c r="F49" s="422" t="str">
        <f t="shared" si="55"/>
        <v>N/A</v>
      </c>
      <c r="G49" s="292" t="str">
        <f t="shared" si="55"/>
        <v>See annual O&amp;M</v>
      </c>
      <c r="H49" s="292" t="str">
        <f t="shared" si="55"/>
        <v>Unknown</v>
      </c>
      <c r="I49" s="421" t="str">
        <f t="shared" si="55"/>
        <v>Florida Legislative</v>
      </c>
      <c r="J49" s="421" t="str">
        <f t="shared" si="55"/>
        <v>Ongoing</v>
      </c>
      <c r="K49" s="421" t="str">
        <f t="shared" si="55"/>
        <v>N/A</v>
      </c>
      <c r="L49" s="421" t="str">
        <f t="shared" si="55"/>
        <v>Ongoing</v>
      </c>
      <c r="M49" s="423">
        <f t="shared" si="37"/>
        <v>5.0299999999999997E-2</v>
      </c>
      <c r="N49" s="293">
        <f t="shared" si="38"/>
        <v>50.3</v>
      </c>
      <c r="O49" s="423">
        <f t="shared" si="39"/>
        <v>0.14480000000000001</v>
      </c>
      <c r="P49" s="424">
        <f t="shared" si="40"/>
        <v>144.80000000000001</v>
      </c>
    </row>
    <row r="50" spans="1:16" ht="61.5" thickTop="1" thickBot="1" x14ac:dyDescent="0.3">
      <c r="A50" s="420" t="str">
        <f t="shared" ref="A50:L50" si="56">A168</f>
        <v>FDOT5-25</v>
      </c>
      <c r="B50" s="421" t="str">
        <f t="shared" si="56"/>
        <v>Education and Outreach</v>
      </c>
      <c r="C50" s="421" t="str">
        <f t="shared" si="56"/>
        <v>FDOT District 5</v>
      </c>
      <c r="D50" s="421" t="str">
        <f t="shared" si="56"/>
        <v>Public education</v>
      </c>
      <c r="E50" s="421" t="str">
        <f t="shared" si="56"/>
        <v>Funding for Orange County Water Atlas website, and illicit discharge inspection and training program.</v>
      </c>
      <c r="F50" s="422" t="str">
        <f t="shared" si="56"/>
        <v>N/A</v>
      </c>
      <c r="G50" s="292" t="str">
        <f t="shared" si="56"/>
        <v>See annual O&amp;M</v>
      </c>
      <c r="H50" s="292" t="str">
        <f t="shared" si="56"/>
        <v>Unknown</v>
      </c>
      <c r="I50" s="421" t="str">
        <f t="shared" si="56"/>
        <v>Florida Legislative</v>
      </c>
      <c r="J50" s="421" t="str">
        <f t="shared" si="56"/>
        <v>Ongoing</v>
      </c>
      <c r="K50" s="421" t="str">
        <f t="shared" si="56"/>
        <v>N/A</v>
      </c>
      <c r="L50" s="421" t="str">
        <f t="shared" si="56"/>
        <v>Ongoing</v>
      </c>
      <c r="M50" s="423">
        <f t="shared" si="37"/>
        <v>1.6999999999999999E-3</v>
      </c>
      <c r="N50" s="293">
        <f t="shared" si="38"/>
        <v>1.7</v>
      </c>
      <c r="O50" s="423">
        <f t="shared" si="39"/>
        <v>1.9800000000000002E-2</v>
      </c>
      <c r="P50" s="424">
        <f t="shared" si="40"/>
        <v>19.8</v>
      </c>
    </row>
    <row r="51" spans="1:16" ht="109.5" thickTop="1" thickBot="1" x14ac:dyDescent="0.3">
      <c r="A51" s="420" t="str">
        <f t="shared" ref="A51:L51" si="57">A169</f>
        <v>OC-1</v>
      </c>
      <c r="B51" s="421" t="str">
        <f t="shared" si="57"/>
        <v>Education and Outreach</v>
      </c>
      <c r="C51" s="421" t="str">
        <f t="shared" si="57"/>
        <v>Orange County</v>
      </c>
      <c r="D51" s="421" t="str">
        <f t="shared" si="57"/>
        <v>Public education</v>
      </c>
      <c r="E51" s="421" t="str">
        <f t="shared" si="57"/>
        <v>FYN; landscaping, irrigation, fertilizer, and pet waste management ordinances; PSAs; pamphlets; Water Atlas website; and illicit discharge program.</v>
      </c>
      <c r="F51" s="422" t="str">
        <f t="shared" si="57"/>
        <v>N/A</v>
      </c>
      <c r="G51" s="292" t="str">
        <f t="shared" si="57"/>
        <v>Unknown</v>
      </c>
      <c r="H51" s="292" t="str">
        <f t="shared" si="57"/>
        <v>Unknown</v>
      </c>
      <c r="I51" s="421" t="str">
        <f t="shared" si="57"/>
        <v>Orange County</v>
      </c>
      <c r="J51" s="421" t="str">
        <f t="shared" si="57"/>
        <v>Ongoing</v>
      </c>
      <c r="K51" s="421" t="str">
        <f t="shared" si="57"/>
        <v>N/A</v>
      </c>
      <c r="L51" s="421" t="str">
        <f t="shared" si="57"/>
        <v>Ongoing</v>
      </c>
      <c r="M51" s="423">
        <f t="shared" si="37"/>
        <v>0.58610000000000007</v>
      </c>
      <c r="N51" s="293">
        <f t="shared" si="38"/>
        <v>586.1</v>
      </c>
      <c r="O51" s="423">
        <f t="shared" si="39"/>
        <v>13.247399999999999</v>
      </c>
      <c r="P51" s="424">
        <f t="shared" si="40"/>
        <v>13247.4</v>
      </c>
    </row>
    <row r="52" spans="1:16" ht="61.5" thickTop="1" thickBot="1" x14ac:dyDescent="0.3">
      <c r="A52" s="420" t="str">
        <f t="shared" ref="A52:L52" si="58">A170</f>
        <v>OC-2</v>
      </c>
      <c r="B52" s="421" t="str">
        <f t="shared" si="58"/>
        <v xml:space="preserve">Lake Conway Street Sweeping </v>
      </c>
      <c r="C52" s="421" t="str">
        <f t="shared" si="58"/>
        <v>Orange County</v>
      </c>
      <c r="D52" s="421" t="str">
        <f t="shared" si="58"/>
        <v>Street sweeping</v>
      </c>
      <c r="E52" s="421" t="str">
        <f t="shared" si="58"/>
        <v>Street sweeping of 3,827 curb miles annually.</v>
      </c>
      <c r="F52" s="422" t="str">
        <f t="shared" si="58"/>
        <v>N/A</v>
      </c>
      <c r="G52" s="292" t="str">
        <f t="shared" si="58"/>
        <v>See annual O&amp;M</v>
      </c>
      <c r="H52" s="292">
        <f t="shared" si="58"/>
        <v>44015</v>
      </c>
      <c r="I52" s="421" t="str">
        <f t="shared" si="58"/>
        <v>Lake Conway Taxing District (MSTU)</v>
      </c>
      <c r="J52" s="421" t="str">
        <f t="shared" si="58"/>
        <v>Ongoing</v>
      </c>
      <c r="K52" s="421" t="str">
        <f t="shared" si="58"/>
        <v>N/A</v>
      </c>
      <c r="L52" s="421" t="str">
        <f t="shared" si="58"/>
        <v>Ongoing</v>
      </c>
      <c r="M52" s="423">
        <f t="shared" si="37"/>
        <v>9.300000000000001E-3</v>
      </c>
      <c r="N52" s="293">
        <f t="shared" si="38"/>
        <v>9.3000000000000007</v>
      </c>
      <c r="O52" s="423">
        <f t="shared" si="39"/>
        <v>2.6699999999999998E-2</v>
      </c>
      <c r="P52" s="424">
        <f t="shared" si="40"/>
        <v>26.7</v>
      </c>
    </row>
    <row r="53" spans="1:16" ht="61.5" thickTop="1" thickBot="1" x14ac:dyDescent="0.3">
      <c r="A53" s="420" t="str">
        <f t="shared" ref="A53:L53" si="59">A171</f>
        <v>OC-3</v>
      </c>
      <c r="B53" s="421" t="str">
        <f t="shared" si="59"/>
        <v>Lake Holden Street Sweeping</v>
      </c>
      <c r="C53" s="421" t="str">
        <f t="shared" si="59"/>
        <v>Orange County</v>
      </c>
      <c r="D53" s="421" t="str">
        <f t="shared" si="59"/>
        <v>Street sweeping</v>
      </c>
      <c r="E53" s="421" t="str">
        <f t="shared" si="59"/>
        <v>Street sweeping of 942 curb miles annually.</v>
      </c>
      <c r="F53" s="422" t="str">
        <f t="shared" si="59"/>
        <v>N/A</v>
      </c>
      <c r="G53" s="292" t="str">
        <f t="shared" si="59"/>
        <v>See annual O&amp;M</v>
      </c>
      <c r="H53" s="292">
        <f t="shared" si="59"/>
        <v>15198</v>
      </c>
      <c r="I53" s="421" t="str">
        <f t="shared" si="59"/>
        <v>Lake Holden Taxing District (MSTU)</v>
      </c>
      <c r="J53" s="421" t="str">
        <f t="shared" si="59"/>
        <v>Ongoing</v>
      </c>
      <c r="K53" s="421" t="str">
        <f t="shared" si="59"/>
        <v>N/A</v>
      </c>
      <c r="L53" s="421" t="str">
        <f t="shared" si="59"/>
        <v>Ongoing</v>
      </c>
      <c r="M53" s="423">
        <f t="shared" si="37"/>
        <v>2.3E-3</v>
      </c>
      <c r="N53" s="293">
        <f t="shared" si="38"/>
        <v>2.2999999999999998</v>
      </c>
      <c r="O53" s="423">
        <f t="shared" si="39"/>
        <v>6.6E-3</v>
      </c>
      <c r="P53" s="424">
        <f t="shared" si="40"/>
        <v>6.6</v>
      </c>
    </row>
    <row r="54" spans="1:16" ht="61.5" thickTop="1" thickBot="1" x14ac:dyDescent="0.3">
      <c r="A54" s="420" t="str">
        <f t="shared" ref="A54:L54" si="60">A172</f>
        <v>OC-4</v>
      </c>
      <c r="B54" s="421" t="str">
        <f t="shared" si="60"/>
        <v>Lake Jessamine Street Sweeping</v>
      </c>
      <c r="C54" s="421" t="str">
        <f t="shared" si="60"/>
        <v>Orange County</v>
      </c>
      <c r="D54" s="421" t="str">
        <f t="shared" si="60"/>
        <v>Street sweeping</v>
      </c>
      <c r="E54" s="421" t="str">
        <f t="shared" si="60"/>
        <v>Street sweeping of 692 curb miles annually.</v>
      </c>
      <c r="F54" s="422" t="str">
        <f t="shared" si="60"/>
        <v>N/A</v>
      </c>
      <c r="G54" s="292" t="str">
        <f t="shared" si="60"/>
        <v>See annual O&amp;M</v>
      </c>
      <c r="H54" s="292">
        <f t="shared" si="60"/>
        <v>11003</v>
      </c>
      <c r="I54" s="421" t="str">
        <f t="shared" si="60"/>
        <v>Lake Jessamine Taxing District (MSTU)</v>
      </c>
      <c r="J54" s="421" t="str">
        <f t="shared" si="60"/>
        <v>Ongoing</v>
      </c>
      <c r="K54" s="421" t="str">
        <f t="shared" si="60"/>
        <v>N/A</v>
      </c>
      <c r="L54" s="421" t="str">
        <f t="shared" si="60"/>
        <v>Ongoing</v>
      </c>
      <c r="M54" s="423">
        <f t="shared" si="37"/>
        <v>1.6999999999999999E-3</v>
      </c>
      <c r="N54" s="293">
        <f t="shared" si="38"/>
        <v>1.7</v>
      </c>
      <c r="O54" s="423">
        <f t="shared" si="39"/>
        <v>4.7999999999999996E-3</v>
      </c>
      <c r="P54" s="424">
        <f t="shared" si="40"/>
        <v>4.8</v>
      </c>
    </row>
    <row r="55" spans="1:16" ht="61.5" thickTop="1" thickBot="1" x14ac:dyDescent="0.3">
      <c r="A55" s="420" t="str">
        <f t="shared" ref="A55:L55" si="61">A173</f>
        <v>OC-5</v>
      </c>
      <c r="B55" s="421" t="str">
        <f t="shared" si="61"/>
        <v>Shingle/Boggy/Hart Basin Street Sweeping</v>
      </c>
      <c r="C55" s="421" t="str">
        <f t="shared" si="61"/>
        <v>Orange County</v>
      </c>
      <c r="D55" s="421" t="str">
        <f t="shared" si="61"/>
        <v>Street sweeping</v>
      </c>
      <c r="E55" s="421" t="str">
        <f t="shared" si="61"/>
        <v>County-wide street sweeping.</v>
      </c>
      <c r="F55" s="422" t="str">
        <f t="shared" si="61"/>
        <v>N/A</v>
      </c>
      <c r="G55" s="292" t="str">
        <f t="shared" si="61"/>
        <v>See annual O&amp;M</v>
      </c>
      <c r="H55" s="292" t="str">
        <f t="shared" si="61"/>
        <v>Unknown</v>
      </c>
      <c r="I55" s="421" t="str">
        <f t="shared" si="61"/>
        <v>Orange County</v>
      </c>
      <c r="J55" s="421" t="str">
        <f t="shared" si="61"/>
        <v>Ongoing</v>
      </c>
      <c r="K55" s="421" t="str">
        <f t="shared" si="61"/>
        <v>N/A</v>
      </c>
      <c r="L55" s="421" t="str">
        <f t="shared" si="61"/>
        <v>Ongoing</v>
      </c>
      <c r="M55" s="423">
        <f t="shared" si="37"/>
        <v>6.9999999999999999E-4</v>
      </c>
      <c r="N55" s="293">
        <f t="shared" si="38"/>
        <v>0.7</v>
      </c>
      <c r="O55" s="423">
        <f t="shared" si="39"/>
        <v>2.1000000000000003E-3</v>
      </c>
      <c r="P55" s="424">
        <f t="shared" si="40"/>
        <v>2.1</v>
      </c>
    </row>
    <row r="56" spans="1:16" ht="49.5" thickTop="1" thickBot="1" x14ac:dyDescent="0.3">
      <c r="A56" s="420" t="str">
        <f t="shared" ref="A56:L56" si="62">A174</f>
        <v>OC-6</v>
      </c>
      <c r="B56" s="421" t="str">
        <f t="shared" si="62"/>
        <v>Lake Odell Curb Inlet Basket (CIB)</v>
      </c>
      <c r="C56" s="421" t="str">
        <f t="shared" si="62"/>
        <v>Orange County</v>
      </c>
      <c r="D56" s="421" t="str">
        <f t="shared" si="62"/>
        <v>CIB</v>
      </c>
      <c r="E56" s="421" t="str">
        <f t="shared" si="62"/>
        <v>Curb or grate inlet filter baskets to collect 902 lbs/yr of material.</v>
      </c>
      <c r="F56" s="422" t="str">
        <f t="shared" si="62"/>
        <v>N/A</v>
      </c>
      <c r="G56" s="292">
        <f t="shared" si="62"/>
        <v>3000</v>
      </c>
      <c r="H56" s="292">
        <f t="shared" si="62"/>
        <v>666</v>
      </c>
      <c r="I56" s="421" t="str">
        <f t="shared" si="62"/>
        <v xml:space="preserve">Orange County </v>
      </c>
      <c r="J56" s="421" t="str">
        <f t="shared" si="62"/>
        <v>Ongoing</v>
      </c>
      <c r="K56" s="421" t="str">
        <f t="shared" si="62"/>
        <v>N/A</v>
      </c>
      <c r="L56" s="421" t="str">
        <f t="shared" si="62"/>
        <v>Ongoing</v>
      </c>
      <c r="M56" s="423">
        <f t="shared" si="37"/>
        <v>0</v>
      </c>
      <c r="N56" s="293">
        <f t="shared" si="38"/>
        <v>0</v>
      </c>
      <c r="O56" s="423">
        <f t="shared" si="39"/>
        <v>1E-4</v>
      </c>
      <c r="P56" s="424">
        <f t="shared" si="40"/>
        <v>0.1</v>
      </c>
    </row>
    <row r="57" spans="1:16" ht="61.5" thickTop="1" thickBot="1" x14ac:dyDescent="0.3">
      <c r="A57" s="420" t="str">
        <f t="shared" ref="A57:L57" si="63">A175</f>
        <v>OC-7</v>
      </c>
      <c r="B57" s="421" t="str">
        <f t="shared" si="63"/>
        <v xml:space="preserve">Lake Conway CIB Existing </v>
      </c>
      <c r="C57" s="421" t="str">
        <f t="shared" si="63"/>
        <v>Orange County</v>
      </c>
      <c r="D57" s="421" t="str">
        <f t="shared" si="63"/>
        <v>CIB</v>
      </c>
      <c r="E57" s="421" t="str">
        <f t="shared" si="63"/>
        <v>Curb or grate inlet filter baskets to collect 16,169 lbs/yr of material.</v>
      </c>
      <c r="F57" s="422" t="str">
        <f t="shared" si="63"/>
        <v>N/A</v>
      </c>
      <c r="G57" s="292">
        <f t="shared" si="63"/>
        <v>50000</v>
      </c>
      <c r="H57" s="292">
        <f t="shared" si="63"/>
        <v>11000</v>
      </c>
      <c r="I57" s="421" t="str">
        <f t="shared" si="63"/>
        <v>Lake Conway Taxing District (MSTU)</v>
      </c>
      <c r="J57" s="421" t="str">
        <f t="shared" si="63"/>
        <v>Ongoing</v>
      </c>
      <c r="K57" s="421" t="str">
        <f t="shared" si="63"/>
        <v>N/A</v>
      </c>
      <c r="L57" s="421" t="str">
        <f t="shared" si="63"/>
        <v>Ongoing</v>
      </c>
      <c r="M57" s="423">
        <f t="shared" si="37"/>
        <v>4.0000000000000002E-4</v>
      </c>
      <c r="N57" s="293">
        <f t="shared" si="38"/>
        <v>0.4</v>
      </c>
      <c r="O57" s="423">
        <f t="shared" si="39"/>
        <v>2E-3</v>
      </c>
      <c r="P57" s="424">
        <f t="shared" si="40"/>
        <v>2</v>
      </c>
    </row>
    <row r="58" spans="1:16" ht="61.5" thickTop="1" thickBot="1" x14ac:dyDescent="0.3">
      <c r="A58" s="420" t="str">
        <f t="shared" ref="A58:L58" si="64">A176</f>
        <v>OC-8</v>
      </c>
      <c r="B58" s="421" t="str">
        <f t="shared" si="64"/>
        <v>Lake Conway CIB New</v>
      </c>
      <c r="C58" s="421" t="str">
        <f t="shared" si="64"/>
        <v>Orange County</v>
      </c>
      <c r="D58" s="421" t="str">
        <f t="shared" si="64"/>
        <v>CIB</v>
      </c>
      <c r="E58" s="421" t="str">
        <f t="shared" si="64"/>
        <v>Curb or grate inlet filter baskets to collect 16,872 lbs/yr of material.</v>
      </c>
      <c r="F58" s="422" t="str">
        <f t="shared" si="64"/>
        <v>N/A</v>
      </c>
      <c r="G58" s="292">
        <f t="shared" si="64"/>
        <v>37000</v>
      </c>
      <c r="H58" s="292">
        <f t="shared" si="64"/>
        <v>5328</v>
      </c>
      <c r="I58" s="421" t="str">
        <f t="shared" si="64"/>
        <v>Lake Conway Taxing District (MSTU)</v>
      </c>
      <c r="J58" s="421" t="str">
        <f t="shared" si="64"/>
        <v>Planned and Funded</v>
      </c>
      <c r="K58" s="421" t="str">
        <f t="shared" si="64"/>
        <v>N/A</v>
      </c>
      <c r="L58" s="421" t="str">
        <f t="shared" si="64"/>
        <v>Ongoing</v>
      </c>
      <c r="M58" s="423">
        <f t="shared" si="37"/>
        <v>5.0000000000000001E-4</v>
      </c>
      <c r="N58" s="293">
        <f t="shared" si="38"/>
        <v>0.5</v>
      </c>
      <c r="O58" s="423">
        <f t="shared" si="39"/>
        <v>2E-3</v>
      </c>
      <c r="P58" s="424">
        <f t="shared" si="40"/>
        <v>2</v>
      </c>
    </row>
    <row r="59" spans="1:16" ht="49.5" thickTop="1" thickBot="1" x14ac:dyDescent="0.3">
      <c r="A59" s="420" t="str">
        <f t="shared" ref="A59:L59" si="65">A177</f>
        <v>OC-9</v>
      </c>
      <c r="B59" s="421" t="str">
        <f t="shared" si="65"/>
        <v xml:space="preserve">Lake Pineloch CIB </v>
      </c>
      <c r="C59" s="421" t="str">
        <f t="shared" si="65"/>
        <v>Orange County</v>
      </c>
      <c r="D59" s="421" t="str">
        <f t="shared" si="65"/>
        <v>CIB</v>
      </c>
      <c r="E59" s="421" t="str">
        <f t="shared" si="65"/>
        <v>Curb or grate inlet filter baskets to collect 4,158 lbs/yr of material.</v>
      </c>
      <c r="F59" s="422" t="str">
        <f t="shared" si="65"/>
        <v>N/A</v>
      </c>
      <c r="G59" s="292">
        <f t="shared" si="65"/>
        <v>18000</v>
      </c>
      <c r="H59" s="292">
        <f t="shared" si="65"/>
        <v>2592</v>
      </c>
      <c r="I59" s="421" t="str">
        <f t="shared" si="65"/>
        <v>Orange County General Fund</v>
      </c>
      <c r="J59" s="421" t="str">
        <f t="shared" si="65"/>
        <v>Ongoing</v>
      </c>
      <c r="K59" s="421" t="str">
        <f t="shared" si="65"/>
        <v>N/A</v>
      </c>
      <c r="L59" s="421" t="str">
        <f t="shared" si="65"/>
        <v>Ongoing</v>
      </c>
      <c r="M59" s="423">
        <f t="shared" si="37"/>
        <v>1E-4</v>
      </c>
      <c r="N59" s="293">
        <f t="shared" si="38"/>
        <v>0.1</v>
      </c>
      <c r="O59" s="423">
        <f t="shared" si="39"/>
        <v>5.0000000000000001E-4</v>
      </c>
      <c r="P59" s="424">
        <f t="shared" si="40"/>
        <v>0.5</v>
      </c>
    </row>
    <row r="60" spans="1:16" ht="49.5" thickTop="1" thickBot="1" x14ac:dyDescent="0.3">
      <c r="A60" s="420" t="str">
        <f t="shared" ref="A60:L60" si="66">A178</f>
        <v>OC-10</v>
      </c>
      <c r="B60" s="421" t="str">
        <f t="shared" si="66"/>
        <v>Lake Anderson CIB</v>
      </c>
      <c r="C60" s="421" t="str">
        <f t="shared" si="66"/>
        <v>Orange County</v>
      </c>
      <c r="D60" s="421" t="str">
        <f t="shared" si="66"/>
        <v>CIB</v>
      </c>
      <c r="E60" s="421" t="str">
        <f t="shared" si="66"/>
        <v>Curb or grate inlet filter baskets to collect 3,364 lbs/yr of material.</v>
      </c>
      <c r="F60" s="422" t="str">
        <f t="shared" si="66"/>
        <v>N/A</v>
      </c>
      <c r="G60" s="292">
        <f t="shared" si="66"/>
        <v>10000</v>
      </c>
      <c r="H60" s="292">
        <f t="shared" si="66"/>
        <v>1440</v>
      </c>
      <c r="I60" s="421" t="str">
        <f t="shared" si="66"/>
        <v>Lake Anderson MSTU</v>
      </c>
      <c r="J60" s="421" t="str">
        <f t="shared" si="66"/>
        <v>Ongoing</v>
      </c>
      <c r="K60" s="421" t="str">
        <f t="shared" si="66"/>
        <v>N/A</v>
      </c>
      <c r="L60" s="421" t="str">
        <f t="shared" si="66"/>
        <v>Ongoing</v>
      </c>
      <c r="M60" s="423">
        <f t="shared" si="37"/>
        <v>1E-4</v>
      </c>
      <c r="N60" s="293">
        <f t="shared" si="38"/>
        <v>0.1</v>
      </c>
      <c r="O60" s="423">
        <f t="shared" si="39"/>
        <v>4.0000000000000002E-4</v>
      </c>
      <c r="P60" s="424">
        <f t="shared" si="40"/>
        <v>0.4</v>
      </c>
    </row>
    <row r="61" spans="1:16" ht="61.5" thickTop="1" thickBot="1" x14ac:dyDescent="0.3">
      <c r="A61" s="420" t="str">
        <f t="shared" ref="A61:L61" si="67">A179</f>
        <v>OC-11</v>
      </c>
      <c r="B61" s="421" t="str">
        <f t="shared" si="67"/>
        <v>Lake Holden CIB</v>
      </c>
      <c r="C61" s="421" t="str">
        <f t="shared" si="67"/>
        <v>Orange County</v>
      </c>
      <c r="D61" s="421" t="str">
        <f t="shared" si="67"/>
        <v>CIB</v>
      </c>
      <c r="E61" s="421" t="str">
        <f t="shared" si="67"/>
        <v>Curb or grate inlet filter baskets to collect 27,602 lbs/yr of material.</v>
      </c>
      <c r="F61" s="422" t="str">
        <f t="shared" si="67"/>
        <v>N/A</v>
      </c>
      <c r="G61" s="292">
        <f t="shared" si="67"/>
        <v>41000</v>
      </c>
      <c r="H61" s="292">
        <f t="shared" si="67"/>
        <v>9102</v>
      </c>
      <c r="I61" s="421" t="str">
        <f t="shared" si="67"/>
        <v>Lake Holden Taxing District (MSTU)</v>
      </c>
      <c r="J61" s="421" t="str">
        <f t="shared" si="67"/>
        <v>Ongoing</v>
      </c>
      <c r="K61" s="421" t="str">
        <f t="shared" si="67"/>
        <v>N/A</v>
      </c>
      <c r="L61" s="421" t="str">
        <f t="shared" si="67"/>
        <v>Ongoing</v>
      </c>
      <c r="M61" s="423">
        <f t="shared" si="37"/>
        <v>6.9999999999999999E-4</v>
      </c>
      <c r="N61" s="293">
        <f t="shared" si="38"/>
        <v>0.7</v>
      </c>
      <c r="O61" s="423">
        <f t="shared" si="39"/>
        <v>3.3E-3</v>
      </c>
      <c r="P61" s="424">
        <f t="shared" si="40"/>
        <v>3.3</v>
      </c>
    </row>
    <row r="62" spans="1:16" ht="61.5" thickTop="1" thickBot="1" x14ac:dyDescent="0.3">
      <c r="A62" s="420" t="str">
        <f t="shared" ref="A62:L62" si="68">A180</f>
        <v>OC-12</v>
      </c>
      <c r="B62" s="421" t="str">
        <f t="shared" si="68"/>
        <v>Lake Jessamine CIB</v>
      </c>
      <c r="C62" s="421" t="str">
        <f t="shared" si="68"/>
        <v>Orange County</v>
      </c>
      <c r="D62" s="421" t="str">
        <f t="shared" si="68"/>
        <v>CIB</v>
      </c>
      <c r="E62" s="421" t="str">
        <f t="shared" si="68"/>
        <v>Curb or grate inlet filter baskets to collect 13,025 lbs/yr of material.</v>
      </c>
      <c r="F62" s="422" t="str">
        <f t="shared" si="68"/>
        <v>N/A</v>
      </c>
      <c r="G62" s="292">
        <f t="shared" si="68"/>
        <v>110000</v>
      </c>
      <c r="H62" s="292">
        <f t="shared" si="68"/>
        <v>24420</v>
      </c>
      <c r="I62" s="421" t="str">
        <f t="shared" si="68"/>
        <v>Lake Jessamine Taxing District (MSTU)</v>
      </c>
      <c r="J62" s="421" t="str">
        <f t="shared" si="68"/>
        <v>Ongoing</v>
      </c>
      <c r="K62" s="421" t="str">
        <f t="shared" si="68"/>
        <v>N/A</v>
      </c>
      <c r="L62" s="421" t="str">
        <f t="shared" si="68"/>
        <v>Ongoing</v>
      </c>
      <c r="M62" s="423">
        <f t="shared" si="37"/>
        <v>2.9999999999999997E-4</v>
      </c>
      <c r="N62" s="293">
        <f t="shared" si="38"/>
        <v>0.3</v>
      </c>
      <c r="O62" s="423">
        <f t="shared" si="39"/>
        <v>1.6000000000000001E-3</v>
      </c>
      <c r="P62" s="424">
        <f t="shared" si="40"/>
        <v>1.6</v>
      </c>
    </row>
    <row r="63" spans="1:16" ht="49.5" thickTop="1" thickBot="1" x14ac:dyDescent="0.3">
      <c r="A63" s="420" t="str">
        <f t="shared" ref="A63:L63" si="69">A181</f>
        <v>OC-13</v>
      </c>
      <c r="B63" s="421" t="str">
        <f t="shared" si="69"/>
        <v>Lake Floy CIB</v>
      </c>
      <c r="C63" s="421" t="str">
        <f t="shared" si="69"/>
        <v>Orange County</v>
      </c>
      <c r="D63" s="421" t="str">
        <f t="shared" si="69"/>
        <v>CIB</v>
      </c>
      <c r="E63" s="421" t="str">
        <f t="shared" si="69"/>
        <v>Curb or grate inlet filter baskets to collect 4,835 lbs/yr of material.</v>
      </c>
      <c r="F63" s="422" t="str">
        <f t="shared" si="69"/>
        <v>N/A</v>
      </c>
      <c r="G63" s="292">
        <f t="shared" si="69"/>
        <v>10000</v>
      </c>
      <c r="H63" s="292">
        <f t="shared" si="69"/>
        <v>1440</v>
      </c>
      <c r="I63" s="421" t="str">
        <f t="shared" si="69"/>
        <v>Lake Floy MSTU</v>
      </c>
      <c r="J63" s="421" t="str">
        <f t="shared" si="69"/>
        <v>Ongoing</v>
      </c>
      <c r="K63" s="421" t="str">
        <f t="shared" si="69"/>
        <v>N/A</v>
      </c>
      <c r="L63" s="421" t="str">
        <f t="shared" si="69"/>
        <v>Ongoing</v>
      </c>
      <c r="M63" s="423">
        <f t="shared" si="37"/>
        <v>1E-4</v>
      </c>
      <c r="N63" s="293">
        <f t="shared" si="38"/>
        <v>0.1</v>
      </c>
      <c r="O63" s="423">
        <f t="shared" si="39"/>
        <v>5.9999999999999995E-4</v>
      </c>
      <c r="P63" s="424">
        <f t="shared" si="40"/>
        <v>0.6</v>
      </c>
    </row>
    <row r="64" spans="1:16" ht="49.5" thickTop="1" thickBot="1" x14ac:dyDescent="0.3">
      <c r="A64" s="420" t="str">
        <f t="shared" ref="A64:L64" si="70">A182</f>
        <v>OC-14</v>
      </c>
      <c r="B64" s="421" t="str">
        <f t="shared" si="70"/>
        <v xml:space="preserve">Lake Cane CIB </v>
      </c>
      <c r="C64" s="421" t="str">
        <f t="shared" si="70"/>
        <v>Orange County</v>
      </c>
      <c r="D64" s="421" t="str">
        <f t="shared" si="70"/>
        <v>CIB</v>
      </c>
      <c r="E64" s="421" t="str">
        <f t="shared" si="70"/>
        <v>Curb or grate inlet filter baskets to collect 3,845 lbs/yr of material.</v>
      </c>
      <c r="F64" s="422" t="str">
        <f t="shared" si="70"/>
        <v>N/A</v>
      </c>
      <c r="G64" s="292">
        <f t="shared" si="70"/>
        <v>14000</v>
      </c>
      <c r="H64" s="292">
        <f t="shared" si="70"/>
        <v>2016</v>
      </c>
      <c r="I64" s="421" t="str">
        <f t="shared" si="70"/>
        <v>Orange County General Fund</v>
      </c>
      <c r="J64" s="421" t="str">
        <f t="shared" si="70"/>
        <v>Ongoing</v>
      </c>
      <c r="K64" s="421" t="str">
        <f t="shared" si="70"/>
        <v>N/A</v>
      </c>
      <c r="L64" s="421" t="str">
        <f t="shared" si="70"/>
        <v>Ongoing</v>
      </c>
      <c r="M64" s="423">
        <f t="shared" si="37"/>
        <v>1E-4</v>
      </c>
      <c r="N64" s="293">
        <f t="shared" si="38"/>
        <v>0.1</v>
      </c>
      <c r="O64" s="423">
        <f t="shared" si="39"/>
        <v>5.0000000000000001E-4</v>
      </c>
      <c r="P64" s="424">
        <f t="shared" si="40"/>
        <v>0.5</v>
      </c>
    </row>
    <row r="65" spans="1:16" ht="49.5" thickTop="1" thickBot="1" x14ac:dyDescent="0.3">
      <c r="A65" s="420" t="str">
        <f t="shared" ref="A65:L65" si="71">A183</f>
        <v>OC-15</v>
      </c>
      <c r="B65" s="421" t="str">
        <f t="shared" si="71"/>
        <v>Lake Odell CIB</v>
      </c>
      <c r="C65" s="421" t="str">
        <f t="shared" si="71"/>
        <v>Orange County</v>
      </c>
      <c r="D65" s="421" t="str">
        <f t="shared" si="71"/>
        <v>CIB</v>
      </c>
      <c r="E65" s="421" t="str">
        <f t="shared" si="71"/>
        <v>Curb or grate inlet filter baskets to collect 904 lbs/yr of material.</v>
      </c>
      <c r="F65" s="422" t="str">
        <f t="shared" si="71"/>
        <v>N/A</v>
      </c>
      <c r="G65" s="292">
        <f t="shared" si="71"/>
        <v>3000</v>
      </c>
      <c r="H65" s="292">
        <f t="shared" si="71"/>
        <v>432</v>
      </c>
      <c r="I65" s="421" t="str">
        <f t="shared" si="71"/>
        <v>Orange County General Fund</v>
      </c>
      <c r="J65" s="421" t="str">
        <f t="shared" si="71"/>
        <v>Ongoing</v>
      </c>
      <c r="K65" s="421" t="str">
        <f t="shared" si="71"/>
        <v>N/A</v>
      </c>
      <c r="L65" s="421" t="str">
        <f t="shared" si="71"/>
        <v>Ongoing</v>
      </c>
      <c r="M65" s="423">
        <f t="shared" si="37"/>
        <v>0</v>
      </c>
      <c r="N65" s="293">
        <f t="shared" si="38"/>
        <v>0</v>
      </c>
      <c r="O65" s="423">
        <f t="shared" si="39"/>
        <v>1E-4</v>
      </c>
      <c r="P65" s="424">
        <f t="shared" si="40"/>
        <v>0.1</v>
      </c>
    </row>
    <row r="66" spans="1:16" ht="25.5" thickTop="1" thickBot="1" x14ac:dyDescent="0.3">
      <c r="A66" s="420" t="str">
        <f t="shared" ref="A66:L66" si="72">A184</f>
        <v>OC-16</v>
      </c>
      <c r="B66" s="421" t="str">
        <f t="shared" si="72"/>
        <v>Lake Tyler CIB</v>
      </c>
      <c r="C66" s="421" t="str">
        <f t="shared" si="72"/>
        <v>Orange County</v>
      </c>
      <c r="D66" s="421" t="str">
        <f t="shared" si="72"/>
        <v>CIB</v>
      </c>
      <c r="E66" s="421" t="str">
        <f t="shared" si="72"/>
        <v>Curb or grate inlet filter baskets.</v>
      </c>
      <c r="F66" s="422" t="str">
        <f t="shared" si="72"/>
        <v>N/A</v>
      </c>
      <c r="G66" s="292">
        <f t="shared" si="72"/>
        <v>11000</v>
      </c>
      <c r="H66" s="292">
        <f t="shared" si="72"/>
        <v>1440</v>
      </c>
      <c r="I66" s="421" t="str">
        <f t="shared" si="72"/>
        <v>Unknown</v>
      </c>
      <c r="J66" s="421" t="str">
        <f t="shared" si="72"/>
        <v>Ongoing</v>
      </c>
      <c r="K66" s="421" t="str">
        <f t="shared" si="72"/>
        <v>N/A</v>
      </c>
      <c r="L66" s="421" t="str">
        <f t="shared" si="72"/>
        <v>Ongoing</v>
      </c>
      <c r="M66" s="423">
        <f t="shared" ref="M66:M97" si="73">N184</f>
        <v>0</v>
      </c>
      <c r="N66" s="293">
        <f t="shared" ref="N66:N97" si="74">M184</f>
        <v>0</v>
      </c>
      <c r="O66" s="423">
        <f t="shared" ref="O66:O97" si="75">P184</f>
        <v>0</v>
      </c>
      <c r="P66" s="424">
        <f t="shared" ref="P66:P97" si="76">O184</f>
        <v>0</v>
      </c>
    </row>
    <row r="67" spans="1:16" ht="73.5" thickTop="1" thickBot="1" x14ac:dyDescent="0.3">
      <c r="A67" s="420" t="str">
        <f t="shared" ref="A67:L67" si="77">A185</f>
        <v>OC-17</v>
      </c>
      <c r="B67" s="421" t="str">
        <f t="shared" si="77"/>
        <v>Lake Down CIB</v>
      </c>
      <c r="C67" s="421" t="str">
        <f t="shared" si="77"/>
        <v>Orange County</v>
      </c>
      <c r="D67" s="421" t="str">
        <f t="shared" si="77"/>
        <v>CIB</v>
      </c>
      <c r="E67" s="421" t="str">
        <f t="shared" si="77"/>
        <v>Curb or grate inlet filter baskets to collect 16,934 lbs/yr of material.</v>
      </c>
      <c r="F67" s="422" t="str">
        <f t="shared" si="77"/>
        <v>N/A</v>
      </c>
      <c r="G67" s="292">
        <f t="shared" si="77"/>
        <v>56000</v>
      </c>
      <c r="H67" s="292" t="str">
        <f t="shared" si="77"/>
        <v>Unknown</v>
      </c>
      <c r="I67" s="421" t="str">
        <f t="shared" si="77"/>
        <v>Windermere Water and Navigation Control District (MSTU)</v>
      </c>
      <c r="J67" s="421" t="str">
        <f t="shared" si="77"/>
        <v>Planned and Funded</v>
      </c>
      <c r="K67" s="421" t="str">
        <f t="shared" si="77"/>
        <v>October 2013</v>
      </c>
      <c r="L67" s="421" t="str">
        <f t="shared" si="77"/>
        <v>Unknown</v>
      </c>
      <c r="M67" s="423">
        <f t="shared" si="73"/>
        <v>5.0000000000000001E-4</v>
      </c>
      <c r="N67" s="293">
        <f t="shared" si="74"/>
        <v>0.5</v>
      </c>
      <c r="O67" s="423">
        <f t="shared" si="75"/>
        <v>2E-3</v>
      </c>
      <c r="P67" s="424">
        <f t="shared" si="76"/>
        <v>2</v>
      </c>
    </row>
    <row r="68" spans="1:16" ht="73.5" thickTop="1" thickBot="1" x14ac:dyDescent="0.3">
      <c r="A68" s="420" t="str">
        <f t="shared" ref="A68:L68" si="78">A186</f>
        <v>OC-18</v>
      </c>
      <c r="B68" s="421" t="str">
        <f t="shared" si="78"/>
        <v>Lake Tibet CIB</v>
      </c>
      <c r="C68" s="421" t="str">
        <f t="shared" si="78"/>
        <v>Orange County</v>
      </c>
      <c r="D68" s="421" t="str">
        <f t="shared" si="78"/>
        <v>CIB</v>
      </c>
      <c r="E68" s="421" t="str">
        <f t="shared" si="78"/>
        <v>Curb or grate inlet filter baskets to collect 13,494 lbs/yr of material.</v>
      </c>
      <c r="F68" s="422" t="str">
        <f t="shared" si="78"/>
        <v>N/A</v>
      </c>
      <c r="G68" s="292">
        <f t="shared" si="78"/>
        <v>31000</v>
      </c>
      <c r="H68" s="292" t="str">
        <f t="shared" si="78"/>
        <v>Unknown</v>
      </c>
      <c r="I68" s="421" t="str">
        <f t="shared" si="78"/>
        <v>Windermere Water and Navigation Control District (MSTU)</v>
      </c>
      <c r="J68" s="421" t="str">
        <f t="shared" si="78"/>
        <v>Planned and Funded</v>
      </c>
      <c r="K68" s="421" t="str">
        <f t="shared" si="78"/>
        <v>October 2013</v>
      </c>
      <c r="L68" s="421" t="str">
        <f t="shared" si="78"/>
        <v>Unknown</v>
      </c>
      <c r="M68" s="423">
        <f t="shared" si="73"/>
        <v>4.0000000000000002E-4</v>
      </c>
      <c r="N68" s="293">
        <f t="shared" si="74"/>
        <v>0.4</v>
      </c>
      <c r="O68" s="423">
        <f t="shared" si="75"/>
        <v>1.6000000000000001E-3</v>
      </c>
      <c r="P68" s="424">
        <f t="shared" si="76"/>
        <v>1.6</v>
      </c>
    </row>
    <row r="69" spans="1:16" ht="61.5" thickTop="1" thickBot="1" x14ac:dyDescent="0.3">
      <c r="A69" s="420" t="str">
        <f t="shared" ref="A69:L69" si="79">A187</f>
        <v>OC-19</v>
      </c>
      <c r="B69" s="421" t="str">
        <f t="shared" si="79"/>
        <v>Lisa Waterway CDS</v>
      </c>
      <c r="C69" s="421" t="str">
        <f t="shared" si="79"/>
        <v>Orange County</v>
      </c>
      <c r="D69" s="421" t="str">
        <f t="shared" si="79"/>
        <v>CDS unit</v>
      </c>
      <c r="E69" s="421" t="str">
        <f t="shared" si="79"/>
        <v>Treats runoff from Orange Avenue.</v>
      </c>
      <c r="F69" s="422" t="str">
        <f t="shared" si="79"/>
        <v>N/A</v>
      </c>
      <c r="G69" s="292">
        <f t="shared" si="79"/>
        <v>225000</v>
      </c>
      <c r="H69" s="292">
        <f t="shared" si="79"/>
        <v>5362</v>
      </c>
      <c r="I69" s="421" t="str">
        <f t="shared" si="79"/>
        <v>Lake Conway Taxing District (MSTU)</v>
      </c>
      <c r="J69" s="421" t="str">
        <f t="shared" si="79"/>
        <v>Ongoing</v>
      </c>
      <c r="K69" s="421" t="str">
        <f t="shared" si="79"/>
        <v>N/A</v>
      </c>
      <c r="L69" s="421" t="str">
        <f t="shared" si="79"/>
        <v>Ongoing</v>
      </c>
      <c r="M69" s="423">
        <f t="shared" si="73"/>
        <v>2.9999999999999997E-4</v>
      </c>
      <c r="N69" s="293">
        <f t="shared" si="74"/>
        <v>0.3</v>
      </c>
      <c r="O69" s="423">
        <f t="shared" si="75"/>
        <v>1.5E-3</v>
      </c>
      <c r="P69" s="424">
        <f t="shared" si="76"/>
        <v>1.5</v>
      </c>
    </row>
    <row r="70" spans="1:16" ht="73.5" thickTop="1" thickBot="1" x14ac:dyDescent="0.3">
      <c r="A70" s="420" t="str">
        <f t="shared" ref="A70:L70" si="80">A188</f>
        <v>OC-20</v>
      </c>
      <c r="B70" s="421" t="str">
        <f t="shared" si="80"/>
        <v>Randolph Avenue Continuous Deflective Separation (CDS) Unit</v>
      </c>
      <c r="C70" s="421" t="str">
        <f t="shared" si="80"/>
        <v>Orange County</v>
      </c>
      <c r="D70" s="421" t="str">
        <f t="shared" si="80"/>
        <v>CDS unit</v>
      </c>
      <c r="E70" s="421" t="str">
        <f t="shared" si="80"/>
        <v>Treats runoff from Randolph Avenue.</v>
      </c>
      <c r="F70" s="422">
        <f t="shared" si="80"/>
        <v>0</v>
      </c>
      <c r="G70" s="292" t="str">
        <f t="shared" si="80"/>
        <v>Unknown</v>
      </c>
      <c r="H70" s="292" t="str">
        <f t="shared" si="80"/>
        <v>Unknown</v>
      </c>
      <c r="I70" s="421" t="str">
        <f t="shared" si="80"/>
        <v>Unknown</v>
      </c>
      <c r="J70" s="421" t="str">
        <f t="shared" si="80"/>
        <v>Completed</v>
      </c>
      <c r="K70" s="421" t="str">
        <f t="shared" si="80"/>
        <v>N/A</v>
      </c>
      <c r="L70" s="421" t="str">
        <f t="shared" si="80"/>
        <v>Completed</v>
      </c>
      <c r="M70" s="423">
        <f t="shared" si="73"/>
        <v>0</v>
      </c>
      <c r="N70" s="293">
        <f t="shared" si="74"/>
        <v>0</v>
      </c>
      <c r="O70" s="423">
        <f t="shared" si="75"/>
        <v>0</v>
      </c>
      <c r="P70" s="424">
        <f t="shared" si="76"/>
        <v>0</v>
      </c>
    </row>
    <row r="71" spans="1:16" ht="49.5" thickTop="1" thickBot="1" x14ac:dyDescent="0.3">
      <c r="A71" s="420" t="str">
        <f t="shared" ref="A71:L71" si="81">A189</f>
        <v>OC-21</v>
      </c>
      <c r="B71" s="421" t="str">
        <f t="shared" si="81"/>
        <v>Randolph Avenue Stormceptor</v>
      </c>
      <c r="C71" s="421" t="str">
        <f t="shared" si="81"/>
        <v>Orange County</v>
      </c>
      <c r="D71" s="421" t="str">
        <f t="shared" si="81"/>
        <v>Stormceptor</v>
      </c>
      <c r="E71" s="421" t="str">
        <f t="shared" si="81"/>
        <v>Stormceptor.</v>
      </c>
      <c r="F71" s="422">
        <f t="shared" si="81"/>
        <v>0</v>
      </c>
      <c r="G71" s="292" t="str">
        <f t="shared" si="81"/>
        <v>Unknown</v>
      </c>
      <c r="H71" s="292" t="str">
        <f t="shared" si="81"/>
        <v>Unknown</v>
      </c>
      <c r="I71" s="421" t="str">
        <f t="shared" si="81"/>
        <v>Unknown</v>
      </c>
      <c r="J71" s="421" t="str">
        <f t="shared" si="81"/>
        <v>Completed</v>
      </c>
      <c r="K71" s="421" t="str">
        <f t="shared" si="81"/>
        <v>N/A</v>
      </c>
      <c r="L71" s="421" t="str">
        <f t="shared" si="81"/>
        <v>Completed</v>
      </c>
      <c r="M71" s="423">
        <f t="shared" si="73"/>
        <v>0</v>
      </c>
      <c r="N71" s="293">
        <f t="shared" si="74"/>
        <v>0</v>
      </c>
      <c r="O71" s="423">
        <f t="shared" si="75"/>
        <v>1E-4</v>
      </c>
      <c r="P71" s="424">
        <f t="shared" si="76"/>
        <v>0.1</v>
      </c>
    </row>
    <row r="72" spans="1:16" ht="37.5" thickTop="1" thickBot="1" x14ac:dyDescent="0.3">
      <c r="A72" s="420" t="str">
        <f t="shared" ref="A72:L72" si="82">A190</f>
        <v>OC-22</v>
      </c>
      <c r="B72" s="421" t="str">
        <f t="shared" si="82"/>
        <v>Randolph Avenue Pond</v>
      </c>
      <c r="C72" s="421" t="str">
        <f t="shared" si="82"/>
        <v>Orange County</v>
      </c>
      <c r="D72" s="421" t="str">
        <f t="shared" si="82"/>
        <v>Dry detention</v>
      </c>
      <c r="E72" s="421" t="str">
        <f t="shared" si="82"/>
        <v>Dry detention pond.</v>
      </c>
      <c r="F72" s="422">
        <f t="shared" si="82"/>
        <v>0</v>
      </c>
      <c r="G72" s="292" t="str">
        <f t="shared" si="82"/>
        <v>Unknown</v>
      </c>
      <c r="H72" s="292" t="str">
        <f t="shared" si="82"/>
        <v>Unknown</v>
      </c>
      <c r="I72" s="421" t="str">
        <f t="shared" si="82"/>
        <v>Unknown</v>
      </c>
      <c r="J72" s="421" t="str">
        <f t="shared" si="82"/>
        <v>Completed</v>
      </c>
      <c r="K72" s="421" t="str">
        <f t="shared" si="82"/>
        <v>N/A</v>
      </c>
      <c r="L72" s="421" t="str">
        <f t="shared" si="82"/>
        <v>Completed</v>
      </c>
      <c r="M72" s="423">
        <f t="shared" si="73"/>
        <v>0</v>
      </c>
      <c r="N72" s="293">
        <f t="shared" si="74"/>
        <v>0</v>
      </c>
      <c r="O72" s="423">
        <f t="shared" si="75"/>
        <v>4.0000000000000002E-4</v>
      </c>
      <c r="P72" s="424">
        <f t="shared" si="76"/>
        <v>0.4</v>
      </c>
    </row>
    <row r="73" spans="1:16" ht="97.5" thickTop="1" thickBot="1" x14ac:dyDescent="0.3">
      <c r="A73" s="420" t="str">
        <f t="shared" ref="A73:L73" si="83">A191</f>
        <v>OC-23</v>
      </c>
      <c r="B73" s="421" t="str">
        <f t="shared" si="83"/>
        <v>Lake Mary Jess Pond</v>
      </c>
      <c r="C73" s="421" t="str">
        <f t="shared" si="83"/>
        <v>Orange County/ FDOT District 5, City of Edgewood, Department</v>
      </c>
      <c r="D73" s="421" t="str">
        <f t="shared" si="83"/>
        <v>Wet detention pond</v>
      </c>
      <c r="E73" s="421" t="str">
        <f t="shared" si="83"/>
        <v>Wet retention pond created from canal.</v>
      </c>
      <c r="F73" s="422">
        <f t="shared" si="83"/>
        <v>31.2</v>
      </c>
      <c r="G73" s="292">
        <f t="shared" si="83"/>
        <v>534795</v>
      </c>
      <c r="H73" s="292">
        <f t="shared" si="83"/>
        <v>8000</v>
      </c>
      <c r="I73" s="421" t="str">
        <f t="shared" si="83"/>
        <v>FDOT District 5, City of Edgewood</v>
      </c>
      <c r="J73" s="421" t="str">
        <f t="shared" si="83"/>
        <v>Completed</v>
      </c>
      <c r="K73" s="421" t="str">
        <f t="shared" si="83"/>
        <v>N/A</v>
      </c>
      <c r="L73" s="421" t="str">
        <f t="shared" si="83"/>
        <v>June 2013</v>
      </c>
      <c r="M73" s="423">
        <f t="shared" si="73"/>
        <v>2.8999999999999998E-3</v>
      </c>
      <c r="N73" s="293">
        <f t="shared" si="74"/>
        <v>2.9</v>
      </c>
      <c r="O73" s="423">
        <f t="shared" si="75"/>
        <v>1.3099999999999999E-2</v>
      </c>
      <c r="P73" s="424">
        <f t="shared" si="76"/>
        <v>13.1</v>
      </c>
    </row>
    <row r="74" spans="1:16" ht="61.5" thickTop="1" thickBot="1" x14ac:dyDescent="0.3">
      <c r="A74" s="420" t="str">
        <f t="shared" ref="A74:L74" si="84">A192</f>
        <v>OC-24</v>
      </c>
      <c r="B74" s="421" t="str">
        <f t="shared" si="84"/>
        <v>Lake Odell Sediment Sump</v>
      </c>
      <c r="C74" s="421" t="str">
        <f t="shared" si="84"/>
        <v>Orange County</v>
      </c>
      <c r="D74" s="421" t="str">
        <f t="shared" si="84"/>
        <v>Retention BMPs</v>
      </c>
      <c r="E74" s="421" t="str">
        <f t="shared" si="84"/>
        <v>Small sump that collects sediment from roadway, with an estimate of 12,000 lbs/yr of material.</v>
      </c>
      <c r="F74" s="422" t="str">
        <f t="shared" si="84"/>
        <v>N/A</v>
      </c>
      <c r="G74" s="292">
        <f t="shared" si="84"/>
        <v>33300</v>
      </c>
      <c r="H74" s="292">
        <f t="shared" si="84"/>
        <v>1500</v>
      </c>
      <c r="I74" s="421" t="str">
        <f t="shared" si="84"/>
        <v>Orange County General Fund</v>
      </c>
      <c r="J74" s="421" t="str">
        <f t="shared" si="84"/>
        <v>Planned and Funded</v>
      </c>
      <c r="K74" s="421">
        <f t="shared" si="84"/>
        <v>2013</v>
      </c>
      <c r="L74" s="421">
        <f t="shared" si="84"/>
        <v>2014</v>
      </c>
      <c r="M74" s="423">
        <f t="shared" si="73"/>
        <v>4.0000000000000002E-4</v>
      </c>
      <c r="N74" s="293">
        <f t="shared" si="74"/>
        <v>0.4</v>
      </c>
      <c r="O74" s="423">
        <f t="shared" si="75"/>
        <v>1.1999999999999999E-3</v>
      </c>
      <c r="P74" s="424">
        <f t="shared" si="76"/>
        <v>1.2</v>
      </c>
    </row>
    <row r="75" spans="1:16" ht="37.5" thickTop="1" thickBot="1" x14ac:dyDescent="0.3">
      <c r="A75" s="420" t="str">
        <f t="shared" ref="A75:L75" si="85">A193</f>
        <v>OC-25</v>
      </c>
      <c r="B75" s="421" t="str">
        <f t="shared" si="85"/>
        <v>Lake Jennie Jewel Baffle Box</v>
      </c>
      <c r="C75" s="421" t="str">
        <f t="shared" si="85"/>
        <v>Orange County</v>
      </c>
      <c r="D75" s="421" t="str">
        <f t="shared" si="85"/>
        <v>2nd generation baffle box</v>
      </c>
      <c r="E75" s="421" t="str">
        <f t="shared" si="85"/>
        <v>2nd generation baffle box.</v>
      </c>
      <c r="F75" s="422">
        <f t="shared" si="85"/>
        <v>0</v>
      </c>
      <c r="G75" s="292">
        <f t="shared" si="85"/>
        <v>175000</v>
      </c>
      <c r="H75" s="292" t="str">
        <f t="shared" si="85"/>
        <v>Unknown</v>
      </c>
      <c r="I75" s="421" t="str">
        <f t="shared" si="85"/>
        <v>Unknown</v>
      </c>
      <c r="J75" s="421" t="str">
        <f t="shared" si="85"/>
        <v>Envisioned, Not Funded</v>
      </c>
      <c r="K75" s="421">
        <f t="shared" si="85"/>
        <v>2015</v>
      </c>
      <c r="L75" s="421" t="str">
        <f t="shared" si="85"/>
        <v>Unknown</v>
      </c>
      <c r="M75" s="423">
        <f t="shared" si="73"/>
        <v>2.9999999999999997E-4</v>
      </c>
      <c r="N75" s="293">
        <f t="shared" si="74"/>
        <v>0.3</v>
      </c>
      <c r="O75" s="423">
        <f t="shared" si="75"/>
        <v>2.2100000000000002E-2</v>
      </c>
      <c r="P75" s="424">
        <f t="shared" si="76"/>
        <v>22.1</v>
      </c>
    </row>
    <row r="76" spans="1:16" ht="61.5" thickTop="1" thickBot="1" x14ac:dyDescent="0.3">
      <c r="A76" s="420" t="str">
        <f t="shared" ref="A76:L76" si="86">A194</f>
        <v>OC-26</v>
      </c>
      <c r="B76" s="421" t="str">
        <f t="shared" si="86"/>
        <v>Lake Anderson Mobile Alum Injection</v>
      </c>
      <c r="C76" s="421" t="str">
        <f t="shared" si="86"/>
        <v>Orange County</v>
      </c>
      <c r="D76" s="421" t="str">
        <f t="shared" si="86"/>
        <v>Alum injection</v>
      </c>
      <c r="E76" s="421" t="str">
        <f t="shared" si="86"/>
        <v>Storm pond enhancement with alum.</v>
      </c>
      <c r="F76" s="422">
        <f t="shared" si="86"/>
        <v>0</v>
      </c>
      <c r="G76" s="292">
        <f t="shared" si="86"/>
        <v>75000</v>
      </c>
      <c r="H76" s="292">
        <f t="shared" si="86"/>
        <v>11000</v>
      </c>
      <c r="I76" s="421" t="str">
        <f t="shared" si="86"/>
        <v>Orange County General Fund</v>
      </c>
      <c r="J76" s="421" t="str">
        <f t="shared" si="86"/>
        <v>Planned and Funded</v>
      </c>
      <c r="K76" s="421">
        <f t="shared" si="86"/>
        <v>2014</v>
      </c>
      <c r="L76" s="421">
        <f t="shared" si="86"/>
        <v>2016</v>
      </c>
      <c r="M76" s="423">
        <f t="shared" si="73"/>
        <v>1.2199999999999999E-2</v>
      </c>
      <c r="N76" s="293">
        <f t="shared" si="74"/>
        <v>12.2</v>
      </c>
      <c r="O76" s="423">
        <f t="shared" si="75"/>
        <v>0.2576</v>
      </c>
      <c r="P76" s="424">
        <f t="shared" si="76"/>
        <v>257.60000000000002</v>
      </c>
    </row>
    <row r="77" spans="1:16" ht="61.5" thickTop="1" thickBot="1" x14ac:dyDescent="0.3">
      <c r="A77" s="420" t="str">
        <f t="shared" ref="A77:L77" si="87">A195</f>
        <v>OC-27</v>
      </c>
      <c r="B77" s="421" t="str">
        <f t="shared" si="87"/>
        <v xml:space="preserve">Lake Jessamine Surface Alum </v>
      </c>
      <c r="C77" s="421" t="str">
        <f t="shared" si="87"/>
        <v>Orange County</v>
      </c>
      <c r="D77" s="421" t="str">
        <f t="shared" si="87"/>
        <v>Alum injection</v>
      </c>
      <c r="E77" s="421" t="str">
        <f t="shared" si="87"/>
        <v>Whole-lake alum treatment.</v>
      </c>
      <c r="F77" s="422">
        <f t="shared" si="87"/>
        <v>0</v>
      </c>
      <c r="G77" s="292">
        <f t="shared" si="87"/>
        <v>246000</v>
      </c>
      <c r="H77" s="292" t="str">
        <f t="shared" si="87"/>
        <v>Unknown</v>
      </c>
      <c r="I77" s="421" t="str">
        <f t="shared" si="87"/>
        <v>Lake Jessamine Taxing District (MSTU)</v>
      </c>
      <c r="J77" s="421" t="str">
        <f t="shared" si="87"/>
        <v>Completed</v>
      </c>
      <c r="K77" s="421" t="str">
        <f t="shared" si="87"/>
        <v>N/A</v>
      </c>
      <c r="L77" s="421">
        <f t="shared" si="87"/>
        <v>2013</v>
      </c>
      <c r="M77" s="423">
        <f t="shared" si="73"/>
        <v>4.4999999999999997E-3</v>
      </c>
      <c r="N77" s="293">
        <f t="shared" si="74"/>
        <v>4.5</v>
      </c>
      <c r="O77" s="423">
        <f t="shared" si="75"/>
        <v>7.17E-2</v>
      </c>
      <c r="P77" s="424">
        <f t="shared" si="76"/>
        <v>71.7</v>
      </c>
    </row>
    <row r="78" spans="1:16" ht="97.5" thickTop="1" thickBot="1" x14ac:dyDescent="0.3">
      <c r="A78" s="420" t="str">
        <f t="shared" ref="A78:L78" si="88">A196</f>
        <v>OC-28</v>
      </c>
      <c r="B78" s="421" t="str">
        <f t="shared" si="88"/>
        <v>Lake Down Alum  Treatment Facility</v>
      </c>
      <c r="C78" s="421" t="str">
        <f t="shared" si="88"/>
        <v>Orange County</v>
      </c>
      <c r="D78" s="421" t="str">
        <f t="shared" si="88"/>
        <v>Alum injection</v>
      </c>
      <c r="E78" s="421" t="str">
        <f t="shared" si="88"/>
        <v>Off-line pond and alum injection system.</v>
      </c>
      <c r="F78" s="422">
        <f t="shared" si="88"/>
        <v>378.8</v>
      </c>
      <c r="G78" s="292">
        <f t="shared" si="88"/>
        <v>1800000</v>
      </c>
      <c r="H78" s="292" t="str">
        <f t="shared" si="88"/>
        <v>Unknown</v>
      </c>
      <c r="I78" s="421" t="str">
        <f t="shared" si="88"/>
        <v>Windermere Water and Navigation Control District (MSTU) &amp; FDEP Grant</v>
      </c>
      <c r="J78" s="421" t="str">
        <f t="shared" si="88"/>
        <v>Started</v>
      </c>
      <c r="K78" s="421" t="str">
        <f t="shared" si="88"/>
        <v>May 2014</v>
      </c>
      <c r="L78" s="421" t="str">
        <f t="shared" si="88"/>
        <v>October 2014</v>
      </c>
      <c r="M78" s="423">
        <f t="shared" si="73"/>
        <v>2.1299999999999999E-2</v>
      </c>
      <c r="N78" s="293">
        <f t="shared" si="74"/>
        <v>21.3</v>
      </c>
      <c r="O78" s="423">
        <f t="shared" si="75"/>
        <v>0.55510000000000004</v>
      </c>
      <c r="P78" s="424">
        <f t="shared" si="76"/>
        <v>555.1</v>
      </c>
    </row>
    <row r="79" spans="1:16" ht="49.5" thickTop="1" thickBot="1" x14ac:dyDescent="0.3">
      <c r="A79" s="420" t="str">
        <f t="shared" ref="A79:L79" si="89">A197</f>
        <v>OSC-1</v>
      </c>
      <c r="B79" s="421" t="str">
        <f t="shared" si="89"/>
        <v>Narcoossee Road IB Pond 2 and 3</v>
      </c>
      <c r="C79" s="421" t="str">
        <f t="shared" si="89"/>
        <v>Osceola County</v>
      </c>
      <c r="D79" s="421" t="str">
        <f t="shared" si="89"/>
        <v>Wet detention pond</v>
      </c>
      <c r="E79" s="421" t="str">
        <f t="shared" si="89"/>
        <v>Roadway widening.</v>
      </c>
      <c r="F79" s="422">
        <f t="shared" si="89"/>
        <v>29.3</v>
      </c>
      <c r="G79" s="292" t="str">
        <f t="shared" si="89"/>
        <v>Unknown</v>
      </c>
      <c r="H79" s="292" t="str">
        <f t="shared" si="89"/>
        <v>Unknown</v>
      </c>
      <c r="I79" s="421" t="str">
        <f t="shared" si="89"/>
        <v>Unknown</v>
      </c>
      <c r="J79" s="421" t="str">
        <f t="shared" si="89"/>
        <v>Completed</v>
      </c>
      <c r="K79" s="421" t="str">
        <f t="shared" si="89"/>
        <v>N/A</v>
      </c>
      <c r="L79" s="421" t="str">
        <f t="shared" si="89"/>
        <v>September 2011</v>
      </c>
      <c r="M79" s="423">
        <f t="shared" si="73"/>
        <v>2.0000000000000001E-4</v>
      </c>
      <c r="N79" s="293">
        <f t="shared" si="74"/>
        <v>0.2</v>
      </c>
      <c r="O79" s="423">
        <f t="shared" si="75"/>
        <v>5.7000000000000002E-3</v>
      </c>
      <c r="P79" s="424">
        <f t="shared" si="76"/>
        <v>5.7</v>
      </c>
    </row>
    <row r="80" spans="1:16" ht="49.5" thickTop="1" thickBot="1" x14ac:dyDescent="0.3">
      <c r="A80" s="420" t="str">
        <f t="shared" ref="A80:L80" si="90">A198</f>
        <v>OSC-2</v>
      </c>
      <c r="B80" s="421" t="str">
        <f t="shared" si="90"/>
        <v>Narcoossee Rodd III Pond C3A &amp; C3B</v>
      </c>
      <c r="C80" s="421" t="str">
        <f t="shared" si="90"/>
        <v>Osceola County</v>
      </c>
      <c r="D80" s="421" t="str">
        <f t="shared" si="90"/>
        <v>Wet detention pond</v>
      </c>
      <c r="E80" s="421" t="str">
        <f t="shared" si="90"/>
        <v>Roadway widening.</v>
      </c>
      <c r="F80" s="422">
        <f t="shared" si="90"/>
        <v>20.5</v>
      </c>
      <c r="G80" s="292" t="str">
        <f t="shared" si="90"/>
        <v>Unknown</v>
      </c>
      <c r="H80" s="292" t="str">
        <f t="shared" si="90"/>
        <v>Unknown</v>
      </c>
      <c r="I80" s="421" t="str">
        <f t="shared" si="90"/>
        <v>Unknown</v>
      </c>
      <c r="J80" s="421" t="str">
        <f t="shared" si="90"/>
        <v>Completed</v>
      </c>
      <c r="K80" s="421" t="str">
        <f t="shared" si="90"/>
        <v>N/A</v>
      </c>
      <c r="L80" s="421">
        <f t="shared" si="90"/>
        <v>2012</v>
      </c>
      <c r="M80" s="423">
        <f t="shared" si="73"/>
        <v>1E-4</v>
      </c>
      <c r="N80" s="293">
        <f t="shared" si="74"/>
        <v>0.1</v>
      </c>
      <c r="O80" s="423">
        <f t="shared" si="75"/>
        <v>3.8E-3</v>
      </c>
      <c r="P80" s="424">
        <f t="shared" si="76"/>
        <v>3.8</v>
      </c>
    </row>
    <row r="81" spans="1:16" ht="49.5" thickTop="1" thickBot="1" x14ac:dyDescent="0.3">
      <c r="A81" s="420" t="str">
        <f t="shared" ref="A81:L81" si="91">A199</f>
        <v>OSC-3</v>
      </c>
      <c r="B81" s="421" t="str">
        <f t="shared" si="91"/>
        <v>Narcoossee Road III Pond D3 Comp</v>
      </c>
      <c r="C81" s="421" t="str">
        <f t="shared" si="91"/>
        <v>Osceola County</v>
      </c>
      <c r="D81" s="421" t="str">
        <f t="shared" si="91"/>
        <v>Wet detention pond</v>
      </c>
      <c r="E81" s="421" t="str">
        <f t="shared" si="91"/>
        <v>Roadway widening.</v>
      </c>
      <c r="F81" s="422">
        <f t="shared" si="91"/>
        <v>24.3</v>
      </c>
      <c r="G81" s="292" t="str">
        <f t="shared" si="91"/>
        <v>Unknown</v>
      </c>
      <c r="H81" s="292" t="str">
        <f t="shared" si="91"/>
        <v>Unknown</v>
      </c>
      <c r="I81" s="421" t="str">
        <f t="shared" si="91"/>
        <v>Unknown</v>
      </c>
      <c r="J81" s="421" t="str">
        <f t="shared" si="91"/>
        <v>Completed</v>
      </c>
      <c r="K81" s="421" t="str">
        <f t="shared" si="91"/>
        <v>N/A</v>
      </c>
      <c r="L81" s="421">
        <f t="shared" si="91"/>
        <v>2012</v>
      </c>
      <c r="M81" s="423">
        <f t="shared" si="73"/>
        <v>2.0000000000000001E-4</v>
      </c>
      <c r="N81" s="293">
        <f t="shared" si="74"/>
        <v>0.2</v>
      </c>
      <c r="O81" s="423">
        <f t="shared" si="75"/>
        <v>3.7000000000000002E-3</v>
      </c>
      <c r="P81" s="424">
        <f t="shared" si="76"/>
        <v>3.7</v>
      </c>
    </row>
    <row r="82" spans="1:16" ht="49.5" thickTop="1" thickBot="1" x14ac:dyDescent="0.3">
      <c r="A82" s="420" t="str">
        <f t="shared" ref="A82:L82" si="92">A200</f>
        <v>OSC-4</v>
      </c>
      <c r="B82" s="421" t="str">
        <f t="shared" si="92"/>
        <v>Narcoossee Road III Pond E1 Comp</v>
      </c>
      <c r="C82" s="421" t="str">
        <f t="shared" si="92"/>
        <v>Osceola County</v>
      </c>
      <c r="D82" s="421" t="str">
        <f t="shared" si="92"/>
        <v>Wet detention pond</v>
      </c>
      <c r="E82" s="421" t="str">
        <f t="shared" si="92"/>
        <v>Roadway widening.</v>
      </c>
      <c r="F82" s="422">
        <f t="shared" si="92"/>
        <v>22.4</v>
      </c>
      <c r="G82" s="292" t="str">
        <f t="shared" si="92"/>
        <v>Unknown</v>
      </c>
      <c r="H82" s="292" t="str">
        <f t="shared" si="92"/>
        <v>Unknown</v>
      </c>
      <c r="I82" s="421" t="str">
        <f t="shared" si="92"/>
        <v>Unknown</v>
      </c>
      <c r="J82" s="421" t="str">
        <f t="shared" si="92"/>
        <v>Completed</v>
      </c>
      <c r="K82" s="421" t="str">
        <f t="shared" si="92"/>
        <v>N/A</v>
      </c>
      <c r="L82" s="421">
        <f t="shared" si="92"/>
        <v>2012</v>
      </c>
      <c r="M82" s="423">
        <f t="shared" si="73"/>
        <v>1E-4</v>
      </c>
      <c r="N82" s="293">
        <f t="shared" si="74"/>
        <v>0.1</v>
      </c>
      <c r="O82" s="423">
        <f t="shared" si="75"/>
        <v>2.3999999999999998E-3</v>
      </c>
      <c r="P82" s="424">
        <f t="shared" si="76"/>
        <v>2.4</v>
      </c>
    </row>
    <row r="83" spans="1:16" ht="61.5" thickTop="1" thickBot="1" x14ac:dyDescent="0.3">
      <c r="A83" s="420" t="str">
        <f t="shared" ref="A83:L83" si="93">A201</f>
        <v>OSC-5</v>
      </c>
      <c r="B83" s="421" t="str">
        <f t="shared" si="93"/>
        <v>Neptune Road I - Ponds 100, 200, and 300</v>
      </c>
      <c r="C83" s="421" t="str">
        <f t="shared" si="93"/>
        <v>Osceola County</v>
      </c>
      <c r="D83" s="421" t="str">
        <f t="shared" si="93"/>
        <v>Wet detention pond</v>
      </c>
      <c r="E83" s="421" t="str">
        <f t="shared" si="93"/>
        <v>Road improvement.</v>
      </c>
      <c r="F83" s="422">
        <f t="shared" si="93"/>
        <v>226.8</v>
      </c>
      <c r="G83" s="292" t="str">
        <f t="shared" si="93"/>
        <v>Unknown</v>
      </c>
      <c r="H83" s="292" t="str">
        <f t="shared" si="93"/>
        <v>Unknown</v>
      </c>
      <c r="I83" s="421" t="str">
        <f t="shared" si="93"/>
        <v>Unknown</v>
      </c>
      <c r="J83" s="421" t="str">
        <f t="shared" si="93"/>
        <v>Completed</v>
      </c>
      <c r="K83" s="421" t="str">
        <f t="shared" si="93"/>
        <v>N/A</v>
      </c>
      <c r="L83" s="421" t="str">
        <f t="shared" si="93"/>
        <v>October 2010</v>
      </c>
      <c r="M83" s="423">
        <f t="shared" si="73"/>
        <v>8.3000000000000001E-3</v>
      </c>
      <c r="N83" s="293">
        <f t="shared" si="74"/>
        <v>8.3000000000000007</v>
      </c>
      <c r="O83" s="423">
        <f t="shared" si="75"/>
        <v>0.21930000000000002</v>
      </c>
      <c r="P83" s="424">
        <f t="shared" si="76"/>
        <v>219.3</v>
      </c>
    </row>
    <row r="84" spans="1:16" ht="37.5" thickTop="1" thickBot="1" x14ac:dyDescent="0.3">
      <c r="A84" s="420" t="str">
        <f t="shared" ref="A84:L84" si="94">A202</f>
        <v>OSC-6</v>
      </c>
      <c r="B84" s="421" t="str">
        <f t="shared" si="94"/>
        <v>Old Wilson Road Pond D002-P</v>
      </c>
      <c r="C84" s="421" t="str">
        <f t="shared" si="94"/>
        <v>Osceola County</v>
      </c>
      <c r="D84" s="421" t="str">
        <f t="shared" si="94"/>
        <v>Online retention</v>
      </c>
      <c r="E84" s="421" t="str">
        <f t="shared" si="94"/>
        <v>Road improvement.</v>
      </c>
      <c r="F84" s="422">
        <f t="shared" si="94"/>
        <v>55.8</v>
      </c>
      <c r="G84" s="292" t="str">
        <f t="shared" si="94"/>
        <v>Unknown</v>
      </c>
      <c r="H84" s="292" t="str">
        <f t="shared" si="94"/>
        <v>Unknown</v>
      </c>
      <c r="I84" s="421" t="str">
        <f t="shared" si="94"/>
        <v>Unknown</v>
      </c>
      <c r="J84" s="421" t="str">
        <f t="shared" si="94"/>
        <v>Completed</v>
      </c>
      <c r="K84" s="421" t="str">
        <f t="shared" si="94"/>
        <v>N/A</v>
      </c>
      <c r="L84" s="421">
        <f t="shared" si="94"/>
        <v>2012</v>
      </c>
      <c r="M84" s="423">
        <f t="shared" si="73"/>
        <v>5.9999999999999995E-4</v>
      </c>
      <c r="N84" s="293">
        <f t="shared" si="74"/>
        <v>0.6</v>
      </c>
      <c r="O84" s="423">
        <f t="shared" si="75"/>
        <v>1.89E-2</v>
      </c>
      <c r="P84" s="424">
        <f t="shared" si="76"/>
        <v>18.899999999999999</v>
      </c>
    </row>
    <row r="85" spans="1:16" ht="37.5" thickTop="1" thickBot="1" x14ac:dyDescent="0.3">
      <c r="A85" s="420" t="str">
        <f t="shared" ref="A85:L85" si="95">A203</f>
        <v>OSC-7</v>
      </c>
      <c r="B85" s="421" t="str">
        <f t="shared" si="95"/>
        <v>Old Wilson Road Pond D004-P</v>
      </c>
      <c r="C85" s="421" t="str">
        <f t="shared" si="95"/>
        <v>Osceola County</v>
      </c>
      <c r="D85" s="421" t="str">
        <f t="shared" si="95"/>
        <v>Online retention</v>
      </c>
      <c r="E85" s="421" t="str">
        <f t="shared" si="95"/>
        <v>Road improvement.</v>
      </c>
      <c r="F85" s="422">
        <f t="shared" si="95"/>
        <v>18.7</v>
      </c>
      <c r="G85" s="292" t="str">
        <f t="shared" si="95"/>
        <v>Unknown</v>
      </c>
      <c r="H85" s="292" t="str">
        <f t="shared" si="95"/>
        <v>Unknown</v>
      </c>
      <c r="I85" s="421" t="str">
        <f t="shared" si="95"/>
        <v>Unknown</v>
      </c>
      <c r="J85" s="421" t="str">
        <f t="shared" si="95"/>
        <v>Completed</v>
      </c>
      <c r="K85" s="421" t="str">
        <f t="shared" si="95"/>
        <v>N/A</v>
      </c>
      <c r="L85" s="421">
        <f t="shared" si="95"/>
        <v>2012</v>
      </c>
      <c r="M85" s="423">
        <f t="shared" si="73"/>
        <v>2.9999999999999997E-4</v>
      </c>
      <c r="N85" s="293">
        <f t="shared" si="74"/>
        <v>0.3</v>
      </c>
      <c r="O85" s="423">
        <f t="shared" si="75"/>
        <v>1.9800000000000002E-2</v>
      </c>
      <c r="P85" s="424">
        <f t="shared" si="76"/>
        <v>19.8</v>
      </c>
    </row>
    <row r="86" spans="1:16" ht="37.5" thickTop="1" thickBot="1" x14ac:dyDescent="0.3">
      <c r="A86" s="420" t="str">
        <f t="shared" ref="A86:L86" si="96">A204</f>
        <v>OSC-8</v>
      </c>
      <c r="B86" s="421" t="str">
        <f t="shared" si="96"/>
        <v>Old Wilson Road Pond E002-P</v>
      </c>
      <c r="C86" s="421" t="str">
        <f t="shared" si="96"/>
        <v>Osceola County</v>
      </c>
      <c r="D86" s="421" t="str">
        <f t="shared" si="96"/>
        <v>Online retention</v>
      </c>
      <c r="E86" s="421" t="str">
        <f t="shared" si="96"/>
        <v>Road improvement.</v>
      </c>
      <c r="F86" s="422">
        <f t="shared" si="96"/>
        <v>12.5</v>
      </c>
      <c r="G86" s="292" t="str">
        <f t="shared" si="96"/>
        <v>Unknown</v>
      </c>
      <c r="H86" s="292" t="str">
        <f t="shared" si="96"/>
        <v>Unknown</v>
      </c>
      <c r="I86" s="421" t="str">
        <f t="shared" si="96"/>
        <v>Unknown</v>
      </c>
      <c r="J86" s="421" t="str">
        <f t="shared" si="96"/>
        <v>Completed</v>
      </c>
      <c r="K86" s="421" t="str">
        <f t="shared" si="96"/>
        <v>N/A</v>
      </c>
      <c r="L86" s="421">
        <f t="shared" si="96"/>
        <v>2012</v>
      </c>
      <c r="M86" s="423">
        <f t="shared" si="73"/>
        <v>6.9999999999999999E-4</v>
      </c>
      <c r="N86" s="293">
        <f t="shared" si="74"/>
        <v>0.7</v>
      </c>
      <c r="O86" s="423">
        <f t="shared" si="75"/>
        <v>2.1299999999999999E-2</v>
      </c>
      <c r="P86" s="424">
        <f t="shared" si="76"/>
        <v>21.3</v>
      </c>
    </row>
    <row r="87" spans="1:16" ht="61.5" thickTop="1" thickBot="1" x14ac:dyDescent="0.3">
      <c r="A87" s="420" t="str">
        <f t="shared" ref="A87:L87" si="97">A205</f>
        <v>OSC-9</v>
      </c>
      <c r="B87" s="421" t="str">
        <f t="shared" si="97"/>
        <v>Stewart Street Regional Pond Retrofit</v>
      </c>
      <c r="C87" s="421" t="str">
        <f t="shared" si="97"/>
        <v>Osceola County</v>
      </c>
      <c r="D87" s="421" t="str">
        <f t="shared" si="97"/>
        <v>Wet detention pond</v>
      </c>
      <c r="E87" s="421" t="str">
        <f t="shared" si="97"/>
        <v>Regional pond retrofit.</v>
      </c>
      <c r="F87" s="422">
        <f t="shared" si="97"/>
        <v>2249.1999999999998</v>
      </c>
      <c r="G87" s="292" t="str">
        <f t="shared" si="97"/>
        <v>Unknown</v>
      </c>
      <c r="H87" s="292" t="str">
        <f t="shared" si="97"/>
        <v>Unknown</v>
      </c>
      <c r="I87" s="421" t="str">
        <f t="shared" si="97"/>
        <v>Unknown</v>
      </c>
      <c r="J87" s="421" t="str">
        <f t="shared" si="97"/>
        <v>Completed</v>
      </c>
      <c r="K87" s="421" t="str">
        <f t="shared" si="97"/>
        <v>N/A</v>
      </c>
      <c r="L87" s="421">
        <f t="shared" si="97"/>
        <v>2009</v>
      </c>
      <c r="M87" s="423">
        <f t="shared" si="73"/>
        <v>7.0400000000000004E-2</v>
      </c>
      <c r="N87" s="293">
        <f t="shared" si="74"/>
        <v>70.400000000000006</v>
      </c>
      <c r="O87" s="423">
        <f t="shared" si="75"/>
        <v>1.7470000000000001</v>
      </c>
      <c r="P87" s="424">
        <f t="shared" si="76"/>
        <v>1747</v>
      </c>
    </row>
    <row r="88" spans="1:16" ht="97.5" thickTop="1" thickBot="1" x14ac:dyDescent="0.3">
      <c r="A88" s="420" t="str">
        <f t="shared" ref="A88:L88" si="98">A206</f>
        <v>OSC-10</v>
      </c>
      <c r="B88" s="421" t="str">
        <f t="shared" si="98"/>
        <v>Education</v>
      </c>
      <c r="C88" s="421" t="str">
        <f t="shared" si="98"/>
        <v>Osceola County</v>
      </c>
      <c r="D88" s="421" t="str">
        <f t="shared" si="98"/>
        <v>Public education</v>
      </c>
      <c r="E88" s="421" t="str">
        <f t="shared" si="98"/>
        <v>FYN; landscaping, irrigation, fertilizer, and pet waste management ordinances; PSAs; pamphlets; website; and illicit discharge program.</v>
      </c>
      <c r="F88" s="422" t="str">
        <f t="shared" si="98"/>
        <v>N/A</v>
      </c>
      <c r="G88" s="292" t="str">
        <f t="shared" si="98"/>
        <v>Unknown</v>
      </c>
      <c r="H88" s="292" t="str">
        <f t="shared" si="98"/>
        <v>Unknown</v>
      </c>
      <c r="I88" s="421" t="str">
        <f t="shared" si="98"/>
        <v>Unknown</v>
      </c>
      <c r="J88" s="421" t="str">
        <f t="shared" si="98"/>
        <v>Ongoing</v>
      </c>
      <c r="K88" s="421" t="str">
        <f t="shared" si="98"/>
        <v>N/A</v>
      </c>
      <c r="L88" s="421" t="str">
        <f t="shared" si="98"/>
        <v>Ongoing</v>
      </c>
      <c r="M88" s="423">
        <f t="shared" si="73"/>
        <v>0.3216</v>
      </c>
      <c r="N88" s="293">
        <f t="shared" si="74"/>
        <v>321.60000000000002</v>
      </c>
      <c r="O88" s="423">
        <f t="shared" si="75"/>
        <v>10.612299999999999</v>
      </c>
      <c r="P88" s="424">
        <f t="shared" si="76"/>
        <v>10612.3</v>
      </c>
    </row>
    <row r="89" spans="1:16" ht="49.5" thickTop="1" thickBot="1" x14ac:dyDescent="0.3">
      <c r="A89" s="420" t="str">
        <f t="shared" ref="A89:L89" si="99">A207</f>
        <v>OSC-12</v>
      </c>
      <c r="B89" s="421" t="str">
        <f t="shared" si="99"/>
        <v>East Lake Reserve Stormwater Reuse</v>
      </c>
      <c r="C89" s="421" t="str">
        <f t="shared" si="99"/>
        <v>Osceola County</v>
      </c>
      <c r="D89" s="421" t="str">
        <f t="shared" si="99"/>
        <v>Stormwater reuse</v>
      </c>
      <c r="E89" s="421" t="str">
        <f t="shared" si="99"/>
        <v>Stormwater reuse for landscape irrigation from pond A1 (9.1A).</v>
      </c>
      <c r="F89" s="422">
        <f t="shared" si="99"/>
        <v>130.80000000000001</v>
      </c>
      <c r="G89" s="292" t="str">
        <f t="shared" si="99"/>
        <v>See annual O&amp;M</v>
      </c>
      <c r="H89" s="292" t="str">
        <f t="shared" si="99"/>
        <v>Unknown</v>
      </c>
      <c r="I89" s="421" t="str">
        <f t="shared" si="99"/>
        <v>Homeowners Association</v>
      </c>
      <c r="J89" s="421" t="str">
        <f t="shared" si="99"/>
        <v>Ongoing</v>
      </c>
      <c r="K89" s="421" t="str">
        <f t="shared" si="99"/>
        <v>N/A</v>
      </c>
      <c r="L89" s="421" t="str">
        <f t="shared" si="99"/>
        <v>Ongoing</v>
      </c>
      <c r="M89" s="423">
        <f t="shared" si="73"/>
        <v>5.4999999999999997E-3</v>
      </c>
      <c r="N89" s="293">
        <f t="shared" si="74"/>
        <v>5.5</v>
      </c>
      <c r="O89" s="423">
        <f t="shared" si="75"/>
        <v>0.3654</v>
      </c>
      <c r="P89" s="424">
        <f t="shared" si="76"/>
        <v>365.4</v>
      </c>
    </row>
    <row r="90" spans="1:16" ht="49.5" thickTop="1" thickBot="1" x14ac:dyDescent="0.3">
      <c r="A90" s="420" t="str">
        <f t="shared" ref="A90:L90" si="100">A208</f>
        <v>OSC-13</v>
      </c>
      <c r="B90" s="421" t="str">
        <f t="shared" si="100"/>
        <v>Neptune Road Stormwater Reuse</v>
      </c>
      <c r="C90" s="421" t="str">
        <f t="shared" si="100"/>
        <v>Osceola County</v>
      </c>
      <c r="D90" s="421" t="str">
        <f t="shared" si="100"/>
        <v>Stormwater reuse</v>
      </c>
      <c r="E90" s="421" t="str">
        <f t="shared" si="100"/>
        <v>Stormwater reuse for landscape irrigation from Ponds 100/101 and 300.</v>
      </c>
      <c r="F90" s="422">
        <f t="shared" si="100"/>
        <v>35.700000000000003</v>
      </c>
      <c r="G90" s="292">
        <f t="shared" si="100"/>
        <v>640689.59</v>
      </c>
      <c r="H90" s="292">
        <f t="shared" si="100"/>
        <v>26000</v>
      </c>
      <c r="I90" s="421" t="str">
        <f t="shared" si="100"/>
        <v>Operations</v>
      </c>
      <c r="J90" s="421" t="str">
        <f t="shared" si="100"/>
        <v>Ongoing</v>
      </c>
      <c r="K90" s="421" t="str">
        <f t="shared" si="100"/>
        <v>N/A</v>
      </c>
      <c r="L90" s="421" t="str">
        <f t="shared" si="100"/>
        <v>Ongoing</v>
      </c>
      <c r="M90" s="423">
        <f t="shared" si="73"/>
        <v>1.1000000000000001E-3</v>
      </c>
      <c r="N90" s="293">
        <f t="shared" si="74"/>
        <v>1.1000000000000001</v>
      </c>
      <c r="O90" s="423">
        <f t="shared" si="75"/>
        <v>2.4899999999999999E-2</v>
      </c>
      <c r="P90" s="424">
        <f t="shared" si="76"/>
        <v>24.9</v>
      </c>
    </row>
    <row r="91" spans="1:16" ht="61.5" thickTop="1" thickBot="1" x14ac:dyDescent="0.3">
      <c r="A91" s="420" t="str">
        <f t="shared" ref="A91:L91" si="101">A209</f>
        <v>OSC-14</v>
      </c>
      <c r="B91" s="421" t="str">
        <f t="shared" si="101"/>
        <v>Bellalago and Isles of Bellalago Stormwater Reuse</v>
      </c>
      <c r="C91" s="421" t="str">
        <f t="shared" si="101"/>
        <v>Osceola County</v>
      </c>
      <c r="D91" s="421" t="str">
        <f t="shared" si="101"/>
        <v>Stormwater reuse</v>
      </c>
      <c r="E91" s="421" t="str">
        <f t="shared" si="101"/>
        <v>Stormwater reuse for landscape irrigation (197A).</v>
      </c>
      <c r="F91" s="422">
        <f t="shared" si="101"/>
        <v>1386.8</v>
      </c>
      <c r="G91" s="292" t="str">
        <f t="shared" si="101"/>
        <v>See annual O&amp;M</v>
      </c>
      <c r="H91" s="292" t="str">
        <f t="shared" si="101"/>
        <v>Unknown</v>
      </c>
      <c r="I91" s="421" t="str">
        <f t="shared" si="101"/>
        <v>Homeowners Association</v>
      </c>
      <c r="J91" s="421" t="str">
        <f t="shared" si="101"/>
        <v>Ongoing</v>
      </c>
      <c r="K91" s="421" t="str">
        <f t="shared" si="101"/>
        <v>N/A</v>
      </c>
      <c r="L91" s="421" t="str">
        <f t="shared" si="101"/>
        <v>Ongoing</v>
      </c>
      <c r="M91" s="423">
        <f t="shared" si="73"/>
        <v>6.3799999999999996E-2</v>
      </c>
      <c r="N91" s="293">
        <f t="shared" si="74"/>
        <v>63.8</v>
      </c>
      <c r="O91" s="423">
        <f t="shared" si="75"/>
        <v>3.0716999999999999</v>
      </c>
      <c r="P91" s="424">
        <f t="shared" si="76"/>
        <v>3071.7</v>
      </c>
    </row>
    <row r="92" spans="1:16" ht="49.5" thickTop="1" thickBot="1" x14ac:dyDescent="0.3">
      <c r="A92" s="420" t="str">
        <f t="shared" ref="A92:L92" si="102">A210</f>
        <v>OSC-15</v>
      </c>
      <c r="B92" s="421" t="str">
        <f t="shared" si="102"/>
        <v>Poinciana Commerce Center Reuse</v>
      </c>
      <c r="C92" s="421" t="str">
        <f t="shared" si="102"/>
        <v>Osceola County</v>
      </c>
      <c r="D92" s="421" t="str">
        <f t="shared" si="102"/>
        <v>Stormwater reuse</v>
      </c>
      <c r="E92" s="421" t="str">
        <f t="shared" si="102"/>
        <v>Stormwater reuse for landscape irrigation from Pond 1.</v>
      </c>
      <c r="F92" s="422">
        <f t="shared" si="102"/>
        <v>10.199999999999999</v>
      </c>
      <c r="G92" s="292" t="str">
        <f t="shared" si="102"/>
        <v>See annual O&amp;M</v>
      </c>
      <c r="H92" s="292" t="str">
        <f t="shared" si="102"/>
        <v>Unknown</v>
      </c>
      <c r="I92" s="421" t="str">
        <f t="shared" si="102"/>
        <v>Private</v>
      </c>
      <c r="J92" s="421" t="str">
        <f t="shared" si="102"/>
        <v>Started, Partially Funded</v>
      </c>
      <c r="K92" s="421" t="str">
        <f t="shared" si="102"/>
        <v>July 2008</v>
      </c>
      <c r="L92" s="421" t="str">
        <f t="shared" si="102"/>
        <v>Unknown</v>
      </c>
      <c r="M92" s="423">
        <f t="shared" si="73"/>
        <v>5.0000000000000001E-4</v>
      </c>
      <c r="N92" s="293">
        <f t="shared" si="74"/>
        <v>0.5</v>
      </c>
      <c r="O92" s="423">
        <f t="shared" si="75"/>
        <v>1.3800000000000002E-2</v>
      </c>
      <c r="P92" s="424">
        <f t="shared" si="76"/>
        <v>13.8</v>
      </c>
    </row>
    <row r="93" spans="1:16" ht="85.5" thickTop="1" thickBot="1" x14ac:dyDescent="0.3">
      <c r="A93" s="420" t="str">
        <f t="shared" ref="A93:L93" si="103">A211</f>
        <v>OSC-16</v>
      </c>
      <c r="B93" s="421" t="str">
        <f t="shared" si="103"/>
        <v>Kissimmee Bay Reuse</v>
      </c>
      <c r="C93" s="421" t="str">
        <f t="shared" si="103"/>
        <v>Osceola County</v>
      </c>
      <c r="D93" s="421" t="str">
        <f t="shared" si="103"/>
        <v>Stormwater reuse</v>
      </c>
      <c r="E93" s="421" t="str">
        <f t="shared" si="103"/>
        <v>Stormwater reuse 20-year duration for 84.5 acres of golf course and five-year duration for 45.5 acres of landscape irrigation.</v>
      </c>
      <c r="F93" s="422">
        <f t="shared" si="103"/>
        <v>271</v>
      </c>
      <c r="G93" s="292" t="str">
        <f t="shared" si="103"/>
        <v>See annual O&amp;M</v>
      </c>
      <c r="H93" s="292" t="str">
        <f t="shared" si="103"/>
        <v>Unknown</v>
      </c>
      <c r="I93" s="421" t="str">
        <f t="shared" si="103"/>
        <v>Private</v>
      </c>
      <c r="J93" s="421" t="str">
        <f t="shared" si="103"/>
        <v>Ongoing</v>
      </c>
      <c r="K93" s="421" t="str">
        <f t="shared" si="103"/>
        <v>N/A</v>
      </c>
      <c r="L93" s="421" t="str">
        <f t="shared" si="103"/>
        <v>Ongoing</v>
      </c>
      <c r="M93" s="423">
        <f t="shared" si="73"/>
        <v>1.9600000000000003E-2</v>
      </c>
      <c r="N93" s="293">
        <f t="shared" si="74"/>
        <v>19.600000000000001</v>
      </c>
      <c r="O93" s="423">
        <f t="shared" si="75"/>
        <v>0.91010000000000002</v>
      </c>
      <c r="P93" s="424">
        <f t="shared" si="76"/>
        <v>910.1</v>
      </c>
    </row>
    <row r="94" spans="1:16" ht="49.5" thickTop="1" thickBot="1" x14ac:dyDescent="0.3">
      <c r="A94" s="420" t="str">
        <f t="shared" ref="A94:L94" si="104">A212</f>
        <v>OSC-17</v>
      </c>
      <c r="B94" s="421" t="str">
        <f t="shared" si="104"/>
        <v>Remington</v>
      </c>
      <c r="C94" s="421" t="str">
        <f t="shared" si="104"/>
        <v>Osceola County</v>
      </c>
      <c r="D94" s="421" t="str">
        <f t="shared" si="104"/>
        <v>Stormwater reuse</v>
      </c>
      <c r="E94" s="421" t="str">
        <f t="shared" si="104"/>
        <v>Stormwater reuse for golf course irrigation from Ponds 12, 13, 14A, and 14B.</v>
      </c>
      <c r="F94" s="422">
        <f t="shared" si="104"/>
        <v>149.4</v>
      </c>
      <c r="G94" s="292" t="str">
        <f t="shared" si="104"/>
        <v>See annual O&amp;M</v>
      </c>
      <c r="H94" s="292" t="str">
        <f t="shared" si="104"/>
        <v>Unknown</v>
      </c>
      <c r="I94" s="421" t="str">
        <f t="shared" si="104"/>
        <v>Private</v>
      </c>
      <c r="J94" s="421" t="str">
        <f t="shared" si="104"/>
        <v>Ongoing</v>
      </c>
      <c r="K94" s="421" t="str">
        <f t="shared" si="104"/>
        <v>N/A</v>
      </c>
      <c r="L94" s="421" t="str">
        <f t="shared" si="104"/>
        <v>November 2015</v>
      </c>
      <c r="M94" s="423">
        <f t="shared" si="73"/>
        <v>1.21E-2</v>
      </c>
      <c r="N94" s="293">
        <f t="shared" si="74"/>
        <v>12.1</v>
      </c>
      <c r="O94" s="423">
        <f t="shared" si="75"/>
        <v>0.52339999999999998</v>
      </c>
      <c r="P94" s="424">
        <f t="shared" si="76"/>
        <v>523.4</v>
      </c>
    </row>
    <row r="95" spans="1:16" ht="25.5" thickTop="1" thickBot="1" x14ac:dyDescent="0.3">
      <c r="A95" s="420" t="str">
        <f t="shared" ref="A95:L95" si="105">A213</f>
        <v>OSC-18</v>
      </c>
      <c r="B95" s="421" t="str">
        <f t="shared" si="105"/>
        <v>Eagle Lake</v>
      </c>
      <c r="C95" s="421" t="str">
        <f t="shared" si="105"/>
        <v>Osceola County</v>
      </c>
      <c r="D95" s="421" t="str">
        <f t="shared" si="105"/>
        <v>Stormwater reuse</v>
      </c>
      <c r="E95" s="421" t="str">
        <f t="shared" si="105"/>
        <v>Stormwater reuse for turf irrigation.</v>
      </c>
      <c r="F95" s="422">
        <f t="shared" si="105"/>
        <v>435.1</v>
      </c>
      <c r="G95" s="292" t="str">
        <f t="shared" si="105"/>
        <v>See annual O&amp;M</v>
      </c>
      <c r="H95" s="292" t="str">
        <f t="shared" si="105"/>
        <v>Unknown</v>
      </c>
      <c r="I95" s="421" t="str">
        <f t="shared" si="105"/>
        <v>Private</v>
      </c>
      <c r="J95" s="421" t="str">
        <f t="shared" si="105"/>
        <v>Ongoing</v>
      </c>
      <c r="K95" s="421" t="str">
        <f t="shared" si="105"/>
        <v>N/A</v>
      </c>
      <c r="L95" s="421" t="str">
        <f t="shared" si="105"/>
        <v>Ongoing</v>
      </c>
      <c r="M95" s="423">
        <f t="shared" si="73"/>
        <v>1.9199999999999998E-2</v>
      </c>
      <c r="N95" s="293">
        <f t="shared" si="74"/>
        <v>19.2</v>
      </c>
      <c r="O95" s="423">
        <f t="shared" si="75"/>
        <v>0.87390000000000001</v>
      </c>
      <c r="P95" s="424">
        <f t="shared" si="76"/>
        <v>873.9</v>
      </c>
    </row>
    <row r="96" spans="1:16" ht="25.5" thickTop="1" thickBot="1" x14ac:dyDescent="0.3">
      <c r="A96" s="420" t="str">
        <f t="shared" ref="A96:L96" si="106">A214</f>
        <v>OSC-19</v>
      </c>
      <c r="B96" s="421" t="str">
        <f t="shared" si="106"/>
        <v>La Quinta Inn</v>
      </c>
      <c r="C96" s="421" t="str">
        <f t="shared" si="106"/>
        <v>Osceola County</v>
      </c>
      <c r="D96" s="421" t="str">
        <f t="shared" si="106"/>
        <v>Stormwater reuse</v>
      </c>
      <c r="E96" s="421" t="str">
        <f t="shared" si="106"/>
        <v>Stormwater reuse for turf irrigation.</v>
      </c>
      <c r="F96" s="422">
        <f t="shared" si="106"/>
        <v>12.5</v>
      </c>
      <c r="G96" s="292" t="str">
        <f t="shared" si="106"/>
        <v>See annual O&amp;M</v>
      </c>
      <c r="H96" s="292" t="str">
        <f t="shared" si="106"/>
        <v>Unknown</v>
      </c>
      <c r="I96" s="421" t="str">
        <f t="shared" si="106"/>
        <v>Private</v>
      </c>
      <c r="J96" s="421" t="str">
        <f t="shared" si="106"/>
        <v>Ongoing</v>
      </c>
      <c r="K96" s="421" t="str">
        <f t="shared" si="106"/>
        <v>N/A</v>
      </c>
      <c r="L96" s="421" t="str">
        <f t="shared" si="106"/>
        <v>Ongoing</v>
      </c>
      <c r="M96" s="423">
        <f t="shared" si="73"/>
        <v>1.6999999999999999E-3</v>
      </c>
      <c r="N96" s="293">
        <f t="shared" si="74"/>
        <v>1.7</v>
      </c>
      <c r="O96" s="423">
        <f t="shared" si="75"/>
        <v>1.4199999999999999E-2</v>
      </c>
      <c r="P96" s="424">
        <f t="shared" si="76"/>
        <v>14.2</v>
      </c>
    </row>
    <row r="97" spans="1:16" ht="85.5" thickTop="1" thickBot="1" x14ac:dyDescent="0.3">
      <c r="A97" s="420" t="str">
        <f t="shared" ref="A97:L97" si="107">A215</f>
        <v>OSC-20</v>
      </c>
      <c r="B97" s="421" t="str">
        <f t="shared" si="107"/>
        <v>Lake Toho Regional Water Storage Facility (Judge Farms)</v>
      </c>
      <c r="C97" s="421" t="str">
        <f t="shared" si="107"/>
        <v>Osceola County/ City of Kissimmee</v>
      </c>
      <c r="D97" s="421" t="str">
        <f t="shared" si="107"/>
        <v>Stormwater reuse</v>
      </c>
      <c r="E97" s="421" t="str">
        <f t="shared" si="107"/>
        <v>Stormwater reuse.</v>
      </c>
      <c r="F97" s="422">
        <f t="shared" si="107"/>
        <v>5882.9941153560885</v>
      </c>
      <c r="G97" s="292" t="str">
        <f t="shared" si="107"/>
        <v>See annual O&amp;M</v>
      </c>
      <c r="H97" s="292" t="str">
        <f t="shared" si="107"/>
        <v>Unknown</v>
      </c>
      <c r="I97" s="421" t="str">
        <f t="shared" si="107"/>
        <v>Multiple</v>
      </c>
      <c r="J97" s="421" t="str">
        <f t="shared" si="107"/>
        <v>Planned and Funded</v>
      </c>
      <c r="K97" s="421" t="str">
        <f t="shared" si="107"/>
        <v>December 2015</v>
      </c>
      <c r="L97" s="421" t="str">
        <f t="shared" si="107"/>
        <v>June 2016</v>
      </c>
      <c r="M97" s="423">
        <f t="shared" si="73"/>
        <v>0.41210000000000002</v>
      </c>
      <c r="N97" s="293">
        <f t="shared" si="74"/>
        <v>412.1</v>
      </c>
      <c r="O97" s="423">
        <f t="shared" si="75"/>
        <v>8.7752999999999997</v>
      </c>
      <c r="P97" s="424">
        <f t="shared" si="76"/>
        <v>8775.2999999999993</v>
      </c>
    </row>
    <row r="98" spans="1:16" ht="25.5" thickTop="1" thickBot="1" x14ac:dyDescent="0.3">
      <c r="A98" s="420" t="str">
        <f t="shared" ref="A98:L98" si="108">A216</f>
        <v>OSC-21</v>
      </c>
      <c r="B98" s="421" t="str">
        <f t="shared" si="108"/>
        <v>Street Sweeping</v>
      </c>
      <c r="C98" s="421" t="str">
        <f t="shared" si="108"/>
        <v>Osceola County</v>
      </c>
      <c r="D98" s="421" t="str">
        <f t="shared" si="108"/>
        <v>Street sweeping</v>
      </c>
      <c r="E98" s="421" t="str">
        <f t="shared" si="108"/>
        <v>Monthly street sweeping.</v>
      </c>
      <c r="F98" s="422" t="str">
        <f t="shared" si="108"/>
        <v>N/A</v>
      </c>
      <c r="G98" s="292" t="str">
        <f t="shared" si="108"/>
        <v>See annual O&amp;M</v>
      </c>
      <c r="H98" s="292">
        <f t="shared" si="108"/>
        <v>60000</v>
      </c>
      <c r="I98" s="421" t="str">
        <f t="shared" si="108"/>
        <v>Osceola County</v>
      </c>
      <c r="J98" s="421" t="str">
        <f t="shared" si="108"/>
        <v>Ongoing</v>
      </c>
      <c r="K98" s="421" t="str">
        <f t="shared" si="108"/>
        <v>N/A</v>
      </c>
      <c r="L98" s="421" t="str">
        <f t="shared" si="108"/>
        <v>Ongoing</v>
      </c>
      <c r="M98" s="423">
        <f t="shared" ref="M98:M117" si="109">N216</f>
        <v>1.61E-2</v>
      </c>
      <c r="N98" s="293">
        <f t="shared" ref="N98:N117" si="110">M216</f>
        <v>16.100000000000001</v>
      </c>
      <c r="O98" s="423">
        <f t="shared" ref="O98:O110" si="111">P216</f>
        <v>4.6200000000000005E-2</v>
      </c>
      <c r="P98" s="424">
        <f t="shared" ref="P98:P117" si="112">O216</f>
        <v>46.2</v>
      </c>
    </row>
    <row r="99" spans="1:16" ht="61.5" thickTop="1" thickBot="1" x14ac:dyDescent="0.3">
      <c r="A99" s="420" t="str">
        <f t="shared" ref="A99:L99" si="113">A217</f>
        <v>OSC-22</v>
      </c>
      <c r="B99" s="421" t="str">
        <f t="shared" si="113"/>
        <v>Buenaventura Lakes Golf Course Ponds</v>
      </c>
      <c r="C99" s="421" t="str">
        <f t="shared" si="113"/>
        <v>Osceola County</v>
      </c>
      <c r="D99" s="421" t="str">
        <f t="shared" si="113"/>
        <v>Wet detention pond</v>
      </c>
      <c r="E99" s="421" t="str">
        <f t="shared" si="113"/>
        <v>Two new lakes at golf course.</v>
      </c>
      <c r="F99" s="422">
        <f t="shared" si="113"/>
        <v>517.70000000000005</v>
      </c>
      <c r="G99" s="292" t="str">
        <f t="shared" si="113"/>
        <v>Unknown</v>
      </c>
      <c r="H99" s="292" t="str">
        <f t="shared" si="113"/>
        <v>Unknown</v>
      </c>
      <c r="I99" s="421" t="str">
        <f t="shared" si="113"/>
        <v>Osceola County</v>
      </c>
      <c r="J99" s="421" t="str">
        <f t="shared" si="113"/>
        <v>Completed</v>
      </c>
      <c r="K99" s="421" t="str">
        <f t="shared" si="113"/>
        <v>Unknown</v>
      </c>
      <c r="L99" s="421">
        <f t="shared" si="113"/>
        <v>2011</v>
      </c>
      <c r="M99" s="423">
        <f t="shared" si="109"/>
        <v>2E-3</v>
      </c>
      <c r="N99" s="293">
        <f t="shared" si="110"/>
        <v>2</v>
      </c>
      <c r="O99" s="423">
        <f t="shared" si="111"/>
        <v>6.0000000000000001E-3</v>
      </c>
      <c r="P99" s="424">
        <f t="shared" si="112"/>
        <v>6</v>
      </c>
    </row>
    <row r="100" spans="1:16" ht="25.5" thickTop="1" thickBot="1" x14ac:dyDescent="0.3">
      <c r="A100" s="420" t="str">
        <f t="shared" ref="A100:L100" si="114">A218</f>
        <v>OSC-23</v>
      </c>
      <c r="B100" s="421" t="str">
        <f t="shared" si="114"/>
        <v>Slaman</v>
      </c>
      <c r="C100" s="421" t="str">
        <f t="shared" si="114"/>
        <v>Osceola County</v>
      </c>
      <c r="D100" s="421" t="str">
        <f t="shared" si="114"/>
        <v>Conservation area</v>
      </c>
      <c r="E100" s="421" t="str">
        <f t="shared" si="114"/>
        <v>Conservation areas.</v>
      </c>
      <c r="F100" s="422">
        <f t="shared" si="114"/>
        <v>32.200000000000003</v>
      </c>
      <c r="G100" s="292" t="str">
        <f t="shared" si="114"/>
        <v>See annual O&amp;M</v>
      </c>
      <c r="H100" s="292" t="str">
        <f t="shared" si="114"/>
        <v>Unknown</v>
      </c>
      <c r="I100" s="421" t="str">
        <f t="shared" si="114"/>
        <v>Osceola County</v>
      </c>
      <c r="J100" s="421" t="str">
        <f t="shared" si="114"/>
        <v>Completed</v>
      </c>
      <c r="K100" s="421" t="str">
        <f t="shared" si="114"/>
        <v>N/A</v>
      </c>
      <c r="L100" s="421" t="str">
        <f t="shared" si="114"/>
        <v>Completed</v>
      </c>
      <c r="M100" s="423">
        <f t="shared" si="109"/>
        <v>0</v>
      </c>
      <c r="N100" s="293">
        <f t="shared" si="110"/>
        <v>0</v>
      </c>
      <c r="O100" s="423">
        <f t="shared" si="111"/>
        <v>3.3035130351040463E-4</v>
      </c>
      <c r="P100" s="424">
        <f t="shared" si="112"/>
        <v>0.33035130351040465</v>
      </c>
    </row>
    <row r="101" spans="1:16" ht="25.5" thickTop="1" thickBot="1" x14ac:dyDescent="0.3">
      <c r="A101" s="420" t="str">
        <f t="shared" ref="A101:L101" si="115">A219</f>
        <v>OSC-24</v>
      </c>
      <c r="B101" s="421" t="str">
        <f t="shared" si="115"/>
        <v>Jim Yates</v>
      </c>
      <c r="C101" s="421" t="str">
        <f t="shared" si="115"/>
        <v>Osceola County</v>
      </c>
      <c r="D101" s="421" t="str">
        <f t="shared" si="115"/>
        <v>Conservation area</v>
      </c>
      <c r="E101" s="421" t="str">
        <f t="shared" si="115"/>
        <v>Conservation areas.</v>
      </c>
      <c r="F101" s="422">
        <f t="shared" si="115"/>
        <v>5.3</v>
      </c>
      <c r="G101" s="292" t="str">
        <f t="shared" si="115"/>
        <v>See annual O&amp;M</v>
      </c>
      <c r="H101" s="292" t="str">
        <f t="shared" si="115"/>
        <v>Unknown</v>
      </c>
      <c r="I101" s="421" t="str">
        <f t="shared" si="115"/>
        <v>Osceola County</v>
      </c>
      <c r="J101" s="421" t="str">
        <f t="shared" si="115"/>
        <v>Completed</v>
      </c>
      <c r="K101" s="421" t="str">
        <f t="shared" si="115"/>
        <v>N/A</v>
      </c>
      <c r="L101" s="421" t="str">
        <f t="shared" si="115"/>
        <v>Completed</v>
      </c>
      <c r="M101" s="423">
        <f t="shared" si="109"/>
        <v>5.3702187976826003E-4</v>
      </c>
      <c r="N101" s="293">
        <f t="shared" si="110"/>
        <v>0.53702187976825999</v>
      </c>
      <c r="O101" s="423">
        <f t="shared" si="111"/>
        <v>3.1513197993192003E-3</v>
      </c>
      <c r="P101" s="424">
        <f t="shared" si="112"/>
        <v>3.1513197993192001</v>
      </c>
    </row>
    <row r="102" spans="1:16" ht="25.5" thickTop="1" thickBot="1" x14ac:dyDescent="0.3">
      <c r="A102" s="420" t="str">
        <f t="shared" ref="A102:L102" si="116">A220</f>
        <v>OSC-25</v>
      </c>
      <c r="B102" s="421" t="str">
        <f t="shared" si="116"/>
        <v>Udstad</v>
      </c>
      <c r="C102" s="421" t="str">
        <f t="shared" si="116"/>
        <v>Osceola County</v>
      </c>
      <c r="D102" s="421" t="str">
        <f t="shared" si="116"/>
        <v>Conservation area</v>
      </c>
      <c r="E102" s="421" t="str">
        <f t="shared" si="116"/>
        <v>Conservation areas.</v>
      </c>
      <c r="F102" s="422">
        <f t="shared" si="116"/>
        <v>5.9</v>
      </c>
      <c r="G102" s="292" t="str">
        <f t="shared" si="116"/>
        <v>See annual O&amp;M</v>
      </c>
      <c r="H102" s="292" t="str">
        <f t="shared" si="116"/>
        <v>Unknown</v>
      </c>
      <c r="I102" s="421" t="str">
        <f t="shared" si="116"/>
        <v>Osceola County</v>
      </c>
      <c r="J102" s="421" t="str">
        <f t="shared" si="116"/>
        <v>Completed</v>
      </c>
      <c r="K102" s="421" t="str">
        <f t="shared" si="116"/>
        <v>N/A</v>
      </c>
      <c r="L102" s="421" t="str">
        <f t="shared" si="116"/>
        <v>Completed</v>
      </c>
      <c r="M102" s="423">
        <f t="shared" si="109"/>
        <v>5.3627998021229324E-4</v>
      </c>
      <c r="N102" s="293">
        <f t="shared" si="110"/>
        <v>0.53627998021229328</v>
      </c>
      <c r="O102" s="423">
        <f t="shared" si="111"/>
        <v>7.6546603440000019E-3</v>
      </c>
      <c r="P102" s="424">
        <f t="shared" si="112"/>
        <v>7.6546603440000016</v>
      </c>
    </row>
    <row r="103" spans="1:16" ht="25.5" thickTop="1" thickBot="1" x14ac:dyDescent="0.3">
      <c r="A103" s="420" t="str">
        <f t="shared" ref="A103:L103" si="117">A221</f>
        <v>OSC-26</v>
      </c>
      <c r="B103" s="421" t="str">
        <f t="shared" si="117"/>
        <v>Proctor</v>
      </c>
      <c r="C103" s="421" t="str">
        <f t="shared" si="117"/>
        <v>Osceola County</v>
      </c>
      <c r="D103" s="421" t="str">
        <f t="shared" si="117"/>
        <v>Conservation area</v>
      </c>
      <c r="E103" s="421" t="str">
        <f t="shared" si="117"/>
        <v>Conservation areas.</v>
      </c>
      <c r="F103" s="422">
        <f t="shared" si="117"/>
        <v>0.7</v>
      </c>
      <c r="G103" s="292" t="str">
        <f t="shared" si="117"/>
        <v>See annual O&amp;M</v>
      </c>
      <c r="H103" s="292" t="str">
        <f t="shared" si="117"/>
        <v>Unknown</v>
      </c>
      <c r="I103" s="421" t="str">
        <f t="shared" si="117"/>
        <v>Osceola County</v>
      </c>
      <c r="J103" s="421" t="str">
        <f t="shared" si="117"/>
        <v>Completed</v>
      </c>
      <c r="K103" s="421" t="str">
        <f t="shared" si="117"/>
        <v>N/A</v>
      </c>
      <c r="L103" s="421" t="str">
        <f t="shared" si="117"/>
        <v>Completed</v>
      </c>
      <c r="M103" s="423">
        <f t="shared" si="109"/>
        <v>9.3648325752223802E-5</v>
      </c>
      <c r="N103" s="293">
        <f t="shared" si="110"/>
        <v>9.3648325752223802E-2</v>
      </c>
      <c r="O103" s="423">
        <f t="shared" si="111"/>
        <v>3.3312225376880012E-4</v>
      </c>
      <c r="P103" s="424">
        <f t="shared" si="112"/>
        <v>0.33312225376880011</v>
      </c>
    </row>
    <row r="104" spans="1:16" ht="25.5" thickTop="1" thickBot="1" x14ac:dyDescent="0.3">
      <c r="A104" s="420" t="str">
        <f t="shared" ref="A104:L104" si="118">A222</f>
        <v>OSC-27</v>
      </c>
      <c r="B104" s="421" t="str">
        <f t="shared" si="118"/>
        <v>Twin Oaks</v>
      </c>
      <c r="C104" s="421" t="str">
        <f t="shared" si="118"/>
        <v>Osceola County</v>
      </c>
      <c r="D104" s="421" t="str">
        <f t="shared" si="118"/>
        <v>Conservation area</v>
      </c>
      <c r="E104" s="421" t="str">
        <f t="shared" si="118"/>
        <v>Conservation areas.</v>
      </c>
      <c r="F104" s="422">
        <f t="shared" si="118"/>
        <v>399.6</v>
      </c>
      <c r="G104" s="292" t="str">
        <f t="shared" si="118"/>
        <v>See annual O&amp;M</v>
      </c>
      <c r="H104" s="292" t="str">
        <f t="shared" si="118"/>
        <v>Unknown</v>
      </c>
      <c r="I104" s="421" t="str">
        <f t="shared" si="118"/>
        <v>Osceola County</v>
      </c>
      <c r="J104" s="421" t="str">
        <f t="shared" si="118"/>
        <v>Completed</v>
      </c>
      <c r="K104" s="421" t="str">
        <f t="shared" si="118"/>
        <v>N/A</v>
      </c>
      <c r="L104" s="421" t="str">
        <f t="shared" si="118"/>
        <v>Completed</v>
      </c>
      <c r="M104" s="423">
        <f t="shared" si="109"/>
        <v>4.6970597278937702E-2</v>
      </c>
      <c r="N104" s="293">
        <f t="shared" si="110"/>
        <v>46.970597278937703</v>
      </c>
      <c r="O104" s="423">
        <f t="shared" si="111"/>
        <v>0.26492863347008405</v>
      </c>
      <c r="P104" s="424">
        <f t="shared" si="112"/>
        <v>264.92863347008404</v>
      </c>
    </row>
    <row r="105" spans="1:16" ht="25.5" thickTop="1" thickBot="1" x14ac:dyDescent="0.3">
      <c r="A105" s="420" t="str">
        <f t="shared" ref="A105:L105" si="119">A223</f>
        <v>OSC-28</v>
      </c>
      <c r="B105" s="421" t="str">
        <f t="shared" si="119"/>
        <v>Cherokee Point</v>
      </c>
      <c r="C105" s="421" t="str">
        <f t="shared" si="119"/>
        <v>Osceola County</v>
      </c>
      <c r="D105" s="421" t="str">
        <f t="shared" si="119"/>
        <v>Conservation area</v>
      </c>
      <c r="E105" s="421" t="str">
        <f t="shared" si="119"/>
        <v>Conservation areas.</v>
      </c>
      <c r="F105" s="422">
        <f t="shared" si="119"/>
        <v>178.6</v>
      </c>
      <c r="G105" s="292" t="str">
        <f t="shared" si="119"/>
        <v>See annual O&amp;M</v>
      </c>
      <c r="H105" s="292" t="str">
        <f t="shared" si="119"/>
        <v>Unknown</v>
      </c>
      <c r="I105" s="421" t="str">
        <f t="shared" si="119"/>
        <v>Osceola County</v>
      </c>
      <c r="J105" s="421" t="str">
        <f t="shared" si="119"/>
        <v>Completed</v>
      </c>
      <c r="K105" s="421" t="str">
        <f t="shared" si="119"/>
        <v>N/A</v>
      </c>
      <c r="L105" s="421" t="str">
        <f t="shared" si="119"/>
        <v>Completed</v>
      </c>
      <c r="M105" s="423">
        <f t="shared" si="109"/>
        <v>1.2251792917542215E-3</v>
      </c>
      <c r="N105" s="293">
        <f t="shared" si="110"/>
        <v>1.2251792917542215</v>
      </c>
      <c r="O105" s="423">
        <f t="shared" si="111"/>
        <v>6.7441802702641667E-3</v>
      </c>
      <c r="P105" s="424">
        <f t="shared" si="112"/>
        <v>6.7441802702641667</v>
      </c>
    </row>
    <row r="106" spans="1:16" ht="37.5" thickTop="1" thickBot="1" x14ac:dyDescent="0.3">
      <c r="A106" s="420" t="str">
        <f t="shared" ref="A106:L106" si="120">A224</f>
        <v>OSC-29</v>
      </c>
      <c r="B106" s="421" t="str">
        <f t="shared" si="120"/>
        <v>Encatada Resort</v>
      </c>
      <c r="C106" s="421" t="str">
        <f t="shared" si="120"/>
        <v>Osceola County</v>
      </c>
      <c r="D106" s="421" t="str">
        <f t="shared" si="120"/>
        <v>Stormwater reuse</v>
      </c>
      <c r="E106" s="421" t="str">
        <f t="shared" si="120"/>
        <v>Stormwater reuse.</v>
      </c>
      <c r="F106" s="422">
        <f t="shared" si="120"/>
        <v>57.6</v>
      </c>
      <c r="G106" s="292" t="str">
        <f t="shared" si="120"/>
        <v>See annual O&amp;M</v>
      </c>
      <c r="H106" s="292" t="str">
        <f t="shared" si="120"/>
        <v>Unknown</v>
      </c>
      <c r="I106" s="421" t="str">
        <f t="shared" si="120"/>
        <v>Homeowners Association</v>
      </c>
      <c r="J106" s="421" t="str">
        <f t="shared" si="120"/>
        <v>Ongoing</v>
      </c>
      <c r="K106" s="421" t="str">
        <f t="shared" si="120"/>
        <v>N/A</v>
      </c>
      <c r="L106" s="421" t="str">
        <f t="shared" si="120"/>
        <v>Unknown</v>
      </c>
      <c r="M106" s="423">
        <f t="shared" si="109"/>
        <v>3.0999999999999999E-3</v>
      </c>
      <c r="N106" s="293">
        <f t="shared" si="110"/>
        <v>3.1</v>
      </c>
      <c r="O106" s="423">
        <f t="shared" si="111"/>
        <v>3.32E-2</v>
      </c>
      <c r="P106" s="424">
        <f t="shared" si="112"/>
        <v>33.200000000000003</v>
      </c>
    </row>
    <row r="107" spans="1:16" ht="37.5" thickTop="1" thickBot="1" x14ac:dyDescent="0.3">
      <c r="A107" s="420" t="str">
        <f t="shared" ref="A107:L107" si="121">A225</f>
        <v>OSC-30</v>
      </c>
      <c r="B107" s="421" t="str">
        <f t="shared" si="121"/>
        <v>Cypress Palms Condos</v>
      </c>
      <c r="C107" s="421" t="str">
        <f t="shared" si="121"/>
        <v>Osceola County</v>
      </c>
      <c r="D107" s="421" t="str">
        <f t="shared" si="121"/>
        <v>Stormwater reuse</v>
      </c>
      <c r="E107" s="421" t="str">
        <f t="shared" si="121"/>
        <v>Stormwater reuse.</v>
      </c>
      <c r="F107" s="422">
        <f t="shared" si="121"/>
        <v>12.4</v>
      </c>
      <c r="G107" s="292" t="str">
        <f t="shared" si="121"/>
        <v>See annual O&amp;M</v>
      </c>
      <c r="H107" s="292" t="str">
        <f t="shared" si="121"/>
        <v>Unknown</v>
      </c>
      <c r="I107" s="421" t="str">
        <f t="shared" si="121"/>
        <v>Homeowners Association</v>
      </c>
      <c r="J107" s="421" t="str">
        <f t="shared" si="121"/>
        <v>Planned and Funded</v>
      </c>
      <c r="K107" s="421" t="str">
        <f t="shared" si="121"/>
        <v>March 2012</v>
      </c>
      <c r="L107" s="421" t="str">
        <f t="shared" si="121"/>
        <v>Unknown</v>
      </c>
      <c r="M107" s="423">
        <f t="shared" si="109"/>
        <v>1E-3</v>
      </c>
      <c r="N107" s="293">
        <f t="shared" si="110"/>
        <v>1</v>
      </c>
      <c r="O107" s="423">
        <f t="shared" si="111"/>
        <v>1.04E-2</v>
      </c>
      <c r="P107" s="424">
        <f t="shared" si="112"/>
        <v>10.4</v>
      </c>
    </row>
    <row r="108" spans="1:16" ht="37.5" thickTop="1" thickBot="1" x14ac:dyDescent="0.3">
      <c r="A108" s="420" t="str">
        <f t="shared" ref="A108:L108" si="122">A226</f>
        <v>OSC-31</v>
      </c>
      <c r="B108" s="421" t="str">
        <f t="shared" si="122"/>
        <v>Lake Pointe</v>
      </c>
      <c r="C108" s="421" t="str">
        <f t="shared" si="122"/>
        <v>Osceola County</v>
      </c>
      <c r="D108" s="421" t="str">
        <f t="shared" si="122"/>
        <v>Stormwater reuse</v>
      </c>
      <c r="E108" s="421" t="str">
        <f t="shared" si="122"/>
        <v>Stormwater reuse.</v>
      </c>
      <c r="F108" s="422">
        <f t="shared" si="122"/>
        <v>150.19999999999999</v>
      </c>
      <c r="G108" s="292" t="str">
        <f t="shared" si="122"/>
        <v>See annual O&amp;M</v>
      </c>
      <c r="H108" s="292" t="str">
        <f t="shared" si="122"/>
        <v>Unknown</v>
      </c>
      <c r="I108" s="421" t="str">
        <f t="shared" si="122"/>
        <v>Homeowners Association</v>
      </c>
      <c r="J108" s="421" t="str">
        <f t="shared" si="122"/>
        <v>Planned and Funded</v>
      </c>
      <c r="K108" s="421" t="str">
        <f t="shared" si="122"/>
        <v>May 2012</v>
      </c>
      <c r="L108" s="421" t="str">
        <f t="shared" si="122"/>
        <v>Unknown</v>
      </c>
      <c r="M108" s="423">
        <f t="shared" si="109"/>
        <v>5.9000000000000007E-3</v>
      </c>
      <c r="N108" s="293">
        <f t="shared" si="110"/>
        <v>5.9</v>
      </c>
      <c r="O108" s="423">
        <f t="shared" si="111"/>
        <v>0.32230000000000003</v>
      </c>
      <c r="P108" s="424">
        <f t="shared" si="112"/>
        <v>322.3</v>
      </c>
    </row>
    <row r="109" spans="1:16" ht="37.5" thickTop="1" thickBot="1" x14ac:dyDescent="0.3">
      <c r="A109" s="420" t="str">
        <f t="shared" ref="A109:L109" si="123">A227</f>
        <v>OSC-32</v>
      </c>
      <c r="B109" s="421" t="str">
        <f t="shared" si="123"/>
        <v>Traditions at Westside</v>
      </c>
      <c r="C109" s="421" t="str">
        <f t="shared" si="123"/>
        <v>Osceola County</v>
      </c>
      <c r="D109" s="421" t="str">
        <f t="shared" si="123"/>
        <v>Stormwater reuse</v>
      </c>
      <c r="E109" s="421" t="str">
        <f t="shared" si="123"/>
        <v>Stormwater reuse.</v>
      </c>
      <c r="F109" s="422">
        <f t="shared" si="123"/>
        <v>21.7</v>
      </c>
      <c r="G109" s="292" t="str">
        <f t="shared" si="123"/>
        <v>See annual O&amp;M</v>
      </c>
      <c r="H109" s="292" t="str">
        <f t="shared" si="123"/>
        <v>Unknown</v>
      </c>
      <c r="I109" s="421" t="str">
        <f t="shared" si="123"/>
        <v>Homeowners Association</v>
      </c>
      <c r="J109" s="421" t="str">
        <f t="shared" si="123"/>
        <v>Planned and Funded</v>
      </c>
      <c r="K109" s="421" t="str">
        <f t="shared" si="123"/>
        <v>February 2011</v>
      </c>
      <c r="L109" s="421" t="str">
        <f t="shared" si="123"/>
        <v>Unknown</v>
      </c>
      <c r="M109" s="423">
        <f t="shared" si="109"/>
        <v>2.3E-3</v>
      </c>
      <c r="N109" s="293">
        <f t="shared" si="110"/>
        <v>2.2999999999999998</v>
      </c>
      <c r="O109" s="423">
        <f t="shared" si="111"/>
        <v>1.9699999999999999E-2</v>
      </c>
      <c r="P109" s="424">
        <f t="shared" si="112"/>
        <v>19.7</v>
      </c>
    </row>
    <row r="110" spans="1:16" ht="61.5" thickTop="1" thickBot="1" x14ac:dyDescent="0.3">
      <c r="A110" s="420" t="str">
        <f t="shared" ref="A110:L110" si="124">A228</f>
        <v>PC-3</v>
      </c>
      <c r="B110" s="421" t="str">
        <f t="shared" si="124"/>
        <v>Education and Outreach</v>
      </c>
      <c r="C110" s="421" t="str">
        <f t="shared" si="124"/>
        <v>Polk County</v>
      </c>
      <c r="D110" s="421" t="str">
        <f t="shared" si="124"/>
        <v>Public education</v>
      </c>
      <c r="E110" s="421" t="str">
        <f t="shared" si="124"/>
        <v>FYN, fertilizer ordinance, PSAs, pamphlets, website, and illicit discharge inspection program.</v>
      </c>
      <c r="F110" s="422" t="str">
        <f t="shared" si="124"/>
        <v>N/A</v>
      </c>
      <c r="G110" s="292" t="str">
        <f t="shared" si="124"/>
        <v>Unknown</v>
      </c>
      <c r="H110" s="292" t="str">
        <f t="shared" si="124"/>
        <v>Unknown</v>
      </c>
      <c r="I110" s="421" t="str">
        <f t="shared" si="124"/>
        <v>Polk County</v>
      </c>
      <c r="J110" s="421" t="str">
        <f t="shared" si="124"/>
        <v>Ongoing</v>
      </c>
      <c r="K110" s="421" t="str">
        <f t="shared" si="124"/>
        <v>N/A</v>
      </c>
      <c r="L110" s="421" t="str">
        <f t="shared" si="124"/>
        <v>Ongoing</v>
      </c>
      <c r="M110" s="423">
        <f t="shared" si="109"/>
        <v>0.1188</v>
      </c>
      <c r="N110" s="293">
        <f t="shared" si="110"/>
        <v>118.8</v>
      </c>
      <c r="O110" s="423">
        <f t="shared" si="111"/>
        <v>4.4381000000000004</v>
      </c>
      <c r="P110" s="424">
        <f t="shared" si="112"/>
        <v>4438.1000000000004</v>
      </c>
    </row>
    <row r="111" spans="1:16" ht="73.5" thickTop="1" thickBot="1" x14ac:dyDescent="0.3">
      <c r="A111" s="420" t="str">
        <f t="shared" ref="A111:L111" si="125">A229</f>
        <v>PC-4</v>
      </c>
      <c r="B111" s="421" t="str">
        <f t="shared" si="125"/>
        <v>Sumica Preserve Water Storage/ Hydrologic Restoration</v>
      </c>
      <c r="C111" s="421" t="str">
        <f t="shared" si="125"/>
        <v>Polk County/ SFWMD</v>
      </c>
      <c r="D111" s="421" t="str">
        <f t="shared" si="125"/>
        <v>DWM</v>
      </c>
      <c r="E111" s="421" t="str">
        <f t="shared" si="125"/>
        <v>Construction of a gravel berm to store water on-site for wetland restoration.</v>
      </c>
      <c r="F111" s="422">
        <f t="shared" si="125"/>
        <v>4077.4</v>
      </c>
      <c r="G111" s="292">
        <f t="shared" si="125"/>
        <v>42850</v>
      </c>
      <c r="H111" s="292">
        <f t="shared" si="125"/>
        <v>13000</v>
      </c>
      <c r="I111" s="421" t="str">
        <f t="shared" si="125"/>
        <v>SFWMD</v>
      </c>
      <c r="J111" s="421" t="str">
        <f t="shared" si="125"/>
        <v>Operational</v>
      </c>
      <c r="K111" s="421" t="str">
        <f t="shared" si="125"/>
        <v>N/A</v>
      </c>
      <c r="L111" s="421" t="str">
        <f t="shared" si="125"/>
        <v>November 2010</v>
      </c>
      <c r="M111" s="423">
        <f t="shared" si="109"/>
        <v>7.4999999999999997E-3</v>
      </c>
      <c r="N111" s="293">
        <f t="shared" si="110"/>
        <v>7.5</v>
      </c>
      <c r="O111" s="423" t="str">
        <f t="shared" ref="O111:O117" si="126">P111</f>
        <v>Not quantified</v>
      </c>
      <c r="P111" s="424" t="str">
        <f t="shared" si="112"/>
        <v>Not quantified</v>
      </c>
    </row>
    <row r="112" spans="1:16" ht="121.5" thickTop="1" thickBot="1" x14ac:dyDescent="0.3">
      <c r="A112" s="420" t="str">
        <f t="shared" ref="A112:L112" si="127">A230</f>
        <v>SFWMD-6</v>
      </c>
      <c r="B112" s="421" t="str">
        <f t="shared" si="127"/>
        <v>Phase I Rolling Meadows</v>
      </c>
      <c r="C112" s="421" t="str">
        <f t="shared" si="127"/>
        <v>SFWMD</v>
      </c>
      <c r="D112" s="421" t="str">
        <f t="shared" si="127"/>
        <v>Restoration</v>
      </c>
      <c r="E112" s="421" t="str">
        <f t="shared" si="127"/>
        <v xml:space="preserve">The goal of this project is to restore historic Lake Hatchineha floodplain wetlands and habitat within the Rolling Meadows property which was purchased jointly with the Department. </v>
      </c>
      <c r="F112" s="422">
        <f t="shared" si="127"/>
        <v>1900</v>
      </c>
      <c r="G112" s="292">
        <f t="shared" si="127"/>
        <v>43200000</v>
      </c>
      <c r="H112" s="292" t="str">
        <f t="shared" si="127"/>
        <v>Unknown</v>
      </c>
      <c r="I112" s="421" t="str">
        <f t="shared" si="127"/>
        <v>SFWMD and Department</v>
      </c>
      <c r="J112" s="421" t="str">
        <f t="shared" si="127"/>
        <v>Planned and Funded</v>
      </c>
      <c r="K112" s="421">
        <f t="shared" si="127"/>
        <v>2014</v>
      </c>
      <c r="L112" s="421" t="str">
        <f t="shared" si="127"/>
        <v>2015-2016</v>
      </c>
      <c r="M112" s="423">
        <f t="shared" si="109"/>
        <v>6.5099999999999991E-2</v>
      </c>
      <c r="N112" s="293">
        <f t="shared" si="110"/>
        <v>65.099999999999994</v>
      </c>
      <c r="O112" s="423" t="str">
        <f t="shared" si="126"/>
        <v>Not quantified</v>
      </c>
      <c r="P112" s="424" t="str">
        <f t="shared" si="112"/>
        <v>Not quantified</v>
      </c>
    </row>
    <row r="113" spans="1:20" ht="169.5" thickTop="1" thickBot="1" x14ac:dyDescent="0.3">
      <c r="A113" s="420" t="str">
        <f t="shared" ref="A113:L113" si="128">A231</f>
        <v>SFWMD-7</v>
      </c>
      <c r="B113" s="421" t="str">
        <f t="shared" si="128"/>
        <v>Gardner-Cobb Marsh</v>
      </c>
      <c r="C113" s="421" t="str">
        <f t="shared" si="128"/>
        <v>SFWMD</v>
      </c>
      <c r="D113" s="421" t="str">
        <f t="shared" si="128"/>
        <v>Restoration</v>
      </c>
      <c r="E113" s="421" t="str">
        <f t="shared" si="128"/>
        <v>Located south of Cypress Lake and includes 23 ditch plugs, berm removal, exotic treatment, and culvert replacement. It helps attenuate regional stormwater runoff and provide incidental nutrient reductions due to plant uptake from overland flows in the marsh.</v>
      </c>
      <c r="F113" s="422">
        <f t="shared" si="128"/>
        <v>2000</v>
      </c>
      <c r="G113" s="292" t="str">
        <f t="shared" si="128"/>
        <v>Unknown</v>
      </c>
      <c r="H113" s="292" t="str">
        <f t="shared" si="128"/>
        <v>Unknown</v>
      </c>
      <c r="I113" s="421" t="str">
        <f t="shared" si="128"/>
        <v>SFWMD</v>
      </c>
      <c r="J113" s="421" t="str">
        <f t="shared" si="128"/>
        <v>Started</v>
      </c>
      <c r="K113" s="421">
        <f t="shared" si="128"/>
        <v>2009</v>
      </c>
      <c r="L113" s="421" t="str">
        <f t="shared" si="128"/>
        <v>Unknown</v>
      </c>
      <c r="M113" s="423">
        <f t="shared" si="109"/>
        <v>5.1999999999999998E-3</v>
      </c>
      <c r="N113" s="293">
        <f t="shared" si="110"/>
        <v>5.2</v>
      </c>
      <c r="O113" s="423" t="str">
        <f t="shared" si="126"/>
        <v>Not quantified</v>
      </c>
      <c r="P113" s="424" t="str">
        <f t="shared" si="112"/>
        <v>Not quantified</v>
      </c>
    </row>
    <row r="114" spans="1:20" ht="193.5" thickTop="1" thickBot="1" x14ac:dyDescent="0.3">
      <c r="A114" s="420" t="str">
        <f t="shared" ref="A114:L114" si="129">A232</f>
        <v>SFWMD-8</v>
      </c>
      <c r="B114" s="421" t="str">
        <f t="shared" si="129"/>
        <v xml:space="preserve">Rough Island </v>
      </c>
      <c r="C114" s="421" t="str">
        <f t="shared" si="129"/>
        <v>SFWMD</v>
      </c>
      <c r="D114" s="421" t="str">
        <f t="shared" si="129"/>
        <v>Restoration</v>
      </c>
      <c r="E114" s="421" t="str">
        <f t="shared" si="129"/>
        <v>Located southwest of Cypress Lake and west of the C-36 Canal.  The project includes 31 ditch plugs and exotic removal. It helps attenuate regional stormwater runoff and provides incidental nutrient reductions due to plant uptake from overland flows.  Estimated to create 215 acre-ft of storage</v>
      </c>
      <c r="F114" s="422">
        <f t="shared" si="129"/>
        <v>1000</v>
      </c>
      <c r="G114" s="292" t="str">
        <f t="shared" si="129"/>
        <v>Unknown</v>
      </c>
      <c r="H114" s="292" t="str">
        <f t="shared" si="129"/>
        <v>Unknown</v>
      </c>
      <c r="I114" s="421" t="str">
        <f t="shared" si="129"/>
        <v>SFWMD</v>
      </c>
      <c r="J114" s="421" t="str">
        <f t="shared" si="129"/>
        <v>Started</v>
      </c>
      <c r="K114" s="421">
        <f t="shared" si="129"/>
        <v>2009</v>
      </c>
      <c r="L114" s="421" t="str">
        <f t="shared" si="129"/>
        <v>Unknown</v>
      </c>
      <c r="M114" s="423">
        <f t="shared" si="109"/>
        <v>6.08E-2</v>
      </c>
      <c r="N114" s="293">
        <f t="shared" si="110"/>
        <v>60.8</v>
      </c>
      <c r="O114" s="423" t="str">
        <f t="shared" si="126"/>
        <v>Not quantified</v>
      </c>
      <c r="P114" s="424" t="str">
        <f t="shared" si="112"/>
        <v>Not quantified</v>
      </c>
    </row>
    <row r="115" spans="1:20" ht="301.5" thickTop="1" thickBot="1" x14ac:dyDescent="0.3">
      <c r="A115" s="420" t="str">
        <f t="shared" ref="A115:L115" si="130">A233</f>
        <v>SFWMD-9</v>
      </c>
      <c r="B115" s="421" t="str">
        <f t="shared" si="130"/>
        <v>Oasis Marsh Restoration</v>
      </c>
      <c r="C115" s="421" t="str">
        <f t="shared" si="130"/>
        <v>SFWMD</v>
      </c>
      <c r="D115" s="421" t="str">
        <f t="shared" si="130"/>
        <v>Restoration</v>
      </c>
      <c r="E115" s="421" t="str">
        <f t="shared" si="130"/>
        <v>The Oasis wetlands are located in floodplain of the southwest corner of Lake Kissimmee and the site is a mosaic of dewatered wetlands and uplands. To restore the floodplain function, four ditches totaling 2.4 acres in size were filled with 3,144 cubic yards of sediment material from a levee adjacent to the site in spring 2010. The restoration of the topography of Oasis Marsh will restore approximately 77 acres of wetlands and reconnect them to the littoral zone of Lake Kissimmee.</v>
      </c>
      <c r="F115" s="422">
        <f t="shared" si="130"/>
        <v>77</v>
      </c>
      <c r="G115" s="292" t="str">
        <f t="shared" si="130"/>
        <v>Unknown</v>
      </c>
      <c r="H115" s="292" t="str">
        <f t="shared" si="130"/>
        <v>Unknown</v>
      </c>
      <c r="I115" s="421" t="str">
        <f t="shared" si="130"/>
        <v>SFWMD</v>
      </c>
      <c r="J115" s="421" t="str">
        <f t="shared" si="130"/>
        <v>Started</v>
      </c>
      <c r="K115" s="421">
        <f t="shared" si="130"/>
        <v>2009</v>
      </c>
      <c r="L115" s="421" t="str">
        <f t="shared" si="130"/>
        <v>Unknown</v>
      </c>
      <c r="M115" s="423">
        <f t="shared" si="109"/>
        <v>0.1953</v>
      </c>
      <c r="N115" s="293">
        <f t="shared" si="110"/>
        <v>195.3</v>
      </c>
      <c r="O115" s="423" t="str">
        <f t="shared" si="126"/>
        <v>Not quantified</v>
      </c>
      <c r="P115" s="424" t="str">
        <f t="shared" si="112"/>
        <v>Not quantified</v>
      </c>
    </row>
    <row r="116" spans="1:20" ht="37.5" thickTop="1" thickBot="1" x14ac:dyDescent="0.3">
      <c r="A116" s="420" t="str">
        <f t="shared" ref="A116:L116" si="131">A234</f>
        <v>SFWMD-16</v>
      </c>
      <c r="B116" s="421" t="str">
        <f t="shared" si="131"/>
        <v>Lost Oak Ranch</v>
      </c>
      <c r="C116" s="421" t="str">
        <f t="shared" si="131"/>
        <v>SFWMD</v>
      </c>
      <c r="D116" s="421" t="str">
        <f t="shared" si="131"/>
        <v>DWM</v>
      </c>
      <c r="E116" s="421" t="str">
        <f t="shared" si="131"/>
        <v>Storage of 374 ac-ft of water through pasture.</v>
      </c>
      <c r="F116" s="422" t="str">
        <f t="shared" si="131"/>
        <v>N/A</v>
      </c>
      <c r="G116" s="292">
        <f t="shared" si="131"/>
        <v>61030</v>
      </c>
      <c r="H116" s="292">
        <f t="shared" si="131"/>
        <v>55000</v>
      </c>
      <c r="I116" s="421" t="str">
        <f t="shared" si="131"/>
        <v>SFWMD</v>
      </c>
      <c r="J116" s="421" t="str">
        <f t="shared" si="131"/>
        <v>Started</v>
      </c>
      <c r="K116" s="421" t="str">
        <f t="shared" si="131"/>
        <v>N/A</v>
      </c>
      <c r="L116" s="421" t="str">
        <f t="shared" si="131"/>
        <v>Unknown</v>
      </c>
      <c r="M116" s="423">
        <f t="shared" si="109"/>
        <v>2.8000000000000001E-2</v>
      </c>
      <c r="N116" s="293">
        <f t="shared" si="110"/>
        <v>28</v>
      </c>
      <c r="O116" s="423" t="str">
        <f t="shared" si="126"/>
        <v>Not quantified</v>
      </c>
      <c r="P116" s="424" t="str">
        <f t="shared" si="112"/>
        <v>Not quantified</v>
      </c>
    </row>
    <row r="117" spans="1:20" ht="49.5" thickTop="1" thickBot="1" x14ac:dyDescent="0.3">
      <c r="A117" s="420" t="str">
        <f t="shared" ref="A117:L117" si="132">A235</f>
        <v>SFWMD-22</v>
      </c>
      <c r="B117" s="421" t="str">
        <f t="shared" si="132"/>
        <v>Kissimmee River Headwaters Restoration</v>
      </c>
      <c r="C117" s="421" t="str">
        <f t="shared" si="132"/>
        <v>SFWMD</v>
      </c>
      <c r="D117" s="421" t="str">
        <f t="shared" si="132"/>
        <v>Restoration</v>
      </c>
      <c r="E117" s="421" t="str">
        <f t="shared" si="132"/>
        <v>Land use change to wetlands in the project area.</v>
      </c>
      <c r="F117" s="422">
        <f t="shared" si="132"/>
        <v>40875</v>
      </c>
      <c r="G117" s="292" t="str">
        <f t="shared" si="132"/>
        <v>Unknown</v>
      </c>
      <c r="H117" s="292" t="str">
        <f t="shared" si="132"/>
        <v>Unknown</v>
      </c>
      <c r="I117" s="421" t="str">
        <f t="shared" si="132"/>
        <v>SFWMD</v>
      </c>
      <c r="J117" s="421" t="str">
        <f t="shared" si="132"/>
        <v>Started</v>
      </c>
      <c r="K117" s="421" t="str">
        <f t="shared" si="132"/>
        <v>Unknown</v>
      </c>
      <c r="L117" s="421" t="str">
        <f t="shared" si="132"/>
        <v>Unknown</v>
      </c>
      <c r="M117" s="423">
        <f t="shared" si="109"/>
        <v>0.56640000000000001</v>
      </c>
      <c r="N117" s="293">
        <f t="shared" si="110"/>
        <v>566.4</v>
      </c>
      <c r="O117" s="423" t="str">
        <f t="shared" si="126"/>
        <v>Not quantified</v>
      </c>
      <c r="P117" s="424" t="str">
        <f t="shared" si="112"/>
        <v>Not quantified</v>
      </c>
    </row>
    <row r="118" spans="1:20" ht="16.5" thickTop="1" thickBot="1" x14ac:dyDescent="0.3">
      <c r="A118" s="505"/>
      <c r="B118" s="505"/>
      <c r="C118" s="505"/>
      <c r="D118" s="505"/>
      <c r="E118" s="505"/>
      <c r="F118" s="505"/>
      <c r="G118" s="505"/>
      <c r="H118" s="505"/>
      <c r="I118" s="505"/>
      <c r="J118" s="505"/>
      <c r="K118" s="505"/>
      <c r="L118" s="505"/>
      <c r="M118" s="505"/>
      <c r="N118" s="505"/>
      <c r="O118" s="505"/>
      <c r="P118" s="313"/>
    </row>
    <row r="119" spans="1:20" s="70" customFormat="1" ht="37.5" thickTop="1" thickBot="1" x14ac:dyDescent="0.25">
      <c r="A119" s="340" t="s">
        <v>0</v>
      </c>
      <c r="B119" s="341" t="s">
        <v>1</v>
      </c>
      <c r="C119" s="341" t="s">
        <v>277</v>
      </c>
      <c r="D119" s="341" t="s">
        <v>284</v>
      </c>
      <c r="E119" s="341" t="s">
        <v>278</v>
      </c>
      <c r="F119" s="342" t="s">
        <v>2</v>
      </c>
      <c r="G119" s="343" t="s">
        <v>279</v>
      </c>
      <c r="H119" s="343" t="s">
        <v>280</v>
      </c>
      <c r="I119" s="342" t="s">
        <v>281</v>
      </c>
      <c r="J119" s="342" t="s">
        <v>282</v>
      </c>
      <c r="K119" s="342" t="s">
        <v>471</v>
      </c>
      <c r="L119" s="342" t="s">
        <v>283</v>
      </c>
      <c r="M119" s="344" t="s">
        <v>4</v>
      </c>
      <c r="N119" s="345" t="s">
        <v>592</v>
      </c>
      <c r="O119" s="346" t="s">
        <v>5</v>
      </c>
      <c r="P119" s="346" t="s">
        <v>593</v>
      </c>
      <c r="Q119" s="342" t="s">
        <v>3</v>
      </c>
      <c r="R119" s="341" t="s">
        <v>570</v>
      </c>
      <c r="T119" s="76"/>
    </row>
    <row r="120" spans="1:20" s="30" customFormat="1" ht="132.75" thickTop="1" x14ac:dyDescent="0.2">
      <c r="A120" s="351" t="s">
        <v>20</v>
      </c>
      <c r="B120" s="352" t="s">
        <v>299</v>
      </c>
      <c r="C120" s="352" t="s">
        <v>21</v>
      </c>
      <c r="D120" s="352" t="s">
        <v>18</v>
      </c>
      <c r="E120" s="352" t="s">
        <v>558</v>
      </c>
      <c r="F120" s="353" t="s">
        <v>14</v>
      </c>
      <c r="G120" s="440" t="s">
        <v>1220</v>
      </c>
      <c r="H120" s="354">
        <v>1000</v>
      </c>
      <c r="I120" s="352" t="s">
        <v>300</v>
      </c>
      <c r="J120" s="352" t="s">
        <v>285</v>
      </c>
      <c r="K120" s="352" t="s">
        <v>14</v>
      </c>
      <c r="L120" s="352" t="s">
        <v>285</v>
      </c>
      <c r="M120" s="355">
        <v>0.6</v>
      </c>
      <c r="N120" s="425">
        <v>5.9999999999999995E-4</v>
      </c>
      <c r="O120" s="356">
        <v>17.3</v>
      </c>
      <c r="P120" s="386">
        <v>1.7299999999999999E-2</v>
      </c>
      <c r="Q120" s="352" t="s">
        <v>19</v>
      </c>
      <c r="R120" s="352" t="s">
        <v>571</v>
      </c>
    </row>
    <row r="121" spans="1:20" s="30" customFormat="1" ht="60" x14ac:dyDescent="0.2">
      <c r="A121" s="351" t="s">
        <v>22</v>
      </c>
      <c r="B121" s="352" t="s">
        <v>23</v>
      </c>
      <c r="C121" s="352" t="s">
        <v>34</v>
      </c>
      <c r="D121" s="352" t="s">
        <v>18</v>
      </c>
      <c r="E121" s="352" t="s">
        <v>462</v>
      </c>
      <c r="F121" s="353" t="s">
        <v>14</v>
      </c>
      <c r="G121" s="354">
        <v>65000</v>
      </c>
      <c r="H121" s="440" t="s">
        <v>287</v>
      </c>
      <c r="I121" s="352" t="s">
        <v>301</v>
      </c>
      <c r="J121" s="352" t="s">
        <v>285</v>
      </c>
      <c r="K121" s="352" t="s">
        <v>14</v>
      </c>
      <c r="L121" s="352" t="s">
        <v>285</v>
      </c>
      <c r="M121" s="355">
        <v>8.3000000000000007</v>
      </c>
      <c r="N121" s="425">
        <v>8.3000000000000001E-3</v>
      </c>
      <c r="O121" s="356">
        <v>199.9</v>
      </c>
      <c r="P121" s="386">
        <v>0.19989999999999999</v>
      </c>
      <c r="Q121" s="352" t="s">
        <v>19</v>
      </c>
      <c r="R121" s="352" t="s">
        <v>571</v>
      </c>
    </row>
    <row r="122" spans="1:20" s="30" customFormat="1" ht="84" x14ac:dyDescent="0.2">
      <c r="A122" s="351" t="s">
        <v>24</v>
      </c>
      <c r="B122" s="352" t="s">
        <v>67</v>
      </c>
      <c r="C122" s="352" t="s">
        <v>34</v>
      </c>
      <c r="D122" s="352" t="s">
        <v>8</v>
      </c>
      <c r="E122" s="352" t="s">
        <v>559</v>
      </c>
      <c r="F122" s="353" t="s">
        <v>14</v>
      </c>
      <c r="G122" s="354">
        <v>50000</v>
      </c>
      <c r="H122" s="440" t="s">
        <v>287</v>
      </c>
      <c r="I122" s="352" t="s">
        <v>301</v>
      </c>
      <c r="J122" s="352" t="s">
        <v>285</v>
      </c>
      <c r="K122" s="352" t="s">
        <v>14</v>
      </c>
      <c r="L122" s="352" t="s">
        <v>285</v>
      </c>
      <c r="M122" s="355">
        <v>100.4</v>
      </c>
      <c r="N122" s="425">
        <v>0.1004</v>
      </c>
      <c r="O122" s="356">
        <v>277.60000000000002</v>
      </c>
      <c r="P122" s="386">
        <v>0.27760000000000001</v>
      </c>
      <c r="Q122" s="352" t="s">
        <v>19</v>
      </c>
      <c r="R122" s="352" t="s">
        <v>571</v>
      </c>
    </row>
    <row r="123" spans="1:20" s="30" customFormat="1" ht="96" x14ac:dyDescent="0.2">
      <c r="A123" s="357" t="s">
        <v>25</v>
      </c>
      <c r="B123" s="358" t="s">
        <v>463</v>
      </c>
      <c r="C123" s="358" t="s">
        <v>34</v>
      </c>
      <c r="D123" s="358" t="s">
        <v>17</v>
      </c>
      <c r="E123" s="358" t="s">
        <v>560</v>
      </c>
      <c r="F123" s="359">
        <v>132.80000000000001</v>
      </c>
      <c r="G123" s="360">
        <v>300000</v>
      </c>
      <c r="H123" s="440" t="s">
        <v>287</v>
      </c>
      <c r="I123" s="358" t="s">
        <v>287</v>
      </c>
      <c r="J123" s="358" t="s">
        <v>286</v>
      </c>
      <c r="K123" s="358" t="s">
        <v>287</v>
      </c>
      <c r="L123" s="358" t="s">
        <v>287</v>
      </c>
      <c r="M123" s="361"/>
      <c r="N123" s="425">
        <v>0</v>
      </c>
      <c r="O123" s="362"/>
      <c r="P123" s="386">
        <v>0</v>
      </c>
      <c r="Q123" s="358" t="s">
        <v>19</v>
      </c>
      <c r="R123" s="358" t="s">
        <v>571</v>
      </c>
    </row>
    <row r="124" spans="1:20" s="30" customFormat="1" ht="72" x14ac:dyDescent="0.2">
      <c r="A124" s="351" t="s">
        <v>26</v>
      </c>
      <c r="B124" s="352" t="s">
        <v>27</v>
      </c>
      <c r="C124" s="352" t="s">
        <v>34</v>
      </c>
      <c r="D124" s="352" t="s">
        <v>28</v>
      </c>
      <c r="E124" s="352" t="s">
        <v>302</v>
      </c>
      <c r="F124" s="353">
        <v>14.2</v>
      </c>
      <c r="G124" s="354">
        <v>500000</v>
      </c>
      <c r="H124" s="440" t="s">
        <v>287</v>
      </c>
      <c r="I124" s="352" t="s">
        <v>304</v>
      </c>
      <c r="J124" s="352" t="s">
        <v>305</v>
      </c>
      <c r="K124" s="352">
        <v>2013</v>
      </c>
      <c r="L124" s="352">
        <v>2015</v>
      </c>
      <c r="M124" s="355">
        <v>0.2</v>
      </c>
      <c r="N124" s="425">
        <v>2.0000000000000001E-4</v>
      </c>
      <c r="O124" s="356">
        <v>5.7</v>
      </c>
      <c r="P124" s="386">
        <v>5.7000000000000002E-3</v>
      </c>
      <c r="Q124" s="352" t="s">
        <v>19</v>
      </c>
      <c r="R124" s="352" t="s">
        <v>571</v>
      </c>
    </row>
    <row r="125" spans="1:20" s="30" customFormat="1" ht="108" x14ac:dyDescent="0.2">
      <c r="A125" s="351" t="s">
        <v>29</v>
      </c>
      <c r="B125" s="352" t="s">
        <v>30</v>
      </c>
      <c r="C125" s="352" t="s">
        <v>34</v>
      </c>
      <c r="D125" s="436" t="s">
        <v>31</v>
      </c>
      <c r="E125" s="352" t="s">
        <v>561</v>
      </c>
      <c r="F125" s="353">
        <v>14.2</v>
      </c>
      <c r="G125" s="354" t="s">
        <v>306</v>
      </c>
      <c r="H125" s="440" t="s">
        <v>287</v>
      </c>
      <c r="I125" s="352" t="s">
        <v>301</v>
      </c>
      <c r="J125" s="352" t="s">
        <v>305</v>
      </c>
      <c r="K125" s="352">
        <v>2012</v>
      </c>
      <c r="L125" s="352">
        <v>2015</v>
      </c>
      <c r="M125" s="355">
        <v>0.2</v>
      </c>
      <c r="N125" s="425">
        <v>2.0000000000000001E-4</v>
      </c>
      <c r="O125" s="356">
        <v>9.8000000000000007</v>
      </c>
      <c r="P125" s="386">
        <v>9.8000000000000014E-3</v>
      </c>
      <c r="Q125" s="352" t="s">
        <v>19</v>
      </c>
      <c r="R125" s="352" t="s">
        <v>571</v>
      </c>
    </row>
    <row r="126" spans="1:20" s="30" customFormat="1" ht="120" x14ac:dyDescent="0.2">
      <c r="A126" s="351" t="s">
        <v>32</v>
      </c>
      <c r="B126" s="352" t="s">
        <v>33</v>
      </c>
      <c r="C126" s="352" t="s">
        <v>34</v>
      </c>
      <c r="D126" s="352" t="s">
        <v>28</v>
      </c>
      <c r="E126" s="352" t="s">
        <v>303</v>
      </c>
      <c r="F126" s="353">
        <v>5.5</v>
      </c>
      <c r="G126" s="354">
        <v>1500000</v>
      </c>
      <c r="H126" s="440" t="s">
        <v>287</v>
      </c>
      <c r="I126" s="352" t="s">
        <v>301</v>
      </c>
      <c r="J126" s="352" t="s">
        <v>305</v>
      </c>
      <c r="K126" s="352">
        <v>2013</v>
      </c>
      <c r="L126" s="352">
        <v>2015</v>
      </c>
      <c r="M126" s="355">
        <v>0.1</v>
      </c>
      <c r="N126" s="425">
        <v>1E-4</v>
      </c>
      <c r="O126" s="356">
        <v>1.2</v>
      </c>
      <c r="P126" s="386">
        <v>1.1999999999999999E-3</v>
      </c>
      <c r="Q126" s="352" t="s">
        <v>19</v>
      </c>
      <c r="R126" s="352" t="s">
        <v>571</v>
      </c>
    </row>
    <row r="127" spans="1:20" s="70" customFormat="1" ht="108" x14ac:dyDescent="0.2">
      <c r="A127" s="351" t="s">
        <v>35</v>
      </c>
      <c r="B127" s="352" t="s">
        <v>500</v>
      </c>
      <c r="C127" s="352" t="s">
        <v>57</v>
      </c>
      <c r="D127" s="352" t="s">
        <v>31</v>
      </c>
      <c r="E127" s="352" t="s">
        <v>307</v>
      </c>
      <c r="F127" s="353">
        <v>4.5999999999999996</v>
      </c>
      <c r="G127" s="354">
        <v>578138</v>
      </c>
      <c r="H127" s="440" t="s">
        <v>287</v>
      </c>
      <c r="I127" s="352" t="s">
        <v>314</v>
      </c>
      <c r="J127" s="352" t="s">
        <v>296</v>
      </c>
      <c r="K127" s="352" t="s">
        <v>14</v>
      </c>
      <c r="L127" s="363" t="s">
        <v>320</v>
      </c>
      <c r="M127" s="353">
        <v>0</v>
      </c>
      <c r="N127" s="425">
        <v>0</v>
      </c>
      <c r="O127" s="356">
        <v>3.3</v>
      </c>
      <c r="P127" s="386">
        <v>3.3E-3</v>
      </c>
      <c r="Q127" s="352" t="s">
        <v>19</v>
      </c>
      <c r="R127" s="352" t="s">
        <v>571</v>
      </c>
    </row>
    <row r="128" spans="1:20" s="70" customFormat="1" ht="108" x14ac:dyDescent="0.2">
      <c r="A128" s="351" t="s">
        <v>36</v>
      </c>
      <c r="B128" s="352" t="s">
        <v>501</v>
      </c>
      <c r="C128" s="352" t="s">
        <v>57</v>
      </c>
      <c r="D128" s="352" t="s">
        <v>31</v>
      </c>
      <c r="E128" s="352" t="s">
        <v>307</v>
      </c>
      <c r="F128" s="353">
        <v>9.9</v>
      </c>
      <c r="G128" s="354" t="s">
        <v>318</v>
      </c>
      <c r="H128" s="440" t="s">
        <v>287</v>
      </c>
      <c r="I128" s="352" t="s">
        <v>314</v>
      </c>
      <c r="J128" s="352" t="s">
        <v>296</v>
      </c>
      <c r="K128" s="352" t="s">
        <v>14</v>
      </c>
      <c r="L128" s="363" t="s">
        <v>320</v>
      </c>
      <c r="M128" s="353">
        <v>0.1</v>
      </c>
      <c r="N128" s="425">
        <v>1E-4</v>
      </c>
      <c r="O128" s="356">
        <v>7.1</v>
      </c>
      <c r="P128" s="386">
        <v>7.0999999999999995E-3</v>
      </c>
      <c r="Q128" s="352" t="s">
        <v>19</v>
      </c>
      <c r="R128" s="352" t="s">
        <v>571</v>
      </c>
    </row>
    <row r="129" spans="1:18" s="70" customFormat="1" ht="96" x14ac:dyDescent="0.2">
      <c r="A129" s="351" t="s">
        <v>37</v>
      </c>
      <c r="B129" s="352" t="s">
        <v>38</v>
      </c>
      <c r="C129" s="352" t="s">
        <v>57</v>
      </c>
      <c r="D129" s="352" t="s">
        <v>31</v>
      </c>
      <c r="E129" s="352" t="s">
        <v>308</v>
      </c>
      <c r="F129" s="353">
        <v>11.5</v>
      </c>
      <c r="G129" s="354">
        <v>577822</v>
      </c>
      <c r="H129" s="440" t="s">
        <v>287</v>
      </c>
      <c r="I129" s="352" t="s">
        <v>315</v>
      </c>
      <c r="J129" s="352" t="s">
        <v>296</v>
      </c>
      <c r="K129" s="352" t="s">
        <v>14</v>
      </c>
      <c r="L129" s="363" t="s">
        <v>321</v>
      </c>
      <c r="M129" s="353">
        <v>0.3</v>
      </c>
      <c r="N129" s="425">
        <v>2.9999999999999997E-4</v>
      </c>
      <c r="O129" s="356">
        <v>2.8</v>
      </c>
      <c r="P129" s="386">
        <v>2.8E-3</v>
      </c>
      <c r="Q129" s="352" t="s">
        <v>19</v>
      </c>
      <c r="R129" s="352" t="s">
        <v>571</v>
      </c>
    </row>
    <row r="130" spans="1:18" s="70" customFormat="1" ht="144" x14ac:dyDescent="0.2">
      <c r="A130" s="357" t="s">
        <v>39</v>
      </c>
      <c r="B130" s="358" t="s">
        <v>502</v>
      </c>
      <c r="C130" s="358" t="s">
        <v>57</v>
      </c>
      <c r="D130" s="436" t="s">
        <v>40</v>
      </c>
      <c r="E130" s="358" t="s">
        <v>503</v>
      </c>
      <c r="F130" s="359">
        <v>0</v>
      </c>
      <c r="G130" s="360">
        <v>3522911</v>
      </c>
      <c r="H130" s="440" t="s">
        <v>287</v>
      </c>
      <c r="I130" s="358" t="s">
        <v>464</v>
      </c>
      <c r="J130" s="358" t="s">
        <v>296</v>
      </c>
      <c r="K130" s="358" t="s">
        <v>14</v>
      </c>
      <c r="L130" s="364" t="s">
        <v>322</v>
      </c>
      <c r="M130" s="359">
        <v>0</v>
      </c>
      <c r="N130" s="425">
        <v>0</v>
      </c>
      <c r="O130" s="362"/>
      <c r="P130" s="386">
        <v>0</v>
      </c>
      <c r="Q130" s="358" t="s">
        <v>19</v>
      </c>
      <c r="R130" s="358" t="s">
        <v>571</v>
      </c>
    </row>
    <row r="131" spans="1:18" s="70" customFormat="1" ht="144" x14ac:dyDescent="0.2">
      <c r="A131" s="351" t="s">
        <v>41</v>
      </c>
      <c r="B131" s="352" t="s">
        <v>504</v>
      </c>
      <c r="C131" s="352" t="s">
        <v>57</v>
      </c>
      <c r="D131" s="352" t="s">
        <v>31</v>
      </c>
      <c r="E131" s="352" t="s">
        <v>309</v>
      </c>
      <c r="F131" s="353">
        <v>76.400000000000006</v>
      </c>
      <c r="G131" s="354" t="s">
        <v>319</v>
      </c>
      <c r="H131" s="440" t="s">
        <v>287</v>
      </c>
      <c r="I131" s="352" t="s">
        <v>464</v>
      </c>
      <c r="J131" s="352" t="s">
        <v>296</v>
      </c>
      <c r="K131" s="352" t="s">
        <v>14</v>
      </c>
      <c r="L131" s="363" t="s">
        <v>322</v>
      </c>
      <c r="M131" s="353">
        <v>1</v>
      </c>
      <c r="N131" s="425">
        <v>1E-3</v>
      </c>
      <c r="O131" s="356">
        <v>39.299999999999997</v>
      </c>
      <c r="P131" s="386">
        <v>3.9299999999999995E-2</v>
      </c>
      <c r="Q131" s="352" t="s">
        <v>19</v>
      </c>
      <c r="R131" s="352" t="s">
        <v>571</v>
      </c>
    </row>
    <row r="132" spans="1:18" s="70" customFormat="1" ht="84" x14ac:dyDescent="0.2">
      <c r="A132" s="351" t="s">
        <v>42</v>
      </c>
      <c r="B132" s="352" t="s">
        <v>43</v>
      </c>
      <c r="C132" s="352" t="s">
        <v>57</v>
      </c>
      <c r="D132" s="436" t="s">
        <v>17</v>
      </c>
      <c r="E132" s="352" t="s">
        <v>310</v>
      </c>
      <c r="F132" s="353">
        <v>94.5</v>
      </c>
      <c r="G132" s="354">
        <v>2000000</v>
      </c>
      <c r="H132" s="440" t="s">
        <v>287</v>
      </c>
      <c r="I132" s="352" t="s">
        <v>316</v>
      </c>
      <c r="J132" s="436" t="s">
        <v>295</v>
      </c>
      <c r="K132" s="365" t="s">
        <v>473</v>
      </c>
      <c r="L132" s="363" t="s">
        <v>323</v>
      </c>
      <c r="M132" s="353">
        <v>0.5</v>
      </c>
      <c r="N132" s="425">
        <v>5.0000000000000001E-4</v>
      </c>
      <c r="O132" s="356">
        <v>16.600000000000001</v>
      </c>
      <c r="P132" s="386">
        <v>1.66E-2</v>
      </c>
      <c r="Q132" s="352" t="s">
        <v>19</v>
      </c>
      <c r="R132" s="352" t="s">
        <v>571</v>
      </c>
    </row>
    <row r="133" spans="1:18" s="70" customFormat="1" ht="144" x14ac:dyDescent="0.2">
      <c r="A133" s="351" t="s">
        <v>44</v>
      </c>
      <c r="B133" s="352" t="s">
        <v>505</v>
      </c>
      <c r="C133" s="352" t="s">
        <v>57</v>
      </c>
      <c r="D133" s="352" t="s">
        <v>31</v>
      </c>
      <c r="E133" s="352" t="s">
        <v>311</v>
      </c>
      <c r="F133" s="353">
        <v>52.6</v>
      </c>
      <c r="G133" s="354">
        <v>1500000</v>
      </c>
      <c r="H133" s="440" t="s">
        <v>287</v>
      </c>
      <c r="I133" s="352" t="s">
        <v>317</v>
      </c>
      <c r="J133" s="436" t="s">
        <v>295</v>
      </c>
      <c r="K133" s="363" t="s">
        <v>472</v>
      </c>
      <c r="L133" s="363" t="s">
        <v>324</v>
      </c>
      <c r="M133" s="353">
        <v>1.3</v>
      </c>
      <c r="N133" s="425">
        <v>1.2999999999999999E-3</v>
      </c>
      <c r="O133" s="356">
        <v>12.7</v>
      </c>
      <c r="P133" s="386">
        <v>1.2699999999999999E-2</v>
      </c>
      <c r="Q133" s="352" t="s">
        <v>19</v>
      </c>
      <c r="R133" s="352" t="s">
        <v>571</v>
      </c>
    </row>
    <row r="134" spans="1:18" s="70" customFormat="1" ht="96" x14ac:dyDescent="0.2">
      <c r="A134" s="351" t="s">
        <v>45</v>
      </c>
      <c r="B134" s="352" t="s">
        <v>313</v>
      </c>
      <c r="C134" s="352" t="s">
        <v>57</v>
      </c>
      <c r="D134" s="352" t="s">
        <v>46</v>
      </c>
      <c r="E134" s="352" t="s">
        <v>312</v>
      </c>
      <c r="F134" s="353" t="s">
        <v>14</v>
      </c>
      <c r="G134" s="354">
        <v>40480</v>
      </c>
      <c r="H134" s="354">
        <v>10444</v>
      </c>
      <c r="I134" s="352" t="s">
        <v>317</v>
      </c>
      <c r="J134" s="352" t="s">
        <v>285</v>
      </c>
      <c r="K134" s="352" t="s">
        <v>14</v>
      </c>
      <c r="L134" s="352" t="s">
        <v>285</v>
      </c>
      <c r="M134" s="353">
        <v>5.8</v>
      </c>
      <c r="N134" s="425">
        <v>5.7999999999999996E-3</v>
      </c>
      <c r="O134" s="356">
        <v>17.2</v>
      </c>
      <c r="P134" s="386">
        <v>1.72E-2</v>
      </c>
      <c r="Q134" s="352" t="s">
        <v>19</v>
      </c>
      <c r="R134" s="352" t="s">
        <v>571</v>
      </c>
    </row>
    <row r="135" spans="1:18" s="70" customFormat="1" ht="96" x14ac:dyDescent="0.2">
      <c r="A135" s="351" t="s">
        <v>47</v>
      </c>
      <c r="B135" s="352" t="s">
        <v>325</v>
      </c>
      <c r="C135" s="352" t="s">
        <v>57</v>
      </c>
      <c r="D135" s="352" t="s">
        <v>46</v>
      </c>
      <c r="E135" s="352" t="s">
        <v>562</v>
      </c>
      <c r="F135" s="353" t="s">
        <v>14</v>
      </c>
      <c r="G135" s="354">
        <v>8550</v>
      </c>
      <c r="H135" s="354">
        <v>9400</v>
      </c>
      <c r="I135" s="352" t="s">
        <v>57</v>
      </c>
      <c r="J135" s="352" t="s">
        <v>285</v>
      </c>
      <c r="K135" s="352" t="s">
        <v>14</v>
      </c>
      <c r="L135" s="352" t="s">
        <v>285</v>
      </c>
      <c r="M135" s="353">
        <v>6.7</v>
      </c>
      <c r="N135" s="425">
        <v>6.7000000000000002E-3</v>
      </c>
      <c r="O135" s="356">
        <v>20.2</v>
      </c>
      <c r="P135" s="386">
        <v>2.0199999999999999E-2</v>
      </c>
      <c r="Q135" s="352" t="s">
        <v>19</v>
      </c>
      <c r="R135" s="352" t="s">
        <v>571</v>
      </c>
    </row>
    <row r="136" spans="1:18" s="70" customFormat="1" ht="96" x14ac:dyDescent="0.2">
      <c r="A136" s="351" t="s">
        <v>48</v>
      </c>
      <c r="B136" s="352" t="s">
        <v>327</v>
      </c>
      <c r="C136" s="352" t="s">
        <v>57</v>
      </c>
      <c r="D136" s="352" t="s">
        <v>46</v>
      </c>
      <c r="E136" s="352" t="s">
        <v>326</v>
      </c>
      <c r="F136" s="353" t="s">
        <v>14</v>
      </c>
      <c r="G136" s="354">
        <v>17755</v>
      </c>
      <c r="H136" s="354">
        <v>5222</v>
      </c>
      <c r="I136" s="352" t="s">
        <v>57</v>
      </c>
      <c r="J136" s="352" t="s">
        <v>285</v>
      </c>
      <c r="K136" s="352" t="s">
        <v>14</v>
      </c>
      <c r="L136" s="352" t="s">
        <v>285</v>
      </c>
      <c r="M136" s="353">
        <v>6.5</v>
      </c>
      <c r="N136" s="425">
        <v>6.4999999999999997E-3</v>
      </c>
      <c r="O136" s="356">
        <v>19.600000000000001</v>
      </c>
      <c r="P136" s="386">
        <v>1.9600000000000003E-2</v>
      </c>
      <c r="Q136" s="352" t="s">
        <v>19</v>
      </c>
      <c r="R136" s="352" t="s">
        <v>571</v>
      </c>
    </row>
    <row r="137" spans="1:18" s="70" customFormat="1" ht="96" x14ac:dyDescent="0.2">
      <c r="A137" s="351" t="s">
        <v>49</v>
      </c>
      <c r="B137" s="352" t="s">
        <v>329</v>
      </c>
      <c r="C137" s="352" t="s">
        <v>57</v>
      </c>
      <c r="D137" s="352" t="s">
        <v>46</v>
      </c>
      <c r="E137" s="352" t="s">
        <v>328</v>
      </c>
      <c r="F137" s="353" t="s">
        <v>14</v>
      </c>
      <c r="G137" s="354">
        <v>48826</v>
      </c>
      <c r="H137" s="354">
        <v>143616</v>
      </c>
      <c r="I137" s="352" t="s">
        <v>57</v>
      </c>
      <c r="J137" s="352" t="s">
        <v>285</v>
      </c>
      <c r="K137" s="352" t="s">
        <v>14</v>
      </c>
      <c r="L137" s="352" t="s">
        <v>285</v>
      </c>
      <c r="M137" s="353">
        <v>11</v>
      </c>
      <c r="N137" s="425">
        <v>1.0999999999999999E-2</v>
      </c>
      <c r="O137" s="356">
        <v>33.200000000000003</v>
      </c>
      <c r="P137" s="386">
        <v>3.32E-2</v>
      </c>
      <c r="Q137" s="352" t="s">
        <v>19</v>
      </c>
      <c r="R137" s="352" t="s">
        <v>571</v>
      </c>
    </row>
    <row r="138" spans="1:18" s="70" customFormat="1" ht="96" x14ac:dyDescent="0.2">
      <c r="A138" s="351" t="s">
        <v>50</v>
      </c>
      <c r="B138" s="352" t="s">
        <v>331</v>
      </c>
      <c r="C138" s="352" t="s">
        <v>57</v>
      </c>
      <c r="D138" s="352" t="s">
        <v>46</v>
      </c>
      <c r="E138" s="352" t="s">
        <v>330</v>
      </c>
      <c r="F138" s="353" t="s">
        <v>14</v>
      </c>
      <c r="G138" s="354">
        <v>14720</v>
      </c>
      <c r="H138" s="354">
        <v>5222</v>
      </c>
      <c r="I138" s="352" t="s">
        <v>57</v>
      </c>
      <c r="J138" s="352" t="s">
        <v>285</v>
      </c>
      <c r="K138" s="352" t="s">
        <v>14</v>
      </c>
      <c r="L138" s="352" t="s">
        <v>285</v>
      </c>
      <c r="M138" s="353">
        <v>5.0999999999999996</v>
      </c>
      <c r="N138" s="425">
        <v>5.0999999999999995E-3</v>
      </c>
      <c r="O138" s="356">
        <v>15.2</v>
      </c>
      <c r="P138" s="386">
        <v>1.52E-2</v>
      </c>
      <c r="Q138" s="352" t="s">
        <v>19</v>
      </c>
      <c r="R138" s="352" t="s">
        <v>571</v>
      </c>
    </row>
    <row r="139" spans="1:18" s="70" customFormat="1" ht="96" x14ac:dyDescent="0.2">
      <c r="A139" s="351" t="s">
        <v>51</v>
      </c>
      <c r="B139" s="352" t="s">
        <v>332</v>
      </c>
      <c r="C139" s="352" t="s">
        <v>57</v>
      </c>
      <c r="D139" s="352" t="s">
        <v>46</v>
      </c>
      <c r="E139" s="352" t="s">
        <v>563</v>
      </c>
      <c r="F139" s="353" t="s">
        <v>14</v>
      </c>
      <c r="G139" s="354">
        <v>8550</v>
      </c>
      <c r="H139" s="354">
        <v>3264</v>
      </c>
      <c r="I139" s="352" t="s">
        <v>57</v>
      </c>
      <c r="J139" s="352" t="s">
        <v>285</v>
      </c>
      <c r="K139" s="352" t="s">
        <v>14</v>
      </c>
      <c r="L139" s="352" t="s">
        <v>285</v>
      </c>
      <c r="M139" s="353">
        <v>4.2</v>
      </c>
      <c r="N139" s="425">
        <v>4.2000000000000006E-3</v>
      </c>
      <c r="O139" s="356">
        <v>12.5</v>
      </c>
      <c r="P139" s="386">
        <v>1.2500000000000001E-2</v>
      </c>
      <c r="Q139" s="352" t="s">
        <v>19</v>
      </c>
      <c r="R139" s="352" t="s">
        <v>571</v>
      </c>
    </row>
    <row r="140" spans="1:18" s="70" customFormat="1" ht="96" x14ac:dyDescent="0.2">
      <c r="A140" s="351" t="s">
        <v>52</v>
      </c>
      <c r="B140" s="352" t="s">
        <v>334</v>
      </c>
      <c r="C140" s="352" t="s">
        <v>57</v>
      </c>
      <c r="D140" s="352" t="s">
        <v>46</v>
      </c>
      <c r="E140" s="352" t="s">
        <v>333</v>
      </c>
      <c r="F140" s="353" t="s">
        <v>14</v>
      </c>
      <c r="G140" s="354">
        <v>8550</v>
      </c>
      <c r="H140" s="354">
        <v>2611</v>
      </c>
      <c r="I140" s="352" t="s">
        <v>57</v>
      </c>
      <c r="J140" s="352" t="s">
        <v>285</v>
      </c>
      <c r="K140" s="352" t="s">
        <v>14</v>
      </c>
      <c r="L140" s="352" t="s">
        <v>285</v>
      </c>
      <c r="M140" s="353">
        <v>7.6</v>
      </c>
      <c r="N140" s="425">
        <v>7.6E-3</v>
      </c>
      <c r="O140" s="356">
        <v>22.7</v>
      </c>
      <c r="P140" s="386">
        <v>2.2699999999999998E-2</v>
      </c>
      <c r="Q140" s="352" t="s">
        <v>19</v>
      </c>
      <c r="R140" s="352" t="s">
        <v>571</v>
      </c>
    </row>
    <row r="141" spans="1:18" s="70" customFormat="1" ht="96" x14ac:dyDescent="0.2">
      <c r="A141" s="351" t="s">
        <v>53</v>
      </c>
      <c r="B141" s="352" t="s">
        <v>336</v>
      </c>
      <c r="C141" s="352" t="s">
        <v>57</v>
      </c>
      <c r="D141" s="352" t="s">
        <v>46</v>
      </c>
      <c r="E141" s="352" t="s">
        <v>335</v>
      </c>
      <c r="F141" s="353" t="s">
        <v>14</v>
      </c>
      <c r="G141" s="354">
        <v>17755</v>
      </c>
      <c r="H141" s="354">
        <v>5222</v>
      </c>
      <c r="I141" s="352" t="s">
        <v>339</v>
      </c>
      <c r="J141" s="352" t="s">
        <v>285</v>
      </c>
      <c r="K141" s="352" t="s">
        <v>14</v>
      </c>
      <c r="L141" s="352" t="s">
        <v>285</v>
      </c>
      <c r="M141" s="353">
        <v>6.6</v>
      </c>
      <c r="N141" s="425">
        <v>6.6E-3</v>
      </c>
      <c r="O141" s="356">
        <v>19.899999999999999</v>
      </c>
      <c r="P141" s="386">
        <v>1.9899999999999998E-2</v>
      </c>
      <c r="Q141" s="352" t="s">
        <v>19</v>
      </c>
      <c r="R141" s="352" t="s">
        <v>571</v>
      </c>
    </row>
    <row r="142" spans="1:18" s="70" customFormat="1" ht="60" x14ac:dyDescent="0.2">
      <c r="A142" s="351" t="s">
        <v>54</v>
      </c>
      <c r="B142" s="352" t="s">
        <v>67</v>
      </c>
      <c r="C142" s="352" t="s">
        <v>57</v>
      </c>
      <c r="D142" s="436" t="s">
        <v>8</v>
      </c>
      <c r="E142" s="352" t="s">
        <v>337</v>
      </c>
      <c r="F142" s="353" t="s">
        <v>14</v>
      </c>
      <c r="G142" s="440" t="s">
        <v>1220</v>
      </c>
      <c r="H142" s="354">
        <v>1800000</v>
      </c>
      <c r="I142" s="352" t="s">
        <v>317</v>
      </c>
      <c r="J142" s="352" t="s">
        <v>285</v>
      </c>
      <c r="K142" s="352" t="s">
        <v>14</v>
      </c>
      <c r="L142" s="352" t="s">
        <v>285</v>
      </c>
      <c r="M142" s="353">
        <v>89.6</v>
      </c>
      <c r="N142" s="425">
        <v>8.9599999999999999E-2</v>
      </c>
      <c r="O142" s="356">
        <v>257.60000000000002</v>
      </c>
      <c r="P142" s="386">
        <v>0.2576</v>
      </c>
      <c r="Q142" s="352" t="s">
        <v>19</v>
      </c>
      <c r="R142" s="352" t="s">
        <v>571</v>
      </c>
    </row>
    <row r="143" spans="1:18" s="70" customFormat="1" ht="84" x14ac:dyDescent="0.2">
      <c r="A143" s="351" t="s">
        <v>55</v>
      </c>
      <c r="B143" s="352" t="s">
        <v>56</v>
      </c>
      <c r="C143" s="352" t="s">
        <v>57</v>
      </c>
      <c r="D143" s="352" t="s">
        <v>18</v>
      </c>
      <c r="E143" s="352" t="s">
        <v>338</v>
      </c>
      <c r="F143" s="353" t="s">
        <v>14</v>
      </c>
      <c r="G143" s="440" t="s">
        <v>1220</v>
      </c>
      <c r="H143" s="354">
        <v>80000</v>
      </c>
      <c r="I143" s="352" t="s">
        <v>317</v>
      </c>
      <c r="J143" s="352" t="s">
        <v>285</v>
      </c>
      <c r="K143" s="352" t="s">
        <v>14</v>
      </c>
      <c r="L143" s="352" t="s">
        <v>285</v>
      </c>
      <c r="M143" s="353">
        <v>206.7</v>
      </c>
      <c r="N143" s="425">
        <v>0.20669999999999999</v>
      </c>
      <c r="O143" s="356">
        <v>3440</v>
      </c>
      <c r="P143" s="386">
        <v>3.44</v>
      </c>
      <c r="Q143" s="352" t="s">
        <v>19</v>
      </c>
      <c r="R143" s="352" t="s">
        <v>571</v>
      </c>
    </row>
    <row r="144" spans="1:18" s="70" customFormat="1" ht="144" x14ac:dyDescent="0.2">
      <c r="A144" s="351" t="s">
        <v>70</v>
      </c>
      <c r="B144" s="352" t="s">
        <v>520</v>
      </c>
      <c r="C144" s="352" t="s">
        <v>99</v>
      </c>
      <c r="D144" s="352" t="s">
        <v>17</v>
      </c>
      <c r="E144" s="352" t="s">
        <v>344</v>
      </c>
      <c r="F144" s="353">
        <v>4.8</v>
      </c>
      <c r="G144" s="354" t="s">
        <v>287</v>
      </c>
      <c r="H144" s="440" t="s">
        <v>287</v>
      </c>
      <c r="I144" s="352" t="s">
        <v>347</v>
      </c>
      <c r="J144" s="436" t="s">
        <v>295</v>
      </c>
      <c r="K144" s="436" t="s">
        <v>1225</v>
      </c>
      <c r="L144" s="352" t="s">
        <v>287</v>
      </c>
      <c r="M144" s="353">
        <v>0.1</v>
      </c>
      <c r="N144" s="347">
        <v>1E-4</v>
      </c>
      <c r="O144" s="372">
        <v>0.3</v>
      </c>
      <c r="P144" s="386">
        <v>2.9999999999999997E-4</v>
      </c>
      <c r="Q144" s="352" t="s">
        <v>19</v>
      </c>
      <c r="R144" s="352" t="s">
        <v>571</v>
      </c>
    </row>
    <row r="145" spans="1:18" s="70" customFormat="1" ht="120" x14ac:dyDescent="0.2">
      <c r="A145" s="351" t="s">
        <v>71</v>
      </c>
      <c r="B145" s="352" t="s">
        <v>530</v>
      </c>
      <c r="C145" s="352" t="s">
        <v>99</v>
      </c>
      <c r="D145" s="352" t="s">
        <v>17</v>
      </c>
      <c r="E145" s="352" t="s">
        <v>344</v>
      </c>
      <c r="F145" s="353">
        <v>3.6</v>
      </c>
      <c r="G145" s="354" t="s">
        <v>287</v>
      </c>
      <c r="H145" s="440" t="s">
        <v>287</v>
      </c>
      <c r="I145" s="352" t="s">
        <v>347</v>
      </c>
      <c r="J145" s="436" t="s">
        <v>295</v>
      </c>
      <c r="K145" s="436" t="s">
        <v>1225</v>
      </c>
      <c r="L145" s="352" t="s">
        <v>287</v>
      </c>
      <c r="M145" s="353">
        <v>0.1</v>
      </c>
      <c r="N145" s="347">
        <v>1E-4</v>
      </c>
      <c r="O145" s="372">
        <v>0.9</v>
      </c>
      <c r="P145" s="386">
        <v>8.9999999999999998E-4</v>
      </c>
      <c r="Q145" s="352" t="s">
        <v>19</v>
      </c>
      <c r="R145" s="352" t="s">
        <v>571</v>
      </c>
    </row>
    <row r="146" spans="1:18" s="70" customFormat="1" ht="120" x14ac:dyDescent="0.2">
      <c r="A146" s="351" t="s">
        <v>72</v>
      </c>
      <c r="B146" s="352" t="s">
        <v>537</v>
      </c>
      <c r="C146" s="352" t="s">
        <v>99</v>
      </c>
      <c r="D146" s="352" t="s">
        <v>17</v>
      </c>
      <c r="E146" s="352" t="s">
        <v>344</v>
      </c>
      <c r="F146" s="353">
        <v>11.9</v>
      </c>
      <c r="G146" s="354" t="s">
        <v>287</v>
      </c>
      <c r="H146" s="440" t="s">
        <v>287</v>
      </c>
      <c r="I146" s="352" t="s">
        <v>347</v>
      </c>
      <c r="J146" s="436" t="s">
        <v>295</v>
      </c>
      <c r="K146" s="436" t="s">
        <v>1225</v>
      </c>
      <c r="L146" s="352" t="s">
        <v>287</v>
      </c>
      <c r="M146" s="353">
        <v>0.5</v>
      </c>
      <c r="N146" s="347">
        <v>5.0000000000000001E-4</v>
      </c>
      <c r="O146" s="372">
        <v>6.7</v>
      </c>
      <c r="P146" s="386">
        <v>6.7000000000000002E-3</v>
      </c>
      <c r="Q146" s="352" t="s">
        <v>19</v>
      </c>
      <c r="R146" s="352" t="s">
        <v>571</v>
      </c>
    </row>
    <row r="147" spans="1:18" s="70" customFormat="1" ht="120" x14ac:dyDescent="0.2">
      <c r="A147" s="351" t="s">
        <v>73</v>
      </c>
      <c r="B147" s="352" t="s">
        <v>538</v>
      </c>
      <c r="C147" s="352" t="s">
        <v>99</v>
      </c>
      <c r="D147" s="352" t="s">
        <v>17</v>
      </c>
      <c r="E147" s="352" t="s">
        <v>344</v>
      </c>
      <c r="F147" s="353">
        <v>11.4</v>
      </c>
      <c r="G147" s="354" t="s">
        <v>287</v>
      </c>
      <c r="H147" s="440" t="s">
        <v>287</v>
      </c>
      <c r="I147" s="352" t="s">
        <v>347</v>
      </c>
      <c r="J147" s="436" t="s">
        <v>295</v>
      </c>
      <c r="K147" s="436" t="s">
        <v>1225</v>
      </c>
      <c r="L147" s="352" t="s">
        <v>287</v>
      </c>
      <c r="M147" s="353">
        <v>0.4</v>
      </c>
      <c r="N147" s="347">
        <v>4.0000000000000002E-4</v>
      </c>
      <c r="O147" s="372">
        <v>10.4</v>
      </c>
      <c r="P147" s="386">
        <v>1.04E-2</v>
      </c>
      <c r="Q147" s="352" t="s">
        <v>19</v>
      </c>
      <c r="R147" s="352" t="s">
        <v>571</v>
      </c>
    </row>
    <row r="148" spans="1:18" s="70" customFormat="1" ht="108" x14ac:dyDescent="0.2">
      <c r="A148" s="351" t="s">
        <v>74</v>
      </c>
      <c r="B148" s="352" t="s">
        <v>510</v>
      </c>
      <c r="C148" s="352" t="s">
        <v>99</v>
      </c>
      <c r="D148" s="436" t="s">
        <v>96</v>
      </c>
      <c r="E148" s="352" t="s">
        <v>344</v>
      </c>
      <c r="F148" s="353">
        <v>16.399999999999999</v>
      </c>
      <c r="G148" s="354" t="s">
        <v>287</v>
      </c>
      <c r="H148" s="440" t="s">
        <v>287</v>
      </c>
      <c r="I148" s="352" t="s">
        <v>347</v>
      </c>
      <c r="J148" s="436" t="s">
        <v>296</v>
      </c>
      <c r="K148" s="352" t="s">
        <v>287</v>
      </c>
      <c r="L148" s="352" t="s">
        <v>287</v>
      </c>
      <c r="M148" s="353">
        <v>0.7</v>
      </c>
      <c r="N148" s="347">
        <v>6.9999999999999999E-4</v>
      </c>
      <c r="O148" s="372">
        <v>3.9</v>
      </c>
      <c r="P148" s="386">
        <v>3.8999999999999998E-3</v>
      </c>
      <c r="Q148" s="352" t="s">
        <v>19</v>
      </c>
      <c r="R148" s="352" t="s">
        <v>571</v>
      </c>
    </row>
    <row r="149" spans="1:18" s="70" customFormat="1" ht="132" x14ac:dyDescent="0.2">
      <c r="A149" s="351" t="s">
        <v>75</v>
      </c>
      <c r="B149" s="352" t="s">
        <v>511</v>
      </c>
      <c r="C149" s="352" t="s">
        <v>99</v>
      </c>
      <c r="D149" s="352" t="s">
        <v>17</v>
      </c>
      <c r="E149" s="352" t="s">
        <v>345</v>
      </c>
      <c r="F149" s="353">
        <v>13.8</v>
      </c>
      <c r="G149" s="354" t="s">
        <v>287</v>
      </c>
      <c r="H149" s="440" t="s">
        <v>287</v>
      </c>
      <c r="I149" s="352" t="s">
        <v>347</v>
      </c>
      <c r="J149" s="436" t="s">
        <v>296</v>
      </c>
      <c r="K149" s="352" t="s">
        <v>287</v>
      </c>
      <c r="L149" s="352" t="s">
        <v>287</v>
      </c>
      <c r="M149" s="353">
        <v>0.5</v>
      </c>
      <c r="N149" s="347">
        <v>5.0000000000000001E-4</v>
      </c>
      <c r="O149" s="372">
        <v>2.2999999999999998</v>
      </c>
      <c r="P149" s="386">
        <v>2.3E-3</v>
      </c>
      <c r="Q149" s="352" t="s">
        <v>19</v>
      </c>
      <c r="R149" s="352" t="s">
        <v>571</v>
      </c>
    </row>
    <row r="150" spans="1:18" s="70" customFormat="1" ht="132" x14ac:dyDescent="0.2">
      <c r="A150" s="351" t="s">
        <v>76</v>
      </c>
      <c r="B150" s="352" t="s">
        <v>512</v>
      </c>
      <c r="C150" s="352" t="s">
        <v>99</v>
      </c>
      <c r="D150" s="352" t="s">
        <v>17</v>
      </c>
      <c r="E150" s="352" t="s">
        <v>345</v>
      </c>
      <c r="F150" s="353">
        <v>6.1</v>
      </c>
      <c r="G150" s="354" t="s">
        <v>287</v>
      </c>
      <c r="H150" s="440" t="s">
        <v>287</v>
      </c>
      <c r="I150" s="352" t="s">
        <v>347</v>
      </c>
      <c r="J150" s="436" t="s">
        <v>296</v>
      </c>
      <c r="K150" s="352" t="s">
        <v>287</v>
      </c>
      <c r="L150" s="352" t="s">
        <v>287</v>
      </c>
      <c r="M150" s="353">
        <v>0.2</v>
      </c>
      <c r="N150" s="347">
        <v>2.0000000000000001E-4</v>
      </c>
      <c r="O150" s="372">
        <v>0.7</v>
      </c>
      <c r="P150" s="386">
        <v>6.9999999999999999E-4</v>
      </c>
      <c r="Q150" s="352" t="s">
        <v>19</v>
      </c>
      <c r="R150" s="352" t="s">
        <v>571</v>
      </c>
    </row>
    <row r="151" spans="1:18" s="70" customFormat="1" ht="108" x14ac:dyDescent="0.2">
      <c r="A151" s="351" t="s">
        <v>77</v>
      </c>
      <c r="B151" s="352" t="s">
        <v>513</v>
      </c>
      <c r="C151" s="352" t="s">
        <v>99</v>
      </c>
      <c r="D151" s="352" t="s">
        <v>17</v>
      </c>
      <c r="E151" s="352" t="s">
        <v>346</v>
      </c>
      <c r="F151" s="353">
        <v>26.5</v>
      </c>
      <c r="G151" s="354" t="s">
        <v>287</v>
      </c>
      <c r="H151" s="440" t="s">
        <v>287</v>
      </c>
      <c r="I151" s="352" t="s">
        <v>347</v>
      </c>
      <c r="J151" s="436" t="s">
        <v>295</v>
      </c>
      <c r="K151" s="436" t="s">
        <v>1225</v>
      </c>
      <c r="L151" s="352" t="s">
        <v>287</v>
      </c>
      <c r="M151" s="353">
        <v>0.9</v>
      </c>
      <c r="N151" s="347">
        <v>8.9999999999999998E-4</v>
      </c>
      <c r="O151" s="372">
        <v>6.1</v>
      </c>
      <c r="P151" s="386">
        <v>6.0999999999999995E-3</v>
      </c>
      <c r="Q151" s="352" t="s">
        <v>19</v>
      </c>
      <c r="R151" s="352" t="s">
        <v>571</v>
      </c>
    </row>
    <row r="152" spans="1:18" s="70" customFormat="1" ht="108" x14ac:dyDescent="0.2">
      <c r="A152" s="351" t="s">
        <v>78</v>
      </c>
      <c r="B152" s="352" t="s">
        <v>514</v>
      </c>
      <c r="C152" s="352" t="s">
        <v>99</v>
      </c>
      <c r="D152" s="352" t="s">
        <v>17</v>
      </c>
      <c r="E152" s="352" t="s">
        <v>346</v>
      </c>
      <c r="F152" s="353">
        <v>13.4</v>
      </c>
      <c r="G152" s="354" t="s">
        <v>287</v>
      </c>
      <c r="H152" s="440" t="s">
        <v>287</v>
      </c>
      <c r="I152" s="352" t="s">
        <v>347</v>
      </c>
      <c r="J152" s="436" t="s">
        <v>295</v>
      </c>
      <c r="K152" s="436" t="s">
        <v>1225</v>
      </c>
      <c r="L152" s="352" t="s">
        <v>287</v>
      </c>
      <c r="M152" s="353">
        <v>0.5</v>
      </c>
      <c r="N152" s="347">
        <v>5.0000000000000001E-4</v>
      </c>
      <c r="O152" s="372">
        <v>3.5</v>
      </c>
      <c r="P152" s="386">
        <v>3.5000000000000001E-3</v>
      </c>
      <c r="Q152" s="352" t="s">
        <v>19</v>
      </c>
      <c r="R152" s="352" t="s">
        <v>571</v>
      </c>
    </row>
    <row r="153" spans="1:18" s="70" customFormat="1" ht="108" x14ac:dyDescent="0.2">
      <c r="A153" s="351" t="s">
        <v>79</v>
      </c>
      <c r="B153" s="352" t="s">
        <v>515</v>
      </c>
      <c r="C153" s="352" t="s">
        <v>99</v>
      </c>
      <c r="D153" s="352" t="s">
        <v>17</v>
      </c>
      <c r="E153" s="352" t="s">
        <v>346</v>
      </c>
      <c r="F153" s="353">
        <v>15.8</v>
      </c>
      <c r="G153" s="354" t="s">
        <v>287</v>
      </c>
      <c r="H153" s="440" t="s">
        <v>287</v>
      </c>
      <c r="I153" s="352" t="s">
        <v>347</v>
      </c>
      <c r="J153" s="436" t="s">
        <v>295</v>
      </c>
      <c r="K153" s="436" t="s">
        <v>1225</v>
      </c>
      <c r="L153" s="352" t="s">
        <v>287</v>
      </c>
      <c r="M153" s="353">
        <v>0.6</v>
      </c>
      <c r="N153" s="347">
        <v>5.9999999999999995E-4</v>
      </c>
      <c r="O153" s="372">
        <v>3.4</v>
      </c>
      <c r="P153" s="386">
        <v>3.3999999999999998E-3</v>
      </c>
      <c r="Q153" s="352" t="s">
        <v>19</v>
      </c>
      <c r="R153" s="352" t="s">
        <v>571</v>
      </c>
    </row>
    <row r="154" spans="1:18" s="70" customFormat="1" ht="108" x14ac:dyDescent="0.2">
      <c r="A154" s="351" t="s">
        <v>80</v>
      </c>
      <c r="B154" s="352" t="s">
        <v>516</v>
      </c>
      <c r="C154" s="352" t="s">
        <v>99</v>
      </c>
      <c r="D154" s="352" t="s">
        <v>17</v>
      </c>
      <c r="E154" s="352" t="s">
        <v>346</v>
      </c>
      <c r="F154" s="353">
        <v>33.700000000000003</v>
      </c>
      <c r="G154" s="354" t="s">
        <v>287</v>
      </c>
      <c r="H154" s="440" t="s">
        <v>287</v>
      </c>
      <c r="I154" s="352" t="s">
        <v>347</v>
      </c>
      <c r="J154" s="436" t="s">
        <v>295</v>
      </c>
      <c r="K154" s="436" t="s">
        <v>1225</v>
      </c>
      <c r="L154" s="352" t="s">
        <v>287</v>
      </c>
      <c r="M154" s="353">
        <v>1.1000000000000001</v>
      </c>
      <c r="N154" s="347">
        <v>1.1000000000000001E-3</v>
      </c>
      <c r="O154" s="372">
        <v>6.7</v>
      </c>
      <c r="P154" s="386">
        <v>6.7000000000000002E-3</v>
      </c>
      <c r="Q154" s="352" t="s">
        <v>19</v>
      </c>
      <c r="R154" s="352" t="s">
        <v>571</v>
      </c>
    </row>
    <row r="155" spans="1:18" s="70" customFormat="1" ht="168" x14ac:dyDescent="0.2">
      <c r="A155" s="351" t="s">
        <v>81</v>
      </c>
      <c r="B155" s="352" t="s">
        <v>517</v>
      </c>
      <c r="C155" s="352" t="s">
        <v>99</v>
      </c>
      <c r="D155" s="352" t="s">
        <v>17</v>
      </c>
      <c r="E155" s="352" t="s">
        <v>344</v>
      </c>
      <c r="F155" s="353">
        <v>14.2</v>
      </c>
      <c r="G155" s="354" t="s">
        <v>287</v>
      </c>
      <c r="H155" s="440" t="s">
        <v>287</v>
      </c>
      <c r="I155" s="352" t="s">
        <v>347</v>
      </c>
      <c r="J155" s="436" t="s">
        <v>295</v>
      </c>
      <c r="K155" s="436" t="s">
        <v>1225</v>
      </c>
      <c r="L155" s="352" t="s">
        <v>287</v>
      </c>
      <c r="M155" s="353">
        <v>0.5</v>
      </c>
      <c r="N155" s="347">
        <v>5.0000000000000001E-4</v>
      </c>
      <c r="O155" s="372">
        <v>3.4</v>
      </c>
      <c r="P155" s="386">
        <v>3.3999999999999998E-3</v>
      </c>
      <c r="Q155" s="352" t="s">
        <v>19</v>
      </c>
      <c r="R155" s="352" t="s">
        <v>571</v>
      </c>
    </row>
    <row r="156" spans="1:18" s="70" customFormat="1" ht="84" x14ac:dyDescent="0.2">
      <c r="A156" s="351" t="s">
        <v>82</v>
      </c>
      <c r="B156" s="352" t="s">
        <v>94</v>
      </c>
      <c r="C156" s="352" t="s">
        <v>99</v>
      </c>
      <c r="D156" s="352" t="s">
        <v>17</v>
      </c>
      <c r="E156" s="352" t="s">
        <v>344</v>
      </c>
      <c r="F156" s="353">
        <v>38.799999999999997</v>
      </c>
      <c r="G156" s="354" t="s">
        <v>287</v>
      </c>
      <c r="H156" s="440" t="s">
        <v>287</v>
      </c>
      <c r="I156" s="352" t="s">
        <v>347</v>
      </c>
      <c r="J156" s="352" t="s">
        <v>296</v>
      </c>
      <c r="K156" s="352" t="s">
        <v>14</v>
      </c>
      <c r="L156" s="363" t="s">
        <v>351</v>
      </c>
      <c r="M156" s="353">
        <v>0.3</v>
      </c>
      <c r="N156" s="347">
        <v>2.9999999999999997E-4</v>
      </c>
      <c r="O156" s="372">
        <v>0.9</v>
      </c>
      <c r="P156" s="386">
        <v>8.9999999999999998E-4</v>
      </c>
      <c r="Q156" s="352" t="s">
        <v>19</v>
      </c>
      <c r="R156" s="352" t="s">
        <v>571</v>
      </c>
    </row>
    <row r="157" spans="1:18" s="70" customFormat="1" ht="84" x14ac:dyDescent="0.2">
      <c r="A157" s="351" t="s">
        <v>83</v>
      </c>
      <c r="B157" s="352" t="s">
        <v>525</v>
      </c>
      <c r="C157" s="352" t="s">
        <v>99</v>
      </c>
      <c r="D157" s="436" t="s">
        <v>96</v>
      </c>
      <c r="E157" s="352" t="s">
        <v>348</v>
      </c>
      <c r="F157" s="353">
        <v>4.0999999999999996</v>
      </c>
      <c r="G157" s="354" t="s">
        <v>287</v>
      </c>
      <c r="H157" s="440" t="s">
        <v>287</v>
      </c>
      <c r="I157" s="352" t="s">
        <v>347</v>
      </c>
      <c r="J157" s="352" t="s">
        <v>296</v>
      </c>
      <c r="K157" s="352" t="s">
        <v>14</v>
      </c>
      <c r="L157" s="363" t="s">
        <v>351</v>
      </c>
      <c r="M157" s="353">
        <v>0</v>
      </c>
      <c r="N157" s="347">
        <v>0</v>
      </c>
      <c r="O157" s="372">
        <v>0.6</v>
      </c>
      <c r="P157" s="386">
        <v>5.9999999999999995E-4</v>
      </c>
      <c r="Q157" s="352" t="s">
        <v>19</v>
      </c>
      <c r="R157" s="352" t="s">
        <v>571</v>
      </c>
    </row>
    <row r="158" spans="1:18" s="70" customFormat="1" ht="84" x14ac:dyDescent="0.2">
      <c r="A158" s="351" t="s">
        <v>84</v>
      </c>
      <c r="B158" s="352" t="s">
        <v>526</v>
      </c>
      <c r="C158" s="352" t="s">
        <v>99</v>
      </c>
      <c r="D158" s="352" t="s">
        <v>17</v>
      </c>
      <c r="E158" s="352" t="s">
        <v>348</v>
      </c>
      <c r="F158" s="353">
        <v>7.6</v>
      </c>
      <c r="G158" s="354" t="s">
        <v>287</v>
      </c>
      <c r="H158" s="440" t="s">
        <v>287</v>
      </c>
      <c r="I158" s="352" t="s">
        <v>347</v>
      </c>
      <c r="J158" s="352" t="s">
        <v>296</v>
      </c>
      <c r="K158" s="352" t="s">
        <v>14</v>
      </c>
      <c r="L158" s="363" t="s">
        <v>351</v>
      </c>
      <c r="M158" s="353">
        <v>0.2</v>
      </c>
      <c r="N158" s="347">
        <v>2.0000000000000001E-4</v>
      </c>
      <c r="O158" s="372">
        <v>3.4</v>
      </c>
      <c r="P158" s="386">
        <v>3.3999999999999998E-3</v>
      </c>
      <c r="Q158" s="352" t="s">
        <v>19</v>
      </c>
      <c r="R158" s="352" t="s">
        <v>571</v>
      </c>
    </row>
    <row r="159" spans="1:18" s="70" customFormat="1" ht="120" x14ac:dyDescent="0.2">
      <c r="A159" s="351" t="s">
        <v>85</v>
      </c>
      <c r="B159" s="352" t="s">
        <v>527</v>
      </c>
      <c r="C159" s="352" t="s">
        <v>99</v>
      </c>
      <c r="D159" s="352" t="s">
        <v>17</v>
      </c>
      <c r="E159" s="352" t="s">
        <v>344</v>
      </c>
      <c r="F159" s="353">
        <v>14.6</v>
      </c>
      <c r="G159" s="354" t="s">
        <v>287</v>
      </c>
      <c r="H159" s="440" t="s">
        <v>287</v>
      </c>
      <c r="I159" s="352" t="s">
        <v>347</v>
      </c>
      <c r="J159" s="352" t="s">
        <v>296</v>
      </c>
      <c r="K159" s="352" t="s">
        <v>14</v>
      </c>
      <c r="L159" s="363" t="s">
        <v>352</v>
      </c>
      <c r="M159" s="353">
        <v>0.6</v>
      </c>
      <c r="N159" s="347">
        <v>5.9999999999999995E-4</v>
      </c>
      <c r="O159" s="372">
        <v>2.1</v>
      </c>
      <c r="P159" s="386">
        <v>2.1000000000000003E-3</v>
      </c>
      <c r="Q159" s="352" t="s">
        <v>19</v>
      </c>
      <c r="R159" s="352" t="s">
        <v>571</v>
      </c>
    </row>
    <row r="160" spans="1:18" s="70" customFormat="1" ht="120" x14ac:dyDescent="0.2">
      <c r="A160" s="351" t="s">
        <v>86</v>
      </c>
      <c r="B160" s="352" t="s">
        <v>528</v>
      </c>
      <c r="C160" s="352" t="s">
        <v>99</v>
      </c>
      <c r="D160" s="352" t="s">
        <v>17</v>
      </c>
      <c r="E160" s="352" t="s">
        <v>344</v>
      </c>
      <c r="F160" s="353">
        <v>17.899999999999999</v>
      </c>
      <c r="G160" s="354" t="s">
        <v>287</v>
      </c>
      <c r="H160" s="440" t="s">
        <v>287</v>
      </c>
      <c r="I160" s="352" t="s">
        <v>347</v>
      </c>
      <c r="J160" s="352" t="s">
        <v>296</v>
      </c>
      <c r="K160" s="352" t="s">
        <v>14</v>
      </c>
      <c r="L160" s="363" t="s">
        <v>352</v>
      </c>
      <c r="M160" s="353">
        <v>0.7</v>
      </c>
      <c r="N160" s="347">
        <v>6.9999999999999999E-4</v>
      </c>
      <c r="O160" s="372">
        <v>2.6</v>
      </c>
      <c r="P160" s="386">
        <v>2.5999999999999999E-3</v>
      </c>
      <c r="Q160" s="352" t="s">
        <v>19</v>
      </c>
      <c r="R160" s="352" t="s">
        <v>571</v>
      </c>
    </row>
    <row r="161" spans="1:18" s="70" customFormat="1" ht="120" x14ac:dyDescent="0.2">
      <c r="A161" s="351" t="s">
        <v>87</v>
      </c>
      <c r="B161" s="352" t="s">
        <v>529</v>
      </c>
      <c r="C161" s="352" t="s">
        <v>99</v>
      </c>
      <c r="D161" s="352" t="s">
        <v>17</v>
      </c>
      <c r="E161" s="352" t="s">
        <v>344</v>
      </c>
      <c r="F161" s="353">
        <v>16.899999999999999</v>
      </c>
      <c r="G161" s="354" t="s">
        <v>287</v>
      </c>
      <c r="H161" s="440" t="s">
        <v>287</v>
      </c>
      <c r="I161" s="352" t="s">
        <v>347</v>
      </c>
      <c r="J161" s="352" t="s">
        <v>296</v>
      </c>
      <c r="K161" s="352" t="s">
        <v>14</v>
      </c>
      <c r="L161" s="363" t="s">
        <v>352</v>
      </c>
      <c r="M161" s="353">
        <v>0.7</v>
      </c>
      <c r="N161" s="347">
        <v>6.9999999999999999E-4</v>
      </c>
      <c r="O161" s="372">
        <v>2.2999999999999998</v>
      </c>
      <c r="P161" s="386">
        <v>2.3E-3</v>
      </c>
      <c r="Q161" s="352" t="s">
        <v>19</v>
      </c>
      <c r="R161" s="352" t="s">
        <v>571</v>
      </c>
    </row>
    <row r="162" spans="1:18" s="70" customFormat="1" ht="120" x14ac:dyDescent="0.2">
      <c r="A162" s="351" t="s">
        <v>88</v>
      </c>
      <c r="B162" s="352" t="s">
        <v>531</v>
      </c>
      <c r="C162" s="352" t="s">
        <v>99</v>
      </c>
      <c r="D162" s="352" t="s">
        <v>17</v>
      </c>
      <c r="E162" s="352" t="s">
        <v>344</v>
      </c>
      <c r="F162" s="353">
        <v>12.6</v>
      </c>
      <c r="G162" s="354" t="s">
        <v>287</v>
      </c>
      <c r="H162" s="440" t="s">
        <v>287</v>
      </c>
      <c r="I162" s="352" t="s">
        <v>347</v>
      </c>
      <c r="J162" s="352" t="s">
        <v>296</v>
      </c>
      <c r="K162" s="352" t="s">
        <v>14</v>
      </c>
      <c r="L162" s="363" t="s">
        <v>352</v>
      </c>
      <c r="M162" s="353">
        <v>0.5</v>
      </c>
      <c r="N162" s="347">
        <v>5.0000000000000001E-4</v>
      </c>
      <c r="O162" s="372">
        <v>2.2000000000000002</v>
      </c>
      <c r="P162" s="386">
        <v>2.2000000000000001E-3</v>
      </c>
      <c r="Q162" s="352" t="s">
        <v>19</v>
      </c>
      <c r="R162" s="352" t="s">
        <v>571</v>
      </c>
    </row>
    <row r="163" spans="1:18" s="70" customFormat="1" ht="96" x14ac:dyDescent="0.2">
      <c r="A163" s="351" t="s">
        <v>89</v>
      </c>
      <c r="B163" s="352" t="s">
        <v>532</v>
      </c>
      <c r="C163" s="352" t="s">
        <v>99</v>
      </c>
      <c r="D163" s="436" t="s">
        <v>97</v>
      </c>
      <c r="E163" s="352" t="s">
        <v>349</v>
      </c>
      <c r="F163" s="353">
        <v>9.8000000000000007</v>
      </c>
      <c r="G163" s="354" t="s">
        <v>287</v>
      </c>
      <c r="H163" s="440" t="s">
        <v>287</v>
      </c>
      <c r="I163" s="352" t="s">
        <v>347</v>
      </c>
      <c r="J163" s="352" t="s">
        <v>296</v>
      </c>
      <c r="K163" s="352" t="s">
        <v>14</v>
      </c>
      <c r="L163" s="363" t="s">
        <v>353</v>
      </c>
      <c r="M163" s="353">
        <v>0.2</v>
      </c>
      <c r="N163" s="347">
        <v>2.0000000000000001E-4</v>
      </c>
      <c r="O163" s="372">
        <v>2.6</v>
      </c>
      <c r="P163" s="386">
        <v>2.5999999999999999E-3</v>
      </c>
      <c r="Q163" s="352" t="s">
        <v>19</v>
      </c>
      <c r="R163" s="352" t="s">
        <v>571</v>
      </c>
    </row>
    <row r="164" spans="1:18" s="70" customFormat="1" ht="120" x14ac:dyDescent="0.2">
      <c r="A164" s="351" t="s">
        <v>90</v>
      </c>
      <c r="B164" s="352" t="s">
        <v>533</v>
      </c>
      <c r="C164" s="352" t="s">
        <v>99</v>
      </c>
      <c r="D164" s="352" t="s">
        <v>17</v>
      </c>
      <c r="E164" s="352" t="s">
        <v>344</v>
      </c>
      <c r="F164" s="353">
        <v>21.8</v>
      </c>
      <c r="G164" s="354" t="s">
        <v>287</v>
      </c>
      <c r="H164" s="440" t="s">
        <v>287</v>
      </c>
      <c r="I164" s="352" t="s">
        <v>347</v>
      </c>
      <c r="J164" s="352" t="s">
        <v>296</v>
      </c>
      <c r="K164" s="352" t="s">
        <v>14</v>
      </c>
      <c r="L164" s="363" t="s">
        <v>353</v>
      </c>
      <c r="M164" s="353">
        <v>0.6</v>
      </c>
      <c r="N164" s="347">
        <v>5.9999999999999995E-4</v>
      </c>
      <c r="O164" s="372">
        <v>3.1</v>
      </c>
      <c r="P164" s="386">
        <v>3.0999999999999999E-3</v>
      </c>
      <c r="Q164" s="352" t="s">
        <v>19</v>
      </c>
      <c r="R164" s="352" t="s">
        <v>571</v>
      </c>
    </row>
    <row r="165" spans="1:18" s="70" customFormat="1" ht="84" x14ac:dyDescent="0.2">
      <c r="A165" s="351" t="s">
        <v>91</v>
      </c>
      <c r="B165" s="352" t="s">
        <v>534</v>
      </c>
      <c r="C165" s="352" t="s">
        <v>99</v>
      </c>
      <c r="D165" s="436" t="s">
        <v>98</v>
      </c>
      <c r="E165" s="352" t="s">
        <v>344</v>
      </c>
      <c r="F165" s="353">
        <v>14.8</v>
      </c>
      <c r="G165" s="354" t="s">
        <v>287</v>
      </c>
      <c r="H165" s="440" t="s">
        <v>287</v>
      </c>
      <c r="I165" s="352" t="s">
        <v>347</v>
      </c>
      <c r="J165" s="352" t="s">
        <v>296</v>
      </c>
      <c r="K165" s="352" t="s">
        <v>14</v>
      </c>
      <c r="L165" s="363" t="s">
        <v>354</v>
      </c>
      <c r="M165" s="353">
        <v>0.2</v>
      </c>
      <c r="N165" s="347">
        <v>2.0000000000000001E-4</v>
      </c>
      <c r="O165" s="372">
        <v>1.2</v>
      </c>
      <c r="P165" s="386">
        <v>1.1999999999999999E-3</v>
      </c>
      <c r="Q165" s="352" t="s">
        <v>19</v>
      </c>
      <c r="R165" s="352" t="s">
        <v>571</v>
      </c>
    </row>
    <row r="166" spans="1:18" s="70" customFormat="1" ht="36" x14ac:dyDescent="0.2">
      <c r="A166" s="351" t="s">
        <v>92</v>
      </c>
      <c r="B166" s="352" t="s">
        <v>535</v>
      </c>
      <c r="C166" s="352" t="s">
        <v>99</v>
      </c>
      <c r="D166" s="352" t="s">
        <v>28</v>
      </c>
      <c r="E166" s="352" t="s">
        <v>344</v>
      </c>
      <c r="F166" s="353">
        <v>32.200000000000003</v>
      </c>
      <c r="G166" s="354" t="s">
        <v>287</v>
      </c>
      <c r="H166" s="440" t="s">
        <v>287</v>
      </c>
      <c r="I166" s="352" t="s">
        <v>347</v>
      </c>
      <c r="J166" s="352" t="s">
        <v>296</v>
      </c>
      <c r="K166" s="352" t="s">
        <v>14</v>
      </c>
      <c r="L166" s="363" t="s">
        <v>355</v>
      </c>
      <c r="M166" s="353">
        <v>0.2</v>
      </c>
      <c r="N166" s="347">
        <v>2.0000000000000001E-4</v>
      </c>
      <c r="O166" s="372">
        <v>1.3</v>
      </c>
      <c r="P166" s="386">
        <v>1.2999999999999999E-3</v>
      </c>
      <c r="Q166" s="352" t="s">
        <v>19</v>
      </c>
      <c r="R166" s="352" t="s">
        <v>571</v>
      </c>
    </row>
    <row r="167" spans="1:18" s="70" customFormat="1" ht="36" x14ac:dyDescent="0.2">
      <c r="A167" s="351" t="s">
        <v>93</v>
      </c>
      <c r="B167" s="352" t="s">
        <v>67</v>
      </c>
      <c r="C167" s="352" t="s">
        <v>99</v>
      </c>
      <c r="D167" s="352" t="s">
        <v>8</v>
      </c>
      <c r="E167" s="352" t="s">
        <v>536</v>
      </c>
      <c r="F167" s="353" t="s">
        <v>14</v>
      </c>
      <c r="G167" s="440" t="s">
        <v>1220</v>
      </c>
      <c r="H167" s="354" t="s">
        <v>287</v>
      </c>
      <c r="I167" s="352" t="s">
        <v>347</v>
      </c>
      <c r="J167" s="352" t="s">
        <v>285</v>
      </c>
      <c r="K167" s="352" t="s">
        <v>14</v>
      </c>
      <c r="L167" s="352" t="s">
        <v>285</v>
      </c>
      <c r="M167" s="353">
        <v>50.3</v>
      </c>
      <c r="N167" s="347">
        <v>5.0299999999999997E-2</v>
      </c>
      <c r="O167" s="372">
        <v>144.80000000000001</v>
      </c>
      <c r="P167" s="386">
        <v>0.14480000000000001</v>
      </c>
      <c r="Q167" s="352" t="s">
        <v>19</v>
      </c>
      <c r="R167" s="352" t="s">
        <v>571</v>
      </c>
    </row>
    <row r="168" spans="1:18" s="70" customFormat="1" ht="60" x14ac:dyDescent="0.2">
      <c r="A168" s="435" t="s">
        <v>95</v>
      </c>
      <c r="B168" s="436" t="s">
        <v>23</v>
      </c>
      <c r="C168" s="436" t="s">
        <v>99</v>
      </c>
      <c r="D168" s="436" t="s">
        <v>18</v>
      </c>
      <c r="E168" s="436" t="s">
        <v>1226</v>
      </c>
      <c r="F168" s="437" t="s">
        <v>14</v>
      </c>
      <c r="G168" s="440" t="s">
        <v>1220</v>
      </c>
      <c r="H168" s="440" t="s">
        <v>287</v>
      </c>
      <c r="I168" s="436" t="s">
        <v>347</v>
      </c>
      <c r="J168" s="436" t="s">
        <v>285</v>
      </c>
      <c r="K168" s="436" t="s">
        <v>14</v>
      </c>
      <c r="L168" s="436" t="s">
        <v>285</v>
      </c>
      <c r="M168" s="437">
        <v>1.7</v>
      </c>
      <c r="N168" s="438">
        <v>1.6999999999999999E-3</v>
      </c>
      <c r="O168" s="442">
        <v>19.8</v>
      </c>
      <c r="P168" s="287">
        <v>1.9800000000000002E-2</v>
      </c>
      <c r="Q168" s="436" t="s">
        <v>19</v>
      </c>
      <c r="R168" s="436" t="s">
        <v>571</v>
      </c>
    </row>
    <row r="169" spans="1:18" s="70" customFormat="1" ht="108" x14ac:dyDescent="0.2">
      <c r="A169" s="351" t="s">
        <v>126</v>
      </c>
      <c r="B169" s="352" t="s">
        <v>23</v>
      </c>
      <c r="C169" s="352" t="s">
        <v>163</v>
      </c>
      <c r="D169" s="352" t="s">
        <v>18</v>
      </c>
      <c r="E169" s="352" t="s">
        <v>357</v>
      </c>
      <c r="F169" s="353" t="s">
        <v>14</v>
      </c>
      <c r="G169" s="354" t="s">
        <v>287</v>
      </c>
      <c r="H169" s="354" t="s">
        <v>287</v>
      </c>
      <c r="I169" s="352" t="s">
        <v>163</v>
      </c>
      <c r="J169" s="352" t="s">
        <v>285</v>
      </c>
      <c r="K169" s="352" t="s">
        <v>14</v>
      </c>
      <c r="L169" s="352" t="s">
        <v>285</v>
      </c>
      <c r="M169" s="353">
        <v>586.1</v>
      </c>
      <c r="N169" s="347">
        <v>0.58610000000000007</v>
      </c>
      <c r="O169" s="356">
        <v>13247.4</v>
      </c>
      <c r="P169" s="386">
        <v>13.247399999999999</v>
      </c>
      <c r="Q169" s="352" t="s">
        <v>19</v>
      </c>
      <c r="R169" s="352" t="s">
        <v>571</v>
      </c>
    </row>
    <row r="170" spans="1:18" s="70" customFormat="1" ht="60" x14ac:dyDescent="0.2">
      <c r="A170" s="351" t="s">
        <v>128</v>
      </c>
      <c r="B170" s="352" t="s">
        <v>363</v>
      </c>
      <c r="C170" s="352" t="s">
        <v>163</v>
      </c>
      <c r="D170" s="352" t="s">
        <v>8</v>
      </c>
      <c r="E170" s="352" t="s">
        <v>359</v>
      </c>
      <c r="F170" s="353" t="s">
        <v>14</v>
      </c>
      <c r="G170" s="440" t="s">
        <v>1220</v>
      </c>
      <c r="H170" s="354">
        <v>44015</v>
      </c>
      <c r="I170" s="352" t="s">
        <v>367</v>
      </c>
      <c r="J170" s="352" t="s">
        <v>285</v>
      </c>
      <c r="K170" s="352" t="s">
        <v>14</v>
      </c>
      <c r="L170" s="352" t="s">
        <v>285</v>
      </c>
      <c r="M170" s="353">
        <v>9.3000000000000007</v>
      </c>
      <c r="N170" s="347">
        <v>9.300000000000001E-3</v>
      </c>
      <c r="O170" s="372">
        <v>26.7</v>
      </c>
      <c r="P170" s="386">
        <v>2.6699999999999998E-2</v>
      </c>
      <c r="Q170" s="352" t="s">
        <v>19</v>
      </c>
      <c r="R170" s="352" t="s">
        <v>571</v>
      </c>
    </row>
    <row r="171" spans="1:18" s="70" customFormat="1" ht="60" x14ac:dyDescent="0.2">
      <c r="A171" s="351" t="s">
        <v>129</v>
      </c>
      <c r="B171" s="352" t="s">
        <v>364</v>
      </c>
      <c r="C171" s="352" t="s">
        <v>163</v>
      </c>
      <c r="D171" s="352" t="s">
        <v>8</v>
      </c>
      <c r="E171" s="352" t="s">
        <v>360</v>
      </c>
      <c r="F171" s="353" t="s">
        <v>14</v>
      </c>
      <c r="G171" s="440" t="s">
        <v>1220</v>
      </c>
      <c r="H171" s="354">
        <v>15198</v>
      </c>
      <c r="I171" s="352" t="s">
        <v>368</v>
      </c>
      <c r="J171" s="352" t="s">
        <v>285</v>
      </c>
      <c r="K171" s="352" t="s">
        <v>14</v>
      </c>
      <c r="L171" s="352" t="s">
        <v>285</v>
      </c>
      <c r="M171" s="353">
        <v>2.2999999999999998</v>
      </c>
      <c r="N171" s="347">
        <v>2.3E-3</v>
      </c>
      <c r="O171" s="372">
        <v>6.6</v>
      </c>
      <c r="P171" s="386">
        <v>6.6E-3</v>
      </c>
      <c r="Q171" s="352" t="s">
        <v>19</v>
      </c>
      <c r="R171" s="352" t="s">
        <v>571</v>
      </c>
    </row>
    <row r="172" spans="1:18" s="70" customFormat="1" ht="60" x14ac:dyDescent="0.2">
      <c r="A172" s="351" t="s">
        <v>130</v>
      </c>
      <c r="B172" s="352" t="s">
        <v>365</v>
      </c>
      <c r="C172" s="352" t="s">
        <v>163</v>
      </c>
      <c r="D172" s="352" t="s">
        <v>8</v>
      </c>
      <c r="E172" s="352" t="s">
        <v>361</v>
      </c>
      <c r="F172" s="353" t="s">
        <v>14</v>
      </c>
      <c r="G172" s="440" t="s">
        <v>1220</v>
      </c>
      <c r="H172" s="354">
        <v>11003</v>
      </c>
      <c r="I172" s="352" t="s">
        <v>369</v>
      </c>
      <c r="J172" s="352" t="s">
        <v>285</v>
      </c>
      <c r="K172" s="352" t="s">
        <v>14</v>
      </c>
      <c r="L172" s="352" t="s">
        <v>285</v>
      </c>
      <c r="M172" s="353">
        <v>1.7</v>
      </c>
      <c r="N172" s="347">
        <v>1.6999999999999999E-3</v>
      </c>
      <c r="O172" s="372">
        <v>4.8</v>
      </c>
      <c r="P172" s="386">
        <v>4.7999999999999996E-3</v>
      </c>
      <c r="Q172" s="352" t="s">
        <v>19</v>
      </c>
      <c r="R172" s="352" t="s">
        <v>571</v>
      </c>
    </row>
    <row r="173" spans="1:18" s="70" customFormat="1" ht="60" x14ac:dyDescent="0.2">
      <c r="A173" s="351" t="s">
        <v>131</v>
      </c>
      <c r="B173" s="352" t="s">
        <v>366</v>
      </c>
      <c r="C173" s="352" t="s">
        <v>163</v>
      </c>
      <c r="D173" s="352" t="s">
        <v>8</v>
      </c>
      <c r="E173" s="352" t="s">
        <v>362</v>
      </c>
      <c r="F173" s="353" t="s">
        <v>14</v>
      </c>
      <c r="G173" s="440" t="s">
        <v>1220</v>
      </c>
      <c r="H173" s="354" t="s">
        <v>287</v>
      </c>
      <c r="I173" s="352" t="s">
        <v>163</v>
      </c>
      <c r="J173" s="352" t="s">
        <v>285</v>
      </c>
      <c r="K173" s="352" t="s">
        <v>14</v>
      </c>
      <c r="L173" s="352" t="s">
        <v>285</v>
      </c>
      <c r="M173" s="353">
        <v>0.7</v>
      </c>
      <c r="N173" s="347">
        <v>6.9999999999999999E-4</v>
      </c>
      <c r="O173" s="372">
        <v>2.1</v>
      </c>
      <c r="P173" s="386">
        <v>2.1000000000000003E-3</v>
      </c>
      <c r="Q173" s="352" t="s">
        <v>19</v>
      </c>
      <c r="R173" s="352" t="s">
        <v>571</v>
      </c>
    </row>
    <row r="174" spans="1:18" s="70" customFormat="1" ht="48" x14ac:dyDescent="0.2">
      <c r="A174" s="351" t="s">
        <v>132</v>
      </c>
      <c r="B174" s="352" t="s">
        <v>370</v>
      </c>
      <c r="C174" s="352" t="s">
        <v>163</v>
      </c>
      <c r="D174" s="436" t="s">
        <v>556</v>
      </c>
      <c r="E174" s="352" t="s">
        <v>374</v>
      </c>
      <c r="F174" s="353" t="s">
        <v>14</v>
      </c>
      <c r="G174" s="354">
        <v>3000</v>
      </c>
      <c r="H174" s="354">
        <v>666</v>
      </c>
      <c r="I174" s="352" t="s">
        <v>398</v>
      </c>
      <c r="J174" s="352" t="s">
        <v>285</v>
      </c>
      <c r="K174" s="352" t="s">
        <v>14</v>
      </c>
      <c r="L174" s="352" t="s">
        <v>285</v>
      </c>
      <c r="M174" s="353">
        <v>0</v>
      </c>
      <c r="N174" s="347">
        <v>0</v>
      </c>
      <c r="O174" s="372">
        <v>0.1</v>
      </c>
      <c r="P174" s="386">
        <v>1E-4</v>
      </c>
      <c r="Q174" s="352" t="s">
        <v>19</v>
      </c>
      <c r="R174" s="352" t="s">
        <v>571</v>
      </c>
    </row>
    <row r="175" spans="1:18" s="70" customFormat="1" ht="60" x14ac:dyDescent="0.2">
      <c r="A175" s="351" t="s">
        <v>133</v>
      </c>
      <c r="B175" s="352" t="s">
        <v>371</v>
      </c>
      <c r="C175" s="352" t="s">
        <v>163</v>
      </c>
      <c r="D175" s="436" t="s">
        <v>556</v>
      </c>
      <c r="E175" s="352" t="s">
        <v>373</v>
      </c>
      <c r="F175" s="353" t="s">
        <v>14</v>
      </c>
      <c r="G175" s="354">
        <v>50000</v>
      </c>
      <c r="H175" s="354">
        <v>11000</v>
      </c>
      <c r="I175" s="352" t="s">
        <v>367</v>
      </c>
      <c r="J175" s="352" t="s">
        <v>285</v>
      </c>
      <c r="K175" s="352" t="s">
        <v>14</v>
      </c>
      <c r="L175" s="352" t="s">
        <v>285</v>
      </c>
      <c r="M175" s="353">
        <v>0.4</v>
      </c>
      <c r="N175" s="347">
        <v>4.0000000000000002E-4</v>
      </c>
      <c r="O175" s="379">
        <v>2</v>
      </c>
      <c r="P175" s="386">
        <v>2E-3</v>
      </c>
      <c r="Q175" s="352" t="s">
        <v>19</v>
      </c>
      <c r="R175" s="352" t="s">
        <v>571</v>
      </c>
    </row>
    <row r="176" spans="1:18" s="70" customFormat="1" ht="60" x14ac:dyDescent="0.2">
      <c r="A176" s="351" t="s">
        <v>134</v>
      </c>
      <c r="B176" s="352" t="s">
        <v>372</v>
      </c>
      <c r="C176" s="352" t="s">
        <v>163</v>
      </c>
      <c r="D176" s="436" t="s">
        <v>556</v>
      </c>
      <c r="E176" s="352" t="s">
        <v>375</v>
      </c>
      <c r="F176" s="353" t="s">
        <v>14</v>
      </c>
      <c r="G176" s="354">
        <v>37000</v>
      </c>
      <c r="H176" s="354">
        <v>5328</v>
      </c>
      <c r="I176" s="352" t="s">
        <v>367</v>
      </c>
      <c r="J176" s="436" t="s">
        <v>295</v>
      </c>
      <c r="K176" s="352" t="s">
        <v>14</v>
      </c>
      <c r="L176" s="352" t="s">
        <v>285</v>
      </c>
      <c r="M176" s="353">
        <v>0.5</v>
      </c>
      <c r="N176" s="347">
        <v>5.0000000000000001E-4</v>
      </c>
      <c r="O176" s="379">
        <v>2</v>
      </c>
      <c r="P176" s="386">
        <v>2E-3</v>
      </c>
      <c r="Q176" s="352" t="s">
        <v>19</v>
      </c>
      <c r="R176" s="352" t="s">
        <v>571</v>
      </c>
    </row>
    <row r="177" spans="1:18" s="70" customFormat="1" ht="48" x14ac:dyDescent="0.2">
      <c r="A177" s="351" t="s">
        <v>135</v>
      </c>
      <c r="B177" s="352" t="s">
        <v>377</v>
      </c>
      <c r="C177" s="352" t="s">
        <v>163</v>
      </c>
      <c r="D177" s="436" t="s">
        <v>556</v>
      </c>
      <c r="E177" s="352" t="s">
        <v>376</v>
      </c>
      <c r="F177" s="353" t="s">
        <v>14</v>
      </c>
      <c r="G177" s="354">
        <v>18000</v>
      </c>
      <c r="H177" s="354">
        <v>2592</v>
      </c>
      <c r="I177" s="352" t="s">
        <v>401</v>
      </c>
      <c r="J177" s="352" t="s">
        <v>285</v>
      </c>
      <c r="K177" s="352" t="s">
        <v>14</v>
      </c>
      <c r="L177" s="352" t="s">
        <v>285</v>
      </c>
      <c r="M177" s="353">
        <v>0.1</v>
      </c>
      <c r="N177" s="347">
        <v>1E-4</v>
      </c>
      <c r="O177" s="372">
        <v>0.5</v>
      </c>
      <c r="P177" s="386">
        <v>5.0000000000000001E-4</v>
      </c>
      <c r="Q177" s="352" t="s">
        <v>19</v>
      </c>
      <c r="R177" s="352" t="s">
        <v>571</v>
      </c>
    </row>
    <row r="178" spans="1:18" s="70" customFormat="1" ht="48" x14ac:dyDescent="0.2">
      <c r="A178" s="351" t="s">
        <v>136</v>
      </c>
      <c r="B178" s="352" t="s">
        <v>384</v>
      </c>
      <c r="C178" s="352" t="s">
        <v>163</v>
      </c>
      <c r="D178" s="436" t="s">
        <v>556</v>
      </c>
      <c r="E178" s="352" t="s">
        <v>378</v>
      </c>
      <c r="F178" s="353" t="s">
        <v>14</v>
      </c>
      <c r="G178" s="354">
        <v>10000</v>
      </c>
      <c r="H178" s="354">
        <v>1440</v>
      </c>
      <c r="I178" s="352" t="s">
        <v>399</v>
      </c>
      <c r="J178" s="352" t="s">
        <v>285</v>
      </c>
      <c r="K178" s="352" t="s">
        <v>14</v>
      </c>
      <c r="L178" s="352" t="s">
        <v>285</v>
      </c>
      <c r="M178" s="353">
        <v>0.1</v>
      </c>
      <c r="N178" s="347">
        <v>1E-4</v>
      </c>
      <c r="O178" s="372">
        <v>0.4</v>
      </c>
      <c r="P178" s="386">
        <v>4.0000000000000002E-4</v>
      </c>
      <c r="Q178" s="352" t="s">
        <v>19</v>
      </c>
      <c r="R178" s="352" t="s">
        <v>571</v>
      </c>
    </row>
    <row r="179" spans="1:18" s="70" customFormat="1" ht="60" x14ac:dyDescent="0.2">
      <c r="A179" s="351" t="s">
        <v>137</v>
      </c>
      <c r="B179" s="352" t="s">
        <v>385</v>
      </c>
      <c r="C179" s="352" t="s">
        <v>163</v>
      </c>
      <c r="D179" s="436" t="s">
        <v>556</v>
      </c>
      <c r="E179" s="352" t="s">
        <v>379</v>
      </c>
      <c r="F179" s="353" t="s">
        <v>14</v>
      </c>
      <c r="G179" s="354">
        <v>41000</v>
      </c>
      <c r="H179" s="354">
        <v>9102</v>
      </c>
      <c r="I179" s="352" t="s">
        <v>368</v>
      </c>
      <c r="J179" s="352" t="s">
        <v>285</v>
      </c>
      <c r="K179" s="352" t="s">
        <v>14</v>
      </c>
      <c r="L179" s="352" t="s">
        <v>285</v>
      </c>
      <c r="M179" s="353">
        <v>0.7</v>
      </c>
      <c r="N179" s="347">
        <v>6.9999999999999999E-4</v>
      </c>
      <c r="O179" s="372">
        <v>3.3</v>
      </c>
      <c r="P179" s="386">
        <v>3.3E-3</v>
      </c>
      <c r="Q179" s="352" t="s">
        <v>19</v>
      </c>
      <c r="R179" s="352" t="s">
        <v>571</v>
      </c>
    </row>
    <row r="180" spans="1:18" s="70" customFormat="1" ht="60" x14ac:dyDescent="0.2">
      <c r="A180" s="351" t="s">
        <v>138</v>
      </c>
      <c r="B180" s="352" t="s">
        <v>386</v>
      </c>
      <c r="C180" s="352" t="s">
        <v>163</v>
      </c>
      <c r="D180" s="436" t="s">
        <v>556</v>
      </c>
      <c r="E180" s="352" t="s">
        <v>380</v>
      </c>
      <c r="F180" s="353" t="s">
        <v>14</v>
      </c>
      <c r="G180" s="354">
        <v>110000</v>
      </c>
      <c r="H180" s="354">
        <v>24420</v>
      </c>
      <c r="I180" s="352" t="s">
        <v>369</v>
      </c>
      <c r="J180" s="352" t="s">
        <v>285</v>
      </c>
      <c r="K180" s="352" t="s">
        <v>14</v>
      </c>
      <c r="L180" s="352" t="s">
        <v>285</v>
      </c>
      <c r="M180" s="353">
        <v>0.3</v>
      </c>
      <c r="N180" s="347">
        <v>2.9999999999999997E-4</v>
      </c>
      <c r="O180" s="372">
        <v>1.6</v>
      </c>
      <c r="P180" s="386">
        <v>1.6000000000000001E-3</v>
      </c>
      <c r="Q180" s="352" t="s">
        <v>19</v>
      </c>
      <c r="R180" s="352" t="s">
        <v>571</v>
      </c>
    </row>
    <row r="181" spans="1:18" s="70" customFormat="1" ht="48" x14ac:dyDescent="0.2">
      <c r="A181" s="351" t="s">
        <v>139</v>
      </c>
      <c r="B181" s="352" t="s">
        <v>387</v>
      </c>
      <c r="C181" s="352" t="s">
        <v>163</v>
      </c>
      <c r="D181" s="436" t="s">
        <v>556</v>
      </c>
      <c r="E181" s="352" t="s">
        <v>381</v>
      </c>
      <c r="F181" s="353" t="s">
        <v>14</v>
      </c>
      <c r="G181" s="354">
        <v>10000</v>
      </c>
      <c r="H181" s="354">
        <v>1440</v>
      </c>
      <c r="I181" s="352" t="s">
        <v>400</v>
      </c>
      <c r="J181" s="352" t="s">
        <v>285</v>
      </c>
      <c r="K181" s="352" t="s">
        <v>14</v>
      </c>
      <c r="L181" s="352" t="s">
        <v>285</v>
      </c>
      <c r="M181" s="353">
        <v>0.1</v>
      </c>
      <c r="N181" s="347">
        <v>1E-4</v>
      </c>
      <c r="O181" s="372">
        <v>0.6</v>
      </c>
      <c r="P181" s="386">
        <v>5.9999999999999995E-4</v>
      </c>
      <c r="Q181" s="352" t="s">
        <v>19</v>
      </c>
      <c r="R181" s="352" t="s">
        <v>571</v>
      </c>
    </row>
    <row r="182" spans="1:18" s="70" customFormat="1" ht="48" x14ac:dyDescent="0.2">
      <c r="A182" s="351" t="s">
        <v>140</v>
      </c>
      <c r="B182" s="352" t="s">
        <v>388</v>
      </c>
      <c r="C182" s="352" t="s">
        <v>163</v>
      </c>
      <c r="D182" s="436" t="s">
        <v>556</v>
      </c>
      <c r="E182" s="352" t="s">
        <v>382</v>
      </c>
      <c r="F182" s="353" t="s">
        <v>14</v>
      </c>
      <c r="G182" s="354">
        <v>14000</v>
      </c>
      <c r="H182" s="354">
        <v>2016</v>
      </c>
      <c r="I182" s="352" t="s">
        <v>401</v>
      </c>
      <c r="J182" s="352" t="s">
        <v>285</v>
      </c>
      <c r="K182" s="352" t="s">
        <v>14</v>
      </c>
      <c r="L182" s="352" t="s">
        <v>285</v>
      </c>
      <c r="M182" s="353">
        <v>0.1</v>
      </c>
      <c r="N182" s="347">
        <v>1E-4</v>
      </c>
      <c r="O182" s="372">
        <v>0.5</v>
      </c>
      <c r="P182" s="386">
        <v>5.0000000000000001E-4</v>
      </c>
      <c r="Q182" s="352" t="s">
        <v>19</v>
      </c>
      <c r="R182" s="352" t="s">
        <v>571</v>
      </c>
    </row>
    <row r="183" spans="1:18" s="70" customFormat="1" ht="48" x14ac:dyDescent="0.2">
      <c r="A183" s="351" t="s">
        <v>141</v>
      </c>
      <c r="B183" s="352" t="s">
        <v>389</v>
      </c>
      <c r="C183" s="352" t="s">
        <v>163</v>
      </c>
      <c r="D183" s="436" t="s">
        <v>556</v>
      </c>
      <c r="E183" s="352" t="s">
        <v>383</v>
      </c>
      <c r="F183" s="353" t="s">
        <v>14</v>
      </c>
      <c r="G183" s="354">
        <v>3000</v>
      </c>
      <c r="H183" s="354">
        <v>432</v>
      </c>
      <c r="I183" s="352" t="s">
        <v>401</v>
      </c>
      <c r="J183" s="352" t="s">
        <v>285</v>
      </c>
      <c r="K183" s="352" t="s">
        <v>14</v>
      </c>
      <c r="L183" s="352" t="s">
        <v>285</v>
      </c>
      <c r="M183" s="353">
        <v>0</v>
      </c>
      <c r="N183" s="347">
        <v>0</v>
      </c>
      <c r="O183" s="372">
        <v>0.1</v>
      </c>
      <c r="P183" s="386">
        <v>1E-4</v>
      </c>
      <c r="Q183" s="352" t="s">
        <v>19</v>
      </c>
      <c r="R183" s="352" t="s">
        <v>571</v>
      </c>
    </row>
    <row r="184" spans="1:18" s="70" customFormat="1" ht="24" x14ac:dyDescent="0.2">
      <c r="A184" s="357" t="s">
        <v>142</v>
      </c>
      <c r="B184" s="358" t="s">
        <v>143</v>
      </c>
      <c r="C184" s="358" t="s">
        <v>163</v>
      </c>
      <c r="D184" s="436" t="s">
        <v>556</v>
      </c>
      <c r="E184" s="358" t="s">
        <v>390</v>
      </c>
      <c r="F184" s="359" t="s">
        <v>14</v>
      </c>
      <c r="G184" s="360">
        <v>11000</v>
      </c>
      <c r="H184" s="360">
        <v>1440</v>
      </c>
      <c r="I184" s="358" t="s">
        <v>287</v>
      </c>
      <c r="J184" s="358" t="s">
        <v>285</v>
      </c>
      <c r="K184" s="358" t="s">
        <v>14</v>
      </c>
      <c r="L184" s="358" t="s">
        <v>285</v>
      </c>
      <c r="M184" s="359"/>
      <c r="N184" s="347">
        <v>0</v>
      </c>
      <c r="O184" s="371"/>
      <c r="P184" s="386">
        <v>0</v>
      </c>
      <c r="Q184" s="358" t="s">
        <v>19</v>
      </c>
      <c r="R184" s="358" t="s">
        <v>571</v>
      </c>
    </row>
    <row r="185" spans="1:18" s="70" customFormat="1" ht="72" x14ac:dyDescent="0.2">
      <c r="A185" s="351" t="s">
        <v>144</v>
      </c>
      <c r="B185" s="352" t="s">
        <v>393</v>
      </c>
      <c r="C185" s="352" t="s">
        <v>163</v>
      </c>
      <c r="D185" s="436" t="s">
        <v>556</v>
      </c>
      <c r="E185" s="352" t="s">
        <v>391</v>
      </c>
      <c r="F185" s="353" t="s">
        <v>14</v>
      </c>
      <c r="G185" s="354">
        <v>56000</v>
      </c>
      <c r="H185" s="440" t="s">
        <v>287</v>
      </c>
      <c r="I185" s="352" t="s">
        <v>402</v>
      </c>
      <c r="J185" s="436" t="s">
        <v>295</v>
      </c>
      <c r="K185" s="363" t="s">
        <v>475</v>
      </c>
      <c r="L185" s="352" t="s">
        <v>287</v>
      </c>
      <c r="M185" s="353">
        <v>0.5</v>
      </c>
      <c r="N185" s="347">
        <v>5.0000000000000001E-4</v>
      </c>
      <c r="O185" s="379">
        <v>2</v>
      </c>
      <c r="P185" s="386">
        <v>2E-3</v>
      </c>
      <c r="Q185" s="352" t="s">
        <v>19</v>
      </c>
      <c r="R185" s="352" t="s">
        <v>571</v>
      </c>
    </row>
    <row r="186" spans="1:18" s="70" customFormat="1" ht="72" x14ac:dyDescent="0.2">
      <c r="A186" s="351" t="s">
        <v>145</v>
      </c>
      <c r="B186" s="352" t="s">
        <v>394</v>
      </c>
      <c r="C186" s="352" t="s">
        <v>163</v>
      </c>
      <c r="D186" s="436" t="s">
        <v>556</v>
      </c>
      <c r="E186" s="352" t="s">
        <v>392</v>
      </c>
      <c r="F186" s="353" t="s">
        <v>14</v>
      </c>
      <c r="G186" s="354">
        <v>31000</v>
      </c>
      <c r="H186" s="440" t="s">
        <v>287</v>
      </c>
      <c r="I186" s="352" t="s">
        <v>402</v>
      </c>
      <c r="J186" s="436" t="s">
        <v>295</v>
      </c>
      <c r="K186" s="363" t="s">
        <v>475</v>
      </c>
      <c r="L186" s="352" t="s">
        <v>287</v>
      </c>
      <c r="M186" s="353">
        <v>0.4</v>
      </c>
      <c r="N186" s="347">
        <v>4.0000000000000002E-4</v>
      </c>
      <c r="O186" s="372">
        <v>1.6</v>
      </c>
      <c r="P186" s="386">
        <v>1.6000000000000001E-3</v>
      </c>
      <c r="Q186" s="352" t="s">
        <v>19</v>
      </c>
      <c r="R186" s="352" t="s">
        <v>571</v>
      </c>
    </row>
    <row r="187" spans="1:18" s="70" customFormat="1" ht="60" x14ac:dyDescent="0.2">
      <c r="A187" s="351" t="s">
        <v>146</v>
      </c>
      <c r="B187" s="352" t="s">
        <v>396</v>
      </c>
      <c r="C187" s="352" t="s">
        <v>163</v>
      </c>
      <c r="D187" s="436" t="s">
        <v>117</v>
      </c>
      <c r="E187" s="352" t="s">
        <v>395</v>
      </c>
      <c r="F187" s="353" t="s">
        <v>14</v>
      </c>
      <c r="G187" s="354">
        <v>225000</v>
      </c>
      <c r="H187" s="354">
        <v>5362</v>
      </c>
      <c r="I187" s="352" t="s">
        <v>367</v>
      </c>
      <c r="J187" s="352" t="s">
        <v>285</v>
      </c>
      <c r="K187" s="352" t="s">
        <v>14</v>
      </c>
      <c r="L187" s="352" t="s">
        <v>285</v>
      </c>
      <c r="M187" s="353">
        <v>0.3</v>
      </c>
      <c r="N187" s="347">
        <v>2.9999999999999997E-4</v>
      </c>
      <c r="O187" s="372">
        <v>1.5</v>
      </c>
      <c r="P187" s="386">
        <v>1.5E-3</v>
      </c>
      <c r="Q187" s="352" t="s">
        <v>19</v>
      </c>
      <c r="R187" s="352" t="s">
        <v>571</v>
      </c>
    </row>
    <row r="188" spans="1:18" s="70" customFormat="1" ht="72" x14ac:dyDescent="0.2">
      <c r="A188" s="366" t="s">
        <v>147</v>
      </c>
      <c r="B188" s="348" t="s">
        <v>544</v>
      </c>
      <c r="C188" s="348" t="s">
        <v>163</v>
      </c>
      <c r="D188" s="436" t="s">
        <v>117</v>
      </c>
      <c r="E188" s="348" t="s">
        <v>397</v>
      </c>
      <c r="F188" s="367"/>
      <c r="G188" s="368" t="s">
        <v>287</v>
      </c>
      <c r="H188" s="368" t="s">
        <v>287</v>
      </c>
      <c r="I188" s="348" t="s">
        <v>287</v>
      </c>
      <c r="J188" s="348" t="s">
        <v>296</v>
      </c>
      <c r="K188" s="352" t="s">
        <v>14</v>
      </c>
      <c r="L188" s="348" t="s">
        <v>296</v>
      </c>
      <c r="M188" s="367">
        <v>0</v>
      </c>
      <c r="N188" s="347">
        <v>0</v>
      </c>
      <c r="O188" s="380">
        <v>0</v>
      </c>
      <c r="P188" s="386">
        <v>0</v>
      </c>
      <c r="Q188" s="348" t="s">
        <v>19</v>
      </c>
      <c r="R188" s="352" t="s">
        <v>571</v>
      </c>
    </row>
    <row r="189" spans="1:18" s="70" customFormat="1" ht="48" x14ac:dyDescent="0.2">
      <c r="A189" s="366" t="s">
        <v>148</v>
      </c>
      <c r="B189" s="348" t="s">
        <v>545</v>
      </c>
      <c r="C189" s="348" t="s">
        <v>163</v>
      </c>
      <c r="D189" s="436" t="s">
        <v>149</v>
      </c>
      <c r="E189" s="348" t="s">
        <v>468</v>
      </c>
      <c r="F189" s="367"/>
      <c r="G189" s="368" t="s">
        <v>287</v>
      </c>
      <c r="H189" s="368" t="s">
        <v>287</v>
      </c>
      <c r="I189" s="348" t="s">
        <v>287</v>
      </c>
      <c r="J189" s="348" t="s">
        <v>296</v>
      </c>
      <c r="K189" s="352" t="s">
        <v>14</v>
      </c>
      <c r="L189" s="348" t="s">
        <v>296</v>
      </c>
      <c r="M189" s="367">
        <v>0</v>
      </c>
      <c r="N189" s="347">
        <v>0</v>
      </c>
      <c r="O189" s="375">
        <v>0.1</v>
      </c>
      <c r="P189" s="386">
        <v>1E-4</v>
      </c>
      <c r="Q189" s="348" t="s">
        <v>19</v>
      </c>
      <c r="R189" s="352" t="s">
        <v>571</v>
      </c>
    </row>
    <row r="190" spans="1:18" s="70" customFormat="1" ht="36" x14ac:dyDescent="0.2">
      <c r="A190" s="366" t="s">
        <v>150</v>
      </c>
      <c r="B190" s="348" t="s">
        <v>546</v>
      </c>
      <c r="C190" s="348" t="s">
        <v>163</v>
      </c>
      <c r="D190" s="348" t="s">
        <v>28</v>
      </c>
      <c r="E190" s="348" t="s">
        <v>403</v>
      </c>
      <c r="F190" s="367"/>
      <c r="G190" s="368" t="s">
        <v>287</v>
      </c>
      <c r="H190" s="368" t="s">
        <v>287</v>
      </c>
      <c r="I190" s="348" t="s">
        <v>287</v>
      </c>
      <c r="J190" s="348" t="s">
        <v>296</v>
      </c>
      <c r="K190" s="352" t="s">
        <v>14</v>
      </c>
      <c r="L190" s="348" t="s">
        <v>296</v>
      </c>
      <c r="M190" s="367">
        <v>0</v>
      </c>
      <c r="N190" s="347">
        <v>0</v>
      </c>
      <c r="O190" s="375">
        <v>0.4</v>
      </c>
      <c r="P190" s="386">
        <v>4.0000000000000002E-4</v>
      </c>
      <c r="Q190" s="348" t="s">
        <v>19</v>
      </c>
      <c r="R190" s="352" t="s">
        <v>571</v>
      </c>
    </row>
    <row r="191" spans="1:18" s="70" customFormat="1" ht="96" x14ac:dyDescent="0.2">
      <c r="A191" s="351" t="s">
        <v>151</v>
      </c>
      <c r="B191" s="352" t="s">
        <v>152</v>
      </c>
      <c r="C191" s="436" t="s">
        <v>358</v>
      </c>
      <c r="D191" s="352" t="s">
        <v>17</v>
      </c>
      <c r="E191" s="352" t="s">
        <v>566</v>
      </c>
      <c r="F191" s="353">
        <v>31.2</v>
      </c>
      <c r="G191" s="354">
        <v>534795</v>
      </c>
      <c r="H191" s="354">
        <v>8000</v>
      </c>
      <c r="I191" s="352" t="s">
        <v>404</v>
      </c>
      <c r="J191" s="352" t="s">
        <v>296</v>
      </c>
      <c r="K191" s="352" t="s">
        <v>14</v>
      </c>
      <c r="L191" s="363" t="s">
        <v>405</v>
      </c>
      <c r="M191" s="353">
        <v>2.9</v>
      </c>
      <c r="N191" s="347">
        <v>2.8999999999999998E-3</v>
      </c>
      <c r="O191" s="372">
        <v>13.1</v>
      </c>
      <c r="P191" s="386">
        <v>1.3099999999999999E-2</v>
      </c>
      <c r="Q191" s="352" t="s">
        <v>19</v>
      </c>
      <c r="R191" s="352" t="s">
        <v>571</v>
      </c>
    </row>
    <row r="192" spans="1:18" s="70" customFormat="1" ht="60" x14ac:dyDescent="0.2">
      <c r="A192" s="351" t="s">
        <v>153</v>
      </c>
      <c r="B192" s="352" t="s">
        <v>548</v>
      </c>
      <c r="C192" s="352" t="s">
        <v>163</v>
      </c>
      <c r="D192" s="436" t="s">
        <v>154</v>
      </c>
      <c r="E192" s="352" t="s">
        <v>547</v>
      </c>
      <c r="F192" s="353" t="s">
        <v>14</v>
      </c>
      <c r="G192" s="354">
        <v>33300</v>
      </c>
      <c r="H192" s="354">
        <v>1500</v>
      </c>
      <c r="I192" s="352" t="s">
        <v>401</v>
      </c>
      <c r="J192" s="436" t="s">
        <v>295</v>
      </c>
      <c r="K192" s="352">
        <v>2013</v>
      </c>
      <c r="L192" s="352">
        <v>2014</v>
      </c>
      <c r="M192" s="353">
        <v>0.4</v>
      </c>
      <c r="N192" s="347">
        <v>4.0000000000000002E-4</v>
      </c>
      <c r="O192" s="372">
        <v>1.2</v>
      </c>
      <c r="P192" s="386">
        <v>1.1999999999999999E-3</v>
      </c>
      <c r="Q192" s="352" t="s">
        <v>19</v>
      </c>
      <c r="R192" s="352" t="s">
        <v>571</v>
      </c>
    </row>
    <row r="193" spans="1:18" s="70" customFormat="1" ht="36" x14ac:dyDescent="0.2">
      <c r="A193" s="366" t="s">
        <v>155</v>
      </c>
      <c r="B193" s="348" t="s">
        <v>156</v>
      </c>
      <c r="C193" s="348" t="s">
        <v>163</v>
      </c>
      <c r="D193" s="436" t="s">
        <v>31</v>
      </c>
      <c r="E193" s="348" t="s">
        <v>406</v>
      </c>
      <c r="F193" s="367"/>
      <c r="G193" s="368">
        <v>175000</v>
      </c>
      <c r="H193" s="368" t="s">
        <v>287</v>
      </c>
      <c r="I193" s="348" t="s">
        <v>287</v>
      </c>
      <c r="J193" s="436" t="s">
        <v>286</v>
      </c>
      <c r="K193" s="348">
        <v>2015</v>
      </c>
      <c r="L193" s="348" t="s">
        <v>287</v>
      </c>
      <c r="M193" s="367">
        <v>0.3</v>
      </c>
      <c r="N193" s="347">
        <v>2.9999999999999997E-4</v>
      </c>
      <c r="O193" s="375">
        <v>22.1</v>
      </c>
      <c r="P193" s="386">
        <v>2.2100000000000002E-2</v>
      </c>
      <c r="Q193" s="348" t="s">
        <v>19</v>
      </c>
      <c r="R193" s="348" t="s">
        <v>571</v>
      </c>
    </row>
    <row r="194" spans="1:18" s="70" customFormat="1" ht="60" x14ac:dyDescent="0.2">
      <c r="A194" s="366" t="s">
        <v>157</v>
      </c>
      <c r="B194" s="348" t="s">
        <v>158</v>
      </c>
      <c r="C194" s="348" t="s">
        <v>163</v>
      </c>
      <c r="D194" s="436" t="s">
        <v>61</v>
      </c>
      <c r="E194" s="348" t="s">
        <v>407</v>
      </c>
      <c r="F194" s="367"/>
      <c r="G194" s="368">
        <v>75000</v>
      </c>
      <c r="H194" s="368">
        <v>11000</v>
      </c>
      <c r="I194" s="348" t="s">
        <v>401</v>
      </c>
      <c r="J194" s="436" t="s">
        <v>295</v>
      </c>
      <c r="K194" s="348">
        <v>2014</v>
      </c>
      <c r="L194" s="348">
        <v>2016</v>
      </c>
      <c r="M194" s="367">
        <v>12.2</v>
      </c>
      <c r="N194" s="347">
        <v>1.2199999999999999E-2</v>
      </c>
      <c r="O194" s="375">
        <v>257.60000000000002</v>
      </c>
      <c r="P194" s="386">
        <v>0.2576</v>
      </c>
      <c r="Q194" s="348" t="s">
        <v>19</v>
      </c>
      <c r="R194" s="348" t="s">
        <v>571</v>
      </c>
    </row>
    <row r="195" spans="1:18" s="70" customFormat="1" ht="60" x14ac:dyDescent="0.2">
      <c r="A195" s="366" t="s">
        <v>159</v>
      </c>
      <c r="B195" s="348" t="s">
        <v>160</v>
      </c>
      <c r="C195" s="348" t="s">
        <v>163</v>
      </c>
      <c r="D195" s="436" t="s">
        <v>61</v>
      </c>
      <c r="E195" s="348" t="s">
        <v>408</v>
      </c>
      <c r="F195" s="367"/>
      <c r="G195" s="368">
        <v>246000</v>
      </c>
      <c r="H195" s="440" t="s">
        <v>287</v>
      </c>
      <c r="I195" s="348" t="s">
        <v>369</v>
      </c>
      <c r="J195" s="348" t="s">
        <v>296</v>
      </c>
      <c r="K195" s="348" t="s">
        <v>14</v>
      </c>
      <c r="L195" s="348">
        <v>2013</v>
      </c>
      <c r="M195" s="367">
        <v>4.5</v>
      </c>
      <c r="N195" s="347">
        <v>4.4999999999999997E-3</v>
      </c>
      <c r="O195" s="375">
        <v>71.7</v>
      </c>
      <c r="P195" s="386">
        <v>7.17E-2</v>
      </c>
      <c r="Q195" s="348" t="s">
        <v>19</v>
      </c>
      <c r="R195" s="348" t="s">
        <v>571</v>
      </c>
    </row>
    <row r="196" spans="1:18" s="70" customFormat="1" ht="96" x14ac:dyDescent="0.2">
      <c r="A196" s="351" t="s">
        <v>161</v>
      </c>
      <c r="B196" s="352" t="s">
        <v>162</v>
      </c>
      <c r="C196" s="352" t="s">
        <v>163</v>
      </c>
      <c r="D196" s="436" t="s">
        <v>61</v>
      </c>
      <c r="E196" s="352" t="s">
        <v>409</v>
      </c>
      <c r="F196" s="353">
        <v>378.8</v>
      </c>
      <c r="G196" s="354">
        <v>1800000</v>
      </c>
      <c r="H196" s="440" t="s">
        <v>287</v>
      </c>
      <c r="I196" s="352" t="s">
        <v>469</v>
      </c>
      <c r="J196" s="352" t="s">
        <v>305</v>
      </c>
      <c r="K196" s="363" t="s">
        <v>476</v>
      </c>
      <c r="L196" s="363" t="s">
        <v>410</v>
      </c>
      <c r="M196" s="353">
        <v>21.3</v>
      </c>
      <c r="N196" s="347">
        <v>2.1299999999999999E-2</v>
      </c>
      <c r="O196" s="372">
        <v>555.1</v>
      </c>
      <c r="P196" s="386">
        <v>0.55510000000000004</v>
      </c>
      <c r="Q196" s="352" t="s">
        <v>19</v>
      </c>
      <c r="R196" s="348" t="s">
        <v>571</v>
      </c>
    </row>
    <row r="197" spans="1:18" s="70" customFormat="1" ht="48" x14ac:dyDescent="0.2">
      <c r="A197" s="351" t="s">
        <v>164</v>
      </c>
      <c r="B197" s="352" t="s">
        <v>549</v>
      </c>
      <c r="C197" s="352" t="s">
        <v>221</v>
      </c>
      <c r="D197" s="352" t="s">
        <v>17</v>
      </c>
      <c r="E197" s="352" t="s">
        <v>412</v>
      </c>
      <c r="F197" s="353">
        <v>29.3</v>
      </c>
      <c r="G197" s="354" t="s">
        <v>287</v>
      </c>
      <c r="H197" s="354" t="s">
        <v>287</v>
      </c>
      <c r="I197" s="352" t="s">
        <v>287</v>
      </c>
      <c r="J197" s="352" t="s">
        <v>296</v>
      </c>
      <c r="K197" s="352" t="s">
        <v>14</v>
      </c>
      <c r="L197" s="363" t="s">
        <v>415</v>
      </c>
      <c r="M197" s="353">
        <v>0.2</v>
      </c>
      <c r="N197" s="347">
        <v>2.0000000000000001E-4</v>
      </c>
      <c r="O197" s="356">
        <v>5.7</v>
      </c>
      <c r="P197" s="386">
        <v>5.7000000000000002E-3</v>
      </c>
      <c r="Q197" s="352" t="s">
        <v>19</v>
      </c>
      <c r="R197" s="348" t="s">
        <v>571</v>
      </c>
    </row>
    <row r="198" spans="1:18" s="70" customFormat="1" ht="48" x14ac:dyDescent="0.2">
      <c r="A198" s="351" t="s">
        <v>165</v>
      </c>
      <c r="B198" s="352" t="s">
        <v>550</v>
      </c>
      <c r="C198" s="352" t="s">
        <v>221</v>
      </c>
      <c r="D198" s="352" t="s">
        <v>17</v>
      </c>
      <c r="E198" s="352" t="s">
        <v>412</v>
      </c>
      <c r="F198" s="353">
        <v>20.5</v>
      </c>
      <c r="G198" s="354" t="s">
        <v>287</v>
      </c>
      <c r="H198" s="354" t="s">
        <v>287</v>
      </c>
      <c r="I198" s="352" t="s">
        <v>287</v>
      </c>
      <c r="J198" s="352" t="s">
        <v>296</v>
      </c>
      <c r="K198" s="352" t="s">
        <v>14</v>
      </c>
      <c r="L198" s="352">
        <v>2012</v>
      </c>
      <c r="M198" s="353">
        <v>0.1</v>
      </c>
      <c r="N198" s="347">
        <v>1E-4</v>
      </c>
      <c r="O198" s="356">
        <v>3.8</v>
      </c>
      <c r="P198" s="386">
        <v>3.8E-3</v>
      </c>
      <c r="Q198" s="352" t="s">
        <v>19</v>
      </c>
      <c r="R198" s="348" t="s">
        <v>571</v>
      </c>
    </row>
    <row r="199" spans="1:18" s="70" customFormat="1" ht="48" x14ac:dyDescent="0.2">
      <c r="A199" s="351" t="s">
        <v>166</v>
      </c>
      <c r="B199" s="352" t="s">
        <v>551</v>
      </c>
      <c r="C199" s="352" t="s">
        <v>221</v>
      </c>
      <c r="D199" s="352" t="s">
        <v>17</v>
      </c>
      <c r="E199" s="352" t="s">
        <v>412</v>
      </c>
      <c r="F199" s="353">
        <v>24.3</v>
      </c>
      <c r="G199" s="354" t="s">
        <v>287</v>
      </c>
      <c r="H199" s="354" t="s">
        <v>287</v>
      </c>
      <c r="I199" s="352" t="s">
        <v>287</v>
      </c>
      <c r="J199" s="352" t="s">
        <v>296</v>
      </c>
      <c r="K199" s="352" t="s">
        <v>14</v>
      </c>
      <c r="L199" s="352">
        <v>2012</v>
      </c>
      <c r="M199" s="353">
        <v>0.2</v>
      </c>
      <c r="N199" s="347">
        <v>2.0000000000000001E-4</v>
      </c>
      <c r="O199" s="356">
        <v>3.7</v>
      </c>
      <c r="P199" s="386">
        <v>3.7000000000000002E-3</v>
      </c>
      <c r="Q199" s="352" t="s">
        <v>19</v>
      </c>
      <c r="R199" s="348" t="s">
        <v>571</v>
      </c>
    </row>
    <row r="200" spans="1:18" s="70" customFormat="1" ht="48" x14ac:dyDescent="0.2">
      <c r="A200" s="351" t="s">
        <v>167</v>
      </c>
      <c r="B200" s="352" t="s">
        <v>552</v>
      </c>
      <c r="C200" s="352" t="s">
        <v>221</v>
      </c>
      <c r="D200" s="352" t="s">
        <v>17</v>
      </c>
      <c r="E200" s="352" t="s">
        <v>412</v>
      </c>
      <c r="F200" s="353">
        <v>22.4</v>
      </c>
      <c r="G200" s="354" t="s">
        <v>287</v>
      </c>
      <c r="H200" s="354" t="s">
        <v>287</v>
      </c>
      <c r="I200" s="352" t="s">
        <v>287</v>
      </c>
      <c r="J200" s="352" t="s">
        <v>296</v>
      </c>
      <c r="K200" s="352" t="s">
        <v>14</v>
      </c>
      <c r="L200" s="352">
        <v>2012</v>
      </c>
      <c r="M200" s="353">
        <v>0.1</v>
      </c>
      <c r="N200" s="347">
        <v>1E-4</v>
      </c>
      <c r="O200" s="356">
        <v>2.4</v>
      </c>
      <c r="P200" s="386">
        <v>2.3999999999999998E-3</v>
      </c>
      <c r="Q200" s="352" t="s">
        <v>19</v>
      </c>
      <c r="R200" s="348" t="s">
        <v>571</v>
      </c>
    </row>
    <row r="201" spans="1:18" s="70" customFormat="1" ht="60" x14ac:dyDescent="0.2">
      <c r="A201" s="351" t="s">
        <v>168</v>
      </c>
      <c r="B201" s="352" t="s">
        <v>170</v>
      </c>
      <c r="C201" s="352" t="s">
        <v>221</v>
      </c>
      <c r="D201" s="352" t="s">
        <v>17</v>
      </c>
      <c r="E201" s="352" t="s">
        <v>413</v>
      </c>
      <c r="F201" s="353">
        <v>226.8</v>
      </c>
      <c r="G201" s="354" t="s">
        <v>287</v>
      </c>
      <c r="H201" s="354" t="s">
        <v>287</v>
      </c>
      <c r="I201" s="352" t="s">
        <v>287</v>
      </c>
      <c r="J201" s="352" t="s">
        <v>296</v>
      </c>
      <c r="K201" s="352" t="s">
        <v>14</v>
      </c>
      <c r="L201" s="363" t="s">
        <v>416</v>
      </c>
      <c r="M201" s="353">
        <v>8.3000000000000007</v>
      </c>
      <c r="N201" s="347">
        <v>8.3000000000000001E-3</v>
      </c>
      <c r="O201" s="356">
        <v>219.3</v>
      </c>
      <c r="P201" s="386">
        <v>0.21930000000000002</v>
      </c>
      <c r="Q201" s="352" t="s">
        <v>19</v>
      </c>
      <c r="R201" s="348" t="s">
        <v>571</v>
      </c>
    </row>
    <row r="202" spans="1:18" s="70" customFormat="1" ht="36" x14ac:dyDescent="0.2">
      <c r="A202" s="351" t="s">
        <v>169</v>
      </c>
      <c r="B202" s="352" t="s">
        <v>172</v>
      </c>
      <c r="C202" s="352" t="s">
        <v>221</v>
      </c>
      <c r="D202" s="436" t="s">
        <v>173</v>
      </c>
      <c r="E202" s="352" t="s">
        <v>413</v>
      </c>
      <c r="F202" s="353">
        <v>55.8</v>
      </c>
      <c r="G202" s="354" t="s">
        <v>287</v>
      </c>
      <c r="H202" s="354" t="s">
        <v>287</v>
      </c>
      <c r="I202" s="352" t="s">
        <v>287</v>
      </c>
      <c r="J202" s="352" t="s">
        <v>296</v>
      </c>
      <c r="K202" s="352" t="s">
        <v>14</v>
      </c>
      <c r="L202" s="352">
        <v>2012</v>
      </c>
      <c r="M202" s="353">
        <v>0.6</v>
      </c>
      <c r="N202" s="347">
        <v>5.9999999999999995E-4</v>
      </c>
      <c r="O202" s="356">
        <v>18.899999999999999</v>
      </c>
      <c r="P202" s="386">
        <v>1.89E-2</v>
      </c>
      <c r="Q202" s="352" t="s">
        <v>19</v>
      </c>
      <c r="R202" s="348" t="s">
        <v>571</v>
      </c>
    </row>
    <row r="203" spans="1:18" s="70" customFormat="1" ht="36" x14ac:dyDescent="0.2">
      <c r="A203" s="351" t="s">
        <v>171</v>
      </c>
      <c r="B203" s="352" t="s">
        <v>175</v>
      </c>
      <c r="C203" s="352" t="s">
        <v>221</v>
      </c>
      <c r="D203" s="436" t="s">
        <v>173</v>
      </c>
      <c r="E203" s="352" t="s">
        <v>413</v>
      </c>
      <c r="F203" s="353">
        <v>18.7</v>
      </c>
      <c r="G203" s="354" t="s">
        <v>287</v>
      </c>
      <c r="H203" s="354" t="s">
        <v>287</v>
      </c>
      <c r="I203" s="352" t="s">
        <v>287</v>
      </c>
      <c r="J203" s="352" t="s">
        <v>296</v>
      </c>
      <c r="K203" s="352" t="s">
        <v>14</v>
      </c>
      <c r="L203" s="352">
        <v>2012</v>
      </c>
      <c r="M203" s="353">
        <v>0.3</v>
      </c>
      <c r="N203" s="347">
        <v>2.9999999999999997E-4</v>
      </c>
      <c r="O203" s="356">
        <v>19.8</v>
      </c>
      <c r="P203" s="386">
        <v>1.9800000000000002E-2</v>
      </c>
      <c r="Q203" s="352" t="s">
        <v>19</v>
      </c>
      <c r="R203" s="348" t="s">
        <v>571</v>
      </c>
    </row>
    <row r="204" spans="1:18" s="70" customFormat="1" ht="36" x14ac:dyDescent="0.2">
      <c r="A204" s="351" t="s">
        <v>174</v>
      </c>
      <c r="B204" s="352" t="s">
        <v>177</v>
      </c>
      <c r="C204" s="352" t="s">
        <v>221</v>
      </c>
      <c r="D204" s="436" t="s">
        <v>173</v>
      </c>
      <c r="E204" s="352" t="s">
        <v>413</v>
      </c>
      <c r="F204" s="353">
        <v>12.5</v>
      </c>
      <c r="G204" s="354" t="s">
        <v>287</v>
      </c>
      <c r="H204" s="354" t="s">
        <v>287</v>
      </c>
      <c r="I204" s="352" t="s">
        <v>287</v>
      </c>
      <c r="J204" s="352" t="s">
        <v>296</v>
      </c>
      <c r="K204" s="352" t="s">
        <v>14</v>
      </c>
      <c r="L204" s="352">
        <v>2012</v>
      </c>
      <c r="M204" s="353">
        <v>0.7</v>
      </c>
      <c r="N204" s="347">
        <v>6.9999999999999999E-4</v>
      </c>
      <c r="O204" s="356">
        <v>21.3</v>
      </c>
      <c r="P204" s="386">
        <v>2.1299999999999999E-2</v>
      </c>
      <c r="Q204" s="352" t="s">
        <v>19</v>
      </c>
      <c r="R204" s="348" t="s">
        <v>571</v>
      </c>
    </row>
    <row r="205" spans="1:18" s="70" customFormat="1" ht="60" x14ac:dyDescent="0.2">
      <c r="A205" s="351" t="s">
        <v>176</v>
      </c>
      <c r="B205" s="352" t="s">
        <v>179</v>
      </c>
      <c r="C205" s="352" t="s">
        <v>221</v>
      </c>
      <c r="D205" s="352" t="s">
        <v>17</v>
      </c>
      <c r="E205" s="352" t="s">
        <v>414</v>
      </c>
      <c r="F205" s="353">
        <v>2249.1999999999998</v>
      </c>
      <c r="G205" s="354" t="s">
        <v>287</v>
      </c>
      <c r="H205" s="354" t="s">
        <v>287</v>
      </c>
      <c r="I205" s="352" t="s">
        <v>287</v>
      </c>
      <c r="J205" s="352" t="s">
        <v>296</v>
      </c>
      <c r="K205" s="352" t="s">
        <v>14</v>
      </c>
      <c r="L205" s="352">
        <v>2009</v>
      </c>
      <c r="M205" s="353">
        <v>70.400000000000006</v>
      </c>
      <c r="N205" s="347">
        <v>7.0400000000000004E-2</v>
      </c>
      <c r="O205" s="356">
        <v>1747</v>
      </c>
      <c r="P205" s="386">
        <v>1.7470000000000001</v>
      </c>
      <c r="Q205" s="352" t="s">
        <v>19</v>
      </c>
      <c r="R205" s="348" t="s">
        <v>571</v>
      </c>
    </row>
    <row r="206" spans="1:18" s="70" customFormat="1" ht="96" x14ac:dyDescent="0.2">
      <c r="A206" s="351" t="s">
        <v>178</v>
      </c>
      <c r="B206" s="352" t="s">
        <v>127</v>
      </c>
      <c r="C206" s="352" t="s">
        <v>221</v>
      </c>
      <c r="D206" s="352" t="s">
        <v>18</v>
      </c>
      <c r="E206" s="352" t="s">
        <v>356</v>
      </c>
      <c r="F206" s="353" t="s">
        <v>14</v>
      </c>
      <c r="G206" s="354" t="s">
        <v>287</v>
      </c>
      <c r="H206" s="354" t="s">
        <v>287</v>
      </c>
      <c r="I206" s="352" t="s">
        <v>287</v>
      </c>
      <c r="J206" s="352" t="s">
        <v>285</v>
      </c>
      <c r="K206" s="352" t="s">
        <v>14</v>
      </c>
      <c r="L206" s="352" t="s">
        <v>285</v>
      </c>
      <c r="M206" s="353">
        <v>321.60000000000002</v>
      </c>
      <c r="N206" s="347">
        <v>0.3216</v>
      </c>
      <c r="O206" s="356">
        <v>10612.3</v>
      </c>
      <c r="P206" s="386">
        <v>10.612299999999999</v>
      </c>
      <c r="Q206" s="352" t="s">
        <v>19</v>
      </c>
      <c r="R206" s="348" t="s">
        <v>571</v>
      </c>
    </row>
    <row r="207" spans="1:18" s="70" customFormat="1" ht="48" x14ac:dyDescent="0.2">
      <c r="A207" s="351" t="s">
        <v>181</v>
      </c>
      <c r="B207" s="352" t="s">
        <v>183</v>
      </c>
      <c r="C207" s="352" t="s">
        <v>221</v>
      </c>
      <c r="D207" s="436" t="s">
        <v>184</v>
      </c>
      <c r="E207" s="352" t="s">
        <v>417</v>
      </c>
      <c r="F207" s="353">
        <v>130.80000000000001</v>
      </c>
      <c r="G207" s="440" t="s">
        <v>1220</v>
      </c>
      <c r="H207" s="440" t="s">
        <v>287</v>
      </c>
      <c r="I207" s="352" t="s">
        <v>425</v>
      </c>
      <c r="J207" s="352" t="s">
        <v>285</v>
      </c>
      <c r="K207" s="352" t="s">
        <v>14</v>
      </c>
      <c r="L207" s="363" t="s">
        <v>285</v>
      </c>
      <c r="M207" s="353">
        <v>5.5</v>
      </c>
      <c r="N207" s="347">
        <v>5.4999999999999997E-3</v>
      </c>
      <c r="O207" s="356">
        <v>365.4</v>
      </c>
      <c r="P207" s="386">
        <v>0.3654</v>
      </c>
      <c r="Q207" s="352" t="s">
        <v>19</v>
      </c>
      <c r="R207" s="348" t="s">
        <v>571</v>
      </c>
    </row>
    <row r="208" spans="1:18" s="70" customFormat="1" ht="48" x14ac:dyDescent="0.2">
      <c r="A208" s="351" t="s">
        <v>182</v>
      </c>
      <c r="B208" s="352" t="s">
        <v>186</v>
      </c>
      <c r="C208" s="352" t="s">
        <v>221</v>
      </c>
      <c r="D208" s="436" t="s">
        <v>184</v>
      </c>
      <c r="E208" s="352" t="s">
        <v>567</v>
      </c>
      <c r="F208" s="353">
        <v>35.700000000000003</v>
      </c>
      <c r="G208" s="354">
        <v>640689.59</v>
      </c>
      <c r="H208" s="354">
        <v>26000</v>
      </c>
      <c r="I208" s="352" t="s">
        <v>423</v>
      </c>
      <c r="J208" s="352" t="s">
        <v>285</v>
      </c>
      <c r="K208" s="352" t="s">
        <v>14</v>
      </c>
      <c r="L208" s="363" t="s">
        <v>285</v>
      </c>
      <c r="M208" s="353">
        <v>1.1000000000000001</v>
      </c>
      <c r="N208" s="347">
        <v>1.1000000000000001E-3</v>
      </c>
      <c r="O208" s="356">
        <v>24.9</v>
      </c>
      <c r="P208" s="386">
        <v>2.4899999999999999E-2</v>
      </c>
      <c r="Q208" s="352" t="s">
        <v>19</v>
      </c>
      <c r="R208" s="348" t="s">
        <v>571</v>
      </c>
    </row>
    <row r="209" spans="1:18" s="70" customFormat="1" ht="60" x14ac:dyDescent="0.2">
      <c r="A209" s="351" t="s">
        <v>185</v>
      </c>
      <c r="B209" s="352" t="s">
        <v>553</v>
      </c>
      <c r="C209" s="352" t="s">
        <v>221</v>
      </c>
      <c r="D209" s="436" t="s">
        <v>184</v>
      </c>
      <c r="E209" s="352" t="s">
        <v>418</v>
      </c>
      <c r="F209" s="353">
        <v>1386.8</v>
      </c>
      <c r="G209" s="440" t="s">
        <v>1220</v>
      </c>
      <c r="H209" s="440" t="s">
        <v>287</v>
      </c>
      <c r="I209" s="352" t="s">
        <v>425</v>
      </c>
      <c r="J209" s="352" t="s">
        <v>285</v>
      </c>
      <c r="K209" s="352" t="s">
        <v>14</v>
      </c>
      <c r="L209" s="363" t="s">
        <v>285</v>
      </c>
      <c r="M209" s="353">
        <v>63.8</v>
      </c>
      <c r="N209" s="347">
        <v>6.3799999999999996E-2</v>
      </c>
      <c r="O209" s="356">
        <v>3071.7</v>
      </c>
      <c r="P209" s="386">
        <v>3.0716999999999999</v>
      </c>
      <c r="Q209" s="352" t="s">
        <v>19</v>
      </c>
      <c r="R209" s="348" t="s">
        <v>571</v>
      </c>
    </row>
    <row r="210" spans="1:18" s="70" customFormat="1" ht="48" x14ac:dyDescent="0.2">
      <c r="A210" s="351" t="s">
        <v>187</v>
      </c>
      <c r="B210" s="352" t="s">
        <v>189</v>
      </c>
      <c r="C210" s="352" t="s">
        <v>221</v>
      </c>
      <c r="D210" s="436" t="s">
        <v>184</v>
      </c>
      <c r="E210" s="352" t="s">
        <v>419</v>
      </c>
      <c r="F210" s="353">
        <v>10.199999999999999</v>
      </c>
      <c r="G210" s="440" t="s">
        <v>1220</v>
      </c>
      <c r="H210" s="440" t="s">
        <v>287</v>
      </c>
      <c r="I210" s="352" t="s">
        <v>424</v>
      </c>
      <c r="J210" s="436" t="s">
        <v>1409</v>
      </c>
      <c r="K210" s="363" t="s">
        <v>477</v>
      </c>
      <c r="L210" s="352" t="s">
        <v>287</v>
      </c>
      <c r="M210" s="353">
        <v>0.5</v>
      </c>
      <c r="N210" s="347">
        <v>5.0000000000000001E-4</v>
      </c>
      <c r="O210" s="356">
        <v>13.8</v>
      </c>
      <c r="P210" s="386">
        <v>1.3800000000000002E-2</v>
      </c>
      <c r="Q210" s="352" t="s">
        <v>19</v>
      </c>
      <c r="R210" s="348" t="s">
        <v>571</v>
      </c>
    </row>
    <row r="211" spans="1:18" s="70" customFormat="1" ht="84" x14ac:dyDescent="0.2">
      <c r="A211" s="351" t="s">
        <v>188</v>
      </c>
      <c r="B211" s="352" t="s">
        <v>191</v>
      </c>
      <c r="C211" s="352" t="s">
        <v>221</v>
      </c>
      <c r="D211" s="436" t="s">
        <v>184</v>
      </c>
      <c r="E211" s="352" t="s">
        <v>470</v>
      </c>
      <c r="F211" s="353">
        <v>271</v>
      </c>
      <c r="G211" s="440" t="s">
        <v>1220</v>
      </c>
      <c r="H211" s="440" t="s">
        <v>287</v>
      </c>
      <c r="I211" s="352" t="s">
        <v>424</v>
      </c>
      <c r="J211" s="352" t="s">
        <v>285</v>
      </c>
      <c r="K211" s="352" t="s">
        <v>14</v>
      </c>
      <c r="L211" s="363" t="s">
        <v>285</v>
      </c>
      <c r="M211" s="353">
        <v>19.600000000000001</v>
      </c>
      <c r="N211" s="347">
        <v>1.9600000000000003E-2</v>
      </c>
      <c r="O211" s="356">
        <v>910.1</v>
      </c>
      <c r="P211" s="386">
        <v>0.91010000000000002</v>
      </c>
      <c r="Q211" s="352" t="s">
        <v>19</v>
      </c>
      <c r="R211" s="348" t="s">
        <v>571</v>
      </c>
    </row>
    <row r="212" spans="1:18" s="70" customFormat="1" ht="48" x14ac:dyDescent="0.2">
      <c r="A212" s="351" t="s">
        <v>190</v>
      </c>
      <c r="B212" s="352" t="s">
        <v>193</v>
      </c>
      <c r="C212" s="352" t="s">
        <v>221</v>
      </c>
      <c r="D212" s="436" t="s">
        <v>184</v>
      </c>
      <c r="E212" s="352" t="s">
        <v>568</v>
      </c>
      <c r="F212" s="353">
        <v>149.4</v>
      </c>
      <c r="G212" s="440" t="s">
        <v>1220</v>
      </c>
      <c r="H212" s="440" t="s">
        <v>287</v>
      </c>
      <c r="I212" s="352" t="s">
        <v>424</v>
      </c>
      <c r="J212" s="352" t="s">
        <v>285</v>
      </c>
      <c r="K212" s="352" t="s">
        <v>14</v>
      </c>
      <c r="L212" s="363" t="s">
        <v>426</v>
      </c>
      <c r="M212" s="353">
        <v>12.1</v>
      </c>
      <c r="N212" s="347">
        <v>1.21E-2</v>
      </c>
      <c r="O212" s="356">
        <v>523.4</v>
      </c>
      <c r="P212" s="386">
        <v>0.52339999999999998</v>
      </c>
      <c r="Q212" s="352" t="s">
        <v>19</v>
      </c>
      <c r="R212" s="348" t="s">
        <v>571</v>
      </c>
    </row>
    <row r="213" spans="1:18" s="70" customFormat="1" ht="24" x14ac:dyDescent="0.2">
      <c r="A213" s="351" t="s">
        <v>192</v>
      </c>
      <c r="B213" s="352" t="s">
        <v>195</v>
      </c>
      <c r="C213" s="352" t="s">
        <v>221</v>
      </c>
      <c r="D213" s="436" t="s">
        <v>184</v>
      </c>
      <c r="E213" s="352" t="s">
        <v>420</v>
      </c>
      <c r="F213" s="353">
        <v>435.1</v>
      </c>
      <c r="G213" s="440" t="s">
        <v>1220</v>
      </c>
      <c r="H213" s="440" t="s">
        <v>287</v>
      </c>
      <c r="I213" s="352" t="s">
        <v>424</v>
      </c>
      <c r="J213" s="352" t="s">
        <v>285</v>
      </c>
      <c r="K213" s="352" t="s">
        <v>14</v>
      </c>
      <c r="L213" s="363" t="s">
        <v>285</v>
      </c>
      <c r="M213" s="353">
        <v>19.2</v>
      </c>
      <c r="N213" s="347">
        <v>1.9199999999999998E-2</v>
      </c>
      <c r="O213" s="356">
        <v>873.9</v>
      </c>
      <c r="P213" s="386">
        <v>0.87390000000000001</v>
      </c>
      <c r="Q213" s="352" t="s">
        <v>19</v>
      </c>
      <c r="R213" s="348" t="s">
        <v>571</v>
      </c>
    </row>
    <row r="214" spans="1:18" s="70" customFormat="1" ht="24" x14ac:dyDescent="0.2">
      <c r="A214" s="351" t="s">
        <v>194</v>
      </c>
      <c r="B214" s="352" t="s">
        <v>197</v>
      </c>
      <c r="C214" s="352" t="s">
        <v>221</v>
      </c>
      <c r="D214" s="436" t="s">
        <v>184</v>
      </c>
      <c r="E214" s="352" t="s">
        <v>420</v>
      </c>
      <c r="F214" s="353">
        <v>12.5</v>
      </c>
      <c r="G214" s="440" t="s">
        <v>1220</v>
      </c>
      <c r="H214" s="440" t="s">
        <v>287</v>
      </c>
      <c r="I214" s="352" t="s">
        <v>424</v>
      </c>
      <c r="J214" s="352" t="s">
        <v>285</v>
      </c>
      <c r="K214" s="352" t="s">
        <v>14</v>
      </c>
      <c r="L214" s="363" t="s">
        <v>285</v>
      </c>
      <c r="M214" s="353">
        <v>1.7</v>
      </c>
      <c r="N214" s="347">
        <v>1.6999999999999999E-3</v>
      </c>
      <c r="O214" s="356">
        <v>14.2</v>
      </c>
      <c r="P214" s="386">
        <v>1.4199999999999999E-2</v>
      </c>
      <c r="Q214" s="352" t="s">
        <v>19</v>
      </c>
      <c r="R214" s="348" t="s">
        <v>571</v>
      </c>
    </row>
    <row r="215" spans="1:18" s="70" customFormat="1" ht="84" x14ac:dyDescent="0.2">
      <c r="A215" s="351" t="s">
        <v>196</v>
      </c>
      <c r="B215" s="352" t="s">
        <v>554</v>
      </c>
      <c r="C215" s="436" t="s">
        <v>222</v>
      </c>
      <c r="D215" s="436" t="s">
        <v>184</v>
      </c>
      <c r="E215" s="352" t="s">
        <v>411</v>
      </c>
      <c r="F215" s="353">
        <v>5882.9941153560885</v>
      </c>
      <c r="G215" s="440" t="s">
        <v>1220</v>
      </c>
      <c r="H215" s="440" t="s">
        <v>287</v>
      </c>
      <c r="I215" s="352" t="s">
        <v>1408</v>
      </c>
      <c r="J215" s="436" t="s">
        <v>295</v>
      </c>
      <c r="K215" s="363" t="s">
        <v>478</v>
      </c>
      <c r="L215" s="363" t="s">
        <v>427</v>
      </c>
      <c r="M215" s="353">
        <v>412.1</v>
      </c>
      <c r="N215" s="347">
        <v>0.41210000000000002</v>
      </c>
      <c r="O215" s="356">
        <v>8775.2999999999993</v>
      </c>
      <c r="P215" s="386">
        <v>8.7752999999999997</v>
      </c>
      <c r="Q215" s="352" t="s">
        <v>19</v>
      </c>
      <c r="R215" s="348" t="s">
        <v>571</v>
      </c>
    </row>
    <row r="216" spans="1:18" s="70" customFormat="1" ht="24" x14ac:dyDescent="0.2">
      <c r="A216" s="351" t="s">
        <v>198</v>
      </c>
      <c r="B216" s="352" t="s">
        <v>67</v>
      </c>
      <c r="C216" s="352" t="s">
        <v>221</v>
      </c>
      <c r="D216" s="352" t="s">
        <v>8</v>
      </c>
      <c r="E216" s="352" t="s">
        <v>421</v>
      </c>
      <c r="F216" s="353" t="s">
        <v>14</v>
      </c>
      <c r="G216" s="440" t="s">
        <v>1220</v>
      </c>
      <c r="H216" s="440">
        <v>60000</v>
      </c>
      <c r="I216" s="352" t="s">
        <v>221</v>
      </c>
      <c r="J216" s="352" t="s">
        <v>285</v>
      </c>
      <c r="K216" s="352" t="s">
        <v>14</v>
      </c>
      <c r="L216" s="352" t="s">
        <v>285</v>
      </c>
      <c r="M216" s="353">
        <v>16.100000000000001</v>
      </c>
      <c r="N216" s="347">
        <v>1.61E-2</v>
      </c>
      <c r="O216" s="356">
        <v>46.2</v>
      </c>
      <c r="P216" s="386">
        <v>4.6200000000000005E-2</v>
      </c>
      <c r="Q216" s="352" t="s">
        <v>19</v>
      </c>
      <c r="R216" s="348" t="s">
        <v>571</v>
      </c>
    </row>
    <row r="217" spans="1:18" s="70" customFormat="1" ht="60" x14ac:dyDescent="0.2">
      <c r="A217" s="351" t="s">
        <v>199</v>
      </c>
      <c r="B217" s="352" t="s">
        <v>201</v>
      </c>
      <c r="C217" s="352" t="s">
        <v>221</v>
      </c>
      <c r="D217" s="352" t="s">
        <v>17</v>
      </c>
      <c r="E217" s="352" t="s">
        <v>569</v>
      </c>
      <c r="F217" s="353">
        <v>517.70000000000005</v>
      </c>
      <c r="G217" s="440" t="s">
        <v>287</v>
      </c>
      <c r="H217" s="440" t="s">
        <v>287</v>
      </c>
      <c r="I217" s="352" t="s">
        <v>221</v>
      </c>
      <c r="J217" s="352" t="s">
        <v>296</v>
      </c>
      <c r="K217" s="352" t="s">
        <v>287</v>
      </c>
      <c r="L217" s="352">
        <v>2011</v>
      </c>
      <c r="M217" s="353">
        <v>2</v>
      </c>
      <c r="N217" s="347">
        <v>2E-3</v>
      </c>
      <c r="O217" s="356">
        <v>6</v>
      </c>
      <c r="P217" s="386">
        <v>6.0000000000000001E-3</v>
      </c>
      <c r="Q217" s="352" t="s">
        <v>19</v>
      </c>
      <c r="R217" s="348" t="s">
        <v>571</v>
      </c>
    </row>
    <row r="218" spans="1:18" s="70" customFormat="1" ht="24" x14ac:dyDescent="0.2">
      <c r="A218" s="351" t="s">
        <v>200</v>
      </c>
      <c r="B218" s="352" t="s">
        <v>203</v>
      </c>
      <c r="C218" s="352" t="s">
        <v>221</v>
      </c>
      <c r="D218" s="436" t="s">
        <v>557</v>
      </c>
      <c r="E218" s="352" t="s">
        <v>422</v>
      </c>
      <c r="F218" s="353">
        <v>32.200000000000003</v>
      </c>
      <c r="G218" s="440" t="s">
        <v>1220</v>
      </c>
      <c r="H218" s="440" t="s">
        <v>287</v>
      </c>
      <c r="I218" s="352" t="s">
        <v>221</v>
      </c>
      <c r="J218" s="352" t="s">
        <v>296</v>
      </c>
      <c r="K218" s="352" t="s">
        <v>14</v>
      </c>
      <c r="L218" s="363" t="s">
        <v>296</v>
      </c>
      <c r="M218" s="353">
        <v>0</v>
      </c>
      <c r="N218" s="347">
        <v>0</v>
      </c>
      <c r="O218" s="356">
        <v>0.33035130351040465</v>
      </c>
      <c r="P218" s="386">
        <v>3.3035130351040463E-4</v>
      </c>
      <c r="Q218" s="352" t="s">
        <v>19</v>
      </c>
      <c r="R218" s="348" t="s">
        <v>571</v>
      </c>
    </row>
    <row r="219" spans="1:18" s="70" customFormat="1" ht="24" x14ac:dyDescent="0.2">
      <c r="A219" s="351" t="s">
        <v>202</v>
      </c>
      <c r="B219" s="352" t="s">
        <v>205</v>
      </c>
      <c r="C219" s="352" t="s">
        <v>221</v>
      </c>
      <c r="D219" s="436" t="s">
        <v>557</v>
      </c>
      <c r="E219" s="352" t="s">
        <v>422</v>
      </c>
      <c r="F219" s="353">
        <v>5.3</v>
      </c>
      <c r="G219" s="440" t="s">
        <v>1220</v>
      </c>
      <c r="H219" s="440" t="s">
        <v>287</v>
      </c>
      <c r="I219" s="352" t="s">
        <v>221</v>
      </c>
      <c r="J219" s="352" t="s">
        <v>296</v>
      </c>
      <c r="K219" s="352" t="s">
        <v>14</v>
      </c>
      <c r="L219" s="352" t="s">
        <v>296</v>
      </c>
      <c r="M219" s="353">
        <v>0.53702187976825999</v>
      </c>
      <c r="N219" s="347">
        <v>5.3702187976826003E-4</v>
      </c>
      <c r="O219" s="356">
        <v>3.1513197993192001</v>
      </c>
      <c r="P219" s="386">
        <v>3.1513197993192003E-3</v>
      </c>
      <c r="Q219" s="352" t="s">
        <v>19</v>
      </c>
      <c r="R219" s="348" t="s">
        <v>571</v>
      </c>
    </row>
    <row r="220" spans="1:18" s="70" customFormat="1" ht="24" x14ac:dyDescent="0.2">
      <c r="A220" s="351" t="s">
        <v>204</v>
      </c>
      <c r="B220" s="352" t="s">
        <v>207</v>
      </c>
      <c r="C220" s="352" t="s">
        <v>221</v>
      </c>
      <c r="D220" s="436" t="s">
        <v>557</v>
      </c>
      <c r="E220" s="352" t="s">
        <v>422</v>
      </c>
      <c r="F220" s="353">
        <v>5.9</v>
      </c>
      <c r="G220" s="440" t="s">
        <v>1220</v>
      </c>
      <c r="H220" s="440" t="s">
        <v>287</v>
      </c>
      <c r="I220" s="352" t="s">
        <v>221</v>
      </c>
      <c r="J220" s="352" t="s">
        <v>296</v>
      </c>
      <c r="K220" s="352" t="s">
        <v>14</v>
      </c>
      <c r="L220" s="352" t="s">
        <v>296</v>
      </c>
      <c r="M220" s="353">
        <v>0.53627998021229328</v>
      </c>
      <c r="N220" s="347">
        <v>5.3627998021229324E-4</v>
      </c>
      <c r="O220" s="356">
        <v>7.6546603440000016</v>
      </c>
      <c r="P220" s="386">
        <v>7.6546603440000019E-3</v>
      </c>
      <c r="Q220" s="352" t="s">
        <v>19</v>
      </c>
      <c r="R220" s="348" t="s">
        <v>571</v>
      </c>
    </row>
    <row r="221" spans="1:18" s="70" customFormat="1" ht="24" x14ac:dyDescent="0.2">
      <c r="A221" s="351" t="s">
        <v>206</v>
      </c>
      <c r="B221" s="352" t="s">
        <v>209</v>
      </c>
      <c r="C221" s="352" t="s">
        <v>221</v>
      </c>
      <c r="D221" s="436" t="s">
        <v>557</v>
      </c>
      <c r="E221" s="352" t="s">
        <v>422</v>
      </c>
      <c r="F221" s="353">
        <v>0.7</v>
      </c>
      <c r="G221" s="440" t="s">
        <v>1220</v>
      </c>
      <c r="H221" s="440" t="s">
        <v>287</v>
      </c>
      <c r="I221" s="352" t="s">
        <v>221</v>
      </c>
      <c r="J221" s="352" t="s">
        <v>296</v>
      </c>
      <c r="K221" s="352" t="s">
        <v>14</v>
      </c>
      <c r="L221" s="352" t="s">
        <v>296</v>
      </c>
      <c r="M221" s="353">
        <v>9.3648325752223802E-2</v>
      </c>
      <c r="N221" s="347">
        <v>9.3648325752223802E-5</v>
      </c>
      <c r="O221" s="356">
        <v>0.33312225376880011</v>
      </c>
      <c r="P221" s="386">
        <v>3.3312225376880012E-4</v>
      </c>
      <c r="Q221" s="352" t="s">
        <v>19</v>
      </c>
      <c r="R221" s="348" t="s">
        <v>571</v>
      </c>
    </row>
    <row r="222" spans="1:18" s="70" customFormat="1" ht="24" x14ac:dyDescent="0.2">
      <c r="A222" s="351" t="s">
        <v>208</v>
      </c>
      <c r="B222" s="352" t="s">
        <v>211</v>
      </c>
      <c r="C222" s="352" t="s">
        <v>221</v>
      </c>
      <c r="D222" s="436" t="s">
        <v>557</v>
      </c>
      <c r="E222" s="352" t="s">
        <v>422</v>
      </c>
      <c r="F222" s="353">
        <v>399.6</v>
      </c>
      <c r="G222" s="440" t="s">
        <v>1220</v>
      </c>
      <c r="H222" s="440" t="s">
        <v>287</v>
      </c>
      <c r="I222" s="352" t="s">
        <v>221</v>
      </c>
      <c r="J222" s="352" t="s">
        <v>296</v>
      </c>
      <c r="K222" s="352" t="s">
        <v>14</v>
      </c>
      <c r="L222" s="352" t="s">
        <v>296</v>
      </c>
      <c r="M222" s="353">
        <v>46.970597278937703</v>
      </c>
      <c r="N222" s="347">
        <v>4.6970597278937702E-2</v>
      </c>
      <c r="O222" s="356">
        <v>264.92863347008404</v>
      </c>
      <c r="P222" s="386">
        <v>0.26492863347008405</v>
      </c>
      <c r="Q222" s="352" t="s">
        <v>19</v>
      </c>
      <c r="R222" s="348" t="s">
        <v>571</v>
      </c>
    </row>
    <row r="223" spans="1:18" s="70" customFormat="1" ht="24" x14ac:dyDescent="0.2">
      <c r="A223" s="351" t="s">
        <v>210</v>
      </c>
      <c r="B223" s="352" t="s">
        <v>213</v>
      </c>
      <c r="C223" s="352" t="s">
        <v>221</v>
      </c>
      <c r="D223" s="436" t="s">
        <v>557</v>
      </c>
      <c r="E223" s="352" t="s">
        <v>422</v>
      </c>
      <c r="F223" s="353">
        <v>178.6</v>
      </c>
      <c r="G223" s="440" t="s">
        <v>1220</v>
      </c>
      <c r="H223" s="440" t="s">
        <v>287</v>
      </c>
      <c r="I223" s="352" t="s">
        <v>221</v>
      </c>
      <c r="J223" s="352" t="s">
        <v>296</v>
      </c>
      <c r="K223" s="352" t="s">
        <v>14</v>
      </c>
      <c r="L223" s="352" t="s">
        <v>296</v>
      </c>
      <c r="M223" s="353">
        <v>1.2251792917542215</v>
      </c>
      <c r="N223" s="347">
        <v>1.2251792917542215E-3</v>
      </c>
      <c r="O223" s="356">
        <v>6.7441802702641667</v>
      </c>
      <c r="P223" s="386">
        <v>6.7441802702641667E-3</v>
      </c>
      <c r="Q223" s="352" t="s">
        <v>19</v>
      </c>
      <c r="R223" s="348" t="s">
        <v>571</v>
      </c>
    </row>
    <row r="224" spans="1:18" s="70" customFormat="1" ht="36" x14ac:dyDescent="0.2">
      <c r="A224" s="351" t="s">
        <v>212</v>
      </c>
      <c r="B224" s="352" t="s">
        <v>215</v>
      </c>
      <c r="C224" s="352" t="s">
        <v>221</v>
      </c>
      <c r="D224" s="436" t="s">
        <v>184</v>
      </c>
      <c r="E224" s="352" t="s">
        <v>411</v>
      </c>
      <c r="F224" s="353">
        <v>57.6</v>
      </c>
      <c r="G224" s="440" t="s">
        <v>1220</v>
      </c>
      <c r="H224" s="440" t="s">
        <v>287</v>
      </c>
      <c r="I224" s="352" t="s">
        <v>425</v>
      </c>
      <c r="J224" s="352" t="s">
        <v>285</v>
      </c>
      <c r="K224" s="352" t="s">
        <v>14</v>
      </c>
      <c r="L224" s="504" t="s">
        <v>287</v>
      </c>
      <c r="M224" s="353">
        <v>3.1</v>
      </c>
      <c r="N224" s="347">
        <v>3.0999999999999999E-3</v>
      </c>
      <c r="O224" s="356">
        <v>33.200000000000003</v>
      </c>
      <c r="P224" s="386">
        <v>3.32E-2</v>
      </c>
      <c r="Q224" s="352" t="s">
        <v>19</v>
      </c>
      <c r="R224" s="348" t="s">
        <v>571</v>
      </c>
    </row>
    <row r="225" spans="1:18" s="70" customFormat="1" ht="36" x14ac:dyDescent="0.2">
      <c r="A225" s="351" t="s">
        <v>214</v>
      </c>
      <c r="B225" s="352" t="s">
        <v>217</v>
      </c>
      <c r="C225" s="352" t="s">
        <v>221</v>
      </c>
      <c r="D225" s="436" t="s">
        <v>184</v>
      </c>
      <c r="E225" s="352" t="s">
        <v>411</v>
      </c>
      <c r="F225" s="353">
        <v>12.4</v>
      </c>
      <c r="G225" s="440" t="s">
        <v>1220</v>
      </c>
      <c r="H225" s="440" t="s">
        <v>287</v>
      </c>
      <c r="I225" s="352" t="s">
        <v>425</v>
      </c>
      <c r="J225" s="436" t="s">
        <v>295</v>
      </c>
      <c r="K225" s="363" t="s">
        <v>479</v>
      </c>
      <c r="L225" s="352" t="s">
        <v>287</v>
      </c>
      <c r="M225" s="353">
        <v>1</v>
      </c>
      <c r="N225" s="347">
        <v>1E-3</v>
      </c>
      <c r="O225" s="356">
        <v>10.4</v>
      </c>
      <c r="P225" s="386">
        <v>1.04E-2</v>
      </c>
      <c r="Q225" s="352" t="s">
        <v>19</v>
      </c>
      <c r="R225" s="348" t="s">
        <v>571</v>
      </c>
    </row>
    <row r="226" spans="1:18" s="70" customFormat="1" ht="36" x14ac:dyDescent="0.2">
      <c r="A226" s="351" t="s">
        <v>216</v>
      </c>
      <c r="B226" s="352" t="s">
        <v>219</v>
      </c>
      <c r="C226" s="352" t="s">
        <v>221</v>
      </c>
      <c r="D226" s="436" t="s">
        <v>184</v>
      </c>
      <c r="E226" s="352" t="s">
        <v>411</v>
      </c>
      <c r="F226" s="353">
        <v>150.19999999999999</v>
      </c>
      <c r="G226" s="440" t="s">
        <v>1220</v>
      </c>
      <c r="H226" s="440" t="s">
        <v>287</v>
      </c>
      <c r="I226" s="352" t="s">
        <v>425</v>
      </c>
      <c r="J226" s="436" t="s">
        <v>295</v>
      </c>
      <c r="K226" s="363" t="s">
        <v>480</v>
      </c>
      <c r="L226" s="352" t="s">
        <v>287</v>
      </c>
      <c r="M226" s="353">
        <v>5.9</v>
      </c>
      <c r="N226" s="347">
        <v>5.9000000000000007E-3</v>
      </c>
      <c r="O226" s="356">
        <v>322.3</v>
      </c>
      <c r="P226" s="386">
        <v>0.32230000000000003</v>
      </c>
      <c r="Q226" s="352" t="s">
        <v>19</v>
      </c>
      <c r="R226" s="348" t="s">
        <v>571</v>
      </c>
    </row>
    <row r="227" spans="1:18" s="70" customFormat="1" ht="36" x14ac:dyDescent="0.2">
      <c r="A227" s="351" t="s">
        <v>218</v>
      </c>
      <c r="B227" s="352" t="s">
        <v>220</v>
      </c>
      <c r="C227" s="352" t="s">
        <v>221</v>
      </c>
      <c r="D227" s="436" t="s">
        <v>184</v>
      </c>
      <c r="E227" s="352" t="s">
        <v>411</v>
      </c>
      <c r="F227" s="353">
        <v>21.7</v>
      </c>
      <c r="G227" s="440" t="s">
        <v>1220</v>
      </c>
      <c r="H227" s="440" t="s">
        <v>287</v>
      </c>
      <c r="I227" s="352" t="s">
        <v>425</v>
      </c>
      <c r="J227" s="436" t="s">
        <v>295</v>
      </c>
      <c r="K227" s="363" t="s">
        <v>481</v>
      </c>
      <c r="L227" s="352" t="s">
        <v>287</v>
      </c>
      <c r="M227" s="353">
        <v>2.2999999999999998</v>
      </c>
      <c r="N227" s="347">
        <v>2.3E-3</v>
      </c>
      <c r="O227" s="356">
        <v>19.7</v>
      </c>
      <c r="P227" s="386">
        <v>1.9699999999999999E-2</v>
      </c>
      <c r="Q227" s="352" t="s">
        <v>19</v>
      </c>
      <c r="R227" s="348" t="s">
        <v>571</v>
      </c>
    </row>
    <row r="228" spans="1:18" s="70" customFormat="1" ht="60" x14ac:dyDescent="0.2">
      <c r="A228" s="351" t="s">
        <v>225</v>
      </c>
      <c r="B228" s="352" t="s">
        <v>23</v>
      </c>
      <c r="C228" s="352" t="s">
        <v>228</v>
      </c>
      <c r="D228" s="352" t="s">
        <v>18</v>
      </c>
      <c r="E228" s="352" t="s">
        <v>432</v>
      </c>
      <c r="F228" s="353" t="s">
        <v>14</v>
      </c>
      <c r="G228" s="354" t="s">
        <v>287</v>
      </c>
      <c r="H228" s="354" t="s">
        <v>287</v>
      </c>
      <c r="I228" s="352" t="s">
        <v>228</v>
      </c>
      <c r="J228" s="352" t="s">
        <v>285</v>
      </c>
      <c r="K228" s="352" t="s">
        <v>14</v>
      </c>
      <c r="L228" s="352" t="s">
        <v>285</v>
      </c>
      <c r="M228" s="353">
        <v>118.8</v>
      </c>
      <c r="N228" s="347">
        <v>0.1188</v>
      </c>
      <c r="O228" s="356">
        <v>4438.1000000000004</v>
      </c>
      <c r="P228" s="386">
        <v>4.4381000000000004</v>
      </c>
      <c r="Q228" s="352" t="s">
        <v>19</v>
      </c>
      <c r="R228" s="348" t="s">
        <v>571</v>
      </c>
    </row>
    <row r="229" spans="1:18" s="70" customFormat="1" ht="72" x14ac:dyDescent="0.2">
      <c r="A229" s="366" t="s">
        <v>226</v>
      </c>
      <c r="B229" s="348" t="s">
        <v>227</v>
      </c>
      <c r="C229" s="348" t="s">
        <v>433</v>
      </c>
      <c r="D229" s="348" t="s">
        <v>253</v>
      </c>
      <c r="E229" s="348" t="s">
        <v>434</v>
      </c>
      <c r="F229" s="367">
        <v>4077.4</v>
      </c>
      <c r="G229" s="368">
        <v>42850</v>
      </c>
      <c r="H229" s="368">
        <v>13000</v>
      </c>
      <c r="I229" s="348" t="s">
        <v>274</v>
      </c>
      <c r="J229" s="436" t="s">
        <v>596</v>
      </c>
      <c r="K229" s="348" t="s">
        <v>14</v>
      </c>
      <c r="L229" s="381" t="s">
        <v>355</v>
      </c>
      <c r="M229" s="367">
        <v>7.5</v>
      </c>
      <c r="N229" s="425">
        <v>7.4999999999999997E-3</v>
      </c>
      <c r="O229" s="374" t="s">
        <v>232</v>
      </c>
      <c r="P229" s="386" t="e">
        <v>#VALUE!</v>
      </c>
      <c r="Q229" s="348" t="s">
        <v>19</v>
      </c>
      <c r="R229" s="348" t="s">
        <v>571</v>
      </c>
    </row>
    <row r="230" spans="1:18" s="70" customFormat="1" ht="120" x14ac:dyDescent="0.2">
      <c r="A230" s="366" t="s">
        <v>241</v>
      </c>
      <c r="B230" s="348" t="s">
        <v>487</v>
      </c>
      <c r="C230" s="348" t="s">
        <v>274</v>
      </c>
      <c r="D230" s="348" t="s">
        <v>239</v>
      </c>
      <c r="E230" s="348" t="s">
        <v>491</v>
      </c>
      <c r="F230" s="367">
        <v>1900</v>
      </c>
      <c r="G230" s="368">
        <v>43200000</v>
      </c>
      <c r="H230" s="368" t="s">
        <v>287</v>
      </c>
      <c r="I230" s="348" t="s">
        <v>492</v>
      </c>
      <c r="J230" s="348" t="s">
        <v>295</v>
      </c>
      <c r="K230" s="348">
        <v>2014</v>
      </c>
      <c r="L230" s="348" t="s">
        <v>494</v>
      </c>
      <c r="M230" s="367">
        <v>65.099999999999994</v>
      </c>
      <c r="N230" s="425">
        <v>6.5099999999999991E-2</v>
      </c>
      <c r="O230" s="374" t="s">
        <v>232</v>
      </c>
      <c r="P230" s="386" t="e">
        <v>#VALUE!</v>
      </c>
      <c r="Q230" s="348" t="s">
        <v>19</v>
      </c>
      <c r="R230" s="348" t="s">
        <v>574</v>
      </c>
    </row>
    <row r="231" spans="1:18" s="70" customFormat="1" ht="168" x14ac:dyDescent="0.2">
      <c r="A231" s="351" t="s">
        <v>243</v>
      </c>
      <c r="B231" s="348" t="s">
        <v>488</v>
      </c>
      <c r="C231" s="348" t="s">
        <v>274</v>
      </c>
      <c r="D231" s="348" t="s">
        <v>239</v>
      </c>
      <c r="E231" s="348" t="s">
        <v>495</v>
      </c>
      <c r="F231" s="367">
        <v>2000</v>
      </c>
      <c r="G231" s="368" t="s">
        <v>287</v>
      </c>
      <c r="H231" s="368" t="s">
        <v>287</v>
      </c>
      <c r="I231" s="348" t="s">
        <v>274</v>
      </c>
      <c r="J231" s="348" t="s">
        <v>305</v>
      </c>
      <c r="K231" s="348">
        <v>2009</v>
      </c>
      <c r="L231" s="348" t="s">
        <v>287</v>
      </c>
      <c r="M231" s="367">
        <v>5.2</v>
      </c>
      <c r="N231" s="425">
        <v>5.1999999999999998E-3</v>
      </c>
      <c r="O231" s="374" t="s">
        <v>232</v>
      </c>
      <c r="P231" s="386" t="e">
        <v>#VALUE!</v>
      </c>
      <c r="Q231" s="348" t="s">
        <v>19</v>
      </c>
      <c r="R231" s="348" t="s">
        <v>574</v>
      </c>
    </row>
    <row r="232" spans="1:18" s="70" customFormat="1" ht="192" x14ac:dyDescent="0.2">
      <c r="A232" s="351" t="s">
        <v>246</v>
      </c>
      <c r="B232" s="348" t="s">
        <v>489</v>
      </c>
      <c r="C232" s="348" t="s">
        <v>274</v>
      </c>
      <c r="D232" s="348" t="s">
        <v>239</v>
      </c>
      <c r="E232" s="348" t="s">
        <v>496</v>
      </c>
      <c r="F232" s="367">
        <v>1000</v>
      </c>
      <c r="G232" s="368" t="s">
        <v>287</v>
      </c>
      <c r="H232" s="368" t="s">
        <v>287</v>
      </c>
      <c r="I232" s="348" t="s">
        <v>274</v>
      </c>
      <c r="J232" s="348" t="s">
        <v>305</v>
      </c>
      <c r="K232" s="348">
        <v>2009</v>
      </c>
      <c r="L232" s="348" t="s">
        <v>287</v>
      </c>
      <c r="M232" s="367">
        <v>60.8</v>
      </c>
      <c r="N232" s="425">
        <v>6.08E-2</v>
      </c>
      <c r="O232" s="374" t="s">
        <v>232</v>
      </c>
      <c r="P232" s="386" t="e">
        <v>#VALUE!</v>
      </c>
      <c r="Q232" s="348" t="s">
        <v>19</v>
      </c>
      <c r="R232" s="348" t="s">
        <v>574</v>
      </c>
    </row>
    <row r="233" spans="1:18" s="70" customFormat="1" ht="300" x14ac:dyDescent="0.2">
      <c r="A233" s="366" t="s">
        <v>248</v>
      </c>
      <c r="B233" s="348" t="s">
        <v>490</v>
      </c>
      <c r="C233" s="348" t="s">
        <v>274</v>
      </c>
      <c r="D233" s="348" t="s">
        <v>239</v>
      </c>
      <c r="E233" s="348" t="s">
        <v>497</v>
      </c>
      <c r="F233" s="367">
        <v>77</v>
      </c>
      <c r="G233" s="368" t="s">
        <v>287</v>
      </c>
      <c r="H233" s="368" t="s">
        <v>287</v>
      </c>
      <c r="I233" s="348" t="s">
        <v>274</v>
      </c>
      <c r="J233" s="348" t="s">
        <v>305</v>
      </c>
      <c r="K233" s="348">
        <v>2009</v>
      </c>
      <c r="L233" s="348" t="s">
        <v>287</v>
      </c>
      <c r="M233" s="367">
        <v>195.3</v>
      </c>
      <c r="N233" s="425">
        <v>0.1953</v>
      </c>
      <c r="O233" s="374" t="s">
        <v>232</v>
      </c>
      <c r="P233" s="386" t="e">
        <v>#VALUE!</v>
      </c>
      <c r="Q233" s="348" t="s">
        <v>19</v>
      </c>
      <c r="R233" s="348" t="s">
        <v>574</v>
      </c>
    </row>
    <row r="234" spans="1:18" s="70" customFormat="1" ht="36" x14ac:dyDescent="0.2">
      <c r="A234" s="366" t="s">
        <v>262</v>
      </c>
      <c r="B234" s="348" t="s">
        <v>263</v>
      </c>
      <c r="C234" s="348" t="s">
        <v>274</v>
      </c>
      <c r="D234" s="436" t="s">
        <v>253</v>
      </c>
      <c r="E234" s="348" t="s">
        <v>454</v>
      </c>
      <c r="F234" s="367" t="s">
        <v>14</v>
      </c>
      <c r="G234" s="368">
        <v>61030</v>
      </c>
      <c r="H234" s="368">
        <v>55000</v>
      </c>
      <c r="I234" s="348" t="s">
        <v>274</v>
      </c>
      <c r="J234" s="436" t="s">
        <v>305</v>
      </c>
      <c r="K234" s="348" t="s">
        <v>14</v>
      </c>
      <c r="L234" s="348" t="s">
        <v>287</v>
      </c>
      <c r="M234" s="367">
        <v>28</v>
      </c>
      <c r="N234" s="425">
        <v>2.8000000000000001E-2</v>
      </c>
      <c r="O234" s="374" t="s">
        <v>232</v>
      </c>
      <c r="P234" s="386" t="e">
        <v>#VALUE!</v>
      </c>
      <c r="Q234" s="348" t="s">
        <v>19</v>
      </c>
      <c r="R234" s="348" t="s">
        <v>574</v>
      </c>
    </row>
    <row r="235" spans="1:18" s="70" customFormat="1" ht="48" customHeight="1" x14ac:dyDescent="0.2">
      <c r="A235" s="366" t="s">
        <v>589</v>
      </c>
      <c r="B235" s="382" t="s">
        <v>590</v>
      </c>
      <c r="C235" s="348" t="s">
        <v>274</v>
      </c>
      <c r="D235" s="348" t="s">
        <v>239</v>
      </c>
      <c r="E235" s="382" t="s">
        <v>591</v>
      </c>
      <c r="F235" s="383">
        <v>40875</v>
      </c>
      <c r="G235" s="384" t="s">
        <v>287</v>
      </c>
      <c r="H235" s="384" t="s">
        <v>287</v>
      </c>
      <c r="I235" s="382" t="s">
        <v>274</v>
      </c>
      <c r="J235" s="439" t="s">
        <v>305</v>
      </c>
      <c r="K235" s="382" t="s">
        <v>287</v>
      </c>
      <c r="L235" s="382" t="s">
        <v>287</v>
      </c>
      <c r="M235" s="383">
        <v>566.4</v>
      </c>
      <c r="N235" s="425">
        <v>0.56640000000000001</v>
      </c>
      <c r="O235" s="374" t="s">
        <v>232</v>
      </c>
      <c r="P235" s="386" t="e">
        <v>#VALUE!</v>
      </c>
      <c r="Q235" s="382" t="s">
        <v>19</v>
      </c>
      <c r="R235" s="352" t="s">
        <v>574</v>
      </c>
    </row>
  </sheetData>
  <pageMargins left="0.7" right="0.7" top="0.75" bottom="0.75" header="0.3" footer="0.3"/>
  <legacyDrawing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2"/>
  <sheetViews>
    <sheetView workbookViewId="0">
      <selection activeCell="G7" sqref="G7"/>
    </sheetView>
  </sheetViews>
  <sheetFormatPr defaultRowHeight="15" x14ac:dyDescent="0.25"/>
  <cols>
    <col min="1" max="1" width="21.85546875" customWidth="1"/>
    <col min="2" max="2" width="15.28515625" customWidth="1"/>
    <col min="3" max="3" width="36.85546875" customWidth="1"/>
    <col min="4" max="4" width="12.5703125" style="193" customWidth="1"/>
    <col min="5" max="5" width="13.7109375" style="193" customWidth="1"/>
    <col min="6" max="6" width="18.42578125" customWidth="1"/>
  </cols>
  <sheetData>
    <row r="1" spans="1:6" ht="39.75" thickTop="1" thickBot="1" x14ac:dyDescent="0.3">
      <c r="A1" s="387" t="s">
        <v>1</v>
      </c>
      <c r="B1" s="388" t="s">
        <v>3</v>
      </c>
      <c r="C1" s="388" t="s">
        <v>282</v>
      </c>
      <c r="D1" s="388" t="s">
        <v>636</v>
      </c>
      <c r="E1" s="388" t="s">
        <v>794</v>
      </c>
      <c r="F1" s="388" t="s">
        <v>637</v>
      </c>
    </row>
    <row r="2" spans="1:6" ht="39.75" thickTop="1" thickBot="1" x14ac:dyDescent="0.3">
      <c r="A2" s="393" t="s">
        <v>638</v>
      </c>
      <c r="B2" s="394" t="s">
        <v>104</v>
      </c>
      <c r="C2" s="395" t="s">
        <v>639</v>
      </c>
      <c r="D2" s="413">
        <v>2</v>
      </c>
      <c r="E2" s="223">
        <f>D2*1000</f>
        <v>2000</v>
      </c>
      <c r="F2" s="389" t="s">
        <v>640</v>
      </c>
    </row>
    <row r="3" spans="1:6" ht="51.75" thickBot="1" x14ac:dyDescent="0.3">
      <c r="A3" s="404" t="s">
        <v>641</v>
      </c>
      <c r="B3" s="405" t="s">
        <v>642</v>
      </c>
      <c r="C3" s="405" t="s">
        <v>643</v>
      </c>
      <c r="D3" s="414">
        <v>7.6</v>
      </c>
      <c r="E3" s="224">
        <f t="shared" ref="E3:E10" si="0">D3*1000</f>
        <v>7600</v>
      </c>
      <c r="F3" s="406" t="s">
        <v>644</v>
      </c>
    </row>
    <row r="4" spans="1:6" ht="51.75" thickBot="1" x14ac:dyDescent="0.3">
      <c r="A4" s="408" t="s">
        <v>645</v>
      </c>
      <c r="B4" s="405" t="s">
        <v>795</v>
      </c>
      <c r="C4" s="408" t="s">
        <v>646</v>
      </c>
      <c r="D4" s="443">
        <v>0.94482999999999995</v>
      </c>
      <c r="E4" s="427">
        <v>944.82999999999993</v>
      </c>
      <c r="F4" s="407" t="s">
        <v>647</v>
      </c>
    </row>
    <row r="5" spans="1:6" ht="51" customHeight="1" thickBot="1" x14ac:dyDescent="0.3">
      <c r="A5" s="408" t="s">
        <v>648</v>
      </c>
      <c r="B5" s="408" t="s">
        <v>104</v>
      </c>
      <c r="C5" s="408" t="s">
        <v>649</v>
      </c>
      <c r="D5" s="415">
        <v>7.7</v>
      </c>
      <c r="E5" s="224">
        <f t="shared" si="0"/>
        <v>7700</v>
      </c>
      <c r="F5" s="406" t="s">
        <v>796</v>
      </c>
    </row>
    <row r="6" spans="1:6" ht="51.75" thickBot="1" x14ac:dyDescent="0.3">
      <c r="A6" s="393" t="s">
        <v>650</v>
      </c>
      <c r="B6" s="395" t="s">
        <v>19</v>
      </c>
      <c r="C6" s="395" t="s">
        <v>651</v>
      </c>
      <c r="D6" s="416">
        <v>8.9999999999999993E-3</v>
      </c>
      <c r="E6" s="426">
        <v>8.8970000000000002</v>
      </c>
      <c r="F6" s="389" t="s">
        <v>652</v>
      </c>
    </row>
    <row r="7" spans="1:6" ht="166.5" thickBot="1" x14ac:dyDescent="0.3">
      <c r="A7" s="409" t="s">
        <v>653</v>
      </c>
      <c r="B7" s="408" t="s">
        <v>654</v>
      </c>
      <c r="C7" s="409" t="s">
        <v>655</v>
      </c>
      <c r="D7" s="415" t="s">
        <v>656</v>
      </c>
      <c r="E7" s="419" t="s">
        <v>656</v>
      </c>
      <c r="F7" s="410" t="s">
        <v>1247</v>
      </c>
    </row>
    <row r="8" spans="1:6" ht="128.25" thickBot="1" x14ac:dyDescent="0.3">
      <c r="A8" s="411" t="s">
        <v>797</v>
      </c>
      <c r="B8" s="408" t="s">
        <v>102</v>
      </c>
      <c r="C8" s="409" t="s">
        <v>657</v>
      </c>
      <c r="D8" s="417" t="s">
        <v>658</v>
      </c>
      <c r="E8" s="294" t="s">
        <v>1232</v>
      </c>
      <c r="F8" s="410" t="s">
        <v>798</v>
      </c>
    </row>
    <row r="9" spans="1:6" ht="77.25" thickBot="1" x14ac:dyDescent="0.3">
      <c r="A9" s="409" t="s">
        <v>659</v>
      </c>
      <c r="B9" s="408" t="s">
        <v>654</v>
      </c>
      <c r="C9" s="408" t="s">
        <v>660</v>
      </c>
      <c r="D9" s="415" t="s">
        <v>880</v>
      </c>
      <c r="E9" s="295" t="s">
        <v>881</v>
      </c>
      <c r="F9" s="412" t="s">
        <v>799</v>
      </c>
    </row>
    <row r="10" spans="1:6" ht="102.75" thickBot="1" x14ac:dyDescent="0.3">
      <c r="A10" s="401" t="s">
        <v>661</v>
      </c>
      <c r="B10" s="401" t="s">
        <v>662</v>
      </c>
      <c r="C10" s="401" t="s">
        <v>663</v>
      </c>
      <c r="D10" s="418">
        <v>26.56</v>
      </c>
      <c r="E10" s="428">
        <f t="shared" si="0"/>
        <v>26560</v>
      </c>
      <c r="F10" s="395" t="s">
        <v>800</v>
      </c>
    </row>
    <row r="11" spans="1:6" ht="15.75" thickBot="1" x14ac:dyDescent="0.3">
      <c r="A11" s="390" t="s">
        <v>607</v>
      </c>
      <c r="B11" s="391" t="s">
        <v>14</v>
      </c>
      <c r="C11" s="391" t="s">
        <v>14</v>
      </c>
      <c r="D11" s="402" t="s">
        <v>886</v>
      </c>
      <c r="E11" s="403" t="s">
        <v>1249</v>
      </c>
      <c r="F11" s="396" t="s">
        <v>14</v>
      </c>
    </row>
    <row r="12" spans="1:6" ht="15.75" thickTop="1" x14ac:dyDescent="0.25"/>
  </sheetData>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7"/>
  <sheetViews>
    <sheetView workbookViewId="0">
      <selection activeCell="K17" sqref="K17"/>
    </sheetView>
  </sheetViews>
  <sheetFormatPr defaultRowHeight="15" x14ac:dyDescent="0.25"/>
  <cols>
    <col min="1" max="1" width="23.28515625" customWidth="1"/>
    <col min="2" max="2" width="27.42578125" customWidth="1"/>
    <col min="3" max="3" width="47.28515625" customWidth="1"/>
    <col min="4" max="4" width="12.42578125" customWidth="1"/>
    <col min="5" max="5" width="13.28515625" customWidth="1"/>
  </cols>
  <sheetData>
    <row r="1" spans="1:5" ht="27" thickTop="1" thickBot="1" x14ac:dyDescent="0.3">
      <c r="A1" s="78" t="s">
        <v>673</v>
      </c>
      <c r="B1" s="79" t="s">
        <v>674</v>
      </c>
      <c r="C1" s="79" t="s">
        <v>637</v>
      </c>
      <c r="D1" s="79" t="s">
        <v>471</v>
      </c>
      <c r="E1" s="79" t="s">
        <v>283</v>
      </c>
    </row>
    <row r="2" spans="1:5" ht="51.75" thickTop="1" x14ac:dyDescent="0.25">
      <c r="A2" s="559" t="s">
        <v>870</v>
      </c>
      <c r="B2" s="559" t="s">
        <v>871</v>
      </c>
      <c r="C2" s="107" t="s">
        <v>677</v>
      </c>
      <c r="D2" s="559" t="s">
        <v>680</v>
      </c>
      <c r="E2" s="559" t="s">
        <v>681</v>
      </c>
    </row>
    <row r="3" spans="1:5" ht="51" x14ac:dyDescent="0.25">
      <c r="A3" s="549"/>
      <c r="B3" s="549"/>
      <c r="C3" s="107" t="s">
        <v>678</v>
      </c>
      <c r="D3" s="549"/>
      <c r="E3" s="549"/>
    </row>
    <row r="4" spans="1:5" ht="15.75" thickBot="1" x14ac:dyDescent="0.3">
      <c r="A4" s="550"/>
      <c r="B4" s="550"/>
      <c r="C4" s="108" t="s">
        <v>679</v>
      </c>
      <c r="D4" s="550"/>
      <c r="E4" s="550"/>
    </row>
    <row r="5" spans="1:5" ht="25.5" x14ac:dyDescent="0.25">
      <c r="A5" s="548" t="s">
        <v>682</v>
      </c>
      <c r="B5" s="548" t="s">
        <v>683</v>
      </c>
      <c r="C5" s="94" t="s">
        <v>684</v>
      </c>
      <c r="D5" s="548" t="s">
        <v>689</v>
      </c>
      <c r="E5" s="548" t="s">
        <v>1245</v>
      </c>
    </row>
    <row r="6" spans="1:5" x14ac:dyDescent="0.25">
      <c r="A6" s="549"/>
      <c r="B6" s="549"/>
      <c r="C6" s="94" t="s">
        <v>685</v>
      </c>
      <c r="D6" s="549"/>
      <c r="E6" s="549"/>
    </row>
    <row r="7" spans="1:5" x14ac:dyDescent="0.25">
      <c r="A7" s="549"/>
      <c r="B7" s="549"/>
      <c r="C7" s="94" t="s">
        <v>1234</v>
      </c>
      <c r="D7" s="549"/>
      <c r="E7" s="549"/>
    </row>
    <row r="8" spans="1:5" x14ac:dyDescent="0.25">
      <c r="A8" s="549"/>
      <c r="B8" s="549"/>
      <c r="C8" s="94" t="s">
        <v>686</v>
      </c>
      <c r="D8" s="549"/>
      <c r="E8" s="549"/>
    </row>
    <row r="9" spans="1:5" x14ac:dyDescent="0.25">
      <c r="A9" s="549"/>
      <c r="B9" s="549"/>
      <c r="C9" s="94" t="s">
        <v>687</v>
      </c>
      <c r="D9" s="549"/>
      <c r="E9" s="549"/>
    </row>
    <row r="10" spans="1:5" x14ac:dyDescent="0.25">
      <c r="A10" s="549"/>
      <c r="B10" s="549"/>
      <c r="C10" s="94" t="s">
        <v>1235</v>
      </c>
      <c r="D10" s="549"/>
      <c r="E10" s="549"/>
    </row>
    <row r="11" spans="1:5" ht="15.75" thickBot="1" x14ac:dyDescent="0.3">
      <c r="A11" s="550"/>
      <c r="B11" s="550"/>
      <c r="C11" s="83" t="s">
        <v>688</v>
      </c>
      <c r="D11" s="550"/>
      <c r="E11" s="550"/>
    </row>
    <row r="12" spans="1:5" x14ac:dyDescent="0.25">
      <c r="A12" s="548" t="s">
        <v>690</v>
      </c>
      <c r="B12" s="548" t="s">
        <v>691</v>
      </c>
      <c r="C12" s="94" t="s">
        <v>692</v>
      </c>
      <c r="D12" s="548" t="s">
        <v>695</v>
      </c>
      <c r="E12" s="548" t="s">
        <v>696</v>
      </c>
    </row>
    <row r="13" spans="1:5" ht="25.5" x14ac:dyDescent="0.25">
      <c r="A13" s="549"/>
      <c r="B13" s="549"/>
      <c r="C13" s="94" t="s">
        <v>1236</v>
      </c>
      <c r="D13" s="549"/>
      <c r="E13" s="549"/>
    </row>
    <row r="14" spans="1:5" ht="25.5" x14ac:dyDescent="0.25">
      <c r="A14" s="549"/>
      <c r="B14" s="549"/>
      <c r="C14" s="94" t="s">
        <v>1237</v>
      </c>
      <c r="D14" s="549"/>
      <c r="E14" s="549"/>
    </row>
    <row r="15" spans="1:5" x14ac:dyDescent="0.25">
      <c r="A15" s="549"/>
      <c r="B15" s="549"/>
      <c r="C15" s="94" t="s">
        <v>693</v>
      </c>
      <c r="D15" s="549"/>
      <c r="E15" s="549"/>
    </row>
    <row r="16" spans="1:5" ht="15.75" thickBot="1" x14ac:dyDescent="0.3">
      <c r="A16" s="550"/>
      <c r="B16" s="550"/>
      <c r="C16" s="83" t="s">
        <v>694</v>
      </c>
      <c r="D16" s="550"/>
      <c r="E16" s="550"/>
    </row>
    <row r="17" spans="1:5" ht="15" customHeight="1" x14ac:dyDescent="0.25">
      <c r="A17" s="548" t="s">
        <v>697</v>
      </c>
      <c r="B17" s="551" t="s">
        <v>872</v>
      </c>
      <c r="C17" s="94" t="s">
        <v>699</v>
      </c>
      <c r="D17" s="548" t="s">
        <v>702</v>
      </c>
      <c r="E17" s="548" t="s">
        <v>1245</v>
      </c>
    </row>
    <row r="18" spans="1:5" x14ac:dyDescent="0.25">
      <c r="A18" s="549"/>
      <c r="B18" s="552"/>
      <c r="C18" s="94" t="s">
        <v>700</v>
      </c>
      <c r="D18" s="549"/>
      <c r="E18" s="549"/>
    </row>
    <row r="19" spans="1:5" x14ac:dyDescent="0.25">
      <c r="A19" s="549"/>
      <c r="B19" s="552"/>
      <c r="C19" s="94" t="s">
        <v>1238</v>
      </c>
      <c r="D19" s="549"/>
      <c r="E19" s="549"/>
    </row>
    <row r="20" spans="1:5" ht="25.5" x14ac:dyDescent="0.25">
      <c r="A20" s="549"/>
      <c r="B20" s="552"/>
      <c r="C20" s="94" t="s">
        <v>701</v>
      </c>
      <c r="D20" s="549"/>
      <c r="E20" s="549"/>
    </row>
    <row r="21" spans="1:5" ht="63.75" x14ac:dyDescent="0.25">
      <c r="A21" s="549"/>
      <c r="B21" s="552"/>
      <c r="C21" s="94" t="s">
        <v>873</v>
      </c>
      <c r="D21" s="549"/>
      <c r="E21" s="549"/>
    </row>
    <row r="22" spans="1:5" ht="26.25" thickBot="1" x14ac:dyDescent="0.3">
      <c r="A22" s="550"/>
      <c r="B22" s="553"/>
      <c r="C22" s="95" t="s">
        <v>1239</v>
      </c>
      <c r="D22" s="550"/>
      <c r="E22" s="550"/>
    </row>
    <row r="23" spans="1:5" ht="25.5" x14ac:dyDescent="0.25">
      <c r="A23" s="548" t="s">
        <v>703</v>
      </c>
      <c r="B23" s="548" t="s">
        <v>704</v>
      </c>
      <c r="C23" s="94" t="s">
        <v>705</v>
      </c>
      <c r="D23" s="557" t="s">
        <v>594</v>
      </c>
      <c r="E23" s="548" t="s">
        <v>709</v>
      </c>
    </row>
    <row r="24" spans="1:5" ht="25.5" x14ac:dyDescent="0.25">
      <c r="A24" s="549"/>
      <c r="B24" s="549"/>
      <c r="C24" s="94" t="s">
        <v>706</v>
      </c>
      <c r="D24" s="577"/>
      <c r="E24" s="549"/>
    </row>
    <row r="25" spans="1:5" ht="25.5" x14ac:dyDescent="0.25">
      <c r="A25" s="549"/>
      <c r="B25" s="549"/>
      <c r="C25" s="94" t="s">
        <v>707</v>
      </c>
      <c r="D25" s="577"/>
      <c r="E25" s="549"/>
    </row>
    <row r="26" spans="1:5" ht="15.75" thickBot="1" x14ac:dyDescent="0.3">
      <c r="A26" s="562"/>
      <c r="B26" s="562"/>
      <c r="C26" s="105" t="s">
        <v>708</v>
      </c>
      <c r="D26" s="578"/>
      <c r="E26" s="562"/>
    </row>
    <row r="27" spans="1:5" ht="15.75" thickTop="1" x14ac:dyDescent="0.25"/>
  </sheetData>
  <mergeCells count="20">
    <mergeCell ref="A12:A16"/>
    <mergeCell ref="B12:B16"/>
    <mergeCell ref="D12:D16"/>
    <mergeCell ref="E12:E16"/>
    <mergeCell ref="A2:A4"/>
    <mergeCell ref="B2:B4"/>
    <mergeCell ref="D2:D4"/>
    <mergeCell ref="E2:E4"/>
    <mergeCell ref="A5:A11"/>
    <mergeCell ref="B5:B11"/>
    <mergeCell ref="D5:D11"/>
    <mergeCell ref="E5:E11"/>
    <mergeCell ref="A23:A26"/>
    <mergeCell ref="B23:B26"/>
    <mergeCell ref="D23:D26"/>
    <mergeCell ref="E23:E26"/>
    <mergeCell ref="A17:A22"/>
    <mergeCell ref="B17:B22"/>
    <mergeCell ref="D17:D22"/>
    <mergeCell ref="E17:E22"/>
  </mergeCells>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D148"/>
  <sheetViews>
    <sheetView workbookViewId="0">
      <selection activeCell="O20" sqref="O20"/>
    </sheetView>
  </sheetViews>
  <sheetFormatPr defaultRowHeight="15" x14ac:dyDescent="0.25"/>
  <cols>
    <col min="1" max="1" width="10.5703125" customWidth="1"/>
    <col min="2" max="2" width="31.7109375" customWidth="1"/>
    <col min="3" max="3" width="17.42578125" customWidth="1"/>
    <col min="4" max="4" width="21.42578125" customWidth="1"/>
  </cols>
  <sheetData>
    <row r="1" spans="1:4" ht="25.5" thickTop="1" thickBot="1" x14ac:dyDescent="0.3">
      <c r="A1" s="449" t="s">
        <v>1256</v>
      </c>
      <c r="B1" s="450" t="s">
        <v>1257</v>
      </c>
      <c r="C1" s="450" t="s">
        <v>1258</v>
      </c>
      <c r="D1" s="450" t="s">
        <v>894</v>
      </c>
    </row>
    <row r="2" spans="1:4" ht="27" thickTop="1" thickBot="1" x14ac:dyDescent="0.3">
      <c r="A2" s="451">
        <v>1100</v>
      </c>
      <c r="B2" s="432" t="s">
        <v>1259</v>
      </c>
      <c r="C2" s="339">
        <v>2</v>
      </c>
      <c r="D2" s="432" t="s">
        <v>1260</v>
      </c>
    </row>
    <row r="3" spans="1:4" ht="16.5" thickTop="1" thickBot="1" x14ac:dyDescent="0.3">
      <c r="A3" s="451">
        <v>1110</v>
      </c>
      <c r="B3" s="432" t="s">
        <v>1261</v>
      </c>
      <c r="C3" s="339">
        <v>2</v>
      </c>
      <c r="D3" s="432" t="s">
        <v>1260</v>
      </c>
    </row>
    <row r="4" spans="1:4" ht="16.5" thickTop="1" thickBot="1" x14ac:dyDescent="0.3">
      <c r="A4" s="451">
        <v>1120</v>
      </c>
      <c r="B4" s="432" t="s">
        <v>1262</v>
      </c>
      <c r="C4" s="339">
        <v>2</v>
      </c>
      <c r="D4" s="432" t="s">
        <v>1260</v>
      </c>
    </row>
    <row r="5" spans="1:4" ht="27" thickTop="1" thickBot="1" x14ac:dyDescent="0.3">
      <c r="A5" s="451">
        <v>1130</v>
      </c>
      <c r="B5" s="432" t="s">
        <v>1263</v>
      </c>
      <c r="C5" s="339">
        <v>2</v>
      </c>
      <c r="D5" s="432" t="s">
        <v>1260</v>
      </c>
    </row>
    <row r="6" spans="1:4" ht="16.5" thickTop="1" thickBot="1" x14ac:dyDescent="0.3">
      <c r="A6" s="451">
        <v>1180</v>
      </c>
      <c r="B6" s="432" t="s">
        <v>1264</v>
      </c>
      <c r="C6" s="339">
        <v>2</v>
      </c>
      <c r="D6" s="432" t="s">
        <v>1260</v>
      </c>
    </row>
    <row r="7" spans="1:4" ht="16.5" thickTop="1" thickBot="1" x14ac:dyDescent="0.3">
      <c r="A7" s="451">
        <v>1190</v>
      </c>
      <c r="B7" s="432" t="s">
        <v>1265</v>
      </c>
      <c r="C7" s="339">
        <v>2</v>
      </c>
      <c r="D7" s="432" t="s">
        <v>1260</v>
      </c>
    </row>
    <row r="8" spans="1:4" ht="27" thickTop="1" thickBot="1" x14ac:dyDescent="0.3">
      <c r="A8" s="451">
        <v>1200</v>
      </c>
      <c r="B8" s="432" t="s">
        <v>1266</v>
      </c>
      <c r="C8" s="339">
        <v>19</v>
      </c>
      <c r="D8" s="432" t="s">
        <v>1267</v>
      </c>
    </row>
    <row r="9" spans="1:4" ht="27" thickTop="1" thickBot="1" x14ac:dyDescent="0.3">
      <c r="A9" s="451">
        <v>1210</v>
      </c>
      <c r="B9" s="432" t="s">
        <v>1268</v>
      </c>
      <c r="C9" s="339">
        <v>19</v>
      </c>
      <c r="D9" s="432" t="s">
        <v>1267</v>
      </c>
    </row>
    <row r="10" spans="1:4" ht="27" thickTop="1" thickBot="1" x14ac:dyDescent="0.3">
      <c r="A10" s="451">
        <v>1220</v>
      </c>
      <c r="B10" s="432" t="s">
        <v>1269</v>
      </c>
      <c r="C10" s="339">
        <v>19</v>
      </c>
      <c r="D10" s="432" t="s">
        <v>1267</v>
      </c>
    </row>
    <row r="11" spans="1:4" ht="27" thickTop="1" thickBot="1" x14ac:dyDescent="0.3">
      <c r="A11" s="451">
        <v>1230</v>
      </c>
      <c r="B11" s="432" t="s">
        <v>1270</v>
      </c>
      <c r="C11" s="339">
        <v>19</v>
      </c>
      <c r="D11" s="432" t="s">
        <v>1267</v>
      </c>
    </row>
    <row r="12" spans="1:4" ht="27" thickTop="1" thickBot="1" x14ac:dyDescent="0.3">
      <c r="A12" s="451">
        <v>1290</v>
      </c>
      <c r="B12" s="432" t="s">
        <v>1271</v>
      </c>
      <c r="C12" s="339">
        <v>19</v>
      </c>
      <c r="D12" s="432" t="s">
        <v>1267</v>
      </c>
    </row>
    <row r="13" spans="1:4" ht="16.5" thickTop="1" thickBot="1" x14ac:dyDescent="0.3">
      <c r="A13" s="451">
        <v>1300</v>
      </c>
      <c r="B13" s="432" t="s">
        <v>1272</v>
      </c>
      <c r="C13" s="339">
        <v>20</v>
      </c>
      <c r="D13" s="432" t="s">
        <v>1273</v>
      </c>
    </row>
    <row r="14" spans="1:4" ht="27" thickTop="1" thickBot="1" x14ac:dyDescent="0.3">
      <c r="A14" s="451">
        <v>1310</v>
      </c>
      <c r="B14" s="432" t="s">
        <v>1274</v>
      </c>
      <c r="C14" s="339">
        <v>20</v>
      </c>
      <c r="D14" s="432" t="s">
        <v>1273</v>
      </c>
    </row>
    <row r="15" spans="1:4" ht="16.5" thickTop="1" thickBot="1" x14ac:dyDescent="0.3">
      <c r="A15" s="451">
        <v>1320</v>
      </c>
      <c r="B15" s="432" t="s">
        <v>1275</v>
      </c>
      <c r="C15" s="339">
        <v>20</v>
      </c>
      <c r="D15" s="432" t="s">
        <v>1273</v>
      </c>
    </row>
    <row r="16" spans="1:4" ht="16.5" thickTop="1" thickBot="1" x14ac:dyDescent="0.3">
      <c r="A16" s="451">
        <v>1330</v>
      </c>
      <c r="B16" s="432" t="s">
        <v>1276</v>
      </c>
      <c r="C16" s="339">
        <v>21</v>
      </c>
      <c r="D16" s="432" t="s">
        <v>1277</v>
      </c>
    </row>
    <row r="17" spans="1:4" ht="16.5" thickTop="1" thickBot="1" x14ac:dyDescent="0.3">
      <c r="A17" s="451">
        <v>1340</v>
      </c>
      <c r="B17" s="432" t="s">
        <v>1278</v>
      </c>
      <c r="C17" s="339">
        <v>21</v>
      </c>
      <c r="D17" s="432" t="s">
        <v>1277</v>
      </c>
    </row>
    <row r="18" spans="1:4" ht="27" thickTop="1" thickBot="1" x14ac:dyDescent="0.3">
      <c r="A18" s="451">
        <v>1350</v>
      </c>
      <c r="B18" s="432" t="s">
        <v>1279</v>
      </c>
      <c r="C18" s="339">
        <v>20</v>
      </c>
      <c r="D18" s="432" t="s">
        <v>1273</v>
      </c>
    </row>
    <row r="19" spans="1:4" ht="16.5" thickTop="1" thickBot="1" x14ac:dyDescent="0.3">
      <c r="A19" s="451">
        <v>1390</v>
      </c>
      <c r="B19" s="432" t="s">
        <v>1280</v>
      </c>
      <c r="C19" s="339">
        <v>20</v>
      </c>
      <c r="D19" s="432" t="s">
        <v>1273</v>
      </c>
    </row>
    <row r="20" spans="1:4" ht="16.5" thickTop="1" thickBot="1" x14ac:dyDescent="0.3">
      <c r="A20" s="451">
        <v>1400</v>
      </c>
      <c r="B20" s="432" t="s">
        <v>1166</v>
      </c>
      <c r="C20" s="339">
        <v>3</v>
      </c>
      <c r="D20" s="432" t="s">
        <v>1166</v>
      </c>
    </row>
    <row r="21" spans="1:4" ht="16.5" thickTop="1" thickBot="1" x14ac:dyDescent="0.3">
      <c r="A21" s="451">
        <v>1411</v>
      </c>
      <c r="B21" s="432" t="s">
        <v>1281</v>
      </c>
      <c r="C21" s="339">
        <v>3</v>
      </c>
      <c r="D21" s="432" t="s">
        <v>1166</v>
      </c>
    </row>
    <row r="22" spans="1:4" ht="27" thickTop="1" thickBot="1" x14ac:dyDescent="0.3">
      <c r="A22" s="451">
        <v>1423</v>
      </c>
      <c r="B22" s="432" t="s">
        <v>1282</v>
      </c>
      <c r="C22" s="339">
        <v>3</v>
      </c>
      <c r="D22" s="432" t="s">
        <v>1166</v>
      </c>
    </row>
    <row r="23" spans="1:4" ht="27" thickTop="1" thickBot="1" x14ac:dyDescent="0.3">
      <c r="A23" s="451">
        <v>1460</v>
      </c>
      <c r="B23" s="432" t="s">
        <v>1283</v>
      </c>
      <c r="C23" s="339">
        <v>3</v>
      </c>
      <c r="D23" s="432" t="s">
        <v>1166</v>
      </c>
    </row>
    <row r="24" spans="1:4" ht="16.5" thickTop="1" thickBot="1" x14ac:dyDescent="0.3">
      <c r="A24" s="451">
        <v>1480</v>
      </c>
      <c r="B24" s="432" t="s">
        <v>1284</v>
      </c>
      <c r="C24" s="339">
        <v>23</v>
      </c>
      <c r="D24" s="432" t="s">
        <v>1285</v>
      </c>
    </row>
    <row r="25" spans="1:4" ht="27" thickTop="1" thickBot="1" x14ac:dyDescent="0.3">
      <c r="A25" s="451">
        <v>1490</v>
      </c>
      <c r="B25" s="432" t="s">
        <v>1286</v>
      </c>
      <c r="C25" s="339">
        <v>3</v>
      </c>
      <c r="D25" s="432" t="s">
        <v>1166</v>
      </c>
    </row>
    <row r="26" spans="1:4" ht="16.5" thickTop="1" thickBot="1" x14ac:dyDescent="0.3">
      <c r="A26" s="451">
        <v>1500</v>
      </c>
      <c r="B26" s="432" t="s">
        <v>1167</v>
      </c>
      <c r="C26" s="339">
        <v>22</v>
      </c>
      <c r="D26" s="432" t="s">
        <v>1167</v>
      </c>
    </row>
    <row r="27" spans="1:4" ht="16.5" thickTop="1" thickBot="1" x14ac:dyDescent="0.3">
      <c r="A27" s="451">
        <v>1550</v>
      </c>
      <c r="B27" s="432" t="s">
        <v>1287</v>
      </c>
      <c r="C27" s="339">
        <v>22</v>
      </c>
      <c r="D27" s="432" t="s">
        <v>1167</v>
      </c>
    </row>
    <row r="28" spans="1:4" ht="16.5" thickTop="1" thickBot="1" x14ac:dyDescent="0.3">
      <c r="A28" s="451">
        <v>1560</v>
      </c>
      <c r="B28" s="432" t="s">
        <v>1288</v>
      </c>
      <c r="C28" s="339">
        <v>22</v>
      </c>
      <c r="D28" s="432" t="s">
        <v>1167</v>
      </c>
    </row>
    <row r="29" spans="1:4" ht="16.5" thickTop="1" thickBot="1" x14ac:dyDescent="0.3">
      <c r="A29" s="451">
        <v>1600</v>
      </c>
      <c r="B29" s="432" t="s">
        <v>1168</v>
      </c>
      <c r="C29" s="339">
        <v>73</v>
      </c>
      <c r="D29" s="432" t="s">
        <v>1289</v>
      </c>
    </row>
    <row r="30" spans="1:4" ht="16.5" thickTop="1" thickBot="1" x14ac:dyDescent="0.3">
      <c r="A30" s="451">
        <v>1611</v>
      </c>
      <c r="B30" s="432" t="s">
        <v>1290</v>
      </c>
      <c r="C30" s="339">
        <v>73</v>
      </c>
      <c r="D30" s="432" t="s">
        <v>1289</v>
      </c>
    </row>
    <row r="31" spans="1:4" ht="16.5" thickTop="1" thickBot="1" x14ac:dyDescent="0.3">
      <c r="A31" s="451">
        <v>1620</v>
      </c>
      <c r="B31" s="432" t="s">
        <v>1291</v>
      </c>
      <c r="C31" s="339">
        <v>73</v>
      </c>
      <c r="D31" s="432" t="s">
        <v>1289</v>
      </c>
    </row>
    <row r="32" spans="1:4" ht="16.5" thickTop="1" thickBot="1" x14ac:dyDescent="0.3">
      <c r="A32" s="451">
        <v>1630</v>
      </c>
      <c r="B32" s="432" t="s">
        <v>1292</v>
      </c>
      <c r="C32" s="339">
        <v>73</v>
      </c>
      <c r="D32" s="432" t="s">
        <v>1289</v>
      </c>
    </row>
    <row r="33" spans="1:4" ht="16.5" thickTop="1" thickBot="1" x14ac:dyDescent="0.3">
      <c r="A33" s="451">
        <v>1650</v>
      </c>
      <c r="B33" s="432" t="s">
        <v>1293</v>
      </c>
      <c r="C33" s="339">
        <v>5</v>
      </c>
      <c r="D33" s="432" t="s">
        <v>1294</v>
      </c>
    </row>
    <row r="34" spans="1:4" ht="16.5" thickTop="1" thickBot="1" x14ac:dyDescent="0.3">
      <c r="A34" s="451">
        <v>1660</v>
      </c>
      <c r="B34" s="432" t="s">
        <v>1295</v>
      </c>
      <c r="C34" s="339">
        <v>73</v>
      </c>
      <c r="D34" s="432" t="s">
        <v>1289</v>
      </c>
    </row>
    <row r="35" spans="1:4" ht="16.5" thickTop="1" thickBot="1" x14ac:dyDescent="0.3">
      <c r="A35" s="451">
        <v>1670</v>
      </c>
      <c r="B35" s="432" t="s">
        <v>1296</v>
      </c>
      <c r="C35" s="339">
        <v>73</v>
      </c>
      <c r="D35" s="432" t="s">
        <v>1289</v>
      </c>
    </row>
    <row r="36" spans="1:4" ht="16.5" thickTop="1" thickBot="1" x14ac:dyDescent="0.3">
      <c r="A36" s="451">
        <v>1700</v>
      </c>
      <c r="B36" s="432" t="s">
        <v>1169</v>
      </c>
      <c r="C36" s="339">
        <v>3</v>
      </c>
      <c r="D36" s="432" t="s">
        <v>1166</v>
      </c>
    </row>
    <row r="37" spans="1:4" ht="16.5" thickTop="1" thickBot="1" x14ac:dyDescent="0.3">
      <c r="A37" s="451">
        <v>1710</v>
      </c>
      <c r="B37" s="432" t="s">
        <v>1297</v>
      </c>
      <c r="C37" s="339">
        <v>3</v>
      </c>
      <c r="D37" s="432" t="s">
        <v>1166</v>
      </c>
    </row>
    <row r="38" spans="1:4" ht="16.5" thickTop="1" thickBot="1" x14ac:dyDescent="0.3">
      <c r="A38" s="451">
        <v>1730</v>
      </c>
      <c r="B38" s="432" t="s">
        <v>1298</v>
      </c>
      <c r="C38" s="339">
        <v>3</v>
      </c>
      <c r="D38" s="432" t="s">
        <v>1166</v>
      </c>
    </row>
    <row r="39" spans="1:4" ht="16.5" thickTop="1" thickBot="1" x14ac:dyDescent="0.3">
      <c r="A39" s="451">
        <v>1760</v>
      </c>
      <c r="B39" s="432" t="s">
        <v>1299</v>
      </c>
      <c r="C39" s="339">
        <v>72</v>
      </c>
      <c r="D39" s="432" t="s">
        <v>1300</v>
      </c>
    </row>
    <row r="40" spans="1:4" ht="16.5" thickTop="1" thickBot="1" x14ac:dyDescent="0.3">
      <c r="A40" s="451">
        <v>1800</v>
      </c>
      <c r="B40" s="432" t="s">
        <v>1170</v>
      </c>
      <c r="C40" s="339">
        <v>3</v>
      </c>
      <c r="D40" s="432" t="s">
        <v>1166</v>
      </c>
    </row>
    <row r="41" spans="1:4" ht="16.5" thickTop="1" thickBot="1" x14ac:dyDescent="0.3">
      <c r="A41" s="451">
        <v>1810</v>
      </c>
      <c r="B41" s="432" t="s">
        <v>1301</v>
      </c>
      <c r="C41" s="339">
        <v>3</v>
      </c>
      <c r="D41" s="432" t="s">
        <v>1166</v>
      </c>
    </row>
    <row r="42" spans="1:4" ht="16.5" thickTop="1" thickBot="1" x14ac:dyDescent="0.3">
      <c r="A42" s="451">
        <v>1820</v>
      </c>
      <c r="B42" s="432" t="s">
        <v>1302</v>
      </c>
      <c r="C42" s="339">
        <v>23</v>
      </c>
      <c r="D42" s="432" t="s">
        <v>1285</v>
      </c>
    </row>
    <row r="43" spans="1:4" ht="16.5" thickTop="1" thickBot="1" x14ac:dyDescent="0.3">
      <c r="A43" s="451">
        <v>1830</v>
      </c>
      <c r="B43" s="432" t="s">
        <v>1303</v>
      </c>
      <c r="C43" s="339">
        <v>24</v>
      </c>
      <c r="D43" s="432" t="s">
        <v>1304</v>
      </c>
    </row>
    <row r="44" spans="1:4" ht="16.5" thickTop="1" thickBot="1" x14ac:dyDescent="0.3">
      <c r="A44" s="451">
        <v>1840</v>
      </c>
      <c r="B44" s="432" t="s">
        <v>1305</v>
      </c>
      <c r="C44" s="339">
        <v>3</v>
      </c>
      <c r="D44" s="432" t="s">
        <v>1166</v>
      </c>
    </row>
    <row r="45" spans="1:4" ht="16.5" thickTop="1" thickBot="1" x14ac:dyDescent="0.3">
      <c r="A45" s="451">
        <v>1850</v>
      </c>
      <c r="B45" s="432" t="s">
        <v>1306</v>
      </c>
      <c r="C45" s="339">
        <v>23</v>
      </c>
      <c r="D45" s="432" t="s">
        <v>1285</v>
      </c>
    </row>
    <row r="46" spans="1:4" ht="16.5" thickTop="1" thickBot="1" x14ac:dyDescent="0.3">
      <c r="A46" s="451">
        <v>1860</v>
      </c>
      <c r="B46" s="432" t="s">
        <v>1307</v>
      </c>
      <c r="C46" s="339">
        <v>3</v>
      </c>
      <c r="D46" s="432" t="s">
        <v>1166</v>
      </c>
    </row>
    <row r="47" spans="1:4" ht="16.5" thickTop="1" thickBot="1" x14ac:dyDescent="0.3">
      <c r="A47" s="451">
        <v>1870</v>
      </c>
      <c r="B47" s="432" t="s">
        <v>1308</v>
      </c>
      <c r="C47" s="339">
        <v>3</v>
      </c>
      <c r="D47" s="432" t="s">
        <v>1166</v>
      </c>
    </row>
    <row r="48" spans="1:4" ht="16.5" thickTop="1" thickBot="1" x14ac:dyDescent="0.3">
      <c r="A48" s="451">
        <v>1900</v>
      </c>
      <c r="B48" s="432" t="s">
        <v>1309</v>
      </c>
      <c r="C48" s="339">
        <v>70</v>
      </c>
      <c r="D48" s="432" t="s">
        <v>1310</v>
      </c>
    </row>
    <row r="49" spans="1:4" ht="16.5" thickTop="1" thickBot="1" x14ac:dyDescent="0.3">
      <c r="A49" s="451">
        <v>1920</v>
      </c>
      <c r="B49" s="432" t="s">
        <v>1311</v>
      </c>
      <c r="C49" s="339">
        <v>70</v>
      </c>
      <c r="D49" s="432" t="s">
        <v>1310</v>
      </c>
    </row>
    <row r="50" spans="1:4" ht="16.5" thickTop="1" thickBot="1" x14ac:dyDescent="0.3">
      <c r="A50" s="451">
        <v>2100</v>
      </c>
      <c r="B50" s="432" t="s">
        <v>1312</v>
      </c>
      <c r="C50" s="339">
        <v>4</v>
      </c>
      <c r="D50" s="432" t="s">
        <v>1313</v>
      </c>
    </row>
    <row r="51" spans="1:4" ht="16.5" thickTop="1" thickBot="1" x14ac:dyDescent="0.3">
      <c r="A51" s="451">
        <v>2110</v>
      </c>
      <c r="B51" s="432" t="s">
        <v>1314</v>
      </c>
      <c r="C51" s="339">
        <v>26</v>
      </c>
      <c r="D51" s="432" t="s">
        <v>1199</v>
      </c>
    </row>
    <row r="52" spans="1:4" ht="16.5" thickTop="1" thickBot="1" x14ac:dyDescent="0.3">
      <c r="A52" s="451">
        <v>2120</v>
      </c>
      <c r="B52" s="432" t="s">
        <v>1315</v>
      </c>
      <c r="C52" s="339">
        <v>27</v>
      </c>
      <c r="D52" s="432" t="s">
        <v>1200</v>
      </c>
    </row>
    <row r="53" spans="1:4" ht="16.5" thickTop="1" thickBot="1" x14ac:dyDescent="0.3">
      <c r="A53" s="451">
        <v>2130</v>
      </c>
      <c r="B53" s="432" t="s">
        <v>1316</v>
      </c>
      <c r="C53" s="339">
        <v>28</v>
      </c>
      <c r="D53" s="432" t="s">
        <v>1201</v>
      </c>
    </row>
    <row r="54" spans="1:4" ht="16.5" thickTop="1" thickBot="1" x14ac:dyDescent="0.3">
      <c r="A54" s="451">
        <v>2140</v>
      </c>
      <c r="B54" s="432" t="s">
        <v>1202</v>
      </c>
      <c r="C54" s="339">
        <v>25</v>
      </c>
      <c r="D54" s="432" t="s">
        <v>1202</v>
      </c>
    </row>
    <row r="55" spans="1:4" ht="16.5" thickTop="1" thickBot="1" x14ac:dyDescent="0.3">
      <c r="A55" s="451">
        <v>2150</v>
      </c>
      <c r="B55" s="432" t="s">
        <v>1203</v>
      </c>
      <c r="C55" s="339">
        <v>62</v>
      </c>
      <c r="D55" s="432" t="s">
        <v>1203</v>
      </c>
    </row>
    <row r="56" spans="1:4" ht="16.5" thickTop="1" thickBot="1" x14ac:dyDescent="0.3">
      <c r="A56" s="451">
        <v>2156</v>
      </c>
      <c r="B56" s="432" t="s">
        <v>1317</v>
      </c>
      <c r="C56" s="339">
        <v>68</v>
      </c>
      <c r="D56" s="432" t="s">
        <v>1318</v>
      </c>
    </row>
    <row r="57" spans="1:4" ht="16.5" thickTop="1" thickBot="1" x14ac:dyDescent="0.3">
      <c r="A57" s="451">
        <v>2200</v>
      </c>
      <c r="B57" s="432" t="s">
        <v>1319</v>
      </c>
      <c r="C57" s="339">
        <v>84</v>
      </c>
      <c r="D57" s="432" t="s">
        <v>897</v>
      </c>
    </row>
    <row r="58" spans="1:4" ht="16.5" thickTop="1" thickBot="1" x14ac:dyDescent="0.3">
      <c r="A58" s="451">
        <v>2210</v>
      </c>
      <c r="B58" s="432" t="s">
        <v>897</v>
      </c>
      <c r="C58" s="339">
        <v>84</v>
      </c>
      <c r="D58" s="432" t="s">
        <v>897</v>
      </c>
    </row>
    <row r="59" spans="1:4" ht="16.5" thickTop="1" thickBot="1" x14ac:dyDescent="0.3">
      <c r="A59" s="451">
        <v>2230</v>
      </c>
      <c r="B59" s="432" t="s">
        <v>1320</v>
      </c>
      <c r="C59" s="339">
        <v>30</v>
      </c>
      <c r="D59" s="432" t="s">
        <v>1204</v>
      </c>
    </row>
    <row r="60" spans="1:4" ht="16.5" thickTop="1" thickBot="1" x14ac:dyDescent="0.3">
      <c r="A60" s="451">
        <v>2240</v>
      </c>
      <c r="B60" s="432" t="s">
        <v>1321</v>
      </c>
      <c r="C60" s="339">
        <v>30</v>
      </c>
      <c r="D60" s="432" t="s">
        <v>1204</v>
      </c>
    </row>
    <row r="61" spans="1:4" ht="16.5" thickTop="1" thickBot="1" x14ac:dyDescent="0.3">
      <c r="A61" s="451">
        <v>2300</v>
      </c>
      <c r="B61" s="432" t="s">
        <v>1174</v>
      </c>
      <c r="C61" s="339">
        <v>32</v>
      </c>
      <c r="D61" s="432" t="s">
        <v>1205</v>
      </c>
    </row>
    <row r="62" spans="1:4" ht="16.5" thickTop="1" thickBot="1" x14ac:dyDescent="0.3">
      <c r="A62" s="451">
        <v>2310</v>
      </c>
      <c r="B62" s="432" t="s">
        <v>956</v>
      </c>
      <c r="C62" s="339">
        <v>32</v>
      </c>
      <c r="D62" s="432" t="s">
        <v>1205</v>
      </c>
    </row>
    <row r="63" spans="1:4" ht="16.5" thickTop="1" thickBot="1" x14ac:dyDescent="0.3">
      <c r="A63" s="451">
        <v>2320</v>
      </c>
      <c r="B63" s="432" t="s">
        <v>952</v>
      </c>
      <c r="C63" s="339">
        <v>33</v>
      </c>
      <c r="D63" s="432" t="s">
        <v>1322</v>
      </c>
    </row>
    <row r="64" spans="1:4" ht="16.5" thickTop="1" thickBot="1" x14ac:dyDescent="0.3">
      <c r="A64" s="451">
        <v>2400</v>
      </c>
      <c r="B64" s="432" t="s">
        <v>1175</v>
      </c>
      <c r="C64" s="339">
        <v>35</v>
      </c>
      <c r="D64" s="432" t="s">
        <v>948</v>
      </c>
    </row>
    <row r="65" spans="1:4" ht="16.5" thickTop="1" thickBot="1" x14ac:dyDescent="0.3">
      <c r="A65" s="451">
        <v>2410</v>
      </c>
      <c r="B65" s="432" t="s">
        <v>948</v>
      </c>
      <c r="C65" s="339">
        <v>35</v>
      </c>
      <c r="D65" s="432" t="s">
        <v>948</v>
      </c>
    </row>
    <row r="66" spans="1:4" ht="16.5" thickTop="1" thickBot="1" x14ac:dyDescent="0.3">
      <c r="A66" s="451">
        <v>2420</v>
      </c>
      <c r="B66" s="432" t="s">
        <v>942</v>
      </c>
      <c r="C66" s="339">
        <v>36</v>
      </c>
      <c r="D66" s="432" t="s">
        <v>942</v>
      </c>
    </row>
    <row r="67" spans="1:4" ht="16.5" thickTop="1" thickBot="1" x14ac:dyDescent="0.3">
      <c r="A67" s="451">
        <v>2430</v>
      </c>
      <c r="B67" s="432" t="s">
        <v>950</v>
      </c>
      <c r="C67" s="339">
        <v>37</v>
      </c>
      <c r="D67" s="432" t="s">
        <v>1206</v>
      </c>
    </row>
    <row r="68" spans="1:4" ht="16.5" thickTop="1" thickBot="1" x14ac:dyDescent="0.3">
      <c r="A68" s="451">
        <v>2500</v>
      </c>
      <c r="B68" s="432" t="s">
        <v>1176</v>
      </c>
      <c r="C68" s="339">
        <v>39</v>
      </c>
      <c r="D68" s="432" t="s">
        <v>896</v>
      </c>
    </row>
    <row r="69" spans="1:4" ht="16.5" thickTop="1" thickBot="1" x14ac:dyDescent="0.3">
      <c r="A69" s="451">
        <v>2510</v>
      </c>
      <c r="B69" s="432" t="s">
        <v>1207</v>
      </c>
      <c r="C69" s="339">
        <v>38</v>
      </c>
      <c r="D69" s="432" t="s">
        <v>1207</v>
      </c>
    </row>
    <row r="70" spans="1:4" ht="16.5" thickTop="1" thickBot="1" x14ac:dyDescent="0.3">
      <c r="A70" s="451">
        <v>2520</v>
      </c>
      <c r="B70" s="432" t="s">
        <v>896</v>
      </c>
      <c r="C70" s="339">
        <v>39</v>
      </c>
      <c r="D70" s="432" t="s">
        <v>896</v>
      </c>
    </row>
    <row r="71" spans="1:4" ht="16.5" thickTop="1" thickBot="1" x14ac:dyDescent="0.3">
      <c r="A71" s="451">
        <v>2540</v>
      </c>
      <c r="B71" s="432" t="s">
        <v>1208</v>
      </c>
      <c r="C71" s="339">
        <v>41</v>
      </c>
      <c r="D71" s="432" t="s">
        <v>1208</v>
      </c>
    </row>
    <row r="72" spans="1:4" ht="16.5" thickTop="1" thickBot="1" x14ac:dyDescent="0.3">
      <c r="A72" s="451">
        <v>2600</v>
      </c>
      <c r="B72" s="432" t="s">
        <v>1323</v>
      </c>
      <c r="C72" s="339">
        <v>5</v>
      </c>
      <c r="D72" s="432" t="s">
        <v>1294</v>
      </c>
    </row>
    <row r="73" spans="1:4" ht="16.5" thickTop="1" thickBot="1" x14ac:dyDescent="0.3">
      <c r="A73" s="451">
        <v>2610</v>
      </c>
      <c r="B73" s="432" t="s">
        <v>1209</v>
      </c>
      <c r="C73" s="339">
        <v>5</v>
      </c>
      <c r="D73" s="432" t="s">
        <v>1294</v>
      </c>
    </row>
    <row r="74" spans="1:4" ht="16.5" thickTop="1" thickBot="1" x14ac:dyDescent="0.3">
      <c r="A74" s="451">
        <v>3100</v>
      </c>
      <c r="B74" s="432" t="s">
        <v>1178</v>
      </c>
      <c r="C74" s="339">
        <v>5</v>
      </c>
      <c r="D74" s="432" t="s">
        <v>1294</v>
      </c>
    </row>
    <row r="75" spans="1:4" ht="16.5" thickTop="1" thickBot="1" x14ac:dyDescent="0.3">
      <c r="A75" s="451">
        <v>3200</v>
      </c>
      <c r="B75" s="432" t="s">
        <v>1324</v>
      </c>
      <c r="C75" s="339">
        <v>5</v>
      </c>
      <c r="D75" s="432" t="s">
        <v>1294</v>
      </c>
    </row>
    <row r="76" spans="1:4" ht="16.5" thickTop="1" thickBot="1" x14ac:dyDescent="0.3">
      <c r="A76" s="451">
        <v>3210</v>
      </c>
      <c r="B76" s="432" t="s">
        <v>1325</v>
      </c>
      <c r="C76" s="339">
        <v>5</v>
      </c>
      <c r="D76" s="432" t="s">
        <v>1294</v>
      </c>
    </row>
    <row r="77" spans="1:4" ht="16.5" thickTop="1" thickBot="1" x14ac:dyDescent="0.3">
      <c r="A77" s="451">
        <v>3300</v>
      </c>
      <c r="B77" s="432" t="s">
        <v>1180</v>
      </c>
      <c r="C77" s="339">
        <v>5</v>
      </c>
      <c r="D77" s="432" t="s">
        <v>1294</v>
      </c>
    </row>
    <row r="78" spans="1:4" ht="16.5" thickTop="1" thickBot="1" x14ac:dyDescent="0.3">
      <c r="A78" s="451">
        <v>4100</v>
      </c>
      <c r="B78" s="432" t="s">
        <v>1181</v>
      </c>
      <c r="C78" s="339">
        <v>5</v>
      </c>
      <c r="D78" s="432" t="s">
        <v>1294</v>
      </c>
    </row>
    <row r="79" spans="1:4" ht="16.5" thickTop="1" thickBot="1" x14ac:dyDescent="0.3">
      <c r="A79" s="451">
        <v>4110</v>
      </c>
      <c r="B79" s="432" t="s">
        <v>1326</v>
      </c>
      <c r="C79" s="339">
        <v>5</v>
      </c>
      <c r="D79" s="432" t="s">
        <v>1294</v>
      </c>
    </row>
    <row r="80" spans="1:4" ht="16.5" thickTop="1" thickBot="1" x14ac:dyDescent="0.3">
      <c r="A80" s="451">
        <v>4120</v>
      </c>
      <c r="B80" s="432" t="s">
        <v>1327</v>
      </c>
      <c r="C80" s="339">
        <v>7</v>
      </c>
      <c r="D80" s="432" t="s">
        <v>1328</v>
      </c>
    </row>
    <row r="81" spans="1:4" ht="16.5" thickTop="1" thickBot="1" x14ac:dyDescent="0.3">
      <c r="A81" s="451">
        <v>4130</v>
      </c>
      <c r="B81" s="432" t="s">
        <v>1329</v>
      </c>
      <c r="C81" s="339">
        <v>5</v>
      </c>
      <c r="D81" s="432" t="s">
        <v>1294</v>
      </c>
    </row>
    <row r="82" spans="1:4" ht="16.5" thickTop="1" thickBot="1" x14ac:dyDescent="0.3">
      <c r="A82" s="451">
        <v>4140</v>
      </c>
      <c r="B82" s="432" t="s">
        <v>1330</v>
      </c>
      <c r="C82" s="339">
        <v>7</v>
      </c>
      <c r="D82" s="432" t="s">
        <v>1328</v>
      </c>
    </row>
    <row r="83" spans="1:4" ht="16.5" thickTop="1" thickBot="1" x14ac:dyDescent="0.3">
      <c r="A83" s="451">
        <v>4200</v>
      </c>
      <c r="B83" s="432" t="s">
        <v>1182</v>
      </c>
      <c r="C83" s="339">
        <v>7</v>
      </c>
      <c r="D83" s="432" t="s">
        <v>1328</v>
      </c>
    </row>
    <row r="84" spans="1:4" ht="16.5" thickTop="1" thickBot="1" x14ac:dyDescent="0.3">
      <c r="A84" s="451">
        <v>4210</v>
      </c>
      <c r="B84" s="432" t="s">
        <v>1331</v>
      </c>
      <c r="C84" s="339">
        <v>6</v>
      </c>
      <c r="D84" s="432" t="s">
        <v>1332</v>
      </c>
    </row>
    <row r="85" spans="1:4" ht="16.5" thickTop="1" thickBot="1" x14ac:dyDescent="0.3">
      <c r="A85" s="451">
        <v>4220</v>
      </c>
      <c r="B85" s="432" t="s">
        <v>1333</v>
      </c>
      <c r="C85" s="339">
        <v>7</v>
      </c>
      <c r="D85" s="432" t="s">
        <v>1328</v>
      </c>
    </row>
    <row r="86" spans="1:4" ht="16.5" thickTop="1" thickBot="1" x14ac:dyDescent="0.3">
      <c r="A86" s="451">
        <v>4240</v>
      </c>
      <c r="B86" s="432" t="s">
        <v>1334</v>
      </c>
      <c r="C86" s="339">
        <v>7</v>
      </c>
      <c r="D86" s="432" t="s">
        <v>1328</v>
      </c>
    </row>
    <row r="87" spans="1:4" ht="16.5" thickTop="1" thickBot="1" x14ac:dyDescent="0.3">
      <c r="A87" s="451">
        <v>4270</v>
      </c>
      <c r="B87" s="432" t="s">
        <v>1335</v>
      </c>
      <c r="C87" s="339">
        <v>6</v>
      </c>
      <c r="D87" s="432" t="s">
        <v>1332</v>
      </c>
    </row>
    <row r="88" spans="1:4" ht="16.5" thickTop="1" thickBot="1" x14ac:dyDescent="0.3">
      <c r="A88" s="451">
        <v>4271</v>
      </c>
      <c r="B88" s="432" t="s">
        <v>1336</v>
      </c>
      <c r="C88" s="339">
        <v>7</v>
      </c>
      <c r="D88" s="432" t="s">
        <v>1328</v>
      </c>
    </row>
    <row r="89" spans="1:4" ht="16.5" thickTop="1" thickBot="1" x14ac:dyDescent="0.3">
      <c r="A89" s="451">
        <v>4280</v>
      </c>
      <c r="B89" s="432" t="s">
        <v>1337</v>
      </c>
      <c r="C89" s="339">
        <v>7</v>
      </c>
      <c r="D89" s="432" t="s">
        <v>1328</v>
      </c>
    </row>
    <row r="90" spans="1:4" ht="16.5" thickTop="1" thickBot="1" x14ac:dyDescent="0.3">
      <c r="A90" s="451">
        <v>4340</v>
      </c>
      <c r="B90" s="432" t="s">
        <v>1338</v>
      </c>
      <c r="C90" s="339">
        <v>7</v>
      </c>
      <c r="D90" s="432" t="s">
        <v>1328</v>
      </c>
    </row>
    <row r="91" spans="1:4" ht="16.5" thickTop="1" thickBot="1" x14ac:dyDescent="0.3">
      <c r="A91" s="451">
        <v>4400</v>
      </c>
      <c r="B91" s="432" t="s">
        <v>1184</v>
      </c>
      <c r="C91" s="339">
        <v>8</v>
      </c>
      <c r="D91" s="432" t="s">
        <v>1339</v>
      </c>
    </row>
    <row r="92" spans="1:4" ht="16.5" thickTop="1" thickBot="1" x14ac:dyDescent="0.3">
      <c r="A92" s="451">
        <v>4410</v>
      </c>
      <c r="B92" s="432" t="s">
        <v>1339</v>
      </c>
      <c r="C92" s="339">
        <v>8</v>
      </c>
      <c r="D92" s="432" t="s">
        <v>1339</v>
      </c>
    </row>
    <row r="93" spans="1:4" ht="16.5" thickTop="1" thickBot="1" x14ac:dyDescent="0.3">
      <c r="A93" s="451">
        <v>4420</v>
      </c>
      <c r="B93" s="432" t="s">
        <v>1340</v>
      </c>
      <c r="C93" s="339">
        <v>8</v>
      </c>
      <c r="D93" s="432" t="s">
        <v>1339</v>
      </c>
    </row>
    <row r="94" spans="1:4" ht="16.5" thickTop="1" thickBot="1" x14ac:dyDescent="0.3">
      <c r="A94" s="451">
        <v>4430</v>
      </c>
      <c r="B94" s="432" t="s">
        <v>1341</v>
      </c>
      <c r="C94" s="339">
        <v>8</v>
      </c>
      <c r="D94" s="432" t="s">
        <v>1339</v>
      </c>
    </row>
    <row r="95" spans="1:4" ht="16.5" thickTop="1" thickBot="1" x14ac:dyDescent="0.3">
      <c r="A95" s="451">
        <v>5100</v>
      </c>
      <c r="B95" s="432" t="s">
        <v>1342</v>
      </c>
      <c r="C95" s="339">
        <v>9</v>
      </c>
      <c r="D95" s="432" t="s">
        <v>1343</v>
      </c>
    </row>
    <row r="96" spans="1:4" ht="16.5" thickTop="1" thickBot="1" x14ac:dyDescent="0.3">
      <c r="A96" s="451">
        <v>5110</v>
      </c>
      <c r="B96" s="432" t="s">
        <v>1344</v>
      </c>
      <c r="C96" s="339">
        <v>9</v>
      </c>
      <c r="D96" s="432" t="s">
        <v>1343</v>
      </c>
    </row>
    <row r="97" spans="1:4" ht="16.5" thickTop="1" thickBot="1" x14ac:dyDescent="0.3">
      <c r="A97" s="451">
        <v>5120</v>
      </c>
      <c r="B97" s="432" t="s">
        <v>1345</v>
      </c>
      <c r="C97" s="339">
        <v>9</v>
      </c>
      <c r="D97" s="432" t="s">
        <v>1343</v>
      </c>
    </row>
    <row r="98" spans="1:4" ht="16.5" thickTop="1" thickBot="1" x14ac:dyDescent="0.3">
      <c r="A98" s="451">
        <v>5200</v>
      </c>
      <c r="B98" s="432" t="s">
        <v>1198</v>
      </c>
      <c r="C98" s="339">
        <v>9</v>
      </c>
      <c r="D98" s="432" t="s">
        <v>1343</v>
      </c>
    </row>
    <row r="99" spans="1:4" ht="16.5" thickTop="1" thickBot="1" x14ac:dyDescent="0.3">
      <c r="A99" s="451">
        <v>5250</v>
      </c>
      <c r="B99" s="432" t="s">
        <v>1346</v>
      </c>
      <c r="C99" s="339">
        <v>9</v>
      </c>
      <c r="D99" s="432" t="s">
        <v>1343</v>
      </c>
    </row>
    <row r="100" spans="1:4" ht="16.5" thickTop="1" thickBot="1" x14ac:dyDescent="0.3">
      <c r="A100" s="451">
        <v>5300</v>
      </c>
      <c r="B100" s="432" t="s">
        <v>1186</v>
      </c>
      <c r="C100" s="339">
        <v>9</v>
      </c>
      <c r="D100" s="432" t="s">
        <v>1343</v>
      </c>
    </row>
    <row r="101" spans="1:4" ht="16.5" thickTop="1" thickBot="1" x14ac:dyDescent="0.3">
      <c r="A101" s="451">
        <v>5600</v>
      </c>
      <c r="B101" s="432" t="s">
        <v>1187</v>
      </c>
      <c r="C101" s="339">
        <v>9</v>
      </c>
      <c r="D101" s="432" t="s">
        <v>1343</v>
      </c>
    </row>
    <row r="102" spans="1:4" ht="27" thickTop="1" thickBot="1" x14ac:dyDescent="0.3">
      <c r="A102" s="451">
        <v>6100</v>
      </c>
      <c r="B102" s="432" t="s">
        <v>1188</v>
      </c>
      <c r="C102" s="339">
        <v>12</v>
      </c>
      <c r="D102" s="432" t="s">
        <v>1347</v>
      </c>
    </row>
    <row r="103" spans="1:4" ht="16.5" thickTop="1" thickBot="1" x14ac:dyDescent="0.3">
      <c r="A103" s="451">
        <v>6110</v>
      </c>
      <c r="B103" s="432" t="s">
        <v>1348</v>
      </c>
      <c r="C103" s="339">
        <v>10</v>
      </c>
      <c r="D103" s="432" t="s">
        <v>1348</v>
      </c>
    </row>
    <row r="104" spans="1:4" ht="16.5" thickTop="1" thickBot="1" x14ac:dyDescent="0.3">
      <c r="A104" s="451">
        <v>6111</v>
      </c>
      <c r="B104" s="432" t="s">
        <v>1349</v>
      </c>
      <c r="C104" s="339">
        <v>10</v>
      </c>
      <c r="D104" s="432" t="s">
        <v>1348</v>
      </c>
    </row>
    <row r="105" spans="1:4" ht="16.5" thickTop="1" thickBot="1" x14ac:dyDescent="0.3">
      <c r="A105" s="451">
        <v>6150</v>
      </c>
      <c r="B105" s="432" t="s">
        <v>1350</v>
      </c>
      <c r="C105" s="339">
        <v>15</v>
      </c>
      <c r="D105" s="432" t="s">
        <v>1190</v>
      </c>
    </row>
    <row r="106" spans="1:4" ht="27" thickTop="1" thickBot="1" x14ac:dyDescent="0.3">
      <c r="A106" s="451">
        <v>6170</v>
      </c>
      <c r="B106" s="432" t="s">
        <v>1347</v>
      </c>
      <c r="C106" s="339">
        <v>12</v>
      </c>
      <c r="D106" s="432" t="s">
        <v>1347</v>
      </c>
    </row>
    <row r="107" spans="1:4" ht="27" thickTop="1" thickBot="1" x14ac:dyDescent="0.3">
      <c r="A107" s="451">
        <v>6172</v>
      </c>
      <c r="B107" s="432" t="s">
        <v>1351</v>
      </c>
      <c r="C107" s="339">
        <v>12</v>
      </c>
      <c r="D107" s="432" t="s">
        <v>1347</v>
      </c>
    </row>
    <row r="108" spans="1:4" ht="16.5" thickTop="1" thickBot="1" x14ac:dyDescent="0.3">
      <c r="A108" s="451">
        <v>6180</v>
      </c>
      <c r="B108" s="432" t="s">
        <v>1352</v>
      </c>
      <c r="C108" s="339">
        <v>15</v>
      </c>
      <c r="D108" s="432" t="s">
        <v>1190</v>
      </c>
    </row>
    <row r="109" spans="1:4" ht="16.5" thickTop="1" thickBot="1" x14ac:dyDescent="0.3">
      <c r="A109" s="451">
        <v>6181</v>
      </c>
      <c r="B109" s="432" t="s">
        <v>1353</v>
      </c>
      <c r="C109" s="339">
        <v>15</v>
      </c>
      <c r="D109" s="432" t="s">
        <v>1190</v>
      </c>
    </row>
    <row r="110" spans="1:4" ht="16.5" thickTop="1" thickBot="1" x14ac:dyDescent="0.3">
      <c r="A110" s="451">
        <v>6191</v>
      </c>
      <c r="B110" s="432" t="s">
        <v>1354</v>
      </c>
      <c r="C110" s="339">
        <v>15</v>
      </c>
      <c r="D110" s="432" t="s">
        <v>1190</v>
      </c>
    </row>
    <row r="111" spans="1:4" ht="16.5" thickTop="1" thickBot="1" x14ac:dyDescent="0.3">
      <c r="A111" s="451">
        <v>6200</v>
      </c>
      <c r="B111" s="432" t="s">
        <v>1189</v>
      </c>
      <c r="C111" s="339">
        <v>15</v>
      </c>
      <c r="D111" s="432" t="s">
        <v>1190</v>
      </c>
    </row>
    <row r="112" spans="1:4" ht="16.5" thickTop="1" thickBot="1" x14ac:dyDescent="0.3">
      <c r="A112" s="451">
        <v>6210</v>
      </c>
      <c r="B112" s="432" t="s">
        <v>1355</v>
      </c>
      <c r="C112" s="339">
        <v>14</v>
      </c>
      <c r="D112" s="432" t="s">
        <v>1355</v>
      </c>
    </row>
    <row r="113" spans="1:4" ht="16.5" thickTop="1" thickBot="1" x14ac:dyDescent="0.3">
      <c r="A113" s="451">
        <v>6215</v>
      </c>
      <c r="B113" s="432" t="s">
        <v>1356</v>
      </c>
      <c r="C113" s="339">
        <v>16</v>
      </c>
      <c r="D113" s="432" t="s">
        <v>1357</v>
      </c>
    </row>
    <row r="114" spans="1:4" ht="16.5" thickTop="1" thickBot="1" x14ac:dyDescent="0.3">
      <c r="A114" s="451">
        <v>6216</v>
      </c>
      <c r="B114" s="432" t="s">
        <v>1358</v>
      </c>
      <c r="C114" s="339">
        <v>16</v>
      </c>
      <c r="D114" s="432" t="s">
        <v>1357</v>
      </c>
    </row>
    <row r="115" spans="1:4" ht="16.5" thickTop="1" thickBot="1" x14ac:dyDescent="0.3">
      <c r="A115" s="451">
        <v>6240</v>
      </c>
      <c r="B115" s="432" t="s">
        <v>1359</v>
      </c>
      <c r="C115" s="339">
        <v>15</v>
      </c>
      <c r="D115" s="432" t="s">
        <v>1190</v>
      </c>
    </row>
    <row r="116" spans="1:4" ht="16.5" thickTop="1" thickBot="1" x14ac:dyDescent="0.3">
      <c r="A116" s="451">
        <v>6250</v>
      </c>
      <c r="B116" s="432" t="s">
        <v>1360</v>
      </c>
      <c r="C116" s="339">
        <v>15</v>
      </c>
      <c r="D116" s="432" t="s">
        <v>1190</v>
      </c>
    </row>
    <row r="117" spans="1:4" ht="16.5" thickTop="1" thickBot="1" x14ac:dyDescent="0.3">
      <c r="A117" s="451">
        <v>6300</v>
      </c>
      <c r="B117" s="432" t="s">
        <v>1190</v>
      </c>
      <c r="C117" s="339">
        <v>15</v>
      </c>
      <c r="D117" s="432" t="s">
        <v>1190</v>
      </c>
    </row>
    <row r="118" spans="1:4" ht="27" thickTop="1" thickBot="1" x14ac:dyDescent="0.3">
      <c r="A118" s="451">
        <v>6410</v>
      </c>
      <c r="B118" s="432" t="s">
        <v>1361</v>
      </c>
      <c r="C118" s="339">
        <v>16</v>
      </c>
      <c r="D118" s="432" t="s">
        <v>1357</v>
      </c>
    </row>
    <row r="119" spans="1:4" ht="16.5" thickTop="1" thickBot="1" x14ac:dyDescent="0.3">
      <c r="A119" s="451">
        <v>6411</v>
      </c>
      <c r="B119" s="432" t="s">
        <v>1362</v>
      </c>
      <c r="C119" s="339">
        <v>16</v>
      </c>
      <c r="D119" s="432" t="s">
        <v>1357</v>
      </c>
    </row>
    <row r="120" spans="1:4" ht="16.5" thickTop="1" thickBot="1" x14ac:dyDescent="0.3">
      <c r="A120" s="451">
        <v>6430</v>
      </c>
      <c r="B120" s="432" t="s">
        <v>1363</v>
      </c>
      <c r="C120" s="339">
        <v>16</v>
      </c>
      <c r="D120" s="432" t="s">
        <v>1357</v>
      </c>
    </row>
    <row r="121" spans="1:4" ht="16.5" thickTop="1" thickBot="1" x14ac:dyDescent="0.3">
      <c r="A121" s="451">
        <v>6440</v>
      </c>
      <c r="B121" s="432" t="s">
        <v>1364</v>
      </c>
      <c r="C121" s="339">
        <v>16</v>
      </c>
      <c r="D121" s="432" t="s">
        <v>1357</v>
      </c>
    </row>
    <row r="122" spans="1:4" ht="16.5" thickTop="1" thickBot="1" x14ac:dyDescent="0.3">
      <c r="A122" s="451">
        <v>6460</v>
      </c>
      <c r="B122" s="432" t="s">
        <v>1365</v>
      </c>
      <c r="C122" s="339">
        <v>16</v>
      </c>
      <c r="D122" s="432" t="s">
        <v>1357</v>
      </c>
    </row>
    <row r="123" spans="1:4" ht="16.5" thickTop="1" thickBot="1" x14ac:dyDescent="0.3">
      <c r="A123" s="451">
        <v>6500</v>
      </c>
      <c r="B123" s="432" t="s">
        <v>1192</v>
      </c>
      <c r="C123" s="339">
        <v>16</v>
      </c>
      <c r="D123" s="432" t="s">
        <v>1357</v>
      </c>
    </row>
    <row r="124" spans="1:4" ht="16.5" thickTop="1" thickBot="1" x14ac:dyDescent="0.3">
      <c r="A124" s="451">
        <v>6520</v>
      </c>
      <c r="B124" s="432" t="s">
        <v>1366</v>
      </c>
      <c r="C124" s="339">
        <v>17</v>
      </c>
      <c r="D124" s="432" t="s">
        <v>780</v>
      </c>
    </row>
    <row r="125" spans="1:4" ht="16.5" thickTop="1" thickBot="1" x14ac:dyDescent="0.3">
      <c r="A125" s="451">
        <v>6530</v>
      </c>
      <c r="B125" s="432" t="s">
        <v>1367</v>
      </c>
      <c r="C125" s="339">
        <v>17</v>
      </c>
      <c r="D125" s="432" t="s">
        <v>780</v>
      </c>
    </row>
    <row r="126" spans="1:4" ht="16.5" thickTop="1" thickBot="1" x14ac:dyDescent="0.3">
      <c r="A126" s="451">
        <v>7200</v>
      </c>
      <c r="B126" s="432" t="s">
        <v>1193</v>
      </c>
      <c r="C126" s="339">
        <v>17</v>
      </c>
      <c r="D126" s="432" t="s">
        <v>780</v>
      </c>
    </row>
    <row r="127" spans="1:4" ht="16.5" thickTop="1" thickBot="1" x14ac:dyDescent="0.3">
      <c r="A127" s="451">
        <v>7400</v>
      </c>
      <c r="B127" s="432" t="s">
        <v>1368</v>
      </c>
      <c r="C127" s="339">
        <v>17</v>
      </c>
      <c r="D127" s="432" t="s">
        <v>780</v>
      </c>
    </row>
    <row r="128" spans="1:4" ht="16.5" thickTop="1" thickBot="1" x14ac:dyDescent="0.3">
      <c r="A128" s="451">
        <v>7410</v>
      </c>
      <c r="B128" s="432" t="s">
        <v>1313</v>
      </c>
      <c r="C128" s="339">
        <v>4</v>
      </c>
      <c r="D128" s="432" t="s">
        <v>1313</v>
      </c>
    </row>
    <row r="129" spans="1:4" ht="16.5" thickTop="1" thickBot="1" x14ac:dyDescent="0.3">
      <c r="A129" s="451">
        <v>7420</v>
      </c>
      <c r="B129" s="432" t="s">
        <v>1369</v>
      </c>
      <c r="C129" s="339">
        <v>17</v>
      </c>
      <c r="D129" s="432" t="s">
        <v>780</v>
      </c>
    </row>
    <row r="130" spans="1:4" ht="16.5" thickTop="1" thickBot="1" x14ac:dyDescent="0.3">
      <c r="A130" s="451">
        <v>7430</v>
      </c>
      <c r="B130" s="432" t="s">
        <v>1370</v>
      </c>
      <c r="C130" s="339">
        <v>17</v>
      </c>
      <c r="D130" s="432" t="s">
        <v>780</v>
      </c>
    </row>
    <row r="131" spans="1:4" ht="16.5" thickTop="1" thickBot="1" x14ac:dyDescent="0.3">
      <c r="A131" s="451">
        <v>7470</v>
      </c>
      <c r="B131" s="432" t="s">
        <v>1371</v>
      </c>
      <c r="C131" s="339">
        <v>17</v>
      </c>
      <c r="D131" s="432" t="s">
        <v>780</v>
      </c>
    </row>
    <row r="132" spans="1:4" ht="16.5" thickTop="1" thickBot="1" x14ac:dyDescent="0.3">
      <c r="A132" s="451">
        <v>8100</v>
      </c>
      <c r="B132" s="432" t="s">
        <v>1195</v>
      </c>
      <c r="C132" s="339">
        <v>18</v>
      </c>
      <c r="D132" s="432" t="s">
        <v>1372</v>
      </c>
    </row>
    <row r="133" spans="1:4" ht="16.5" thickTop="1" thickBot="1" x14ac:dyDescent="0.3">
      <c r="A133" s="451">
        <v>8110</v>
      </c>
      <c r="B133" s="432" t="s">
        <v>1373</v>
      </c>
      <c r="C133" s="339">
        <v>3</v>
      </c>
      <c r="D133" s="432" t="s">
        <v>1166</v>
      </c>
    </row>
    <row r="134" spans="1:4" ht="16.5" thickTop="1" thickBot="1" x14ac:dyDescent="0.3">
      <c r="A134" s="451">
        <v>8113</v>
      </c>
      <c r="B134" s="432" t="s">
        <v>1374</v>
      </c>
      <c r="C134" s="339">
        <v>3</v>
      </c>
      <c r="D134" s="432" t="s">
        <v>1166</v>
      </c>
    </row>
    <row r="135" spans="1:4" ht="16.5" thickTop="1" thickBot="1" x14ac:dyDescent="0.3">
      <c r="A135" s="451">
        <v>8115</v>
      </c>
      <c r="B135" s="432" t="s">
        <v>1375</v>
      </c>
      <c r="C135" s="339">
        <v>17</v>
      </c>
      <c r="D135" s="432" t="s">
        <v>780</v>
      </c>
    </row>
    <row r="136" spans="1:4" ht="16.5" thickTop="1" thickBot="1" x14ac:dyDescent="0.3">
      <c r="A136" s="451">
        <v>8120</v>
      </c>
      <c r="B136" s="432" t="s">
        <v>1376</v>
      </c>
      <c r="C136" s="339">
        <v>3</v>
      </c>
      <c r="D136" s="432" t="s">
        <v>1166</v>
      </c>
    </row>
    <row r="137" spans="1:4" ht="16.5" thickTop="1" thickBot="1" x14ac:dyDescent="0.3">
      <c r="A137" s="451">
        <v>8140</v>
      </c>
      <c r="B137" s="432" t="s">
        <v>1377</v>
      </c>
      <c r="C137" s="339">
        <v>18</v>
      </c>
      <c r="D137" s="432" t="s">
        <v>1372</v>
      </c>
    </row>
    <row r="138" spans="1:4" ht="16.5" thickTop="1" thickBot="1" x14ac:dyDescent="0.3">
      <c r="A138" s="451">
        <v>8180</v>
      </c>
      <c r="B138" s="432" t="s">
        <v>1378</v>
      </c>
      <c r="C138" s="339">
        <v>3</v>
      </c>
      <c r="D138" s="432" t="s">
        <v>1166</v>
      </c>
    </row>
    <row r="139" spans="1:4" ht="16.5" thickTop="1" thickBot="1" x14ac:dyDescent="0.3">
      <c r="A139" s="451">
        <v>8200</v>
      </c>
      <c r="B139" s="432" t="s">
        <v>1196</v>
      </c>
      <c r="C139" s="339">
        <v>3</v>
      </c>
      <c r="D139" s="432" t="s">
        <v>1166</v>
      </c>
    </row>
    <row r="140" spans="1:4" ht="16.5" thickTop="1" thickBot="1" x14ac:dyDescent="0.3">
      <c r="A140" s="451">
        <v>8300</v>
      </c>
      <c r="B140" s="432" t="s">
        <v>1197</v>
      </c>
      <c r="C140" s="339">
        <v>22</v>
      </c>
      <c r="D140" s="432" t="s">
        <v>1167</v>
      </c>
    </row>
    <row r="141" spans="1:4" ht="16.5" thickTop="1" thickBot="1" x14ac:dyDescent="0.3">
      <c r="A141" s="451">
        <v>8310</v>
      </c>
      <c r="B141" s="432" t="s">
        <v>1379</v>
      </c>
      <c r="C141" s="339">
        <v>22</v>
      </c>
      <c r="D141" s="432" t="s">
        <v>1167</v>
      </c>
    </row>
    <row r="142" spans="1:4" ht="16.5" thickTop="1" thickBot="1" x14ac:dyDescent="0.3">
      <c r="A142" s="451">
        <v>8320</v>
      </c>
      <c r="B142" s="432" t="s">
        <v>1380</v>
      </c>
      <c r="C142" s="339">
        <v>5</v>
      </c>
      <c r="D142" s="432" t="s">
        <v>1294</v>
      </c>
    </row>
    <row r="143" spans="1:4" ht="27" thickTop="1" thickBot="1" x14ac:dyDescent="0.3">
      <c r="A143" s="451">
        <v>8330</v>
      </c>
      <c r="B143" s="432" t="s">
        <v>1381</v>
      </c>
      <c r="C143" s="339">
        <v>22</v>
      </c>
      <c r="D143" s="432" t="s">
        <v>1167</v>
      </c>
    </row>
    <row r="144" spans="1:4" ht="16.5" thickTop="1" thickBot="1" x14ac:dyDescent="0.3">
      <c r="A144" s="451">
        <v>8340</v>
      </c>
      <c r="B144" s="432" t="s">
        <v>1382</v>
      </c>
      <c r="C144" s="339">
        <v>43</v>
      </c>
      <c r="D144" s="432" t="s">
        <v>1382</v>
      </c>
    </row>
    <row r="145" spans="1:4" ht="16.5" thickTop="1" thickBot="1" x14ac:dyDescent="0.3">
      <c r="A145" s="451">
        <v>8350</v>
      </c>
      <c r="B145" s="432" t="s">
        <v>1383</v>
      </c>
      <c r="C145" s="339">
        <v>44</v>
      </c>
      <c r="D145" s="432" t="s">
        <v>1383</v>
      </c>
    </row>
    <row r="146" spans="1:4" ht="16.5" thickTop="1" thickBot="1" x14ac:dyDescent="0.3">
      <c r="A146" s="451">
        <v>8370</v>
      </c>
      <c r="B146" s="432" t="s">
        <v>1384</v>
      </c>
      <c r="C146" s="339">
        <v>3</v>
      </c>
      <c r="D146" s="432" t="s">
        <v>1166</v>
      </c>
    </row>
    <row r="147" spans="1:4" ht="16.5" thickTop="1" thickBot="1" x14ac:dyDescent="0.3">
      <c r="A147" s="451">
        <v>9520</v>
      </c>
      <c r="B147" s="432" t="s">
        <v>782</v>
      </c>
      <c r="C147" s="339">
        <v>89</v>
      </c>
      <c r="D147" s="432" t="s">
        <v>782</v>
      </c>
    </row>
    <row r="148" spans="1:4" ht="15.75" thickTop="1" x14ac:dyDescent="0.25"/>
  </sheetData>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99FF"/>
  </sheetPr>
  <dimension ref="A1:G40"/>
  <sheetViews>
    <sheetView workbookViewId="0">
      <selection activeCell="H12" sqref="H12"/>
    </sheetView>
  </sheetViews>
  <sheetFormatPr defaultRowHeight="15" x14ac:dyDescent="0.25"/>
  <cols>
    <col min="1" max="1" width="13.42578125" customWidth="1"/>
    <col min="2" max="2" width="59.42578125" customWidth="1"/>
    <col min="3" max="3" width="15.85546875" customWidth="1"/>
    <col min="4" max="4" width="12.140625" customWidth="1"/>
  </cols>
  <sheetData>
    <row r="1" spans="1:7" ht="27" thickTop="1" thickBot="1" x14ac:dyDescent="0.3">
      <c r="A1" s="112" t="s">
        <v>1162</v>
      </c>
      <c r="B1" s="113" t="s">
        <v>772</v>
      </c>
      <c r="C1" s="113" t="s">
        <v>773</v>
      </c>
      <c r="D1" s="113" t="s">
        <v>774</v>
      </c>
      <c r="G1" t="s">
        <v>1254</v>
      </c>
    </row>
    <row r="2" spans="1:7" ht="16.5" thickTop="1" thickBot="1" x14ac:dyDescent="0.3">
      <c r="A2" s="255">
        <v>1100</v>
      </c>
      <c r="B2" s="126" t="s">
        <v>1163</v>
      </c>
      <c r="C2" s="127">
        <v>106463.781478</v>
      </c>
      <c r="D2" s="128">
        <v>2.7313429208841424E-2</v>
      </c>
      <c r="G2" t="s">
        <v>1255</v>
      </c>
    </row>
    <row r="3" spans="1:7" ht="15.75" thickBot="1" x14ac:dyDescent="0.3">
      <c r="A3" s="255">
        <v>1200</v>
      </c>
      <c r="B3" s="126" t="s">
        <v>1164</v>
      </c>
      <c r="C3" s="127">
        <v>97989.361025299993</v>
      </c>
      <c r="D3" s="128">
        <v>2.5139305014609131E-2</v>
      </c>
    </row>
    <row r="4" spans="1:7" ht="15.75" thickBot="1" x14ac:dyDescent="0.3">
      <c r="A4" s="255">
        <v>1300</v>
      </c>
      <c r="B4" s="126" t="s">
        <v>1165</v>
      </c>
      <c r="C4" s="127">
        <v>23478.423098499999</v>
      </c>
      <c r="D4" s="128">
        <v>6.0234216588354256E-3</v>
      </c>
    </row>
    <row r="5" spans="1:7" ht="15.75" thickBot="1" x14ac:dyDescent="0.3">
      <c r="A5" s="255">
        <v>1400</v>
      </c>
      <c r="B5" s="126" t="s">
        <v>1166</v>
      </c>
      <c r="C5" s="127">
        <v>39001.063710199996</v>
      </c>
      <c r="D5" s="128">
        <v>1.0005776405172953E-2</v>
      </c>
    </row>
    <row r="6" spans="1:7" ht="15.75" thickBot="1" x14ac:dyDescent="0.3">
      <c r="A6" s="255">
        <v>1500</v>
      </c>
      <c r="B6" s="126" t="s">
        <v>1167</v>
      </c>
      <c r="C6" s="127">
        <v>5899.7915411900003</v>
      </c>
      <c r="D6" s="128">
        <v>1.5135996145366458E-3</v>
      </c>
    </row>
    <row r="7" spans="1:7" ht="15.75" thickBot="1" x14ac:dyDescent="0.3">
      <c r="A7" s="255">
        <v>1600</v>
      </c>
      <c r="B7" s="126" t="s">
        <v>1168</v>
      </c>
      <c r="C7" s="127">
        <v>8145.67138049</v>
      </c>
      <c r="D7" s="128">
        <v>2.0897831687058232E-3</v>
      </c>
    </row>
    <row r="8" spans="1:7" ht="15.75" thickBot="1" x14ac:dyDescent="0.3">
      <c r="A8" s="255">
        <v>1700</v>
      </c>
      <c r="B8" s="126" t="s">
        <v>1169</v>
      </c>
      <c r="C8" s="127">
        <v>12478.480072300001</v>
      </c>
      <c r="D8" s="128">
        <v>3.2013711832989383E-3</v>
      </c>
    </row>
    <row r="9" spans="1:7" ht="15.75" thickBot="1" x14ac:dyDescent="0.3">
      <c r="A9" s="255">
        <v>1800</v>
      </c>
      <c r="B9" s="126" t="s">
        <v>1170</v>
      </c>
      <c r="C9" s="127">
        <v>17150.226051500002</v>
      </c>
      <c r="D9" s="128">
        <v>4.3999140240014046E-3</v>
      </c>
    </row>
    <row r="10" spans="1:7" ht="15.75" thickBot="1" x14ac:dyDescent="0.3">
      <c r="A10" s="255">
        <v>1900</v>
      </c>
      <c r="B10" s="126" t="s">
        <v>1171</v>
      </c>
      <c r="C10" s="127">
        <v>43218.339259100001</v>
      </c>
      <c r="D10" s="128">
        <v>1.1087724233438484E-2</v>
      </c>
    </row>
    <row r="11" spans="1:7" ht="15.75" thickBot="1" x14ac:dyDescent="0.3">
      <c r="A11" s="255">
        <v>2100</v>
      </c>
      <c r="B11" s="126" t="s">
        <v>1172</v>
      </c>
      <c r="C11" s="127">
        <v>1448102.50603</v>
      </c>
      <c r="D11" s="128">
        <v>0.37151268475063082</v>
      </c>
    </row>
    <row r="12" spans="1:7" ht="15.75" thickBot="1" x14ac:dyDescent="0.3">
      <c r="A12" s="255">
        <v>2200</v>
      </c>
      <c r="B12" s="126" t="s">
        <v>1173</v>
      </c>
      <c r="C12" s="127">
        <v>206769.39520200001</v>
      </c>
      <c r="D12" s="128">
        <v>5.3046972031251922E-2</v>
      </c>
    </row>
    <row r="13" spans="1:7" ht="15.75" thickBot="1" x14ac:dyDescent="0.3">
      <c r="A13" s="255">
        <v>2300</v>
      </c>
      <c r="B13" s="126" t="s">
        <v>1174</v>
      </c>
      <c r="C13" s="127">
        <v>745.94001541099999</v>
      </c>
      <c r="D13" s="128">
        <v>1.9137193439987485E-4</v>
      </c>
    </row>
    <row r="14" spans="1:7" ht="15.75" thickBot="1" x14ac:dyDescent="0.3">
      <c r="A14" s="255">
        <v>2400</v>
      </c>
      <c r="B14" s="126" t="s">
        <v>1175</v>
      </c>
      <c r="C14" s="127">
        <v>16441.457824900001</v>
      </c>
      <c r="D14" s="128">
        <v>4.2180785630215071E-3</v>
      </c>
    </row>
    <row r="15" spans="1:7" ht="15.75" thickBot="1" x14ac:dyDescent="0.3">
      <c r="A15" s="255">
        <v>2500</v>
      </c>
      <c r="B15" s="126" t="s">
        <v>1176</v>
      </c>
      <c r="C15" s="127">
        <v>23844.998519699999</v>
      </c>
      <c r="D15" s="128">
        <v>6.1174670860938626E-3</v>
      </c>
    </row>
    <row r="16" spans="1:7" ht="15.75" thickBot="1" x14ac:dyDescent="0.3">
      <c r="A16" s="255">
        <v>2600</v>
      </c>
      <c r="B16" s="126" t="s">
        <v>1177</v>
      </c>
      <c r="C16" s="127">
        <v>36584.014385199996</v>
      </c>
      <c r="D16" s="128">
        <v>9.3856790845991255E-3</v>
      </c>
    </row>
    <row r="17" spans="1:4" ht="15.75" thickBot="1" x14ac:dyDescent="0.3">
      <c r="A17" s="255">
        <v>3100</v>
      </c>
      <c r="B17" s="126" t="s">
        <v>1178</v>
      </c>
      <c r="C17" s="127">
        <v>46869.514523799997</v>
      </c>
      <c r="D17" s="128">
        <v>1.2024438257090405E-2</v>
      </c>
    </row>
    <row r="18" spans="1:4" ht="15.75" thickBot="1" x14ac:dyDescent="0.3">
      <c r="A18" s="255">
        <v>3200</v>
      </c>
      <c r="B18" s="126" t="s">
        <v>1179</v>
      </c>
      <c r="C18" s="127">
        <v>144332.78140400001</v>
      </c>
      <c r="D18" s="128">
        <v>3.7028773096961343E-2</v>
      </c>
    </row>
    <row r="19" spans="1:4" ht="15.75" thickBot="1" x14ac:dyDescent="0.3">
      <c r="A19" s="255">
        <v>3300</v>
      </c>
      <c r="B19" s="126" t="s">
        <v>1180</v>
      </c>
      <c r="C19" s="127">
        <v>15149.574786900001</v>
      </c>
      <c r="D19" s="128">
        <v>3.8866441971305348E-3</v>
      </c>
    </row>
    <row r="20" spans="1:4" ht="15.75" thickBot="1" x14ac:dyDescent="0.3">
      <c r="A20" s="255">
        <v>4100</v>
      </c>
      <c r="B20" s="126" t="s">
        <v>1181</v>
      </c>
      <c r="C20" s="127">
        <v>106526.07583099999</v>
      </c>
      <c r="D20" s="128">
        <v>2.73294109105728E-2</v>
      </c>
    </row>
    <row r="21" spans="1:4" ht="15.75" thickBot="1" x14ac:dyDescent="0.3">
      <c r="A21" s="255">
        <v>4200</v>
      </c>
      <c r="B21" s="126" t="s">
        <v>1182</v>
      </c>
      <c r="C21" s="127">
        <v>46328.300202699997</v>
      </c>
      <c r="D21" s="128">
        <v>1.1885588980454193E-2</v>
      </c>
    </row>
    <row r="22" spans="1:4" ht="15.75" thickBot="1" x14ac:dyDescent="0.3">
      <c r="A22" s="255">
        <v>4300</v>
      </c>
      <c r="B22" s="126" t="s">
        <v>1183</v>
      </c>
      <c r="C22" s="127">
        <v>40367.379031800003</v>
      </c>
      <c r="D22" s="128">
        <v>1.0356306475544245E-2</v>
      </c>
    </row>
    <row r="23" spans="1:4" ht="15.75" thickBot="1" x14ac:dyDescent="0.3">
      <c r="A23" s="255">
        <v>4400</v>
      </c>
      <c r="B23" s="126" t="s">
        <v>1184</v>
      </c>
      <c r="C23" s="127">
        <v>58163.323169199997</v>
      </c>
      <c r="D23" s="128">
        <v>1.4921880360422775E-2</v>
      </c>
    </row>
    <row r="24" spans="1:4" ht="15.75" thickBot="1" x14ac:dyDescent="0.3">
      <c r="A24" s="255">
        <v>5100</v>
      </c>
      <c r="B24" s="126" t="s">
        <v>1185</v>
      </c>
      <c r="C24" s="127">
        <v>18834.494885700002</v>
      </c>
      <c r="D24" s="128">
        <v>4.8320155042694693E-3</v>
      </c>
    </row>
    <row r="25" spans="1:4" ht="15.75" thickBot="1" x14ac:dyDescent="0.3">
      <c r="A25" s="255">
        <v>5200</v>
      </c>
      <c r="B25" s="126" t="s">
        <v>1198</v>
      </c>
      <c r="C25" s="127">
        <v>530714.66448599997</v>
      </c>
      <c r="D25" s="128">
        <v>0.13615557532612918</v>
      </c>
    </row>
    <row r="26" spans="1:4" ht="15.75" thickBot="1" x14ac:dyDescent="0.3">
      <c r="A26" s="255">
        <v>5300</v>
      </c>
      <c r="B26" s="126" t="s">
        <v>1186</v>
      </c>
      <c r="C26" s="127">
        <v>24850.998693400001</v>
      </c>
      <c r="D26" s="128">
        <v>6.3755578109110644E-3</v>
      </c>
    </row>
    <row r="27" spans="1:4" ht="15.75" thickBot="1" x14ac:dyDescent="0.3">
      <c r="A27" s="255">
        <v>5600</v>
      </c>
      <c r="B27" s="126" t="s">
        <v>1187</v>
      </c>
      <c r="C27" s="127">
        <v>317.81370475</v>
      </c>
      <c r="D27" s="128">
        <v>8.1535542001037555E-5</v>
      </c>
    </row>
    <row r="28" spans="1:4" ht="15.75" thickBot="1" x14ac:dyDescent="0.3">
      <c r="A28" s="255">
        <v>6100</v>
      </c>
      <c r="B28" s="126" t="s">
        <v>1188</v>
      </c>
      <c r="C28" s="127">
        <v>147027.67470199999</v>
      </c>
      <c r="D28" s="128">
        <v>3.772015167001639E-2</v>
      </c>
    </row>
    <row r="29" spans="1:4" ht="15.75" thickBot="1" x14ac:dyDescent="0.3">
      <c r="A29" s="255">
        <v>6200</v>
      </c>
      <c r="B29" s="126" t="s">
        <v>1189</v>
      </c>
      <c r="C29" s="127">
        <v>129612.7141</v>
      </c>
      <c r="D29" s="128">
        <v>3.3252319633862555E-2</v>
      </c>
    </row>
    <row r="30" spans="1:4" ht="15.75" thickBot="1" x14ac:dyDescent="0.3">
      <c r="A30" s="255">
        <v>6300</v>
      </c>
      <c r="B30" s="126" t="s">
        <v>1190</v>
      </c>
      <c r="C30" s="127">
        <v>38927.645987800002</v>
      </c>
      <c r="D30" s="128">
        <v>9.9869409877604981E-3</v>
      </c>
    </row>
    <row r="31" spans="1:4" ht="15.75" thickBot="1" x14ac:dyDescent="0.3">
      <c r="A31" s="255">
        <v>6400</v>
      </c>
      <c r="B31" s="126" t="s">
        <v>1191</v>
      </c>
      <c r="C31" s="127">
        <v>385535.48342800001</v>
      </c>
      <c r="D31" s="128">
        <v>9.8909657236655124E-2</v>
      </c>
    </row>
    <row r="32" spans="1:4" ht="15.75" thickBot="1" x14ac:dyDescent="0.3">
      <c r="A32" s="255">
        <v>6500</v>
      </c>
      <c r="B32" s="126" t="s">
        <v>1192</v>
      </c>
      <c r="C32" s="127">
        <v>1673.03655224</v>
      </c>
      <c r="D32" s="128">
        <v>4.2921982292028768E-4</v>
      </c>
    </row>
    <row r="33" spans="1:4" ht="15.75" thickBot="1" x14ac:dyDescent="0.3">
      <c r="A33" s="255">
        <v>7200</v>
      </c>
      <c r="B33" s="126" t="s">
        <v>1193</v>
      </c>
      <c r="C33" s="127">
        <v>3.34657054937</v>
      </c>
      <c r="D33" s="128">
        <v>8.585672660096102E-7</v>
      </c>
    </row>
    <row r="34" spans="1:4" ht="15.75" thickBot="1" x14ac:dyDescent="0.3">
      <c r="A34" s="255">
        <v>7400</v>
      </c>
      <c r="B34" s="126" t="s">
        <v>1194</v>
      </c>
      <c r="C34" s="127">
        <v>24115.2115094</v>
      </c>
      <c r="D34" s="128">
        <v>6.1867905993395903E-3</v>
      </c>
    </row>
    <row r="35" spans="1:4" ht="15.75" thickBot="1" x14ac:dyDescent="0.3">
      <c r="A35" s="255">
        <v>8100</v>
      </c>
      <c r="B35" s="126" t="s">
        <v>1195</v>
      </c>
      <c r="C35" s="127">
        <v>29524.6495211</v>
      </c>
      <c r="D35" s="128">
        <v>7.5745893431096991E-3</v>
      </c>
    </row>
    <row r="36" spans="1:4" ht="15.75" thickBot="1" x14ac:dyDescent="0.3">
      <c r="A36" s="255">
        <v>8200</v>
      </c>
      <c r="B36" s="126" t="s">
        <v>1196</v>
      </c>
      <c r="C36" s="127">
        <v>330.55496591600001</v>
      </c>
      <c r="D36" s="128">
        <v>8.4804330034466698E-5</v>
      </c>
    </row>
    <row r="37" spans="1:4" ht="15.75" thickBot="1" x14ac:dyDescent="0.3">
      <c r="A37" s="255">
        <v>8300</v>
      </c>
      <c r="B37" s="126" t="s">
        <v>1197</v>
      </c>
      <c r="C37" s="127">
        <v>9259.3125248199995</v>
      </c>
      <c r="D37" s="128">
        <v>2.3754893322239408E-3</v>
      </c>
    </row>
    <row r="38" spans="1:4" ht="15.75" thickBot="1" x14ac:dyDescent="0.3">
      <c r="A38" s="254">
        <v>9500</v>
      </c>
      <c r="B38" s="117" t="s">
        <v>782</v>
      </c>
      <c r="C38" s="129">
        <v>13076.811975099999</v>
      </c>
      <c r="D38" s="130">
        <v>3.3548740538868688E-3</v>
      </c>
    </row>
    <row r="39" spans="1:4" ht="16.5" thickTop="1" thickBot="1" x14ac:dyDescent="0.3">
      <c r="A39" s="131" t="s">
        <v>889</v>
      </c>
      <c r="B39" s="132" t="s">
        <v>784</v>
      </c>
      <c r="C39" s="133">
        <v>3897854.8121418003</v>
      </c>
      <c r="D39" s="141">
        <v>1</v>
      </c>
    </row>
    <row r="40" spans="1:4" ht="15.75" thickTop="1" x14ac:dyDescent="0.25"/>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0"/>
  <sheetViews>
    <sheetView topLeftCell="B1" workbookViewId="0">
      <selection activeCell="F2" sqref="F2"/>
    </sheetView>
  </sheetViews>
  <sheetFormatPr defaultColWidth="9.140625" defaultRowHeight="15" x14ac:dyDescent="0.25"/>
  <cols>
    <col min="1" max="1" width="14.7109375" style="90" customWidth="1"/>
    <col min="2" max="2" width="46.7109375" style="90" customWidth="1"/>
    <col min="3" max="3" width="30.7109375" style="90" customWidth="1"/>
    <col min="4" max="4" width="30.7109375" style="93" customWidth="1"/>
    <col min="5" max="5" width="12.7109375" style="93" customWidth="1"/>
    <col min="6" max="6" width="12.7109375" style="90" customWidth="1"/>
    <col min="7" max="7" width="13.28515625" style="90" customWidth="1"/>
    <col min="8" max="16384" width="9.140625" style="90"/>
  </cols>
  <sheetData>
    <row r="1" spans="1:7" ht="27" thickTop="1" thickBot="1" x14ac:dyDescent="0.3">
      <c r="A1" s="88" t="s">
        <v>0</v>
      </c>
      <c r="B1" s="89" t="s">
        <v>1</v>
      </c>
      <c r="C1" s="89" t="s">
        <v>277</v>
      </c>
      <c r="D1" s="79" t="s">
        <v>284</v>
      </c>
      <c r="E1" s="79" t="s">
        <v>282</v>
      </c>
      <c r="F1" s="79" t="s">
        <v>592</v>
      </c>
      <c r="G1" s="79" t="s">
        <v>4</v>
      </c>
    </row>
    <row r="2" spans="1:7" ht="27" thickTop="1" thickBot="1" x14ac:dyDescent="0.3">
      <c r="A2" s="91" t="s">
        <v>486</v>
      </c>
      <c r="B2" s="82" t="s">
        <v>102</v>
      </c>
      <c r="C2" s="82" t="s">
        <v>485</v>
      </c>
      <c r="D2" s="81" t="s">
        <v>579</v>
      </c>
      <c r="E2" s="81" t="s">
        <v>594</v>
      </c>
      <c r="F2" s="142">
        <v>8.59</v>
      </c>
      <c r="G2" s="143">
        <f>VLOOKUP(A2,'Lake O projects'!$A$2:$P$165, 13,FALSE)</f>
        <v>8594.9</v>
      </c>
    </row>
    <row r="3" spans="1:7" ht="15.75" thickBot="1" x14ac:dyDescent="0.3">
      <c r="A3" s="91" t="s">
        <v>266</v>
      </c>
      <c r="B3" s="82" t="s">
        <v>267</v>
      </c>
      <c r="C3" s="82" t="s">
        <v>274</v>
      </c>
      <c r="D3" s="81" t="s">
        <v>595</v>
      </c>
      <c r="E3" s="270" t="s">
        <v>596</v>
      </c>
      <c r="F3" s="142">
        <v>7.0000000000000007E-2</v>
      </c>
      <c r="G3" s="143">
        <f>VLOOKUP(A3,'Lake O projects'!$A$2:$P$165, 13,FALSE)</f>
        <v>70.900000000000006</v>
      </c>
    </row>
    <row r="4" spans="1:7" ht="26.25" thickBot="1" x14ac:dyDescent="0.3">
      <c r="A4" s="91" t="s">
        <v>270</v>
      </c>
      <c r="B4" s="82" t="s">
        <v>271</v>
      </c>
      <c r="C4" s="82" t="s">
        <v>274</v>
      </c>
      <c r="D4" s="81" t="s">
        <v>253</v>
      </c>
      <c r="E4" s="81" t="s">
        <v>460</v>
      </c>
      <c r="F4" s="142">
        <v>0.72</v>
      </c>
      <c r="G4" s="143">
        <f>VLOOKUP(A4,'Lake O projects'!$A$2:$P$165, 13,FALSE)</f>
        <v>724.2</v>
      </c>
    </row>
    <row r="5" spans="1:7" ht="26.25" thickBot="1" x14ac:dyDescent="0.3">
      <c r="A5" s="91" t="s">
        <v>272</v>
      </c>
      <c r="B5" s="82" t="s">
        <v>273</v>
      </c>
      <c r="C5" s="82" t="s">
        <v>274</v>
      </c>
      <c r="D5" s="81" t="s">
        <v>253</v>
      </c>
      <c r="E5" s="81" t="s">
        <v>439</v>
      </c>
      <c r="F5" s="142">
        <v>3.25</v>
      </c>
      <c r="G5" s="143">
        <f>VLOOKUP(A5,'Lake O projects'!$A$2:$P$165, 13,FALSE)</f>
        <v>3248.5</v>
      </c>
    </row>
    <row r="6" spans="1:7" ht="15.75" thickBot="1" x14ac:dyDescent="0.3">
      <c r="A6" s="91" t="s">
        <v>597</v>
      </c>
      <c r="B6" s="84" t="s">
        <v>598</v>
      </c>
      <c r="C6" s="84" t="s">
        <v>599</v>
      </c>
      <c r="D6" s="83" t="s">
        <v>600</v>
      </c>
      <c r="E6" s="83" t="s">
        <v>285</v>
      </c>
      <c r="F6" s="144">
        <v>0.04</v>
      </c>
      <c r="G6" s="143">
        <f>'Lake O projects'!M6+'Lake O projects'!M67</f>
        <v>43.2</v>
      </c>
    </row>
    <row r="7" spans="1:7" ht="39" thickBot="1" x14ac:dyDescent="0.3">
      <c r="A7" s="91" t="s">
        <v>601</v>
      </c>
      <c r="B7" s="84" t="s">
        <v>602</v>
      </c>
      <c r="C7" s="84" t="s">
        <v>485</v>
      </c>
      <c r="D7" s="83" t="s">
        <v>603</v>
      </c>
      <c r="E7" s="83" t="s">
        <v>604</v>
      </c>
      <c r="F7" s="495">
        <v>5.8806624667140666</v>
      </c>
      <c r="G7" s="307">
        <v>5880.6624667140668</v>
      </c>
    </row>
    <row r="8" spans="1:7" ht="39" thickBot="1" x14ac:dyDescent="0.3">
      <c r="A8" s="91" t="s">
        <v>601</v>
      </c>
      <c r="B8" s="84" t="s">
        <v>605</v>
      </c>
      <c r="C8" s="84" t="s">
        <v>485</v>
      </c>
      <c r="D8" s="83" t="s">
        <v>606</v>
      </c>
      <c r="E8" s="83" t="s">
        <v>604</v>
      </c>
      <c r="F8" s="144">
        <v>0.27</v>
      </c>
      <c r="G8" s="308">
        <v>268</v>
      </c>
    </row>
    <row r="9" spans="1:7" ht="15.75" thickBot="1" x14ac:dyDescent="0.3">
      <c r="A9" s="92" t="s">
        <v>607</v>
      </c>
      <c r="B9" s="87" t="s">
        <v>14</v>
      </c>
      <c r="C9" s="87" t="s">
        <v>14</v>
      </c>
      <c r="D9" s="86" t="s">
        <v>14</v>
      </c>
      <c r="E9" s="86" t="s">
        <v>14</v>
      </c>
      <c r="F9" s="497">
        <f>SUM(F2:F8)</f>
        <v>18.820662466714065</v>
      </c>
      <c r="G9" s="153">
        <f>SUM(G2:G8)</f>
        <v>18830.362466714068</v>
      </c>
    </row>
    <row r="10" spans="1:7" ht="15.75" thickTop="1" x14ac:dyDescent="0.25"/>
  </sheetData>
  <pageMargins left="0.7" right="0.7" top="0.75" bottom="0.75" header="0.3" footer="0.3"/>
  <pageSetup scale="75" fitToHeight="0" orientation="landscape"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G9"/>
  <sheetViews>
    <sheetView workbookViewId="0">
      <selection activeCell="F7" sqref="F7"/>
    </sheetView>
  </sheetViews>
  <sheetFormatPr defaultRowHeight="15" x14ac:dyDescent="0.25"/>
  <cols>
    <col min="1" max="1" width="14.7109375" customWidth="1"/>
    <col min="2" max="2" width="46.7109375" customWidth="1"/>
    <col min="3" max="4" width="30.7109375" customWidth="1"/>
    <col min="5" max="6" width="12.7109375" customWidth="1"/>
    <col min="7" max="7" width="13.140625" style="135" customWidth="1"/>
  </cols>
  <sheetData>
    <row r="1" spans="1:7" ht="27" thickTop="1" thickBot="1" x14ac:dyDescent="0.3">
      <c r="A1" s="88" t="s">
        <v>0</v>
      </c>
      <c r="B1" s="89" t="s">
        <v>1</v>
      </c>
      <c r="C1" s="89" t="s">
        <v>277</v>
      </c>
      <c r="D1" s="79" t="s">
        <v>284</v>
      </c>
      <c r="E1" s="79" t="s">
        <v>282</v>
      </c>
      <c r="F1" s="79" t="s">
        <v>592</v>
      </c>
      <c r="G1" s="146" t="s">
        <v>4</v>
      </c>
    </row>
    <row r="2" spans="1:7" ht="16.5" thickTop="1" thickBot="1" x14ac:dyDescent="0.3">
      <c r="A2" s="80" t="s">
        <v>250</v>
      </c>
      <c r="B2" s="81" t="s">
        <v>252</v>
      </c>
      <c r="C2" s="81" t="s">
        <v>274</v>
      </c>
      <c r="D2" s="81" t="s">
        <v>253</v>
      </c>
      <c r="E2" s="270" t="s">
        <v>596</v>
      </c>
      <c r="F2" s="147">
        <v>4.17</v>
      </c>
      <c r="G2" s="148">
        <f>VLOOKUP(A2,'Lake O projects'!$A$2:$P$165, 13,FALSE)</f>
        <v>4166.3999999999996</v>
      </c>
    </row>
    <row r="3" spans="1:7" ht="15.75" thickBot="1" x14ac:dyDescent="0.3">
      <c r="A3" s="80" t="s">
        <v>254</v>
      </c>
      <c r="B3" s="81" t="s">
        <v>257</v>
      </c>
      <c r="C3" s="81" t="s">
        <v>274</v>
      </c>
      <c r="D3" s="81" t="s">
        <v>253</v>
      </c>
      <c r="E3" s="270" t="s">
        <v>596</v>
      </c>
      <c r="F3" s="147">
        <v>1.0900000000000001</v>
      </c>
      <c r="G3" s="148">
        <f>VLOOKUP(A3,'Lake O projects'!$A$2:$P$165, 13,FALSE)</f>
        <v>1087.2</v>
      </c>
    </row>
    <row r="4" spans="1:7" ht="51.75" thickBot="1" x14ac:dyDescent="0.3">
      <c r="A4" s="83" t="s">
        <v>113</v>
      </c>
      <c r="B4" s="83" t="s">
        <v>608</v>
      </c>
      <c r="C4" s="270" t="s">
        <v>793</v>
      </c>
      <c r="D4" s="270" t="s">
        <v>231</v>
      </c>
      <c r="E4" s="83" t="s">
        <v>493</v>
      </c>
      <c r="F4" s="272">
        <v>0.7</v>
      </c>
      <c r="G4" s="273">
        <f>VLOOKUP(A4,'Lake O projects'!$A$2:$P$165, 13,FALSE)</f>
        <v>698</v>
      </c>
    </row>
    <row r="5" spans="1:7" ht="15.75" thickBot="1" x14ac:dyDescent="0.3">
      <c r="A5" s="80" t="s">
        <v>609</v>
      </c>
      <c r="B5" s="83" t="s">
        <v>610</v>
      </c>
      <c r="C5" s="83" t="s">
        <v>599</v>
      </c>
      <c r="D5" s="83" t="s">
        <v>600</v>
      </c>
      <c r="E5" s="83" t="s">
        <v>285</v>
      </c>
      <c r="F5" s="144">
        <v>7.0000000000000007E-2</v>
      </c>
      <c r="G5" s="150">
        <f>'Lake O projects'!M7+'Lake O projects'!M68</f>
        <v>68.099999999999994</v>
      </c>
    </row>
    <row r="6" spans="1:7" ht="39" thickBot="1" x14ac:dyDescent="0.3">
      <c r="A6" s="80" t="s">
        <v>601</v>
      </c>
      <c r="B6" s="83" t="s">
        <v>602</v>
      </c>
      <c r="C6" s="83" t="s">
        <v>485</v>
      </c>
      <c r="D6" s="83" t="s">
        <v>611</v>
      </c>
      <c r="E6" s="83" t="s">
        <v>604</v>
      </c>
      <c r="F6" s="496">
        <f>G6/1000</f>
        <v>5.6649260880067507</v>
      </c>
      <c r="G6" s="309">
        <v>5664.9260880067504</v>
      </c>
    </row>
    <row r="7" spans="1:7" ht="39" thickBot="1" x14ac:dyDescent="0.3">
      <c r="A7" s="80" t="s">
        <v>601</v>
      </c>
      <c r="B7" s="83" t="s">
        <v>605</v>
      </c>
      <c r="C7" s="83" t="s">
        <v>485</v>
      </c>
      <c r="D7" s="83" t="s">
        <v>606</v>
      </c>
      <c r="E7" s="83" t="s">
        <v>604</v>
      </c>
      <c r="F7" s="149">
        <v>0.28000000000000003</v>
      </c>
      <c r="G7" s="309">
        <v>282</v>
      </c>
    </row>
    <row r="8" spans="1:7" ht="15.75" thickBot="1" x14ac:dyDescent="0.3">
      <c r="A8" s="85" t="s">
        <v>607</v>
      </c>
      <c r="B8" s="86" t="s">
        <v>14</v>
      </c>
      <c r="C8" s="86" t="s">
        <v>14</v>
      </c>
      <c r="D8" s="86" t="s">
        <v>14</v>
      </c>
      <c r="E8" s="86" t="s">
        <v>14</v>
      </c>
      <c r="F8" s="499">
        <f>SUM(F2:F7)</f>
        <v>11.97492608800675</v>
      </c>
      <c r="G8" s="151">
        <f>SUM(G2:G7)</f>
        <v>11966.626088006749</v>
      </c>
    </row>
    <row r="9" spans="1:7" ht="15.75" thickTop="1" x14ac:dyDescent="0.25"/>
  </sheetData>
  <pageMargins left="0.7" right="0.7" top="0.75" bottom="0.75" header="0.3" footer="0.3"/>
  <pageSetup scale="75" fitToHeight="0" orientation="landscape" r:id="rId1"/>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G8"/>
  <sheetViews>
    <sheetView workbookViewId="0">
      <selection activeCell="F6" sqref="F6"/>
    </sheetView>
  </sheetViews>
  <sheetFormatPr defaultRowHeight="15" x14ac:dyDescent="0.25"/>
  <cols>
    <col min="1" max="1" width="14.7109375" customWidth="1"/>
    <col min="2" max="2" width="46.7109375" customWidth="1"/>
    <col min="3" max="4" width="30.7109375" customWidth="1"/>
    <col min="5" max="6" width="12.7109375" customWidth="1"/>
    <col min="7" max="7" width="13.28515625" customWidth="1"/>
  </cols>
  <sheetData>
    <row r="1" spans="1:7" s="90" customFormat="1" ht="27" thickTop="1" thickBot="1" x14ac:dyDescent="0.3">
      <c r="A1" s="88" t="s">
        <v>0</v>
      </c>
      <c r="B1" s="89" t="s">
        <v>1</v>
      </c>
      <c r="C1" s="89" t="s">
        <v>277</v>
      </c>
      <c r="D1" s="79" t="s">
        <v>284</v>
      </c>
      <c r="E1" s="79" t="s">
        <v>282</v>
      </c>
      <c r="F1" s="79" t="s">
        <v>592</v>
      </c>
      <c r="G1" s="79" t="s">
        <v>4</v>
      </c>
    </row>
    <row r="2" spans="1:7" ht="16.5" thickTop="1" thickBot="1" x14ac:dyDescent="0.3">
      <c r="A2" s="80" t="s">
        <v>251</v>
      </c>
      <c r="B2" s="81" t="s">
        <v>255</v>
      </c>
      <c r="C2" s="81" t="s">
        <v>274</v>
      </c>
      <c r="D2" s="81" t="s">
        <v>253</v>
      </c>
      <c r="E2" s="270" t="s">
        <v>596</v>
      </c>
      <c r="F2" s="147">
        <v>0.09</v>
      </c>
      <c r="G2" s="148">
        <f>VLOOKUP(A2,'Lake O projects'!$A$2:$P$165, 13,FALSE)</f>
        <v>89.8</v>
      </c>
    </row>
    <row r="3" spans="1:7" ht="64.5" thickBot="1" x14ac:dyDescent="0.3">
      <c r="A3" s="80" t="s">
        <v>612</v>
      </c>
      <c r="B3" s="83" t="s">
        <v>610</v>
      </c>
      <c r="C3" s="270" t="s">
        <v>613</v>
      </c>
      <c r="D3" s="270" t="s">
        <v>1212</v>
      </c>
      <c r="E3" s="270" t="s">
        <v>1216</v>
      </c>
      <c r="F3" s="149">
        <v>0.25</v>
      </c>
      <c r="G3" s="148">
        <f>'Lake O projects'!M2+'Lake O projects'!M3+'Lake O projects'!M4+'Lake O projects'!M31+'Lake O projects'!M32+'Lake O projects'!M69+'Lake O projects'!M71+'Lake O projects'!M72+'Lake O projects'!M139</f>
        <v>252.89999999999998</v>
      </c>
    </row>
    <row r="4" spans="1:7" ht="26.25" thickBot="1" x14ac:dyDescent="0.3">
      <c r="A4" s="80" t="s">
        <v>275</v>
      </c>
      <c r="B4" s="81" t="s">
        <v>555</v>
      </c>
      <c r="C4" s="81" t="s">
        <v>276</v>
      </c>
      <c r="D4" s="81" t="s">
        <v>614</v>
      </c>
      <c r="E4" s="81" t="s">
        <v>493</v>
      </c>
      <c r="F4" s="144">
        <v>0</v>
      </c>
      <c r="G4" s="148">
        <f>VLOOKUP(A4,'Lake O projects'!$A$2:$P$165, 13,FALSE)</f>
        <v>4.5</v>
      </c>
    </row>
    <row r="5" spans="1:7" ht="39" thickBot="1" x14ac:dyDescent="0.3">
      <c r="A5" s="80" t="s">
        <v>601</v>
      </c>
      <c r="B5" s="83" t="s">
        <v>602</v>
      </c>
      <c r="C5" s="83" t="s">
        <v>485</v>
      </c>
      <c r="D5" s="83" t="s">
        <v>611</v>
      </c>
      <c r="E5" s="83" t="s">
        <v>604</v>
      </c>
      <c r="F5" s="495">
        <f>G5/1000</f>
        <v>1.4587686022816355</v>
      </c>
      <c r="G5" s="310">
        <v>1458.7686022816356</v>
      </c>
    </row>
    <row r="6" spans="1:7" ht="39" thickBot="1" x14ac:dyDescent="0.3">
      <c r="A6" s="80" t="s">
        <v>601</v>
      </c>
      <c r="B6" s="83" t="s">
        <v>605</v>
      </c>
      <c r="C6" s="83" t="s">
        <v>485</v>
      </c>
      <c r="D6" s="83" t="s">
        <v>606</v>
      </c>
      <c r="E6" s="83" t="s">
        <v>604</v>
      </c>
      <c r="F6" s="144">
        <v>0.05</v>
      </c>
      <c r="G6" s="310">
        <v>47</v>
      </c>
    </row>
    <row r="7" spans="1:7" ht="15.75" thickBot="1" x14ac:dyDescent="0.3">
      <c r="A7" s="85" t="s">
        <v>607</v>
      </c>
      <c r="B7" s="86" t="s">
        <v>14</v>
      </c>
      <c r="C7" s="86" t="s">
        <v>14</v>
      </c>
      <c r="D7" s="86" t="s">
        <v>14</v>
      </c>
      <c r="E7" s="86" t="s">
        <v>14</v>
      </c>
      <c r="F7" s="499">
        <f>SUM(F2:F6)</f>
        <v>1.8487686022816356</v>
      </c>
      <c r="G7" s="151">
        <f>SUM(G2:G6)</f>
        <v>1852.9686022816356</v>
      </c>
    </row>
    <row r="8" spans="1:7" ht="15.75" thickTop="1" x14ac:dyDescent="0.25"/>
  </sheetData>
  <pageMargins left="0.7" right="0.7" top="0.75" bottom="0.75" header="0.3" footer="0.3"/>
  <pageSetup scale="75" fitToHeight="0" orientation="landscape" r:id="rId1"/>
  <ignoredErrors>
    <ignoredError sqref="G3" formula="1"/>
  </ignoredErrors>
  <legacy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2"/>
  <sheetViews>
    <sheetView workbookViewId="0">
      <selection activeCell="F3" sqref="F3"/>
    </sheetView>
  </sheetViews>
  <sheetFormatPr defaultRowHeight="15" x14ac:dyDescent="0.25"/>
  <cols>
    <col min="1" max="1" width="14.7109375" customWidth="1"/>
    <col min="2" max="2" width="46.7109375" customWidth="1"/>
    <col min="3" max="4" width="30.7109375" customWidth="1"/>
    <col min="5" max="6" width="12.7109375" customWidth="1"/>
    <col min="7" max="7" width="13.28515625" customWidth="1"/>
  </cols>
  <sheetData>
    <row r="1" spans="1:7" s="90" customFormat="1" ht="27" thickTop="1" thickBot="1" x14ac:dyDescent="0.3">
      <c r="A1" s="88" t="s">
        <v>0</v>
      </c>
      <c r="B1" s="89" t="s">
        <v>1</v>
      </c>
      <c r="C1" s="89" t="s">
        <v>277</v>
      </c>
      <c r="D1" s="79" t="s">
        <v>284</v>
      </c>
      <c r="E1" s="79" t="s">
        <v>282</v>
      </c>
      <c r="F1" s="79" t="s">
        <v>592</v>
      </c>
      <c r="G1" s="79" t="s">
        <v>4</v>
      </c>
    </row>
    <row r="2" spans="1:7" ht="16.5" thickTop="1" thickBot="1" x14ac:dyDescent="0.3">
      <c r="A2" s="80" t="s">
        <v>237</v>
      </c>
      <c r="B2" s="81" t="s">
        <v>238</v>
      </c>
      <c r="C2" s="81" t="s">
        <v>274</v>
      </c>
      <c r="D2" s="81" t="s">
        <v>239</v>
      </c>
      <c r="E2" s="81" t="s">
        <v>296</v>
      </c>
      <c r="F2" s="144">
        <v>0.01</v>
      </c>
      <c r="G2" s="148">
        <f>VLOOKUP(A2,'Lake O projects'!$A$2:$P$165, 13,FALSE)</f>
        <v>5.5839999999999996</v>
      </c>
    </row>
    <row r="3" spans="1:7" ht="26.25" thickBot="1" x14ac:dyDescent="0.3">
      <c r="A3" s="80" t="s">
        <v>240</v>
      </c>
      <c r="B3" s="81" t="s">
        <v>242</v>
      </c>
      <c r="C3" s="81" t="s">
        <v>274</v>
      </c>
      <c r="D3" s="81" t="s">
        <v>239</v>
      </c>
      <c r="E3" s="81" t="s">
        <v>439</v>
      </c>
      <c r="F3" s="144">
        <v>17.75</v>
      </c>
      <c r="G3" s="148">
        <f>VLOOKUP(A3,'Lake O projects'!$A$2:$P$165, 13,FALSE)</f>
        <v>17748</v>
      </c>
    </row>
    <row r="4" spans="1:7" ht="15.75" thickBot="1" x14ac:dyDescent="0.3">
      <c r="A4" s="80" t="s">
        <v>256</v>
      </c>
      <c r="B4" s="81" t="s">
        <v>259</v>
      </c>
      <c r="C4" s="81" t="s">
        <v>274</v>
      </c>
      <c r="D4" s="81" t="s">
        <v>253</v>
      </c>
      <c r="E4" s="270" t="s">
        <v>596</v>
      </c>
      <c r="F4" s="144">
        <v>0.23</v>
      </c>
      <c r="G4" s="148">
        <f>VLOOKUP(A4,'Lake O projects'!$A$2:$P$165, 13,FALSE)</f>
        <v>230.5</v>
      </c>
    </row>
    <row r="5" spans="1:7" ht="15.75" thickBot="1" x14ac:dyDescent="0.3">
      <c r="A5" s="95" t="s">
        <v>258</v>
      </c>
      <c r="B5" s="81" t="s">
        <v>261</v>
      </c>
      <c r="C5" s="81" t="s">
        <v>274</v>
      </c>
      <c r="D5" s="81" t="s">
        <v>253</v>
      </c>
      <c r="E5" s="270" t="s">
        <v>596</v>
      </c>
      <c r="F5" s="144">
        <v>0.13</v>
      </c>
      <c r="G5" s="148">
        <f>VLOOKUP(A5,'Lake O projects'!$A$2:$P$165, 13,FALSE)</f>
        <v>133.69999999999999</v>
      </c>
    </row>
    <row r="6" spans="1:7" ht="15.75" thickBot="1" x14ac:dyDescent="0.3">
      <c r="A6" s="95" t="s">
        <v>264</v>
      </c>
      <c r="B6" s="81" t="s">
        <v>265</v>
      </c>
      <c r="C6" s="81" t="s">
        <v>274</v>
      </c>
      <c r="D6" s="81" t="s">
        <v>253</v>
      </c>
      <c r="E6" s="81" t="s">
        <v>442</v>
      </c>
      <c r="F6" s="144">
        <v>0.11</v>
      </c>
      <c r="G6" s="148">
        <f>VLOOKUP(A6,'Lake O projects'!$A$2:$P$165, 13,FALSE)</f>
        <v>114.4</v>
      </c>
    </row>
    <row r="7" spans="1:7" ht="26.25" thickBot="1" x14ac:dyDescent="0.3">
      <c r="A7" s="95" t="s">
        <v>268</v>
      </c>
      <c r="B7" s="81" t="s">
        <v>269</v>
      </c>
      <c r="C7" s="81" t="s">
        <v>274</v>
      </c>
      <c r="D7" s="81" t="s">
        <v>253</v>
      </c>
      <c r="E7" s="81" t="s">
        <v>439</v>
      </c>
      <c r="F7" s="144">
        <v>0.08</v>
      </c>
      <c r="G7" s="148">
        <f>VLOOKUP(A7,'Lake O projects'!$A$2:$P$165, 13,FALSE)</f>
        <v>78.599999999999994</v>
      </c>
    </row>
    <row r="8" spans="1:7" ht="26.25" thickBot="1" x14ac:dyDescent="0.3">
      <c r="A8" s="95" t="s">
        <v>615</v>
      </c>
      <c r="B8" s="83" t="s">
        <v>610</v>
      </c>
      <c r="C8" s="81" t="s">
        <v>616</v>
      </c>
      <c r="D8" s="81" t="s">
        <v>617</v>
      </c>
      <c r="E8" s="81" t="s">
        <v>285</v>
      </c>
      <c r="F8" s="144">
        <v>0.16</v>
      </c>
      <c r="G8" s="148">
        <f>'Lake O projects'!M70+'Lake O projects'!M117+'Lake O projects'!M140</f>
        <v>161.19999999999999</v>
      </c>
    </row>
    <row r="9" spans="1:7" ht="39" thickBot="1" x14ac:dyDescent="0.3">
      <c r="A9" s="95" t="s">
        <v>601</v>
      </c>
      <c r="B9" s="83" t="s">
        <v>602</v>
      </c>
      <c r="C9" s="83" t="s">
        <v>485</v>
      </c>
      <c r="D9" s="83" t="s">
        <v>611</v>
      </c>
      <c r="E9" s="83" t="s">
        <v>604</v>
      </c>
      <c r="F9" s="496">
        <f>G9/1000</f>
        <v>5.4738521090085843</v>
      </c>
      <c r="G9" s="327">
        <v>5473.8521090085842</v>
      </c>
    </row>
    <row r="10" spans="1:7" ht="39" thickBot="1" x14ac:dyDescent="0.3">
      <c r="A10" s="80" t="s">
        <v>601</v>
      </c>
      <c r="B10" s="83" t="s">
        <v>605</v>
      </c>
      <c r="C10" s="83" t="s">
        <v>485</v>
      </c>
      <c r="D10" s="83" t="s">
        <v>606</v>
      </c>
      <c r="E10" s="83" t="s">
        <v>604</v>
      </c>
      <c r="F10" s="149">
        <v>0.32</v>
      </c>
      <c r="G10" s="311">
        <v>317</v>
      </c>
    </row>
    <row r="11" spans="1:7" ht="15.75" thickBot="1" x14ac:dyDescent="0.3">
      <c r="A11" s="85" t="s">
        <v>607</v>
      </c>
      <c r="B11" s="86" t="s">
        <v>14</v>
      </c>
      <c r="C11" s="86" t="s">
        <v>14</v>
      </c>
      <c r="D11" s="86" t="s">
        <v>14</v>
      </c>
      <c r="E11" s="86" t="s">
        <v>14</v>
      </c>
      <c r="F11" s="499">
        <f>SUM(F2:F10)</f>
        <v>24.263852109008582</v>
      </c>
      <c r="G11" s="151">
        <f>SUM(G2:G10)</f>
        <v>24262.836109008585</v>
      </c>
    </row>
    <row r="12" spans="1:7" ht="15.75" thickTop="1" x14ac:dyDescent="0.25"/>
  </sheetData>
  <pageMargins left="0.7" right="0.7" top="0.75" bottom="0.75" header="0.3" footer="0.3"/>
  <pageSetup scale="75"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54</vt:i4>
      </vt:variant>
      <vt:variant>
        <vt:lpstr>Named Ranges</vt:lpstr>
      </vt:variant>
      <vt:variant>
        <vt:i4>2</vt:i4>
      </vt:variant>
    </vt:vector>
  </HeadingPairs>
  <TitlesOfParts>
    <vt:vector size="56" baseType="lpstr">
      <vt:lpstr>Lake O projects</vt:lpstr>
      <vt:lpstr>Project List</vt:lpstr>
      <vt:lpstr>Costs Pivot</vt:lpstr>
      <vt:lpstr>Project Completion Dates</vt:lpstr>
      <vt:lpstr>Removed projects</vt:lpstr>
      <vt:lpstr>ES-1</vt:lpstr>
      <vt:lpstr>ES-2</vt:lpstr>
      <vt:lpstr>ES-3</vt:lpstr>
      <vt:lpstr>ES-4</vt:lpstr>
      <vt:lpstr>ES-5</vt:lpstr>
      <vt:lpstr>ES-6</vt:lpstr>
      <vt:lpstr>ES-7</vt:lpstr>
      <vt:lpstr>ES-8</vt:lpstr>
      <vt:lpstr>ES-9</vt:lpstr>
      <vt:lpstr>ES-10</vt:lpstr>
      <vt:lpstr>1</vt:lpstr>
      <vt:lpstr>2</vt:lpstr>
      <vt:lpstr>3</vt:lpstr>
      <vt:lpstr>4</vt:lpstr>
      <vt:lpstr>5</vt:lpstr>
      <vt:lpstr>6</vt:lpstr>
      <vt:lpstr>7</vt:lpstr>
      <vt:lpstr>8</vt:lpstr>
      <vt:lpstr>9</vt:lpstr>
      <vt:lpstr>10</vt:lpstr>
      <vt:lpstr>11</vt:lpstr>
      <vt:lpstr>12</vt:lpstr>
      <vt:lpstr>13</vt:lpstr>
      <vt:lpstr>14</vt:lpstr>
      <vt:lpstr>15</vt:lpstr>
      <vt:lpstr>16 - Fisheating Creek</vt:lpstr>
      <vt:lpstr>17 - Indian Prairie</vt:lpstr>
      <vt:lpstr>18 - Lake Istokpoga</vt:lpstr>
      <vt:lpstr>19 - Lower Kissimmee</vt:lpstr>
      <vt:lpstr>20 - Taylor Creek_Nubbin Slough</vt:lpstr>
      <vt:lpstr>21 - Upper Kissimmee</vt:lpstr>
      <vt:lpstr>22</vt:lpstr>
      <vt:lpstr>23</vt:lpstr>
      <vt:lpstr>24</vt:lpstr>
      <vt:lpstr>25</vt:lpstr>
      <vt:lpstr>26</vt:lpstr>
      <vt:lpstr>27</vt:lpstr>
      <vt:lpstr>A-1</vt:lpstr>
      <vt:lpstr>A-2</vt:lpstr>
      <vt:lpstr>A-3</vt:lpstr>
      <vt:lpstr>A-4</vt:lpstr>
      <vt:lpstr>A-5</vt:lpstr>
      <vt:lpstr>A-6</vt:lpstr>
      <vt:lpstr>A-7</vt:lpstr>
      <vt:lpstr>A-8</vt:lpstr>
      <vt:lpstr>A-9</vt:lpstr>
      <vt:lpstr>A-10</vt:lpstr>
      <vt:lpstr>B-1</vt:lpstr>
      <vt:lpstr>B-2</vt:lpstr>
      <vt:lpstr>'ES-8'!Print_Area</vt:lpstr>
      <vt:lpstr>'Project Completion Dates'!Print_Area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Marcy</dc:creator>
  <cp:lastModifiedBy>Davis, Sara</cp:lastModifiedBy>
  <cp:lastPrinted>2014-12-04T20:39:08Z</cp:lastPrinted>
  <dcterms:created xsi:type="dcterms:W3CDTF">2014-03-17T12:54:40Z</dcterms:created>
  <dcterms:modified xsi:type="dcterms:W3CDTF">2015-01-16T15:18:07Z</dcterms:modified>
</cp:coreProperties>
</file>