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120" yWindow="120" windowWidth="15180" windowHeight="8835"/>
  </bookViews>
  <sheets>
    <sheet name="Summary" sheetId="1" r:id="rId1"/>
    <sheet name="Ineligible projects" sheetId="41" r:id="rId2"/>
    <sheet name="Wet detention pond calcs" sheetId="2" r:id="rId3"/>
    <sheet name="Retention calcs" sheetId="3" r:id="rId4"/>
    <sheet name="407143-6" sheetId="17" r:id="rId5"/>
    <sheet name="239266-3 Pond2" sheetId="5" r:id="rId6"/>
    <sheet name="239266-3 Pond 1" sheetId="7" r:id="rId7"/>
    <sheet name="239266-3 Pond3" sheetId="6" r:id="rId8"/>
    <sheet name="239266-4 Pond4" sheetId="8" r:id="rId9"/>
    <sheet name="407143-5 Pond3" sheetId="15" r:id="rId10"/>
    <sheet name="407143-5 Pond4" sheetId="16" r:id="rId11"/>
    <sheet name="407143-4 Pond1" sheetId="13" r:id="rId12"/>
    <sheet name="407143-4 Pond2" sheetId="14" r:id="rId13"/>
    <sheet name="239535-F" sheetId="40" r:id="rId14"/>
    <sheet name="416518-1 Pond1" sheetId="18" r:id="rId15"/>
    <sheet name="416518-1 Pond2" sheetId="19" r:id="rId16"/>
    <sheet name="239682-1 Pond 1" sheetId="9" r:id="rId17"/>
    <sheet name="239682-1 Pond2" sheetId="10" r:id="rId18"/>
    <sheet name="239682-1 Pond3" sheetId="11" r:id="rId19"/>
    <sheet name="239682-1 Pond4" sheetId="12" r:id="rId20"/>
    <sheet name="418403-2 Pond1and2" sheetId="20" r:id="rId21"/>
    <sheet name="239416-F" sheetId="27" r:id="rId22"/>
    <sheet name="239416-A" sheetId="22" r:id="rId23"/>
    <sheet name="239416-B and C" sheetId="23" r:id="rId24"/>
    <sheet name="239416-D" sheetId="25" r:id="rId25"/>
    <sheet name="239416-E" sheetId="26" r:id="rId26"/>
    <sheet name="239454-A" sheetId="28" r:id="rId27"/>
    <sheet name="239454-B" sheetId="29" r:id="rId28"/>
    <sheet name="239653-A" sheetId="30" r:id="rId29"/>
    <sheet name="239635-B" sheetId="31" r:id="rId30"/>
    <sheet name="239633-A" sheetId="32" r:id="rId31"/>
    <sheet name="239633-B" sheetId="33" r:id="rId32"/>
    <sheet name="239633-C" sheetId="34" r:id="rId33"/>
    <sheet name="239633-D" sheetId="35" r:id="rId34"/>
    <sheet name="242436-A" sheetId="36" r:id="rId35"/>
    <sheet name="242484-A" sheetId="37" r:id="rId36"/>
    <sheet name="405515-AandB" sheetId="38" r:id="rId37"/>
    <sheet name="410732" sheetId="39" r:id="rId38"/>
  </sheets>
  <definedNames>
    <definedName name="_xlnm.Print_Area" localSheetId="0">Summary!$A$1:$O$37</definedName>
    <definedName name="_xlnm.Print_Titles" localSheetId="0">Summary!$1:$1</definedName>
  </definedNames>
  <calcPr calcId="152511"/>
</workbook>
</file>

<file path=xl/calcChain.xml><?xml version="1.0" encoding="utf-8"?>
<calcChain xmlns="http://schemas.openxmlformats.org/spreadsheetml/2006/main">
  <c r="K36" i="1" l="1"/>
  <c r="H36" i="1"/>
  <c r="H57" i="41" l="1"/>
  <c r="H56" i="41"/>
  <c r="H55" i="41"/>
  <c r="H54" i="41"/>
  <c r="H53" i="41"/>
  <c r="H52" i="41"/>
  <c r="H51" i="41"/>
  <c r="H50" i="41"/>
  <c r="H49" i="41"/>
  <c r="H48" i="41"/>
  <c r="H47" i="41"/>
  <c r="H46" i="41"/>
  <c r="H45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9" i="41"/>
  <c r="H28" i="41"/>
  <c r="H27" i="41"/>
  <c r="K26" i="41"/>
  <c r="H107" i="41" l="1"/>
  <c r="K107" i="41"/>
  <c r="I35" i="1"/>
  <c r="K35" i="1" s="1"/>
  <c r="Z15" i="39"/>
  <c r="I34" i="1"/>
  <c r="K34" i="1" s="1"/>
  <c r="Z17" i="38"/>
  <c r="I33" i="1"/>
  <c r="K33" i="1" s="1"/>
  <c r="Z11" i="37"/>
  <c r="I32" i="1"/>
  <c r="K32" i="1" s="1"/>
  <c r="Z11" i="36"/>
  <c r="I31" i="1"/>
  <c r="K31" i="1" s="1"/>
  <c r="Z20" i="35"/>
  <c r="I30" i="1"/>
  <c r="K30" i="1" s="1"/>
  <c r="Z18" i="34"/>
  <c r="I29" i="1"/>
  <c r="K29" i="1" s="1"/>
  <c r="Z20" i="33"/>
  <c r="I28" i="1"/>
  <c r="K28" i="1" s="1"/>
  <c r="Z21" i="32"/>
  <c r="I27" i="1"/>
  <c r="K27" i="1" s="1"/>
  <c r="Z18" i="31"/>
  <c r="I26" i="1"/>
  <c r="Z19" i="30"/>
  <c r="I25" i="1"/>
  <c r="Z38" i="28"/>
  <c r="I24" i="1"/>
  <c r="Z18" i="26"/>
  <c r="I23" i="1"/>
  <c r="Z23" i="25"/>
  <c r="I22" i="1"/>
  <c r="Z40" i="23"/>
  <c r="I21" i="1"/>
  <c r="Z15" i="22"/>
  <c r="I20" i="1"/>
  <c r="Z14" i="27"/>
  <c r="X27" i="20"/>
  <c r="X26" i="20"/>
  <c r="X25" i="20"/>
  <c r="X24" i="20"/>
  <c r="X23" i="20"/>
  <c r="X22" i="20"/>
  <c r="X21" i="20"/>
  <c r="X20" i="20"/>
  <c r="X19" i="20"/>
  <c r="X18" i="20"/>
  <c r="X28" i="20" s="1"/>
  <c r="I18" i="1" s="1"/>
  <c r="K18" i="1" s="1"/>
  <c r="X17" i="20"/>
  <c r="X29" i="12"/>
  <c r="X28" i="12"/>
  <c r="X27" i="12"/>
  <c r="X26" i="12"/>
  <c r="X25" i="12"/>
  <c r="X24" i="12"/>
  <c r="X23" i="12"/>
  <c r="X22" i="12"/>
  <c r="X21" i="12"/>
  <c r="X20" i="12"/>
  <c r="X19" i="12"/>
  <c r="X18" i="12"/>
  <c r="X23" i="11"/>
  <c r="X22" i="11"/>
  <c r="X21" i="11"/>
  <c r="X20" i="11"/>
  <c r="X19" i="11"/>
  <c r="X18" i="11"/>
  <c r="X17" i="11"/>
  <c r="X16" i="11"/>
  <c r="X24" i="11" s="1"/>
  <c r="I16" i="1" s="1"/>
  <c r="K16" i="1" s="1"/>
  <c r="X15" i="11"/>
  <c r="X18" i="10"/>
  <c r="X17" i="10"/>
  <c r="X16" i="10"/>
  <c r="X15" i="10"/>
  <c r="X14" i="10"/>
  <c r="X13" i="10"/>
  <c r="X12" i="10"/>
  <c r="X38" i="9"/>
  <c r="X37" i="9"/>
  <c r="X36" i="9"/>
  <c r="X35" i="9"/>
  <c r="X34" i="9"/>
  <c r="X33" i="9"/>
  <c r="X32" i="9"/>
  <c r="X31" i="9"/>
  <c r="X30" i="9"/>
  <c r="X29" i="9"/>
  <c r="X28" i="9"/>
  <c r="X27" i="9"/>
  <c r="X26" i="9"/>
  <c r="X25" i="9"/>
  <c r="X24" i="9"/>
  <c r="X23" i="9"/>
  <c r="X22" i="9"/>
  <c r="I13" i="1"/>
  <c r="K13" i="1" s="1"/>
  <c r="X14" i="19"/>
  <c r="X10" i="18"/>
  <c r="X9" i="18"/>
  <c r="X11" i="18" s="1"/>
  <c r="I12" i="1" s="1"/>
  <c r="K12" i="1" s="1"/>
  <c r="X8" i="18"/>
  <c r="D11" i="1"/>
  <c r="U3" i="40"/>
  <c r="U4" i="40"/>
  <c r="U5" i="40"/>
  <c r="U6" i="40"/>
  <c r="U7" i="40"/>
  <c r="U8" i="40"/>
  <c r="U9" i="40"/>
  <c r="U2" i="40"/>
  <c r="U10" i="40" s="1"/>
  <c r="I11" i="1" s="1"/>
  <c r="K11" i="1" s="1"/>
  <c r="T3" i="40"/>
  <c r="T4" i="40"/>
  <c r="T5" i="40"/>
  <c r="T6" i="40"/>
  <c r="T7" i="40"/>
  <c r="T8" i="40"/>
  <c r="T9" i="40"/>
  <c r="T2" i="40"/>
  <c r="G10" i="40"/>
  <c r="I10" i="1"/>
  <c r="K10" i="1" s="1"/>
  <c r="X18" i="14"/>
  <c r="I9" i="1"/>
  <c r="K9" i="1" s="1"/>
  <c r="X11" i="13"/>
  <c r="I8" i="1"/>
  <c r="K8" i="1" s="1"/>
  <c r="X18" i="16"/>
  <c r="I7" i="1"/>
  <c r="K7" i="1" s="1"/>
  <c r="X13" i="15"/>
  <c r="X36" i="8"/>
  <c r="X35" i="8"/>
  <c r="X34" i="8"/>
  <c r="X33" i="8"/>
  <c r="X32" i="8"/>
  <c r="X31" i="8"/>
  <c r="X30" i="8"/>
  <c r="X29" i="8"/>
  <c r="X28" i="8"/>
  <c r="X27" i="8"/>
  <c r="X26" i="8"/>
  <c r="X25" i="8"/>
  <c r="X24" i="8"/>
  <c r="X23" i="8"/>
  <c r="X22" i="8"/>
  <c r="X21" i="8"/>
  <c r="X37" i="8" s="1"/>
  <c r="I6" i="1" s="1"/>
  <c r="K6" i="1" s="1"/>
  <c r="X54" i="6"/>
  <c r="X53" i="6"/>
  <c r="X52" i="6"/>
  <c r="X51" i="6"/>
  <c r="X50" i="6"/>
  <c r="X49" i="6"/>
  <c r="X48" i="6"/>
  <c r="X47" i="6"/>
  <c r="X46" i="6"/>
  <c r="X45" i="6"/>
  <c r="X44" i="6"/>
  <c r="X43" i="6"/>
  <c r="X42" i="6"/>
  <c r="X41" i="6"/>
  <c r="X40" i="6"/>
  <c r="X39" i="6"/>
  <c r="X38" i="6"/>
  <c r="X37" i="6"/>
  <c r="X36" i="6"/>
  <c r="X35" i="6"/>
  <c r="X34" i="6"/>
  <c r="X33" i="6"/>
  <c r="X32" i="6"/>
  <c r="X31" i="6"/>
  <c r="X30" i="6"/>
  <c r="I4" i="1"/>
  <c r="K4" i="1" s="1"/>
  <c r="X33" i="7"/>
  <c r="D3" i="1"/>
  <c r="X21" i="5"/>
  <c r="X20" i="5"/>
  <c r="X19" i="5"/>
  <c r="X18" i="5"/>
  <c r="X17" i="5"/>
  <c r="X16" i="5"/>
  <c r="X15" i="5"/>
  <c r="X14" i="5"/>
  <c r="I2" i="1"/>
  <c r="X25" i="17"/>
  <c r="X30" i="12" l="1"/>
  <c r="I17" i="1" s="1"/>
  <c r="K17" i="1" s="1"/>
  <c r="X19" i="10"/>
  <c r="I15" i="1" s="1"/>
  <c r="K15" i="1" s="1"/>
  <c r="X39" i="9"/>
  <c r="I14" i="1" s="1"/>
  <c r="K14" i="1" s="1"/>
  <c r="T10" i="40"/>
  <c r="F11" i="1" s="1"/>
  <c r="H11" i="1" s="1"/>
  <c r="X55" i="6"/>
  <c r="I5" i="1" s="1"/>
  <c r="K5" i="1" s="1"/>
  <c r="X22" i="5"/>
  <c r="I3" i="1" s="1"/>
  <c r="D35" i="1"/>
  <c r="O7" i="39"/>
  <c r="Z6" i="39"/>
  <c r="Z5" i="39"/>
  <c r="Z4" i="39"/>
  <c r="Z3" i="39"/>
  <c r="Z2" i="39"/>
  <c r="F34" i="1"/>
  <c r="H34" i="1" s="1"/>
  <c r="D34" i="1"/>
  <c r="Z8" i="38"/>
  <c r="O8" i="38"/>
  <c r="F33" i="1"/>
  <c r="H33" i="1" s="1"/>
  <c r="D33" i="1"/>
  <c r="Z5" i="37"/>
  <c r="O5" i="37"/>
  <c r="F32" i="1"/>
  <c r="H32" i="1" s="1"/>
  <c r="D32" i="1"/>
  <c r="Z5" i="36"/>
  <c r="O5" i="36"/>
  <c r="D31" i="1"/>
  <c r="D30" i="1"/>
  <c r="D29" i="1"/>
  <c r="D28" i="1"/>
  <c r="O9" i="35"/>
  <c r="O8" i="34"/>
  <c r="O9" i="33"/>
  <c r="O10" i="32"/>
  <c r="Z8" i="35"/>
  <c r="Z7" i="35"/>
  <c r="Z6" i="35"/>
  <c r="Z5" i="35"/>
  <c r="Z4" i="35"/>
  <c r="Z3" i="35"/>
  <c r="Z2" i="35"/>
  <c r="Z7" i="34"/>
  <c r="Z6" i="34"/>
  <c r="Z5" i="34"/>
  <c r="Z4" i="34"/>
  <c r="Z3" i="34"/>
  <c r="Z2" i="34"/>
  <c r="Z8" i="33"/>
  <c r="Z7" i="33"/>
  <c r="Z6" i="33"/>
  <c r="Z5" i="33"/>
  <c r="Z4" i="33"/>
  <c r="Z3" i="33"/>
  <c r="Z2" i="33"/>
  <c r="Z9" i="32"/>
  <c r="Z8" i="32"/>
  <c r="Z7" i="32"/>
  <c r="Z6" i="32"/>
  <c r="Z5" i="32"/>
  <c r="Z4" i="32"/>
  <c r="Z3" i="32"/>
  <c r="Z2" i="32"/>
  <c r="D27" i="1"/>
  <c r="D26" i="1"/>
  <c r="O8" i="31"/>
  <c r="O9" i="30"/>
  <c r="Z7" i="31"/>
  <c r="Z6" i="31"/>
  <c r="Z5" i="31"/>
  <c r="Z4" i="31"/>
  <c r="Z3" i="31"/>
  <c r="Z2" i="31"/>
  <c r="Z8" i="30"/>
  <c r="Z7" i="30"/>
  <c r="Z6" i="30"/>
  <c r="Z5" i="30"/>
  <c r="Z4" i="30"/>
  <c r="Z3" i="30"/>
  <c r="Z2" i="30"/>
  <c r="D25" i="1"/>
  <c r="O18" i="28"/>
  <c r="Z17" i="28"/>
  <c r="Z16" i="28"/>
  <c r="Z15" i="28"/>
  <c r="Z14" i="28"/>
  <c r="Z13" i="28"/>
  <c r="Z12" i="28"/>
  <c r="Z11" i="28"/>
  <c r="Z10" i="28"/>
  <c r="Z9" i="28"/>
  <c r="Z8" i="28"/>
  <c r="Z7" i="28"/>
  <c r="Z6" i="28"/>
  <c r="Z5" i="28"/>
  <c r="Z4" i="28"/>
  <c r="Z3" i="28"/>
  <c r="Z2" i="28"/>
  <c r="D24" i="1"/>
  <c r="O8" i="26"/>
  <c r="D23" i="1"/>
  <c r="O10" i="25"/>
  <c r="D22" i="1"/>
  <c r="O19" i="23"/>
  <c r="Z7" i="23"/>
  <c r="Z8" i="23"/>
  <c r="Z9" i="23"/>
  <c r="Z10" i="23"/>
  <c r="Z11" i="23"/>
  <c r="Z12" i="23"/>
  <c r="Z13" i="23"/>
  <c r="Z14" i="23"/>
  <c r="Z15" i="23"/>
  <c r="Z16" i="23"/>
  <c r="Z17" i="23"/>
  <c r="Z18" i="23"/>
  <c r="D20" i="1"/>
  <c r="O6" i="27"/>
  <c r="D21" i="1"/>
  <c r="O7" i="22"/>
  <c r="Z5" i="27"/>
  <c r="Z4" i="27"/>
  <c r="Z3" i="27"/>
  <c r="Z2" i="27"/>
  <c r="Z7" i="26"/>
  <c r="Z6" i="26"/>
  <c r="Z5" i="26"/>
  <c r="Z4" i="26"/>
  <c r="Z3" i="26"/>
  <c r="Z8" i="26" s="1"/>
  <c r="F24" i="1" s="1"/>
  <c r="Z2" i="26"/>
  <c r="Z7" i="39" l="1"/>
  <c r="F35" i="1" s="1"/>
  <c r="H35" i="1" s="1"/>
  <c r="Z9" i="35"/>
  <c r="F31" i="1" s="1"/>
  <c r="H31" i="1" s="1"/>
  <c r="Z8" i="34"/>
  <c r="F30" i="1" s="1"/>
  <c r="H30" i="1" s="1"/>
  <c r="Z9" i="33"/>
  <c r="F29" i="1" s="1"/>
  <c r="H29" i="1" s="1"/>
  <c r="Z10" i="32"/>
  <c r="F28" i="1" s="1"/>
  <c r="H28" i="1" s="1"/>
  <c r="Z8" i="31"/>
  <c r="F27" i="1" s="1"/>
  <c r="H27" i="1" s="1"/>
  <c r="Z9" i="30"/>
  <c r="F26" i="1" s="1"/>
  <c r="Z18" i="28"/>
  <c r="F25" i="1" s="1"/>
  <c r="Z6" i="27"/>
  <c r="F20" i="1" s="1"/>
  <c r="Z9" i="25"/>
  <c r="Z8" i="25"/>
  <c r="Z7" i="25"/>
  <c r="Z6" i="25"/>
  <c r="Z5" i="25"/>
  <c r="Z4" i="25"/>
  <c r="Z3" i="25"/>
  <c r="Z2" i="25"/>
  <c r="Z6" i="23"/>
  <c r="Z5" i="23"/>
  <c r="Z4" i="23"/>
  <c r="Z3" i="23"/>
  <c r="Z2" i="23"/>
  <c r="Z6" i="22"/>
  <c r="Z5" i="22"/>
  <c r="Z4" i="22"/>
  <c r="Z3" i="22"/>
  <c r="Z2" i="22"/>
  <c r="D18" i="1"/>
  <c r="N13" i="20"/>
  <c r="D2" i="1"/>
  <c r="N12" i="17"/>
  <c r="D17" i="1"/>
  <c r="N14" i="12"/>
  <c r="D16" i="1"/>
  <c r="N11" i="11"/>
  <c r="D15" i="1"/>
  <c r="N9" i="10"/>
  <c r="D14" i="1"/>
  <c r="N19" i="9"/>
  <c r="D13" i="1"/>
  <c r="N6" i="19"/>
  <c r="D12" i="1"/>
  <c r="N5" i="18"/>
  <c r="D10" i="1"/>
  <c r="N8" i="14"/>
  <c r="D9" i="1"/>
  <c r="D8" i="1"/>
  <c r="N5" i="13"/>
  <c r="N8" i="16"/>
  <c r="D7" i="1"/>
  <c r="N6" i="15"/>
  <c r="D6" i="1"/>
  <c r="N18" i="8"/>
  <c r="D5" i="1"/>
  <c r="D4" i="1"/>
  <c r="N27" i="6"/>
  <c r="N16" i="7"/>
  <c r="N10" i="5"/>
  <c r="X8" i="20"/>
  <c r="X9" i="20"/>
  <c r="X10" i="20"/>
  <c r="X11" i="20"/>
  <c r="X12" i="20"/>
  <c r="X2" i="20"/>
  <c r="X3" i="20"/>
  <c r="X4" i="20"/>
  <c r="X5" i="20"/>
  <c r="X6" i="20"/>
  <c r="X7" i="20"/>
  <c r="X2" i="19"/>
  <c r="X3" i="19"/>
  <c r="X4" i="19"/>
  <c r="X5" i="19"/>
  <c r="X2" i="18"/>
  <c r="X3" i="18"/>
  <c r="X4" i="18"/>
  <c r="X2" i="17"/>
  <c r="X3" i="17"/>
  <c r="X4" i="17"/>
  <c r="X5" i="17"/>
  <c r="X6" i="17"/>
  <c r="X7" i="17"/>
  <c r="X8" i="17"/>
  <c r="X9" i="17"/>
  <c r="X10" i="17"/>
  <c r="X11" i="17"/>
  <c r="X2" i="16"/>
  <c r="X3" i="16"/>
  <c r="X8" i="16" s="1"/>
  <c r="F8" i="1" s="1"/>
  <c r="H8" i="1" s="1"/>
  <c r="X4" i="16"/>
  <c r="X5" i="16"/>
  <c r="X6" i="16"/>
  <c r="X7" i="16"/>
  <c r="X5" i="15"/>
  <c r="X2" i="15"/>
  <c r="X3" i="15"/>
  <c r="X4" i="15"/>
  <c r="X2" i="14"/>
  <c r="X3" i="14"/>
  <c r="X4" i="14"/>
  <c r="X5" i="14"/>
  <c r="X6" i="14"/>
  <c r="X7" i="14"/>
  <c r="X2" i="13"/>
  <c r="X3" i="13"/>
  <c r="X4" i="13"/>
  <c r="X2" i="12"/>
  <c r="X3" i="12"/>
  <c r="X4" i="12"/>
  <c r="X5" i="12"/>
  <c r="X6" i="12"/>
  <c r="X7" i="12"/>
  <c r="X8" i="12"/>
  <c r="X9" i="12"/>
  <c r="X10" i="12"/>
  <c r="X11" i="12"/>
  <c r="X12" i="12"/>
  <c r="X13" i="12"/>
  <c r="X2" i="11"/>
  <c r="X3" i="11"/>
  <c r="X4" i="11"/>
  <c r="X5" i="11"/>
  <c r="X6" i="11"/>
  <c r="X7" i="11"/>
  <c r="X8" i="11"/>
  <c r="X9" i="11"/>
  <c r="X10" i="11"/>
  <c r="X2" i="10"/>
  <c r="X3" i="10"/>
  <c r="X9" i="10" s="1"/>
  <c r="F15" i="1" s="1"/>
  <c r="H15" i="1" s="1"/>
  <c r="X4" i="10"/>
  <c r="X5" i="10"/>
  <c r="X6" i="10"/>
  <c r="X7" i="10"/>
  <c r="X8" i="10"/>
  <c r="X2" i="9"/>
  <c r="X3" i="9"/>
  <c r="X4" i="9"/>
  <c r="X5" i="9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2" i="8"/>
  <c r="X3" i="8"/>
  <c r="X18" i="8" s="1"/>
  <c r="F6" i="1" s="1"/>
  <c r="H6" i="1" s="1"/>
  <c r="X4" i="8"/>
  <c r="X5" i="8"/>
  <c r="X6" i="8"/>
  <c r="X7" i="8"/>
  <c r="X8" i="8"/>
  <c r="X9" i="8"/>
  <c r="X10" i="8"/>
  <c r="X11" i="8"/>
  <c r="X12" i="8"/>
  <c r="X13" i="8"/>
  <c r="X14" i="8"/>
  <c r="X15" i="8"/>
  <c r="X16" i="8"/>
  <c r="X17" i="8"/>
  <c r="X2" i="7"/>
  <c r="X3" i="7"/>
  <c r="X16" i="7" s="1"/>
  <c r="F4" i="1" s="1"/>
  <c r="H4" i="1" s="1"/>
  <c r="X4" i="7"/>
  <c r="X5" i="7"/>
  <c r="X6" i="7"/>
  <c r="X7" i="7"/>
  <c r="X8" i="7"/>
  <c r="X9" i="7"/>
  <c r="X10" i="7"/>
  <c r="X11" i="7"/>
  <c r="X12" i="7"/>
  <c r="X13" i="7"/>
  <c r="X14" i="7"/>
  <c r="X15" i="7"/>
  <c r="X2" i="6"/>
  <c r="X3" i="6"/>
  <c r="X4" i="6"/>
  <c r="X27" i="6" s="1"/>
  <c r="F5" i="1" s="1"/>
  <c r="H5" i="1" s="1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" i="5"/>
  <c r="X3" i="5"/>
  <c r="X4" i="5"/>
  <c r="X5" i="5"/>
  <c r="X6" i="5"/>
  <c r="X7" i="5"/>
  <c r="X8" i="5"/>
  <c r="X9" i="5"/>
  <c r="Z10" i="25" l="1"/>
  <c r="F23" i="1" s="1"/>
  <c r="Z19" i="23"/>
  <c r="F22" i="1" s="1"/>
  <c r="Z7" i="22"/>
  <c r="F21" i="1" s="1"/>
  <c r="X13" i="20"/>
  <c r="F18" i="1" s="1"/>
  <c r="H18" i="1" s="1"/>
  <c r="X14" i="12"/>
  <c r="F17" i="1" s="1"/>
  <c r="H17" i="1" s="1"/>
  <c r="X11" i="11"/>
  <c r="F16" i="1" s="1"/>
  <c r="H16" i="1" s="1"/>
  <c r="X19" i="9"/>
  <c r="F14" i="1" s="1"/>
  <c r="H14" i="1" s="1"/>
  <c r="X6" i="19"/>
  <c r="F13" i="1" s="1"/>
  <c r="H13" i="1" s="1"/>
  <c r="X5" i="18"/>
  <c r="F12" i="1" s="1"/>
  <c r="H12" i="1" s="1"/>
  <c r="X8" i="14"/>
  <c r="F10" i="1" s="1"/>
  <c r="H10" i="1" s="1"/>
  <c r="X5" i="13"/>
  <c r="F9" i="1" s="1"/>
  <c r="H9" i="1" s="1"/>
  <c r="X6" i="15"/>
  <c r="F7" i="1" s="1"/>
  <c r="H7" i="1" s="1"/>
  <c r="X10" i="5"/>
  <c r="F3" i="1" s="1"/>
  <c r="X12" i="17"/>
  <c r="F2" i="1" s="1"/>
  <c r="J26" i="1"/>
  <c r="K26" i="1" s="1"/>
  <c r="G26" i="1"/>
  <c r="H26" i="1" s="1"/>
  <c r="D34" i="3"/>
  <c r="B34" i="3"/>
  <c r="F34" i="3" s="1"/>
  <c r="F33" i="3"/>
  <c r="B304" i="2"/>
  <c r="D303" i="2"/>
  <c r="D305" i="2" s="1"/>
  <c r="B303" i="2"/>
  <c r="B305" i="2" s="1"/>
  <c r="D304" i="2" l="1"/>
  <c r="F304" i="2" s="1"/>
  <c r="F305" i="2"/>
  <c r="D295" i="2"/>
  <c r="D296" i="2" s="1"/>
  <c r="B295" i="2"/>
  <c r="B296" i="2" s="1"/>
  <c r="F296" i="2" s="1"/>
  <c r="D287" i="2"/>
  <c r="D288" i="2" s="1"/>
  <c r="B287" i="2"/>
  <c r="B288" i="2" s="1"/>
  <c r="F288" i="2" s="1"/>
  <c r="D279" i="2"/>
  <c r="D281" i="2" s="1"/>
  <c r="B279" i="2"/>
  <c r="B280" i="2" s="1"/>
  <c r="D271" i="2"/>
  <c r="D272" i="2" s="1"/>
  <c r="B271" i="2"/>
  <c r="B272" i="2" s="1"/>
  <c r="F272" i="2" s="1"/>
  <c r="D263" i="2"/>
  <c r="D264" i="2" s="1"/>
  <c r="B263" i="2"/>
  <c r="B264" i="2" s="1"/>
  <c r="F264" i="2" s="1"/>
  <c r="D255" i="2"/>
  <c r="D256" i="2" s="1"/>
  <c r="B255" i="2"/>
  <c r="B256" i="2" s="1"/>
  <c r="F256" i="2" s="1"/>
  <c r="D247" i="2"/>
  <c r="D248" i="2" s="1"/>
  <c r="B247" i="2"/>
  <c r="B248" i="2" s="1"/>
  <c r="D239" i="2"/>
  <c r="D241" i="2" s="1"/>
  <c r="B239" i="2"/>
  <c r="B241" i="2" s="1"/>
  <c r="D231" i="2"/>
  <c r="D232" i="2" s="1"/>
  <c r="B231" i="2"/>
  <c r="B232" i="2" s="1"/>
  <c r="F232" i="2" s="1"/>
  <c r="D223" i="2"/>
  <c r="D224" i="2" s="1"/>
  <c r="B223" i="2"/>
  <c r="B224" i="2" s="1"/>
  <c r="D215" i="2"/>
  <c r="D216" i="2" s="1"/>
  <c r="B215" i="2"/>
  <c r="B216" i="2" s="1"/>
  <c r="F216" i="2" s="1"/>
  <c r="D207" i="2"/>
  <c r="D208" i="2" s="1"/>
  <c r="B207" i="2"/>
  <c r="B208" i="2" s="1"/>
  <c r="F208" i="2" s="1"/>
  <c r="D199" i="2"/>
  <c r="D200" i="2" s="1"/>
  <c r="B199" i="2"/>
  <c r="B200" i="2" s="1"/>
  <c r="F200" i="2" s="1"/>
  <c r="D191" i="2"/>
  <c r="D192" i="2" s="1"/>
  <c r="B191" i="2"/>
  <c r="B192" i="2" s="1"/>
  <c r="F192" i="2" s="1"/>
  <c r="D183" i="2"/>
  <c r="D184" i="2" s="1"/>
  <c r="B183" i="2"/>
  <c r="B184" i="2" s="1"/>
  <c r="D175" i="2"/>
  <c r="D176" i="2" s="1"/>
  <c r="B175" i="2"/>
  <c r="B176" i="2" s="1"/>
  <c r="F176" i="2" s="1"/>
  <c r="D167" i="2"/>
  <c r="D168" i="2" s="1"/>
  <c r="B167" i="2"/>
  <c r="B168" i="2" s="1"/>
  <c r="F168" i="2" s="1"/>
  <c r="B135" i="2"/>
  <c r="D161" i="2"/>
  <c r="D160" i="2"/>
  <c r="D159" i="2"/>
  <c r="B159" i="2"/>
  <c r="B161" i="2" s="1"/>
  <c r="D151" i="2"/>
  <c r="D152" i="2" s="1"/>
  <c r="B151" i="2"/>
  <c r="B152" i="2" s="1"/>
  <c r="D143" i="2"/>
  <c r="D144" i="2" s="1"/>
  <c r="B143" i="2"/>
  <c r="B144" i="2" s="1"/>
  <c r="D135" i="2"/>
  <c r="D136" i="2" s="1"/>
  <c r="B136" i="2"/>
  <c r="F136" i="2" s="1"/>
  <c r="D127" i="2"/>
  <c r="D128" i="2" s="1"/>
  <c r="B127" i="2"/>
  <c r="B128" i="2" s="1"/>
  <c r="F128" i="2" s="1"/>
  <c r="D119" i="2"/>
  <c r="D120" i="2" s="1"/>
  <c r="B119" i="2"/>
  <c r="B120" i="2" s="1"/>
  <c r="F120" i="2" s="1"/>
  <c r="D111" i="2"/>
  <c r="D112" i="2" s="1"/>
  <c r="B111" i="2"/>
  <c r="B112" i="2" s="1"/>
  <c r="D29" i="3"/>
  <c r="B29" i="3"/>
  <c r="F29" i="3" s="1"/>
  <c r="F28" i="3"/>
  <c r="B19" i="3"/>
  <c r="D19" i="3"/>
  <c r="F18" i="3"/>
  <c r="D24" i="3"/>
  <c r="F24" i="3" s="1"/>
  <c r="F23" i="3"/>
  <c r="D14" i="3"/>
  <c r="F14" i="3"/>
  <c r="F13" i="3"/>
  <c r="D105" i="2"/>
  <c r="B105" i="2"/>
  <c r="D104" i="2"/>
  <c r="B104" i="2"/>
  <c r="F104" i="2" s="1"/>
  <c r="B240" i="2" l="1"/>
  <c r="F161" i="2"/>
  <c r="B160" i="2"/>
  <c r="F160" i="2" s="1"/>
  <c r="F152" i="2"/>
  <c r="F112" i="2"/>
  <c r="B297" i="2"/>
  <c r="D297" i="2"/>
  <c r="D280" i="2"/>
  <c r="F280" i="2"/>
  <c r="B289" i="2"/>
  <c r="D289" i="2"/>
  <c r="B281" i="2"/>
  <c r="F281" i="2" s="1"/>
  <c r="F248" i="2"/>
  <c r="B273" i="2"/>
  <c r="D273" i="2"/>
  <c r="B265" i="2"/>
  <c r="D265" i="2"/>
  <c r="B257" i="2"/>
  <c r="D257" i="2"/>
  <c r="B249" i="2"/>
  <c r="D249" i="2"/>
  <c r="D240" i="2"/>
  <c r="F241" i="2"/>
  <c r="F224" i="2"/>
  <c r="B233" i="2"/>
  <c r="D233" i="2"/>
  <c r="B225" i="2"/>
  <c r="D225" i="2"/>
  <c r="B217" i="2"/>
  <c r="D217" i="2"/>
  <c r="B209" i="2"/>
  <c r="D209" i="2"/>
  <c r="B201" i="2"/>
  <c r="D201" i="2"/>
  <c r="B193" i="2"/>
  <c r="D193" i="2"/>
  <c r="F184" i="2"/>
  <c r="B185" i="2"/>
  <c r="D185" i="2"/>
  <c r="B177" i="2"/>
  <c r="D177" i="2"/>
  <c r="B169" i="2"/>
  <c r="D169" i="2"/>
  <c r="F144" i="2"/>
  <c r="B153" i="2"/>
  <c r="D153" i="2"/>
  <c r="B145" i="2"/>
  <c r="D145" i="2"/>
  <c r="B137" i="2"/>
  <c r="D137" i="2"/>
  <c r="B129" i="2"/>
  <c r="D129" i="2"/>
  <c r="B121" i="2"/>
  <c r="D121" i="2"/>
  <c r="B113" i="2"/>
  <c r="D113" i="2"/>
  <c r="F105" i="2"/>
  <c r="F19" i="3"/>
  <c r="D99" i="2"/>
  <c r="B99" i="2"/>
  <c r="F99" i="2" s="1"/>
  <c r="D98" i="2"/>
  <c r="B98" i="2"/>
  <c r="F98" i="2" s="1"/>
  <c r="D93" i="2"/>
  <c r="B93" i="2"/>
  <c r="D92" i="2"/>
  <c r="B92" i="2"/>
  <c r="F92" i="2" s="1"/>
  <c r="D87" i="2"/>
  <c r="B87" i="2"/>
  <c r="F87" i="2" s="1"/>
  <c r="G25" i="1" s="1"/>
  <c r="H25" i="1" s="1"/>
  <c r="D86" i="2"/>
  <c r="F86" i="2" s="1"/>
  <c r="J25" i="1" s="1"/>
  <c r="K25" i="1" s="1"/>
  <c r="B86" i="2"/>
  <c r="D81" i="2"/>
  <c r="B81" i="2"/>
  <c r="F81" i="2" s="1"/>
  <c r="D80" i="2"/>
  <c r="B80" i="2"/>
  <c r="D74" i="2"/>
  <c r="B75" i="2"/>
  <c r="D9" i="3"/>
  <c r="B9" i="3"/>
  <c r="F8" i="3"/>
  <c r="F4" i="3"/>
  <c r="D4" i="3"/>
  <c r="F3" i="3"/>
  <c r="F240" i="2" l="1"/>
  <c r="F297" i="2"/>
  <c r="F289" i="2"/>
  <c r="F273" i="2"/>
  <c r="F265" i="2"/>
  <c r="F257" i="2"/>
  <c r="F249" i="2"/>
  <c r="F233" i="2"/>
  <c r="F225" i="2"/>
  <c r="F217" i="2"/>
  <c r="F209" i="2"/>
  <c r="F201" i="2"/>
  <c r="F193" i="2"/>
  <c r="F185" i="2"/>
  <c r="F177" i="2"/>
  <c r="F169" i="2"/>
  <c r="F153" i="2"/>
  <c r="F145" i="2"/>
  <c r="F137" i="2"/>
  <c r="F129" i="2"/>
  <c r="F121" i="2"/>
  <c r="F113" i="2"/>
  <c r="F93" i="2"/>
  <c r="F9" i="3"/>
  <c r="F80" i="2"/>
  <c r="B74" i="2"/>
  <c r="F74" i="2" s="1"/>
  <c r="D75" i="2"/>
  <c r="F75" i="2" s="1"/>
  <c r="D36" i="2" l="1"/>
  <c r="B36" i="2"/>
  <c r="D67" i="2"/>
  <c r="D69" i="2" s="1"/>
  <c r="B67" i="2"/>
  <c r="B68" i="2" s="1"/>
  <c r="D59" i="2"/>
  <c r="D61" i="2" s="1"/>
  <c r="B59" i="2"/>
  <c r="B60" i="2" s="1"/>
  <c r="D51" i="2"/>
  <c r="D52" i="2" s="1"/>
  <c r="B51" i="2"/>
  <c r="B52" i="2" s="1"/>
  <c r="D43" i="2"/>
  <c r="D44" i="2" s="1"/>
  <c r="B43" i="2"/>
  <c r="B44" i="2" s="1"/>
  <c r="D29" i="2"/>
  <c r="D30" i="2" s="1"/>
  <c r="B29" i="2"/>
  <c r="B31" i="2" s="1"/>
  <c r="D31" i="2" l="1"/>
  <c r="D68" i="2"/>
  <c r="F68" i="2" s="1"/>
  <c r="F36" i="2"/>
  <c r="F31" i="2"/>
  <c r="B30" i="2"/>
  <c r="F30" i="2" s="1"/>
  <c r="D60" i="2"/>
  <c r="F60" i="2" s="1"/>
  <c r="B37" i="2"/>
  <c r="D37" i="2"/>
  <c r="B69" i="2"/>
  <c r="F69" i="2" s="1"/>
  <c r="B61" i="2"/>
  <c r="F61" i="2" s="1"/>
  <c r="F52" i="2"/>
  <c r="F44" i="2"/>
  <c r="B53" i="2"/>
  <c r="D53" i="2"/>
  <c r="B45" i="2"/>
  <c r="D45" i="2"/>
  <c r="D23" i="2"/>
  <c r="B23" i="2"/>
  <c r="D22" i="2"/>
  <c r="B22" i="2"/>
  <c r="F22" i="2" s="1"/>
  <c r="D17" i="2"/>
  <c r="B17" i="2"/>
  <c r="D16" i="2"/>
  <c r="B16" i="2"/>
  <c r="F16" i="2" s="1"/>
  <c r="D11" i="2"/>
  <c r="B11" i="2"/>
  <c r="D10" i="2"/>
  <c r="B10" i="2"/>
  <c r="D5" i="2"/>
  <c r="B5" i="2"/>
  <c r="D4" i="2"/>
  <c r="B4" i="2"/>
  <c r="F4" i="2" s="1"/>
  <c r="J3" i="1" s="1"/>
  <c r="K3" i="1" s="1"/>
  <c r="F11" i="2" l="1"/>
  <c r="F23" i="2"/>
  <c r="F37" i="2"/>
  <c r="F10" i="2"/>
  <c r="F5" i="2"/>
  <c r="G3" i="1" s="1"/>
  <c r="H3" i="1" s="1"/>
  <c r="H37" i="1" s="1"/>
  <c r="F17" i="2"/>
  <c r="F53" i="2"/>
  <c r="F45" i="2"/>
  <c r="K37" i="1"/>
</calcChain>
</file>

<file path=xl/sharedStrings.xml><?xml version="1.0" encoding="utf-8"?>
<sst xmlns="http://schemas.openxmlformats.org/spreadsheetml/2006/main" count="9041" uniqueCount="593">
  <si>
    <t>Project Name</t>
  </si>
  <si>
    <t>Project Number</t>
  </si>
  <si>
    <t>Wet detention pond</t>
  </si>
  <si>
    <t>Dry detention</t>
  </si>
  <si>
    <t>SR 15 (Hoffner Rd) From N of Lee Vista Blvd to W of SR 436</t>
  </si>
  <si>
    <t>Swale</t>
  </si>
  <si>
    <t>Swales</t>
  </si>
  <si>
    <t>N/A</t>
  </si>
  <si>
    <t>Project Type</t>
  </si>
  <si>
    <t>FDOT5-1</t>
  </si>
  <si>
    <t>FDOT5-6</t>
  </si>
  <si>
    <t>FDOT5-3</t>
  </si>
  <si>
    <t>FDOT5-8</t>
  </si>
  <si>
    <t>FDOT5-2</t>
  </si>
  <si>
    <t>FDOT5-5</t>
  </si>
  <si>
    <t>FDOT5-4</t>
  </si>
  <si>
    <t>FDOT5-7</t>
  </si>
  <si>
    <t>FDOT5-9</t>
  </si>
  <si>
    <t>FDOT5-10</t>
  </si>
  <si>
    <t>FDOT5-11</t>
  </si>
  <si>
    <t>FDOT5-12</t>
  </si>
  <si>
    <t>FDOT5-13</t>
  </si>
  <si>
    <t>FDOT5-14</t>
  </si>
  <si>
    <t>FDOT5-15</t>
  </si>
  <si>
    <t>FDOT5-16</t>
  </si>
  <si>
    <t>FDOT5-17</t>
  </si>
  <si>
    <t>FDOT5-18</t>
  </si>
  <si>
    <t>FDOT5-19</t>
  </si>
  <si>
    <t>FDOT5-20</t>
  </si>
  <si>
    <t>FDOT5-21</t>
  </si>
  <si>
    <t>FDOT5-22</t>
  </si>
  <si>
    <t>FDOT5-23</t>
  </si>
  <si>
    <t>FDOT5-24</t>
  </si>
  <si>
    <t>FDOT5-25</t>
  </si>
  <si>
    <t>FDOT5-26</t>
  </si>
  <si>
    <t>FDOT5-27</t>
  </si>
  <si>
    <t>FDOT5-28</t>
  </si>
  <si>
    <t>FDOT5-29</t>
  </si>
  <si>
    <t>FDOT5-30</t>
  </si>
  <si>
    <t>FDOT5-31</t>
  </si>
  <si>
    <t>FDOT5-32</t>
  </si>
  <si>
    <t>FDOT5-33</t>
  </si>
  <si>
    <t>FDOT5-34</t>
  </si>
  <si>
    <t>FDOT5-35</t>
  </si>
  <si>
    <t>FDOT5-36</t>
  </si>
  <si>
    <t>FDOT5-37</t>
  </si>
  <si>
    <t>FDOT5-38</t>
  </si>
  <si>
    <t>FDOT5-39</t>
  </si>
  <si>
    <t>FDOT5-40</t>
  </si>
  <si>
    <t>FDOT5-41</t>
  </si>
  <si>
    <t>FDOT5-42</t>
  </si>
  <si>
    <t>FDOT5-43</t>
  </si>
  <si>
    <t>FDOT5-44</t>
  </si>
  <si>
    <t>FDOT5-45</t>
  </si>
  <si>
    <t>FDOT5-46</t>
  </si>
  <si>
    <t>FDOT5-47</t>
  </si>
  <si>
    <t>FDOT5-48</t>
  </si>
  <si>
    <t>FDOT5-49</t>
  </si>
  <si>
    <t>FDOT5-50</t>
  </si>
  <si>
    <t>FDOT5-51</t>
  </si>
  <si>
    <t>FDOT5-52</t>
  </si>
  <si>
    <t>FDOT5-53</t>
  </si>
  <si>
    <t>FDOT5-54</t>
  </si>
  <si>
    <t>FDOT5-55</t>
  </si>
  <si>
    <t>FDOT5-56</t>
  </si>
  <si>
    <t>FDOT5-57</t>
  </si>
  <si>
    <t>FDOT5-58</t>
  </si>
  <si>
    <t>FDOT5-59</t>
  </si>
  <si>
    <t>FDOT5-60</t>
  </si>
  <si>
    <t>FDOT5-61</t>
  </si>
  <si>
    <t>FDOT5-62</t>
  </si>
  <si>
    <t>FDOT5-63</t>
  </si>
  <si>
    <t>FDOT5-64</t>
  </si>
  <si>
    <t>FDOT5-65</t>
  </si>
  <si>
    <t>FDOT5-66</t>
  </si>
  <si>
    <t>FDOT5-67</t>
  </si>
  <si>
    <t>FDOT5-68</t>
  </si>
  <si>
    <t>FDOT5-69</t>
  </si>
  <si>
    <t>FDOT5-70</t>
  </si>
  <si>
    <t>FDOT5-71</t>
  </si>
  <si>
    <t>FDOT5-72</t>
  </si>
  <si>
    <t>FDOT5-73</t>
  </si>
  <si>
    <t>FDOT5-74</t>
  </si>
  <si>
    <t>FDOT5-75</t>
  </si>
  <si>
    <t>FDOT5-76</t>
  </si>
  <si>
    <t>FDOT5-77</t>
  </si>
  <si>
    <t>FDOT5-78</t>
  </si>
  <si>
    <t>FDOT5-79</t>
  </si>
  <si>
    <t>FDOT5-80</t>
  </si>
  <si>
    <t>FDOT5-81</t>
  </si>
  <si>
    <t>FDOT5-82</t>
  </si>
  <si>
    <t>FDOT5-83</t>
  </si>
  <si>
    <t>FDOT5-84</t>
  </si>
  <si>
    <t>FDOT5-85</t>
  </si>
  <si>
    <t>FDOT5-86</t>
  </si>
  <si>
    <t>FDOT5-87</t>
  </si>
  <si>
    <t>FDOT5-88</t>
  </si>
  <si>
    <t>FDOT5-89</t>
  </si>
  <si>
    <t>FDOT5-90</t>
  </si>
  <si>
    <t>FDOT5-91</t>
  </si>
  <si>
    <t>FDOT5-92</t>
  </si>
  <si>
    <t>FDOT5-93</t>
  </si>
  <si>
    <t>FDOT5-94</t>
  </si>
  <si>
    <t>FDOT5-95</t>
  </si>
  <si>
    <t>FDOT5-96</t>
  </si>
  <si>
    <t>FDOT5-97</t>
  </si>
  <si>
    <t>FDOT5-98</t>
  </si>
  <si>
    <t>FDOT5-99</t>
  </si>
  <si>
    <t>FDOT5-100</t>
  </si>
  <si>
    <t>FDOT5-101</t>
  </si>
  <si>
    <t>FDOT5-102</t>
  </si>
  <si>
    <t>FDOT5-103</t>
  </si>
  <si>
    <t>FDOT5-104</t>
  </si>
  <si>
    <t>FDOT5-105</t>
  </si>
  <si>
    <t>FDOT5-106</t>
  </si>
  <si>
    <t>FDOT5-107</t>
  </si>
  <si>
    <t>FDOT5-108</t>
  </si>
  <si>
    <t>FDOT5-109</t>
  </si>
  <si>
    <t>FDOT5-110</t>
  </si>
  <si>
    <t>FDOT5-111</t>
  </si>
  <si>
    <t>FDOT5-112</t>
  </si>
  <si>
    <t>FDOT5-113</t>
  </si>
  <si>
    <t>FDOT5-114</t>
  </si>
  <si>
    <t>FDOT5-115</t>
  </si>
  <si>
    <t>FDOT5-116</t>
  </si>
  <si>
    <t>FDOT5-117</t>
  </si>
  <si>
    <t>FDOT5-118</t>
  </si>
  <si>
    <t>FDOT5-119</t>
  </si>
  <si>
    <t>FDOT5-120</t>
  </si>
  <si>
    <t>FDOT5-121</t>
  </si>
  <si>
    <t>FDOT5-122</t>
  </si>
  <si>
    <t>FDOT5-123</t>
  </si>
  <si>
    <t>FDOT5-124</t>
  </si>
  <si>
    <t>FDOT5-125</t>
  </si>
  <si>
    <t>FDOT5-126</t>
  </si>
  <si>
    <t>FDOT5-127</t>
  </si>
  <si>
    <t>FDOT5-128</t>
  </si>
  <si>
    <t>FDOT5-129</t>
  </si>
  <si>
    <t>FDOT5-130</t>
  </si>
  <si>
    <t>FDOT5-131</t>
  </si>
  <si>
    <t>FDOT5-132</t>
  </si>
  <si>
    <t>FDOT5-133</t>
  </si>
  <si>
    <t>FDOT5-134</t>
  </si>
  <si>
    <t>FDOT5-135</t>
  </si>
  <si>
    <t>FDOT5-136</t>
  </si>
  <si>
    <t>FDOT5-137</t>
  </si>
  <si>
    <t>FDOT5-138</t>
  </si>
  <si>
    <t>FDOT5-139</t>
  </si>
  <si>
    <t>FDOT5-140</t>
  </si>
  <si>
    <t>TP Efficiency (%)</t>
  </si>
  <si>
    <t>TN Efficiency (%)</t>
  </si>
  <si>
    <t>Total Reduction</t>
  </si>
  <si>
    <t>Dry retention</t>
  </si>
  <si>
    <t>Ditch blocks</t>
  </si>
  <si>
    <t>Street sweeping</t>
  </si>
  <si>
    <t>French drain</t>
  </si>
  <si>
    <t>Dry detention pond</t>
  </si>
  <si>
    <t>Wet retention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</si>
  <si>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</si>
  <si>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</si>
  <si>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</si>
  <si>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</si>
  <si>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</si>
  <si>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</si>
  <si>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</si>
  <si>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407143-6 John Young Parkway at SR 482 Sand Lake Rd Overpass</t>
  </si>
  <si>
    <t>433722-1 State Funded SIB Poinciana Parkway</t>
  </si>
  <si>
    <t>238820-A Widening of SR15 from Curry Ford Road to Underhill Road</t>
  </si>
  <si>
    <t>239057-B Widening of SR536 at I4 interchange</t>
  </si>
  <si>
    <t>239670-D Widening of SR530 from Bonnet Creek to SR535</t>
  </si>
  <si>
    <t>239691-A Widening of SR60 from Polk County Line to Indian River Line</t>
  </si>
  <si>
    <t>242429-C SR400 at SR535 Interchange</t>
  </si>
  <si>
    <t>242523-D Widening of SR400 from Polk County line to SR500</t>
  </si>
  <si>
    <t>242523-AI Widening of SR400 from Polk County line to SR500</t>
  </si>
  <si>
    <t>242523-AH Widening of SR400 from Polk County line to SR500</t>
  </si>
  <si>
    <t>242523-X Widening of SR400 from Polk County line to SR500</t>
  </si>
  <si>
    <t>242523-Y Widening of SR400 from Polk County line to SR500</t>
  </si>
  <si>
    <t>242523-Z Widening of SR400 from Polk County line to SR500</t>
  </si>
  <si>
    <t>242523-AA Widening of SR400 from Polk County line to SR500</t>
  </si>
  <si>
    <t>242523-AB Widening of SR400 from Polk County line to SR500</t>
  </si>
  <si>
    <t>242523-AC Widening of SR400 from Polk County line to SR500</t>
  </si>
  <si>
    <t>242523-V Widening of SR400 from Polk County line to SR500</t>
  </si>
  <si>
    <t>242523-AD Widening of SR400 from Polk County line to SR500</t>
  </si>
  <si>
    <t>242523-AE Widening of SR400 from Polk County line to SR500</t>
  </si>
  <si>
    <t>242523-AF Widening of SR400 from Polk County line to SR500</t>
  </si>
  <si>
    <t>242523-AG Widening of SR400 from Polk County line to SR500</t>
  </si>
  <si>
    <t>2 to 4 lanes</t>
  </si>
  <si>
    <t>239266-A SR 15 Hoffner Ave From W of SR 436 to Conway Road (Pond 1)</t>
  </si>
  <si>
    <t>SR 15 Hoffner Ave From W of SR 436 to Conway Road (Pond 1)</t>
  </si>
  <si>
    <t>239266-C SR 15 Hoffner Ave From W of SR 436 to Conway Road (Pond 3)</t>
  </si>
  <si>
    <t>SR 15 Hoffner Ave From W of SR 436 to Conway Road (Pond 3)</t>
  </si>
  <si>
    <t>74.3%/9.7%</t>
  </si>
  <si>
    <t>41.5%/5.3%</t>
  </si>
  <si>
    <t>73.8%/9.2%</t>
  </si>
  <si>
    <t>41.3%/5.1%</t>
  </si>
  <si>
    <t>SR 15 Hoffner Ave From W of SR 436 to Conway Road (Pond 2)</t>
  </si>
  <si>
    <t>76.9%/12.3%</t>
  </si>
  <si>
    <t>42.1%/5.9%</t>
  </si>
  <si>
    <t>3 to 4 lanes</t>
  </si>
  <si>
    <t>239266-D SR 15 Hoffner Ave From W of SR 436 to Conway Road (Pond 4)</t>
  </si>
  <si>
    <t>239535-A SR 50 From Good Homes RD to Pine Hills RD (Pond 1A)</t>
  </si>
  <si>
    <t>239535-C SR 50 From Good Homes RD to Pine Hills RD (Pond 2)</t>
  </si>
  <si>
    <t>239266-B SR 15 (Hoffner Rd) From N of Lee Vista Blvd to W of SR 436 (Pond 2)</t>
  </si>
  <si>
    <t>407143-C SR 482 Sand Lake Road From Universal BLVD to W of John Young Parkway (Pond 3)</t>
  </si>
  <si>
    <t>407143-D SR 482 Sand Lake Road From Universal BLVD to W of John Young Parkway (Pond 4)</t>
  </si>
  <si>
    <t>407143-A SR 482 Sand Lake Rd From W of Turkey Lake RD to Universal Blvd (Pond 1)</t>
  </si>
  <si>
    <t>407143-B SR 482 Sand Lake Rd From W of Turkey Lake RD to Universal Blvd (Pond 2)</t>
  </si>
  <si>
    <t>239535-B SR 50 From Good Homes RD to Pine Hills RD (Pond 1B)</t>
  </si>
  <si>
    <t>239535-D SR 50 From Good Homes RD to Pine Hills RD (Pond 3A)</t>
  </si>
  <si>
    <t>239535-E SR 50 From Good Homes RD to Pine Hills RD (Pond 3B)</t>
  </si>
  <si>
    <t>239535-F SR 50 From Good Homes RD to Pine Hills RD (Pond 4)</t>
  </si>
  <si>
    <t>239682-A SR 500 (US 17-92) From Aeronautical Drive to Budinger Avenue (Pond 1)</t>
  </si>
  <si>
    <t>239682-B SR 500 (US 17-92) From Aeronautical Drive to Budinger Avenue (Pond 2)</t>
  </si>
  <si>
    <t>239682-C SR 500 (US 17-92) From Aeronautical Drive to Budinger Avenue (Pond 3)</t>
  </si>
  <si>
    <t>239682-D SR 500 (US 17-92) From Aeronautical Drive to Budinger Avenue (Pond 4)</t>
  </si>
  <si>
    <t>238290-A Widening of SR530 from US 27 to Orange County Line (Pond 4)</t>
  </si>
  <si>
    <t>238421-B Widening of SR 25 from Polk County Line to Boggy Marsh Road (WDA 2)</t>
  </si>
  <si>
    <t>238421-C Widening of SR 25 from Polk County Line to Boggy Marsh Road (WDA 3)</t>
  </si>
  <si>
    <t>238421-D Widening of SR 25 from Polk County Line to Boggy Marsh Road (WDA 4)</t>
  </si>
  <si>
    <t>238421-E Widening of SR 25 from Polk County Line to Boggy Marsh Road (WDA 5)</t>
  </si>
  <si>
    <t>238810-A Widening of SR 500 from Sand Lake Road to Holden Avenue (Pond 1)</t>
  </si>
  <si>
    <t>238810-B Widening of SR 500 from Sand Lake Road to Holden Avenue (Pond 2)</t>
  </si>
  <si>
    <t>238810-C Widening of SR 500 from Sand Lake Road to Holden Avenue (Pond 3)</t>
  </si>
  <si>
    <t>238810-D Widening of SR 500 from Sand Lake Road to Holden Avenue (Pond 4)</t>
  </si>
  <si>
    <t>238820-B Widening of SR15 from Curry Ford Road to Underhill Road (Pond A)</t>
  </si>
  <si>
    <t>238820-C Widening of SR15 from Curry Ford Road to Underhill Road (Pond B)</t>
  </si>
  <si>
    <t>238945-A Widening of SR423 From Church Street to SR50 (Area 1)</t>
  </si>
  <si>
    <t>238945-B Widening of SR423 From Church Street to SR50 (Ponds 2 and 3)</t>
  </si>
  <si>
    <t>239057-A:H Widening of SR536 at I4 interchange (Ponds A, B, C, D, E, F, G, H)</t>
  </si>
  <si>
    <t>239185-B Widening of SR500 from Taft-Vineland to Sand Lake Road (Pond 6C)</t>
  </si>
  <si>
    <t>239185-C Widening of SR500 from Taft-Vineland to Sand Lake Road (Pond 6AB)</t>
  </si>
  <si>
    <t>238238-A Wet Detention Pond on SR500 (Area 1)</t>
  </si>
  <si>
    <t>239416-F Widening of SR500 from Osceola County Line to Taft-Vineland (Pond 2)</t>
  </si>
  <si>
    <t>239416-A Widening of SR500 from Osceola County Line to Taft-Vineland (Pond 7)</t>
  </si>
  <si>
    <t>239416-D Widening of SR500 from Osceola County Line to Taft-Vineland (Pond 4)</t>
  </si>
  <si>
    <t>239416-E Widening of SR500 from Osceola County Line to Taft-Vineland (Pond 3)</t>
  </si>
  <si>
    <t>239454-A Widening of SR436 from SR528 to SR552 (Pond A)</t>
  </si>
  <si>
    <t>239454-B Widening of SR436 from SR528 to SR552 (Pond B)</t>
  </si>
  <si>
    <t>239635-A New Bridge SR 500 at Reedy Creek (Pond 1)</t>
  </si>
  <si>
    <t>239635-B New Bridge SR 500 at Reedy Creek (Pond 2)</t>
  </si>
  <si>
    <t>239663-A Widening of SR 530 from SR 535 to Hoagland Boulevard (Pond 1)</t>
  </si>
  <si>
    <t>239663-B Widening of SR 530 from SR 535 to Hoagland Boulevard (Pond 2)</t>
  </si>
  <si>
    <t>239663-C Widening of SR 530 from SR 535 to Hoagland Boulevard (Pond 3)</t>
  </si>
  <si>
    <t>239663-D Widening of SR 530 from SR 535 to Hoagland Boulevard (Pond 4)</t>
  </si>
  <si>
    <t>239670-A Widening of SR530 from Bonnet Creek to SR535 (WRA 2)</t>
  </si>
  <si>
    <t>239670-B Widening of SR530 from Bonnet Creek to SR535 (WRA 3)</t>
  </si>
  <si>
    <t>239670-C Widening of SR530 from Bonnet Creek to SR535 (WRA 4)</t>
  </si>
  <si>
    <t>239673-B Widening of SR 500 from CR532 to CR534 (Pond 2)</t>
  </si>
  <si>
    <t>239673-A Widening of SR 500 from CR532 to CR534 (Pond 1)</t>
  </si>
  <si>
    <t>239673-C Widening of SR 500 from CR532 to CR534 (Pond 3)</t>
  </si>
  <si>
    <t>239673-E Widening of SR 500 from CR532 to CR534 (Pond 6)</t>
  </si>
  <si>
    <t>239673-F Widening of SR 500 from CR532 to CR534 (Pond 7)</t>
  </si>
  <si>
    <t>239673-G Widening of SR 500 from CR532 to CR534 (Pond 8)</t>
  </si>
  <si>
    <t>239673-D Widening of SR 500 from CR532 to CR534 (Pond 5)</t>
  </si>
  <si>
    <t>239674-G Widening of SR500 from CR534 to SR15 (Pond 8)</t>
  </si>
  <si>
    <t>239674-A Widening of SR500 from CR534 to SR15 (Pond 2)</t>
  </si>
  <si>
    <t>239674-B Widening of SR500 from CR534 to SR15 (Pond 3)</t>
  </si>
  <si>
    <t>239674-C Widening of SR500 from CR534 to SR15 (Pond 4)</t>
  </si>
  <si>
    <t>239674-D Widening of SR500 from CR534 to SR15 (Pond 5)</t>
  </si>
  <si>
    <t>239674-E Widening of SR500 from CR534 to SR15 (Pond 6)</t>
  </si>
  <si>
    <t>239674-F Widening of SR500 from CR534 to SR15 (Pond 7)</t>
  </si>
  <si>
    <t>239708-A SR500 in Osceola County (Pond 1)</t>
  </si>
  <si>
    <t>239708-B SR500 in Osceola County (Pond 2)</t>
  </si>
  <si>
    <t>239708-C SR500 in Osceola County (Pond 3)</t>
  </si>
  <si>
    <t>239708-D SR500 in Osceola County (Pond 4)</t>
  </si>
  <si>
    <t>239725-B Widening of SR500 from Osceola Parkway to Orange County Line (Pond 2)</t>
  </si>
  <si>
    <t>239725-A Widening of SR500 from Osceola Parkway to Orange County Line (Pond 1)</t>
  </si>
  <si>
    <t>242402-A Widening fo SR400 from I-4 to Orange Blossom Trail (Pond 1)</t>
  </si>
  <si>
    <t>242402-B Widening fo SR400 from I-4 to Orange Blossom Trail (Pond 2)</t>
  </si>
  <si>
    <t>242499-E Widening of SR400 from John Young Parkway to Seminole County Line (Pond 2 and 1400-1)</t>
  </si>
  <si>
    <t>242427-A I-4 &amp; Sandlake Interchange (Pond 1)</t>
  </si>
  <si>
    <t>242429-B SR400 at SR535 Interchange (Pond 2)</t>
  </si>
  <si>
    <t>242429-A SR400 at SR535 Interchange (Pond 1)</t>
  </si>
  <si>
    <t>242436-A SR400 Ramps at Gore Ave Retention Pits (Pond 1 and 2)</t>
  </si>
  <si>
    <t>242484-A Widening of SR400 from Universal Boulevard to South Street (Pond 4)</t>
  </si>
  <si>
    <t>242493-A SR400 at John Young Parkway interchange (Pond 1)</t>
  </si>
  <si>
    <t>242493-B SR400 at John Young Parkway interchange (Pond 2)</t>
  </si>
  <si>
    <t>242493-C SR400 at John Young Parkway interchange (Pond 3)</t>
  </si>
  <si>
    <t>242493-E SR400 at John Young Parkway interchange (Pond 5)</t>
  </si>
  <si>
    <t>242493-D SR400 at John Young Parkway interchange (Pond 4)</t>
  </si>
  <si>
    <t>242494-A SR400 at Republic Drive interchange (Pond 1)</t>
  </si>
  <si>
    <t>242494-B SR400 at Republic Drive interchange (Pond 3)</t>
  </si>
  <si>
    <t>242494-C SR400 at Republic Drive interchange (Pond 4)</t>
  </si>
  <si>
    <t>242499-A Widening of SR400 from John Young Parkway to Seminole County Line (Pond 1000-1)</t>
  </si>
  <si>
    <t>242499-B Widening of SR400 from John Young Parkway to Seminole County Line (Pond 1100-1)</t>
  </si>
  <si>
    <t>242499-C Widening of SR400 from John Young Parkway to Seminole County Line (Pond 1200-1 and 1200-2)</t>
  </si>
  <si>
    <t>242499-D Widening of SR400 from John Young Parkway to Seminole County Line (Pond 1300-1)</t>
  </si>
  <si>
    <t>242499-F Widening of SR400 from John Young Parkway to Seminole County Line (Pond 1300-2)</t>
  </si>
  <si>
    <t>242523-A Widening of SR400 from Polk County line to SR500 (Pond 1A)</t>
  </si>
  <si>
    <t>242523-B Widening of SR400 from Polk County line to SR500 (Pond 1B)</t>
  </si>
  <si>
    <t>242523-C Widening of SR400 from Polk County line to SR500 (Pond 2)</t>
  </si>
  <si>
    <t>242523-D Widening of SR400 from Polk County line to SR500 (Pond 3)</t>
  </si>
  <si>
    <t>242523-E Widening of SR400 from Polk County line to SR500 (Pond 4)</t>
  </si>
  <si>
    <t>242523-F Widening of SR400 from Polk County line to SR500 (Pond 5B)</t>
  </si>
  <si>
    <t>242523-G Widening of SR400 from Polk County line to SR500 (Ponds 1-10)</t>
  </si>
  <si>
    <t>242523-H Widening of SR400 from Polk County line to SR500 (Pond TP 3B)</t>
  </si>
  <si>
    <t>242523-I Widening of SR400 from Polk County line to SR500 (Pond TP 3A)</t>
  </si>
  <si>
    <t>242523-J Widening of SR400 from Polk County line to SR500 (Pond CP-4A)</t>
  </si>
  <si>
    <t>242523-K Widening of SR400 from Polk County line to SR500 (Pond CP-4B)</t>
  </si>
  <si>
    <t>242523-L Widening of SR400 from Polk County line to SR500 (Pond 8)</t>
  </si>
  <si>
    <t>242523-M Widening of SR400 from Polk County line to SR500 (Pond 9)</t>
  </si>
  <si>
    <t>242523-N Widening of SR400 from Polk County line to SR500 (TP-7A and TP-7B)</t>
  </si>
  <si>
    <t>242523-O Widening of SR400 from Polk County line to SR500 (Pond TP-2)</t>
  </si>
  <si>
    <t>242523-P Widening of SR400 from Polk County line to SR500 (Pond F-4-A)</t>
  </si>
  <si>
    <t>242523-Q Widening of SR400 from Polk County line to SR500 (Pond 6-1)</t>
  </si>
  <si>
    <t>242523-R Widening of SR400 from Polk County line to SR500 (Ponds NW1-3, SE1-4)</t>
  </si>
  <si>
    <t>242523-S Widening of SR400 from Polk County line to SR500 (Pond TP-6)</t>
  </si>
  <si>
    <t>242523-T Widening of SR400 from Polk County line to SR500 (Pond TP-5)</t>
  </si>
  <si>
    <t>242523-U Widening of SR400 from Polk County line to SR500 (Pond F-4-B)</t>
  </si>
  <si>
    <t>4 to 6 lanes</t>
  </si>
  <si>
    <t>SR 50 From Good Homes RD to Pine Hills RD (Pond 1A)</t>
  </si>
  <si>
    <t>volume</t>
  </si>
  <si>
    <t>runoff</t>
  </si>
  <si>
    <t>ac-ft</t>
  </si>
  <si>
    <t>1B</t>
  </si>
  <si>
    <t>Dry retention pond</t>
  </si>
  <si>
    <t>SR 50 From Good Homes RD to Pine Hills RD (Pond 2)</t>
  </si>
  <si>
    <t>SR 50 From Good Homes RD to Pine Hills RD (Pond 3A)</t>
  </si>
  <si>
    <t>SR 50 From Good Homes RD to Pine Hills RD (Pond 3B)</t>
  </si>
  <si>
    <t>SR 50 From Good Homes RD to Pine Hills RD (Pond 4)</t>
  </si>
  <si>
    <t>SR 50 From Good Homes RD to Pine Hills RD (Pond 1B)</t>
  </si>
  <si>
    <t>64.9%/0.3%</t>
  </si>
  <si>
    <t>36.5%/0.3%</t>
  </si>
  <si>
    <t>retention</t>
  </si>
  <si>
    <t>inches</t>
  </si>
  <si>
    <t>efficiency</t>
  </si>
  <si>
    <t>238421-C Widening of SR 25 from Polk County Line to Boggy Marsh Road (WDA 5)</t>
  </si>
  <si>
    <t>239454-A Widening of SR436 from SR528 to SR552 (Pond B)</t>
  </si>
  <si>
    <t>Online dry retention</t>
  </si>
  <si>
    <t>81.6%/16.3%</t>
  </si>
  <si>
    <t>widening</t>
  </si>
  <si>
    <t>78.2%/13.6%</t>
  </si>
  <si>
    <t>42.4%/6.2%</t>
  </si>
  <si>
    <t>Street Sweeping - 1,507,453 lbs/yr</t>
  </si>
  <si>
    <t>On-line dry retention</t>
  </si>
  <si>
    <t>242499-D Widening of SR400 from John Young Parkway to Seminole County Line (Pond 1300-2)</t>
  </si>
  <si>
    <t>416518-A I-4 Braided Ramp from US 192 Interchange to Osceola Parkway Interchange (Pond SE-1)</t>
  </si>
  <si>
    <t>416518-B I-4 Braided Ramp from US 192 Interchange to Osceola Parkway Interchange (Pond SE-2)</t>
  </si>
  <si>
    <t>416518-A I-4 Braided Ramp from US 192 Interchange to Osceola Parkway Interchange (Pond SE-2)</t>
  </si>
  <si>
    <t>416518-A I-4 Braided Ramp from US 192 Interchange to Osceola Parkway Interchange (Pond SE-3)</t>
  </si>
  <si>
    <t>change exit lane</t>
  </si>
  <si>
    <t>239682-A SR 500 (US 17-92) From Aeronautical Drive to Budinger Avenue (Pond 2)</t>
  </si>
  <si>
    <t>239682-A SR 500 (US 17-92) From Aeronautical Drive to Budinger Avenue (Pond 3)</t>
  </si>
  <si>
    <t>239682-A SR 500 (US 17-92) From Aeronautical Drive to Budinger Avenue (Pond 4)</t>
  </si>
  <si>
    <t>418403-A and B SR 600 (US 17/92) JYP From S. Of Portage St. to N. of Vine Street (US192) (Ponds East and West)</t>
  </si>
  <si>
    <t>418403-A, B SR 600 (US 17/92) JYP From S. Of Portage St. to N. of Vine Street (US192) (Ponds East and West)</t>
  </si>
  <si>
    <t>no credit - completed in 1998</t>
  </si>
  <si>
    <t>no credit - completed in 1997</t>
  </si>
  <si>
    <t>no credit - completed in 1994</t>
  </si>
  <si>
    <t>no credit - completed in 1992</t>
  </si>
  <si>
    <t>no credit - completed in 1999</t>
  </si>
  <si>
    <t>no credit - completed in 2001</t>
  </si>
  <si>
    <t>0</t>
  </si>
  <si>
    <t>no credit - completed in 1995</t>
  </si>
  <si>
    <t>no credit - completed in 2007</t>
  </si>
  <si>
    <t>no credit - completed in 2006</t>
  </si>
  <si>
    <t>no credit - completed in 2002</t>
  </si>
  <si>
    <t>no credit - completed in 2008</t>
  </si>
  <si>
    <t>239416-F Widening of SR500 from Osceola County Line to Taft-Vineland (Pond 7)</t>
  </si>
  <si>
    <t>239416-B and C Widening of SR500 from Osceola County Line to Taft-Vineland (Pond 6A and 6B)</t>
  </si>
  <si>
    <t>239416-F Widening of SR500 from Osceola County Line to Taft-Vineland (Pond 6A and 6B)</t>
  </si>
  <si>
    <t>239416-F Widening of SR500 from Osceola County Line to Taft-Vineland (Pond 4)</t>
  </si>
  <si>
    <t>239416-F Widening of SR500 from Osceola County Line to Taft-Vineland (Pond 3)</t>
  </si>
  <si>
    <t>new bridge</t>
  </si>
  <si>
    <t>410732-B SR 400 Swales</t>
  </si>
  <si>
    <t>405515-A and B SR400 Wet Detention Pond (Pond 1 and 2)</t>
  </si>
  <si>
    <t>two auxiliary lanes</t>
  </si>
  <si>
    <t>in design - will provide more details later</t>
  </si>
  <si>
    <t>no credit - completed in 2003</t>
  </si>
  <si>
    <t>resurfacing plus new sidewalks</t>
  </si>
  <si>
    <t>Acres Treated</t>
  </si>
  <si>
    <t>Sub-Watershed</t>
  </si>
  <si>
    <t>Upper Kissimmee</t>
  </si>
  <si>
    <t>TP Base Load (kg/yr)</t>
  </si>
  <si>
    <t>TP Reduction (kg/yr)</t>
  </si>
  <si>
    <t>TN Base Load (kg/yr)</t>
  </si>
  <si>
    <t>TN Reduction (kg/yr)</t>
  </si>
  <si>
    <t>FID_FDOT_D</t>
  </si>
  <si>
    <t>OBJECTID</t>
  </si>
  <si>
    <t>Pond_Type</t>
  </si>
  <si>
    <t>FM</t>
  </si>
  <si>
    <t>Notes</t>
  </si>
  <si>
    <t>ProjID</t>
  </si>
  <si>
    <t>FID_LO_TMD</t>
  </si>
  <si>
    <t>OBJECTID_1</t>
  </si>
  <si>
    <t>OBJECTID_2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</si>
  <si>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</si>
  <si>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</si>
  <si>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</si>
  <si>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</si>
  <si>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</si>
  <si>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</si>
  <si>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</si>
  <si>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</si>
  <si>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</si>
  <si>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</si>
  <si>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</si>
  <si>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</si>
  <si>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</si>
  <si>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</si>
  <si>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</si>
  <si>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</si>
  <si>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unkown</t>
  </si>
  <si>
    <t>407143-6</t>
  </si>
  <si>
    <t>SHINGLE CREEK</t>
  </si>
  <si>
    <t>WAM 10.0</t>
  </si>
  <si>
    <t>Upper_K_Base_Ext</t>
  </si>
  <si>
    <t>Urban</t>
  </si>
  <si>
    <t>Commercial and Services</t>
  </si>
  <si>
    <t>Shopping Centers</t>
  </si>
  <si>
    <t>Open Land &lt;Urban&gt;</t>
  </si>
  <si>
    <t>Undeveloped Urban Land</t>
  </si>
  <si>
    <t>Upland Forests</t>
  </si>
  <si>
    <t>Pine Flatwoods</t>
  </si>
  <si>
    <t>Scrub and Brushland</t>
  </si>
  <si>
    <t>Hardwood - Conifererous Mixed</t>
  </si>
  <si>
    <t>Hardwood Conifer Mixed</t>
  </si>
  <si>
    <t>Wetlands</t>
  </si>
  <si>
    <t>Cypress</t>
  </si>
  <si>
    <t>Wetland Forested Mixed</t>
  </si>
  <si>
    <t>Roads and Highways</t>
  </si>
  <si>
    <t>Transportation Corridors</t>
  </si>
  <si>
    <t>Dry Retention</t>
  </si>
  <si>
    <t>239266-3</t>
  </si>
  <si>
    <t>Pond 2</t>
  </si>
  <si>
    <t>239266-B</t>
  </si>
  <si>
    <t>BOGGY CREEK</t>
  </si>
  <si>
    <t>High Density: Fixed Single Family Units</t>
  </si>
  <si>
    <t>High Density Residential</t>
  </si>
  <si>
    <t>High Density: Mobile Home Units</t>
  </si>
  <si>
    <t>Wet Detention</t>
  </si>
  <si>
    <t>239266-4</t>
  </si>
  <si>
    <t>Pond 4</t>
  </si>
  <si>
    <t>239266-D</t>
  </si>
  <si>
    <t>Low Density: Fixed Single Family Units</t>
  </si>
  <si>
    <t>Low Density Residential</t>
  </si>
  <si>
    <t>Medium Density: Fixed Single Family Units</t>
  </si>
  <si>
    <t>Medium Density Residential</t>
  </si>
  <si>
    <t>Water Bodies</t>
  </si>
  <si>
    <t>Reservoirs</t>
  </si>
  <si>
    <t>Open Water</t>
  </si>
  <si>
    <t>Residential Medium Density 2-5 du/ac</t>
  </si>
  <si>
    <t>Mixed Scrub-Shrub Wetland</t>
  </si>
  <si>
    <t>Freshwater Marshes</t>
  </si>
  <si>
    <t>Pond 3</t>
  </si>
  <si>
    <t>239266-C</t>
  </si>
  <si>
    <t>Improved Pasture</t>
  </si>
  <si>
    <t>Improved Pastures</t>
  </si>
  <si>
    <t>Electrical Power Transmission Lines</t>
  </si>
  <si>
    <t>Residential Low Density &lt;2 du/ac</t>
  </si>
  <si>
    <t>Institutional</t>
  </si>
  <si>
    <t>Other Agriculture</t>
  </si>
  <si>
    <t>Tree Nurseries</t>
  </si>
  <si>
    <t>Ornamentals</t>
  </si>
  <si>
    <t>Ornamental Nurseries</t>
  </si>
  <si>
    <t>Rangeland</t>
  </si>
  <si>
    <t>Upland Shrub and Brush land</t>
  </si>
  <si>
    <t>Pond 1</t>
  </si>
  <si>
    <t>239266-A</t>
  </si>
  <si>
    <t>Medium Density: Mixed Units, Fixed and Mobile Hom*</t>
  </si>
  <si>
    <t>Herbaceous (Dry Prairie)</t>
  </si>
  <si>
    <t>Dry Retention Pond</t>
  </si>
  <si>
    <t>407143-4</t>
  </si>
  <si>
    <t>407143-A</t>
  </si>
  <si>
    <t>Wet Detention Pond</t>
  </si>
  <si>
    <t>407143-B</t>
  </si>
  <si>
    <t>407143-5</t>
  </si>
  <si>
    <t>407143-C</t>
  </si>
  <si>
    <t>407143-D</t>
  </si>
  <si>
    <t>Wet Retention Pond</t>
  </si>
  <si>
    <t>416518-1</t>
  </si>
  <si>
    <t>416518-A</t>
  </si>
  <si>
    <t>UPPER REEDY CREEK</t>
  </si>
  <si>
    <t>416518-B</t>
  </si>
  <si>
    <t>Channelized Waterways, Canals</t>
  </si>
  <si>
    <t>416518-C</t>
  </si>
  <si>
    <t>239682-1</t>
  </si>
  <si>
    <t>239682-A</t>
  </si>
  <si>
    <t>LAKE TOHOPEKALIGA</t>
  </si>
  <si>
    <t>Mixed Wetland Hardwoods - Mixed Shrubs</t>
  </si>
  <si>
    <t>Mixed Wetland Hardwoods</t>
  </si>
  <si>
    <t>239682-G</t>
  </si>
  <si>
    <t>Freshwater Marshes / Graminoid Prairie - Marsh</t>
  </si>
  <si>
    <t>239682-E</t>
  </si>
  <si>
    <t>239682-B</t>
  </si>
  <si>
    <t>239682-F</t>
  </si>
  <si>
    <t>239682-C</t>
  </si>
  <si>
    <t>Wet Prairies</t>
  </si>
  <si>
    <t>239682-D</t>
  </si>
  <si>
    <t>Other Light Industrial</t>
  </si>
  <si>
    <t>Industrial</t>
  </si>
  <si>
    <t>Dry Detention Pond</t>
  </si>
  <si>
    <t>418403-2</t>
  </si>
  <si>
    <t>418403-A</t>
  </si>
  <si>
    <t>418403-C</t>
  </si>
  <si>
    <t>418403-B</t>
  </si>
  <si>
    <t>418403-D</t>
  </si>
  <si>
    <t>83.3%/11.5%</t>
  </si>
  <si>
    <t>43.0%/2.3%</t>
  </si>
  <si>
    <t>91.3%/19.3%</t>
  </si>
  <si>
    <t>43.5%/2.8%</t>
  </si>
  <si>
    <t>85.5%/13.6%</t>
  </si>
  <si>
    <t>43.2%/2.5%</t>
  </si>
  <si>
    <t>80.9%/11.2%</t>
  </si>
  <si>
    <t>42.8%/3.1%</t>
  </si>
  <si>
    <t>84.3%/12.6%</t>
  </si>
  <si>
    <t>43.1%/2.5%</t>
  </si>
  <si>
    <t>64.1%/0.5%</t>
  </si>
  <si>
    <t>35.7%/0.4%</t>
  </si>
  <si>
    <t>64.2%/0.6%</t>
  </si>
  <si>
    <t>35.9%/0.6%</t>
  </si>
  <si>
    <t>76.5%/11.9%</t>
  </si>
  <si>
    <t>42.0%/5.8%</t>
  </si>
  <si>
    <t>76.1%/11.5%</t>
  </si>
  <si>
    <t>73.4%/8.8%</t>
  </si>
  <si>
    <t>41.2%/5.0%</t>
  </si>
  <si>
    <t>72.9%/8.3%</t>
  </si>
  <si>
    <t>41.1%/4.9%</t>
  </si>
  <si>
    <t>67.5%/0.9%</t>
  </si>
  <si>
    <t>38.4%/0.6%</t>
  </si>
  <si>
    <t>in design will provide details later</t>
  </si>
  <si>
    <t>orange pond 2</t>
  </si>
  <si>
    <t>exist orange pond 7</t>
  </si>
  <si>
    <t>orange pond 4</t>
  </si>
  <si>
    <t>exist orange pond 3</t>
  </si>
  <si>
    <t>existing SR417 ponds</t>
  </si>
  <si>
    <t>not enough info in permit to calculate efficiency - need more details</t>
  </si>
  <si>
    <t>DOTDIST</t>
  </si>
  <si>
    <t>DESCRIPT</t>
  </si>
  <si>
    <t>Treat_ID</t>
  </si>
  <si>
    <t>405515</t>
  </si>
  <si>
    <t>405515-A</t>
  </si>
  <si>
    <t>Sand Pine</t>
  </si>
  <si>
    <t>405515-B</t>
  </si>
  <si>
    <t>410732</t>
  </si>
  <si>
    <t>410732-A</t>
  </si>
  <si>
    <t>Ditch Block</t>
  </si>
  <si>
    <t>410732-B</t>
  </si>
  <si>
    <t>Ditch Blocks</t>
  </si>
  <si>
    <t>Multiple Dwelling Units, Low Rise</t>
  </si>
  <si>
    <t>Multiple Dwelling Units</t>
  </si>
  <si>
    <t>Barren Land</t>
  </si>
  <si>
    <t>Disturbed Lands</t>
  </si>
  <si>
    <t>242484-2</t>
  </si>
  <si>
    <t>242484-A</t>
  </si>
  <si>
    <t>Upland Hardwood Forests</t>
  </si>
  <si>
    <t>Cypress - Mixed Hardwoods</t>
  </si>
  <si>
    <t>Pond 7</t>
  </si>
  <si>
    <t>239663</t>
  </si>
  <si>
    <t>239663-B</t>
  </si>
  <si>
    <t>Bay Swamps</t>
  </si>
  <si>
    <t>239663-C</t>
  </si>
  <si>
    <t>239663-D</t>
  </si>
  <si>
    <t>Coniferous Plantations</t>
  </si>
  <si>
    <t>Pond A</t>
  </si>
  <si>
    <t>LOWER REEDY CREEK</t>
  </si>
  <si>
    <t>239416</t>
  </si>
  <si>
    <t>239416-F</t>
  </si>
  <si>
    <t>239416-A</t>
  </si>
  <si>
    <t>Multiple Dwelling Units, High Rise</t>
  </si>
  <si>
    <t>Pond 6B</t>
  </si>
  <si>
    <t>239416-B</t>
  </si>
  <si>
    <t>Pond 6A</t>
  </si>
  <si>
    <t>239416-C</t>
  </si>
  <si>
    <t>239416-D</t>
  </si>
  <si>
    <t>239416-E</t>
  </si>
  <si>
    <t>239454-2</t>
  </si>
  <si>
    <t>239454-A</t>
  </si>
  <si>
    <t>239635</t>
  </si>
  <si>
    <t>239635-A</t>
  </si>
  <si>
    <t>Transportation</t>
  </si>
  <si>
    <t>239635-B</t>
  </si>
  <si>
    <t>Oak - Cabbage Palm</t>
  </si>
  <si>
    <t>239663-A</t>
  </si>
  <si>
    <t>Pond 1 and Pond 2 (Ponds 1&amp;2 are connected)</t>
  </si>
  <si>
    <t>242436/242484-2</t>
  </si>
  <si>
    <t>242436-A</t>
  </si>
  <si>
    <t>64.3%/0.7%</t>
  </si>
  <si>
    <t>35.9%/0.7%</t>
  </si>
  <si>
    <t>67.9%/4.3%</t>
  </si>
  <si>
    <t>38.7%/3.4%</t>
  </si>
  <si>
    <t>outside watershed</t>
  </si>
  <si>
    <t>82.7%/19.1%</t>
  </si>
  <si>
    <t>43.0%/7.7%</t>
  </si>
  <si>
    <t>74.5%/17.2%</t>
  </si>
  <si>
    <t>41.6%/14.3%</t>
  </si>
  <si>
    <t>81%/17.4%</t>
  </si>
  <si>
    <t>42.8%/7.5%</t>
  </si>
  <si>
    <t>68.3%/4.7%</t>
  </si>
  <si>
    <t>Areal_TN</t>
  </si>
  <si>
    <t>Attenu_TN</t>
  </si>
  <si>
    <t>TN_Load</t>
  </si>
  <si>
    <t>38.9%/3.6%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</si>
</sst>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%"/>
    <numFmt numFmtId="166" formatCode="0.00000000000"/>
    <numFmt numFmtId="167" formatCode="0.0000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49" fontId="4" fillId="0" borderId="0" xfId="0" applyNumberFormat="1" applyFont="1" applyFill="1" applyBorder="1" applyAlignment="1">
      <alignment horizontal="center"/>
    </xf>
    <xf numFmtId="0" fontId="4" fillId="0" borderId="1" xfId="0" applyFont="1" applyBorder="1"/>
    <xf numFmtId="164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Border="1"/>
    <xf numFmtId="164" fontId="4" fillId="0" borderId="1" xfId="0" applyNumberFormat="1" applyFont="1" applyBorder="1"/>
    <xf numFmtId="164" fontId="3" fillId="0" borderId="0" xfId="0" applyNumberFormat="1" applyFont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5" fontId="4" fillId="3" borderId="1" xfId="0" applyNumberFormat="1" applyFont="1" applyFill="1" applyBorder="1"/>
    <xf numFmtId="164" fontId="4" fillId="3" borderId="1" xfId="0" applyNumberFormat="1" applyFont="1" applyFill="1" applyBorder="1"/>
    <xf numFmtId="0" fontId="7" fillId="0" borderId="0" xfId="0" applyFont="1"/>
    <xf numFmtId="165" fontId="0" fillId="0" borderId="0" xfId="0" applyNumberFormat="1"/>
    <xf numFmtId="165" fontId="4" fillId="0" borderId="1" xfId="0" applyNumberFormat="1" applyFont="1" applyBorder="1" applyAlignment="1">
      <alignment horizontal="right"/>
    </xf>
    <xf numFmtId="0" fontId="2" fillId="0" borderId="0" xfId="0" applyFont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/>
    <xf numFmtId="164" fontId="4" fillId="0" borderId="1" xfId="0" applyNumberFormat="1" applyFont="1" applyFill="1" applyBorder="1"/>
    <xf numFmtId="0" fontId="4" fillId="0" borderId="0" xfId="0" applyFont="1" applyFill="1" applyBorder="1"/>
    <xf numFmtId="0" fontId="8" fillId="0" borderId="0" xfId="0" applyFont="1"/>
    <xf numFmtId="165" fontId="5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4" fillId="3" borderId="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4" fillId="0" borderId="2" xfId="0" applyFont="1" applyBorder="1"/>
    <xf numFmtId="0" fontId="4" fillId="0" borderId="2" xfId="0" applyFont="1" applyFill="1" applyBorder="1"/>
    <xf numFmtId="49" fontId="5" fillId="0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wrapText="1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5" fontId="4" fillId="3" borderId="1" xfId="0" applyNumberFormat="1" applyFont="1" applyFill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7"/>
  <sheetViews>
    <sheetView tabSelected="1" zoomScale="80" zoomScaleNormal="80" zoomScaleSheetLayoutView="75" workbookViewId="0">
      <pane ySplit="1" topLeftCell="A2" activePane="bottomLeft" state="frozen"/>
      <selection activeCell="B1" sqref="B1"/>
      <selection pane="bottomLeft" activeCell="H36" sqref="H36"/>
    </sheetView>
  </sheetViews>
  <sheetFormatPr defaultRowHeight="26.25" customHeight="1" x14ac:dyDescent="0.2"/>
  <cols>
    <col min="1" max="1" width="11.5703125" style="5" bestFit="1" customWidth="1"/>
    <col min="2" max="2" width="50.5703125" style="5" bestFit="1" customWidth="1"/>
    <col min="3" max="3" width="19.28515625" style="5" bestFit="1" customWidth="1"/>
    <col min="4" max="4" width="9.85546875" style="5" customWidth="1"/>
    <col min="5" max="5" width="11.42578125" style="42" bestFit="1" customWidth="1"/>
    <col min="6" max="6" width="15" style="6" customWidth="1"/>
    <col min="7" max="7" width="15.7109375" style="34" customWidth="1"/>
    <col min="8" max="9" width="14.28515625" style="5" customWidth="1"/>
    <col min="10" max="10" width="14.42578125" style="5" customWidth="1"/>
    <col min="11" max="11" width="14.28515625" style="5" customWidth="1"/>
    <col min="12" max="12" width="16.28515625" style="5" customWidth="1"/>
    <col min="13" max="14" width="12.7109375" style="5" customWidth="1"/>
    <col min="15" max="15" width="14.42578125" style="5" customWidth="1"/>
    <col min="16" max="16384" width="9.140625" style="5"/>
  </cols>
  <sheetData>
    <row r="1" spans="1:12" s="2" customFormat="1" ht="26.25" customHeight="1" x14ac:dyDescent="0.2">
      <c r="A1" s="1" t="s">
        <v>1</v>
      </c>
      <c r="B1" s="1" t="s">
        <v>0</v>
      </c>
      <c r="C1" s="1" t="s">
        <v>8</v>
      </c>
      <c r="D1" s="1" t="s">
        <v>370</v>
      </c>
      <c r="E1" s="1" t="s">
        <v>371</v>
      </c>
      <c r="F1" s="8" t="s">
        <v>373</v>
      </c>
      <c r="G1" s="9" t="s">
        <v>149</v>
      </c>
      <c r="H1" s="8" t="s">
        <v>374</v>
      </c>
      <c r="I1" s="8" t="s">
        <v>375</v>
      </c>
      <c r="J1" s="9" t="s">
        <v>150</v>
      </c>
      <c r="K1" s="8" t="s">
        <v>376</v>
      </c>
    </row>
    <row r="2" spans="1:12" ht="26.25" customHeight="1" x14ac:dyDescent="0.2">
      <c r="A2" s="14" t="s">
        <v>9</v>
      </c>
      <c r="B2" s="15" t="s">
        <v>165</v>
      </c>
      <c r="C2" s="16" t="s">
        <v>7</v>
      </c>
      <c r="D2" s="16">
        <f>ROUND('407143-6'!N12*2.4710538147,1)</f>
        <v>25.2</v>
      </c>
      <c r="E2" s="39" t="s">
        <v>372</v>
      </c>
      <c r="F2" s="16">
        <f>ROUND('407143-6'!X12,1)</f>
        <v>1.5</v>
      </c>
      <c r="G2" s="46" t="s">
        <v>520</v>
      </c>
      <c r="H2" s="18"/>
      <c r="I2" s="18">
        <f>'407143-6'!X25</f>
        <v>10.68755869294851</v>
      </c>
      <c r="J2" s="17"/>
      <c r="K2" s="18"/>
    </row>
    <row r="3" spans="1:12" ht="26.25" customHeight="1" x14ac:dyDescent="0.2">
      <c r="A3" s="7" t="s">
        <v>13</v>
      </c>
      <c r="B3" s="3" t="s">
        <v>202</v>
      </c>
      <c r="C3" s="4" t="s">
        <v>2</v>
      </c>
      <c r="D3" s="4">
        <f>ROUND('239266-3 Pond2'!N10*2.4710538147,1)</f>
        <v>4.8</v>
      </c>
      <c r="E3" s="40" t="s">
        <v>372</v>
      </c>
      <c r="F3" s="4">
        <f>ROUND('239266-3 Pond2'!X10,1)</f>
        <v>0.5</v>
      </c>
      <c r="G3" s="21">
        <f>'Wet detention pond calcs'!F5</f>
        <v>0.1160000000000001</v>
      </c>
      <c r="H3" s="12">
        <f>ROUND(F3*G3,1)</f>
        <v>0.1</v>
      </c>
      <c r="I3" s="12">
        <f>'239266-3 Pond2'!X22</f>
        <v>5.5693816693739731</v>
      </c>
      <c r="J3" s="11">
        <f>'Wet detention pond calcs'!F4</f>
        <v>5.799999999999994E-2</v>
      </c>
      <c r="K3" s="12">
        <f>ROUND(I3*J3,1)</f>
        <v>0.3</v>
      </c>
    </row>
    <row r="4" spans="1:12" ht="26.25" customHeight="1" x14ac:dyDescent="0.2">
      <c r="A4" s="7" t="s">
        <v>11</v>
      </c>
      <c r="B4" s="3" t="s">
        <v>187</v>
      </c>
      <c r="C4" s="4" t="s">
        <v>2</v>
      </c>
      <c r="D4" s="4">
        <f>ROUND('239266-3 Pond 1'!N16*2.4710538147,1)</f>
        <v>3.6</v>
      </c>
      <c r="E4" s="40" t="s">
        <v>372</v>
      </c>
      <c r="F4" s="4">
        <f>ROUND('239266-3 Pond 1'!X16,1)</f>
        <v>0.2</v>
      </c>
      <c r="G4" s="21" t="s">
        <v>191</v>
      </c>
      <c r="H4" s="12">
        <f>ROUND(((F4/2)*0.743)+((F4/2)*0.097),1)</f>
        <v>0.1</v>
      </c>
      <c r="I4" s="12">
        <f>'239266-3 Pond 1'!X33</f>
        <v>4.0505145556173474</v>
      </c>
      <c r="J4" s="21" t="s">
        <v>192</v>
      </c>
      <c r="K4" s="12">
        <f>ROUND(((I4/2)*0.415)+((I4/2)*0.053),1)</f>
        <v>0.9</v>
      </c>
      <c r="L4" s="5" t="s">
        <v>186</v>
      </c>
    </row>
    <row r="5" spans="1:12" ht="26.25" customHeight="1" x14ac:dyDescent="0.2">
      <c r="A5" s="7" t="s">
        <v>15</v>
      </c>
      <c r="B5" s="3" t="s">
        <v>189</v>
      </c>
      <c r="C5" s="4" t="s">
        <v>2</v>
      </c>
      <c r="D5" s="4">
        <f>ROUND('239266-3 Pond3'!N27*2.4710538147,1)</f>
        <v>11.9</v>
      </c>
      <c r="E5" s="40" t="s">
        <v>372</v>
      </c>
      <c r="F5" s="4">
        <f>ROUND('239266-3 Pond3'!X27,1)</f>
        <v>1.1000000000000001</v>
      </c>
      <c r="G5" s="21" t="s">
        <v>193</v>
      </c>
      <c r="H5" s="12">
        <f>ROUND(((F5/2)*0.738)+((F5/2)*0.092),1)</f>
        <v>0.5</v>
      </c>
      <c r="I5" s="12">
        <f>'239266-3 Pond3'!X55</f>
        <v>29.038661199399769</v>
      </c>
      <c r="J5" s="21" t="s">
        <v>194</v>
      </c>
      <c r="K5" s="12">
        <f>ROUND(((I5/2)*0.413)+((I5/2)*0.051),1)</f>
        <v>6.7</v>
      </c>
      <c r="L5" s="5" t="s">
        <v>186</v>
      </c>
    </row>
    <row r="6" spans="1:12" ht="26.25" customHeight="1" x14ac:dyDescent="0.2">
      <c r="A6" s="7" t="s">
        <v>14</v>
      </c>
      <c r="B6" s="3" t="s">
        <v>199</v>
      </c>
      <c r="C6" s="4" t="s">
        <v>2</v>
      </c>
      <c r="D6" s="4">
        <f>ROUND('239266-4 Pond4'!N18*2.4710538147,1)</f>
        <v>11.4</v>
      </c>
      <c r="E6" s="40" t="s">
        <v>372</v>
      </c>
      <c r="F6" s="4">
        <f>ROUND('239266-4 Pond4'!X18,1)</f>
        <v>0.7</v>
      </c>
      <c r="G6" s="21" t="s">
        <v>196</v>
      </c>
      <c r="H6" s="12">
        <f>ROUND(((F6*(3/4))*0.769)+((F6/4)*0.123),1)</f>
        <v>0.4</v>
      </c>
      <c r="I6" s="12">
        <f>'239266-4 Pond4'!X37</f>
        <v>31.588516287267218</v>
      </c>
      <c r="J6" s="21" t="s">
        <v>197</v>
      </c>
      <c r="K6" s="12">
        <f>ROUND(((I6*(3/4))*0.421)+((I6/4)*0.059),1)</f>
        <v>10.4</v>
      </c>
      <c r="L6" s="5" t="s">
        <v>198</v>
      </c>
    </row>
    <row r="7" spans="1:12" ht="26.25" customHeight="1" x14ac:dyDescent="0.2">
      <c r="A7" s="7" t="s">
        <v>10</v>
      </c>
      <c r="B7" s="3" t="s">
        <v>203</v>
      </c>
      <c r="C7" s="24" t="s">
        <v>3</v>
      </c>
      <c r="D7" s="4">
        <f>ROUND('407143-5 Pond3'!N6*2.4710538147,1)</f>
        <v>21.8</v>
      </c>
      <c r="E7" s="40" t="s">
        <v>372</v>
      </c>
      <c r="F7" s="4">
        <f>ROUND('407143-5 Pond3'!X6,1)</f>
        <v>1.1000000000000001</v>
      </c>
      <c r="G7" s="31">
        <v>0.1</v>
      </c>
      <c r="H7" s="26">
        <f>ROUND(F7*G7,1)</f>
        <v>0.1</v>
      </c>
      <c r="I7" s="26">
        <f>'407143-5 Pond3'!X13</f>
        <v>10.420178362596578</v>
      </c>
      <c r="J7" s="25">
        <v>0.1</v>
      </c>
      <c r="K7" s="26">
        <f>ROUND(I7*J7,1)</f>
        <v>1</v>
      </c>
      <c r="L7" s="5" t="s">
        <v>369</v>
      </c>
    </row>
    <row r="8" spans="1:12" ht="26.25" customHeight="1" x14ac:dyDescent="0.2">
      <c r="A8" s="7" t="s">
        <v>16</v>
      </c>
      <c r="B8" s="3" t="s">
        <v>204</v>
      </c>
      <c r="C8" s="24" t="s">
        <v>3</v>
      </c>
      <c r="D8" s="4">
        <f>ROUND('407143-5 Pond4'!N8*2.4710538147,1)</f>
        <v>28.4</v>
      </c>
      <c r="E8" s="40" t="s">
        <v>372</v>
      </c>
      <c r="F8" s="4">
        <f>ROUND('407143-5 Pond4'!X8,1)</f>
        <v>1.7</v>
      </c>
      <c r="G8" s="31">
        <v>0.1</v>
      </c>
      <c r="H8" s="26">
        <f>ROUND(F8*G8,1)</f>
        <v>0.2</v>
      </c>
      <c r="I8" s="26">
        <f>'407143-5 Pond4'!X18</f>
        <v>11.085136601997602</v>
      </c>
      <c r="J8" s="25">
        <v>0.1</v>
      </c>
      <c r="K8" s="26">
        <f t="shared" ref="K8:K10" si="0">ROUND(I8*J8,1)</f>
        <v>1.1000000000000001</v>
      </c>
      <c r="L8" s="5" t="s">
        <v>369</v>
      </c>
    </row>
    <row r="9" spans="1:12" ht="26.25" customHeight="1" x14ac:dyDescent="0.2">
      <c r="A9" s="7" t="s">
        <v>12</v>
      </c>
      <c r="B9" s="3" t="s">
        <v>205</v>
      </c>
      <c r="C9" s="24" t="s">
        <v>3</v>
      </c>
      <c r="D9" s="4">
        <f>ROUND('407143-4 Pond1'!N5*2.4710538147,1)</f>
        <v>6.7</v>
      </c>
      <c r="E9" s="40" t="s">
        <v>372</v>
      </c>
      <c r="F9" s="4">
        <f>ROUND('407143-4 Pond1'!X5,1)</f>
        <v>0.4</v>
      </c>
      <c r="G9" s="31">
        <v>0.1</v>
      </c>
      <c r="H9" s="26">
        <f>ROUND(F9*G9,1)</f>
        <v>0</v>
      </c>
      <c r="I9" s="26">
        <f>'407143-4 Pond1'!X11</f>
        <v>2.7647574262991212</v>
      </c>
      <c r="J9" s="25">
        <v>0.1</v>
      </c>
      <c r="K9" s="26">
        <f t="shared" si="0"/>
        <v>0.3</v>
      </c>
      <c r="L9" s="5" t="s">
        <v>369</v>
      </c>
    </row>
    <row r="10" spans="1:12" ht="26.25" customHeight="1" x14ac:dyDescent="0.2">
      <c r="A10" s="7" t="s">
        <v>17</v>
      </c>
      <c r="B10" s="3" t="s">
        <v>206</v>
      </c>
      <c r="C10" s="24" t="s">
        <v>3</v>
      </c>
      <c r="D10" s="4">
        <f>ROUND('407143-4 Pond2'!N8*2.4710538147,1)</f>
        <v>25.6</v>
      </c>
      <c r="E10" s="40" t="s">
        <v>372</v>
      </c>
      <c r="F10" s="4">
        <f>ROUND('407143-4 Pond2'!X8,1)</f>
        <v>1.8</v>
      </c>
      <c r="G10" s="31">
        <v>0.1</v>
      </c>
      <c r="H10" s="26">
        <f>ROUND(F10*G10,1)</f>
        <v>0.2</v>
      </c>
      <c r="I10" s="26">
        <f>'407143-4 Pond2'!X18</f>
        <v>10.92234265101526</v>
      </c>
      <c r="J10" s="25">
        <v>0.1</v>
      </c>
      <c r="K10" s="26">
        <f t="shared" si="0"/>
        <v>1.1000000000000001</v>
      </c>
      <c r="L10" s="5" t="s">
        <v>369</v>
      </c>
    </row>
    <row r="11" spans="1:12" ht="26.25" customHeight="1" x14ac:dyDescent="0.2">
      <c r="A11" s="7" t="s">
        <v>18</v>
      </c>
      <c r="B11" s="3" t="s">
        <v>210</v>
      </c>
      <c r="C11" s="24" t="s">
        <v>315</v>
      </c>
      <c r="D11" s="41">
        <f>ROUND('239535-F'!G10,1)</f>
        <v>16.399999999999999</v>
      </c>
      <c r="E11" s="41" t="s">
        <v>372</v>
      </c>
      <c r="F11" s="41">
        <f>ROUND('239535-F'!T10,1)</f>
        <v>1.2</v>
      </c>
      <c r="G11" s="31" t="s">
        <v>505</v>
      </c>
      <c r="H11" s="26">
        <f>ROUND(((F11*(2/3))*0.843)+((F11*(1/3))*0.126),1)</f>
        <v>0.7</v>
      </c>
      <c r="I11" s="50">
        <f>ROUND('239535-F'!U10,1)</f>
        <v>13.2</v>
      </c>
      <c r="J11" s="31" t="s">
        <v>506</v>
      </c>
      <c r="K11" s="26">
        <f>ROUND(((I11*(2/3))*0.431)+((I11*(1/3))*0.025),1)</f>
        <v>3.9</v>
      </c>
      <c r="L11" s="5" t="s">
        <v>309</v>
      </c>
    </row>
    <row r="12" spans="1:12" ht="26.25" customHeight="1" x14ac:dyDescent="0.2">
      <c r="A12" s="7" t="s">
        <v>19</v>
      </c>
      <c r="B12" s="3" t="s">
        <v>336</v>
      </c>
      <c r="C12" s="4" t="s">
        <v>2</v>
      </c>
      <c r="D12" s="4">
        <f>ROUND('416518-1 Pond1'!N5*2.4710538147,1)</f>
        <v>13.8</v>
      </c>
      <c r="E12" s="40" t="s">
        <v>372</v>
      </c>
      <c r="F12" s="4">
        <f>ROUND('416518-1 Pond1'!X5,1)</f>
        <v>0.9</v>
      </c>
      <c r="G12" s="21" t="s">
        <v>507</v>
      </c>
      <c r="H12" s="12">
        <f>ROUND(((F12*(4/5))*0.641)+((F12/5)*0.005),1)</f>
        <v>0.5</v>
      </c>
      <c r="I12" s="12">
        <f>'416518-1 Pond1'!X11</f>
        <v>8.0512116299198411</v>
      </c>
      <c r="J12" s="21" t="s">
        <v>508</v>
      </c>
      <c r="K12" s="12">
        <f>ROUND(((I12*(4/5))*0.357)+((I12/5)*0.004),1)</f>
        <v>2.2999999999999998</v>
      </c>
      <c r="L12" s="5" t="s">
        <v>340</v>
      </c>
    </row>
    <row r="13" spans="1:12" ht="26.25" customHeight="1" x14ac:dyDescent="0.2">
      <c r="A13" s="7" t="s">
        <v>20</v>
      </c>
      <c r="B13" s="3" t="s">
        <v>337</v>
      </c>
      <c r="C13" s="4" t="s">
        <v>2</v>
      </c>
      <c r="D13" s="4">
        <f>ROUND('416518-1 Pond2'!N6*2.4710538147,1)</f>
        <v>6.1</v>
      </c>
      <c r="E13" s="40" t="s">
        <v>372</v>
      </c>
      <c r="F13" s="4">
        <f>ROUND('416518-1 Pond2'!X6,1)</f>
        <v>0.4</v>
      </c>
      <c r="G13" s="21" t="s">
        <v>509</v>
      </c>
      <c r="H13" s="12">
        <f>ROUND(((F13*(4/5))*0.642)+((F13/5)*0.006),1)</f>
        <v>0.2</v>
      </c>
      <c r="I13" s="12">
        <f>'416518-1 Pond2'!X14</f>
        <v>2.4337204420330898</v>
      </c>
      <c r="J13" s="21" t="s">
        <v>510</v>
      </c>
      <c r="K13" s="12">
        <f>ROUND(((I13*(4/5))*0.359)+((I13/5)*0.006),1)</f>
        <v>0.7</v>
      </c>
      <c r="L13" s="5" t="s">
        <v>340</v>
      </c>
    </row>
    <row r="14" spans="1:12" ht="26.25" customHeight="1" x14ac:dyDescent="0.2">
      <c r="A14" s="7" t="s">
        <v>21</v>
      </c>
      <c r="B14" s="3" t="s">
        <v>211</v>
      </c>
      <c r="C14" s="4" t="s">
        <v>2</v>
      </c>
      <c r="D14" s="4">
        <f>ROUND('239682-1 Pond 1'!N19*2.4710538147,1)</f>
        <v>26.5</v>
      </c>
      <c r="E14" s="40" t="s">
        <v>372</v>
      </c>
      <c r="F14" s="4">
        <f>ROUND('239682-1 Pond 1'!X19,1)</f>
        <v>1.6</v>
      </c>
      <c r="G14" s="21" t="s">
        <v>511</v>
      </c>
      <c r="H14" s="12">
        <f>ROUND(((F14*(4/6))*0.765)+((F14*(2/6))*0.119),1)</f>
        <v>0.9</v>
      </c>
      <c r="I14" s="12">
        <f>'239682-1 Pond 1'!X39</f>
        <v>20.423062197556305</v>
      </c>
      <c r="J14" s="21" t="s">
        <v>512</v>
      </c>
      <c r="K14" s="12">
        <f>ROUND(((I14*(4/6))*0.42)+((I14*(2/6))*0.058),1)</f>
        <v>6.1</v>
      </c>
      <c r="L14" s="5" t="s">
        <v>309</v>
      </c>
    </row>
    <row r="15" spans="1:12" ht="26.25" customHeight="1" x14ac:dyDescent="0.2">
      <c r="A15" s="7" t="s">
        <v>22</v>
      </c>
      <c r="B15" s="3" t="s">
        <v>212</v>
      </c>
      <c r="C15" s="4" t="s">
        <v>2</v>
      </c>
      <c r="D15" s="4">
        <f>ROUND('239682-1 Pond2'!N9*2.4710538147,1)</f>
        <v>13.4</v>
      </c>
      <c r="E15" s="40" t="s">
        <v>372</v>
      </c>
      <c r="F15" s="4">
        <f>ROUND('239682-1 Pond2'!X9,1)</f>
        <v>1</v>
      </c>
      <c r="G15" s="21" t="s">
        <v>513</v>
      </c>
      <c r="H15" s="12">
        <f>ROUND(((F15*(4/6))*0.761)+((F15*(2/6))*0.115),1)</f>
        <v>0.5</v>
      </c>
      <c r="I15" s="12">
        <f>'239682-1 Pond2'!X19</f>
        <v>11.813491991851901</v>
      </c>
      <c r="J15" s="21" t="s">
        <v>512</v>
      </c>
      <c r="K15" s="12">
        <f>ROUND(((I15*(4/6))*0.42)+((I15*(2/6))*0.058),1)</f>
        <v>3.5</v>
      </c>
      <c r="L15" s="5" t="s">
        <v>309</v>
      </c>
    </row>
    <row r="16" spans="1:12" ht="26.25" customHeight="1" x14ac:dyDescent="0.2">
      <c r="A16" s="7" t="s">
        <v>23</v>
      </c>
      <c r="B16" s="3" t="s">
        <v>213</v>
      </c>
      <c r="C16" s="4" t="s">
        <v>2</v>
      </c>
      <c r="D16" s="4">
        <f>ROUND('239682-1 Pond3'!N11*2.4710538147,1)</f>
        <v>15.8</v>
      </c>
      <c r="E16" s="40" t="s">
        <v>372</v>
      </c>
      <c r="F16" s="4">
        <f>ROUND('239682-1 Pond3'!X11,1)</f>
        <v>1.1000000000000001</v>
      </c>
      <c r="G16" s="21" t="s">
        <v>514</v>
      </c>
      <c r="H16" s="12">
        <f>ROUND(((F16*(4/6))*0.734)+((F16*(2/6))*0.088),1)</f>
        <v>0.6</v>
      </c>
      <c r="I16" s="12">
        <f>'239682-1 Pond3'!X24</f>
        <v>11.6342793733976</v>
      </c>
      <c r="J16" s="21" t="s">
        <v>515</v>
      </c>
      <c r="K16" s="12">
        <f>ROUND(((I16*(4/6))*0.412)+((I16*(2/6))*0.05),1)</f>
        <v>3.4</v>
      </c>
      <c r="L16" s="5" t="s">
        <v>309</v>
      </c>
    </row>
    <row r="17" spans="1:13" ht="26.25" customHeight="1" x14ac:dyDescent="0.2">
      <c r="A17" s="7" t="s">
        <v>24</v>
      </c>
      <c r="B17" s="3" t="s">
        <v>214</v>
      </c>
      <c r="C17" s="4" t="s">
        <v>2</v>
      </c>
      <c r="D17" s="4">
        <f>ROUND('239682-1 Pond4'!N14*2.4710538147,1)</f>
        <v>33.700000000000003</v>
      </c>
      <c r="E17" s="40" t="s">
        <v>372</v>
      </c>
      <c r="F17" s="4">
        <f>ROUND('239682-1 Pond4'!X14,1)</f>
        <v>2.1</v>
      </c>
      <c r="G17" s="21" t="s">
        <v>516</v>
      </c>
      <c r="H17" s="12">
        <f>ROUND(((F17*(4/6))*0.729)+((F17*(2/6))*0.083),1)</f>
        <v>1.1000000000000001</v>
      </c>
      <c r="I17" s="12">
        <f>'239682-1 Pond4'!X30</f>
        <v>23.23352465594472</v>
      </c>
      <c r="J17" s="21" t="s">
        <v>517</v>
      </c>
      <c r="K17" s="12">
        <f>ROUND(((I17*(4/6))*0.411)+((I17*(2/6))*0.049),1)</f>
        <v>6.7</v>
      </c>
      <c r="L17" s="5" t="s">
        <v>309</v>
      </c>
    </row>
    <row r="18" spans="1:13" ht="26.25" customHeight="1" x14ac:dyDescent="0.2">
      <c r="A18" s="7" t="s">
        <v>25</v>
      </c>
      <c r="B18" s="3" t="s">
        <v>345</v>
      </c>
      <c r="C18" s="4" t="s">
        <v>2</v>
      </c>
      <c r="D18" s="4">
        <f>ROUND('418403-2 Pond1and2'!N13*2.4710538147,1)</f>
        <v>14.2</v>
      </c>
      <c r="E18" s="40" t="s">
        <v>372</v>
      </c>
      <c r="F18" s="4">
        <f>ROUND('418403-2 Pond1and2'!X13,1)</f>
        <v>1.1000000000000001</v>
      </c>
      <c r="G18" s="21" t="s">
        <v>518</v>
      </c>
      <c r="H18" s="12">
        <f>ROUND(((F18*(4/6))*0.675)+((F18*(2/6))*0.09),1)</f>
        <v>0.5</v>
      </c>
      <c r="I18" s="12">
        <f>'418403-2 Pond1and2'!X28</f>
        <v>12.404120479485952</v>
      </c>
      <c r="J18" s="21" t="s">
        <v>519</v>
      </c>
      <c r="K18" s="12">
        <f>ROUND(((I18*(4/6))*0.384)+((I18*(2/6))*0.06),1)</f>
        <v>3.4</v>
      </c>
      <c r="L18" s="5" t="s">
        <v>309</v>
      </c>
    </row>
    <row r="19" spans="1:13" ht="26.25" customHeight="1" x14ac:dyDescent="0.2">
      <c r="A19" s="14" t="s">
        <v>26</v>
      </c>
      <c r="B19" s="15" t="s">
        <v>166</v>
      </c>
      <c r="C19" s="16" t="s">
        <v>7</v>
      </c>
      <c r="D19" s="16"/>
      <c r="E19" s="39" t="s">
        <v>372</v>
      </c>
      <c r="F19" s="14" t="s">
        <v>367</v>
      </c>
      <c r="G19" s="33"/>
      <c r="H19" s="18"/>
      <c r="I19" s="18"/>
      <c r="J19" s="33"/>
      <c r="K19" s="18"/>
    </row>
    <row r="20" spans="1:13" ht="26.25" customHeight="1" x14ac:dyDescent="0.2">
      <c r="A20" s="14" t="s">
        <v>27</v>
      </c>
      <c r="B20" s="15" t="s">
        <v>232</v>
      </c>
      <c r="C20" s="16" t="s">
        <v>2</v>
      </c>
      <c r="D20" s="16">
        <f>ROUND('239416-F'!O6,1)</f>
        <v>8.4</v>
      </c>
      <c r="E20" s="39" t="s">
        <v>372</v>
      </c>
      <c r="F20" s="16">
        <f>ROUND('239416-F'!Z6,1)</f>
        <v>0.7</v>
      </c>
      <c r="G20" s="47"/>
      <c r="H20" s="18"/>
      <c r="I20" s="18">
        <f>'239416-F'!Z14</f>
        <v>4.3443462783889304</v>
      </c>
      <c r="J20" s="33"/>
      <c r="K20" s="18"/>
      <c r="L20" s="5" t="s">
        <v>309</v>
      </c>
      <c r="M20" s="5" t="s">
        <v>526</v>
      </c>
    </row>
    <row r="21" spans="1:13" ht="26.25" customHeight="1" x14ac:dyDescent="0.2">
      <c r="A21" s="14" t="s">
        <v>28</v>
      </c>
      <c r="B21" s="15" t="s">
        <v>233</v>
      </c>
      <c r="C21" s="16" t="s">
        <v>2</v>
      </c>
      <c r="D21" s="16">
        <f>ROUND('239416-A'!O7,1)</f>
        <v>13.9</v>
      </c>
      <c r="E21" s="39" t="s">
        <v>372</v>
      </c>
      <c r="F21" s="48">
        <f>ROUND('239416-A'!Z7,1)</f>
        <v>0.9</v>
      </c>
      <c r="G21" s="47"/>
      <c r="H21" s="18"/>
      <c r="I21" s="18">
        <f>'239416-A'!Z15</f>
        <v>5.8410837534152673</v>
      </c>
      <c r="J21" s="33"/>
      <c r="K21" s="18"/>
      <c r="L21" s="5" t="s">
        <v>309</v>
      </c>
      <c r="M21" s="5" t="s">
        <v>526</v>
      </c>
    </row>
    <row r="22" spans="1:13" ht="26.25" customHeight="1" x14ac:dyDescent="0.2">
      <c r="A22" s="14" t="s">
        <v>29</v>
      </c>
      <c r="B22" s="15" t="s">
        <v>359</v>
      </c>
      <c r="C22" s="16" t="s">
        <v>2</v>
      </c>
      <c r="D22" s="16">
        <f>ROUND('239416-B and C'!O19,1)</f>
        <v>47.9</v>
      </c>
      <c r="E22" s="39" t="s">
        <v>372</v>
      </c>
      <c r="F22" s="16">
        <f>ROUND('239416-B and C'!Z19,1)</f>
        <v>3.1</v>
      </c>
      <c r="G22" s="47"/>
      <c r="H22" s="18"/>
      <c r="I22" s="18">
        <f>'239416-B and C'!Z40</f>
        <v>19.60498396592094</v>
      </c>
      <c r="J22" s="33"/>
      <c r="K22" s="18"/>
      <c r="L22" s="5" t="s">
        <v>309</v>
      </c>
      <c r="M22" s="5" t="s">
        <v>526</v>
      </c>
    </row>
    <row r="23" spans="1:13" ht="26.25" customHeight="1" x14ac:dyDescent="0.2">
      <c r="A23" s="14" t="s">
        <v>30</v>
      </c>
      <c r="B23" s="15" t="s">
        <v>234</v>
      </c>
      <c r="C23" s="16" t="s">
        <v>2</v>
      </c>
      <c r="D23" s="16">
        <f>ROUND('239416-D'!O10,1)</f>
        <v>16.7</v>
      </c>
      <c r="E23" s="39" t="s">
        <v>372</v>
      </c>
      <c r="F23" s="16">
        <f>ROUND('239416-D'!Z10,1)</f>
        <v>1.3</v>
      </c>
      <c r="G23" s="47"/>
      <c r="H23" s="18"/>
      <c r="I23" s="18">
        <f>'239416-D'!Z23</f>
        <v>7.957627425671645</v>
      </c>
      <c r="J23" s="33"/>
      <c r="K23" s="18"/>
      <c r="L23" s="5" t="s">
        <v>309</v>
      </c>
      <c r="M23" s="5" t="s">
        <v>526</v>
      </c>
    </row>
    <row r="24" spans="1:13" ht="26.25" customHeight="1" x14ac:dyDescent="0.2">
      <c r="A24" s="14" t="s">
        <v>31</v>
      </c>
      <c r="B24" s="15" t="s">
        <v>235</v>
      </c>
      <c r="C24" s="16" t="s">
        <v>2</v>
      </c>
      <c r="D24" s="16">
        <f>ROUND('239416-E'!O8,1)</f>
        <v>6.6</v>
      </c>
      <c r="E24" s="39" t="s">
        <v>372</v>
      </c>
      <c r="F24" s="16">
        <f>ROUND('239416-E'!Z8,1)</f>
        <v>0.4</v>
      </c>
      <c r="G24" s="47"/>
      <c r="H24" s="18"/>
      <c r="I24" s="18">
        <f>'239416-E'!Z18</f>
        <v>2.6163310539546059</v>
      </c>
      <c r="J24" s="33"/>
      <c r="K24" s="18"/>
      <c r="L24" s="5" t="s">
        <v>309</v>
      </c>
      <c r="M24" s="5" t="s">
        <v>526</v>
      </c>
    </row>
    <row r="25" spans="1:13" ht="26.25" customHeight="1" x14ac:dyDescent="0.2">
      <c r="A25" s="7" t="s">
        <v>32</v>
      </c>
      <c r="B25" s="3" t="s">
        <v>236</v>
      </c>
      <c r="C25" s="4" t="s">
        <v>2</v>
      </c>
      <c r="D25" s="4">
        <f>ROUND('239454-A'!O18,1)</f>
        <v>38.799999999999997</v>
      </c>
      <c r="E25" s="40" t="s">
        <v>372</v>
      </c>
      <c r="F25" s="4">
        <f>ROUND('239454-A'!Z18,1)</f>
        <v>2.5</v>
      </c>
      <c r="G25" s="29">
        <f>'Wet detention pond calcs'!F87</f>
        <v>0.10600000000000009</v>
      </c>
      <c r="H25" s="12">
        <f>ROUND(F25*G25,1)</f>
        <v>0.3</v>
      </c>
      <c r="I25" s="12">
        <f>'239454-A'!Z38</f>
        <v>16.251065825132105</v>
      </c>
      <c r="J25" s="21">
        <f>'Wet detention pond calcs'!F86</f>
        <v>5.4999999999999993E-2</v>
      </c>
      <c r="K25" s="12">
        <f>ROUND(I25*J25,1)</f>
        <v>0.9</v>
      </c>
      <c r="L25" s="5" t="s">
        <v>363</v>
      </c>
    </row>
    <row r="26" spans="1:13" s="27" customFormat="1" ht="26.25" customHeight="1" x14ac:dyDescent="0.2">
      <c r="A26" s="7" t="s">
        <v>33</v>
      </c>
      <c r="B26" s="3" t="s">
        <v>238</v>
      </c>
      <c r="C26" s="24" t="s">
        <v>152</v>
      </c>
      <c r="D26" s="24">
        <f>ROUND('239653-A'!O9,1)</f>
        <v>4.0999999999999996</v>
      </c>
      <c r="E26" s="40" t="s">
        <v>372</v>
      </c>
      <c r="F26" s="24">
        <f>ROUND('239653-A'!Z9,1)</f>
        <v>0.2</v>
      </c>
      <c r="G26" s="29">
        <f>'Retention calcs'!F34</f>
        <v>0.13963072447930625</v>
      </c>
      <c r="H26" s="26">
        <f>ROUND(F26*G26,1)</f>
        <v>0</v>
      </c>
      <c r="I26" s="26">
        <f>'239653-A'!Z19</f>
        <v>3.9637571022268379</v>
      </c>
      <c r="J26" s="25">
        <f>'Retention calcs'!F34</f>
        <v>0.13963072447930625</v>
      </c>
      <c r="K26" s="12">
        <f t="shared" ref="K26" si="1">ROUND(I26*J26,1)</f>
        <v>0.6</v>
      </c>
      <c r="L26" s="27" t="s">
        <v>363</v>
      </c>
    </row>
    <row r="27" spans="1:13" s="27" customFormat="1" ht="26.25" customHeight="1" x14ac:dyDescent="0.2">
      <c r="A27" s="7" t="s">
        <v>34</v>
      </c>
      <c r="B27" s="3" t="s">
        <v>239</v>
      </c>
      <c r="C27" s="24" t="s">
        <v>2</v>
      </c>
      <c r="D27" s="24">
        <f>ROUND('239635-B'!O8,1)</f>
        <v>7.6</v>
      </c>
      <c r="E27" s="40" t="s">
        <v>372</v>
      </c>
      <c r="F27" s="24">
        <f>ROUND('239635-B'!Z8,1)</f>
        <v>0.3</v>
      </c>
      <c r="G27" s="29" t="s">
        <v>577</v>
      </c>
      <c r="H27" s="26">
        <f>ROUND(F27*0.634,1)</f>
        <v>0.2</v>
      </c>
      <c r="I27" s="26">
        <f>'239635-B'!Z18</f>
        <v>9.4052822691072056</v>
      </c>
      <c r="J27" s="31" t="s">
        <v>578</v>
      </c>
      <c r="K27" s="12">
        <f>ROUND(I27*0.359,1)</f>
        <v>3.4</v>
      </c>
      <c r="L27" s="27" t="s">
        <v>363</v>
      </c>
    </row>
    <row r="28" spans="1:13" ht="26.25" customHeight="1" x14ac:dyDescent="0.2">
      <c r="A28" s="7" t="s">
        <v>35</v>
      </c>
      <c r="B28" s="3" t="s">
        <v>240</v>
      </c>
      <c r="C28" s="24" t="s">
        <v>2</v>
      </c>
      <c r="D28" s="24">
        <f>ROUND('239633-A'!O10,1)</f>
        <v>14.6</v>
      </c>
      <c r="E28" s="41" t="s">
        <v>372</v>
      </c>
      <c r="F28" s="24">
        <f>ROUND('239633-A'!Z10,1)</f>
        <v>0.9</v>
      </c>
      <c r="G28" s="29" t="s">
        <v>582</v>
      </c>
      <c r="H28" s="26">
        <f>ROUND(((F28*(4/6))*0.827)+((F28*(2/6))*0.191),1)</f>
        <v>0.6</v>
      </c>
      <c r="I28" s="26">
        <f>'239633-A'!Z21</f>
        <v>6.6106101312451386</v>
      </c>
      <c r="J28" s="31" t="s">
        <v>583</v>
      </c>
      <c r="K28" s="26">
        <f>ROUND(((I28*(4/6))*0.43)+((I28*(2/6))*0.077),1)</f>
        <v>2.1</v>
      </c>
      <c r="L28" s="5" t="s">
        <v>309</v>
      </c>
    </row>
    <row r="29" spans="1:13" ht="26.25" customHeight="1" x14ac:dyDescent="0.2">
      <c r="A29" s="7" t="s">
        <v>36</v>
      </c>
      <c r="B29" s="3" t="s">
        <v>241</v>
      </c>
      <c r="C29" s="24" t="s">
        <v>2</v>
      </c>
      <c r="D29" s="24">
        <f>ROUND('239633-B'!O9,1)</f>
        <v>17.899999999999999</v>
      </c>
      <c r="E29" s="41" t="s">
        <v>372</v>
      </c>
      <c r="F29" s="24">
        <f>ROUND('239633-B'!Z9,1)</f>
        <v>1.2</v>
      </c>
      <c r="G29" s="29" t="s">
        <v>584</v>
      </c>
      <c r="H29" s="26">
        <f>ROUND(((F29*(4/6))*0.745)+((F29*(2/6))*0.172),1)</f>
        <v>0.7</v>
      </c>
      <c r="I29" s="26">
        <f>'239633-B'!Z20</f>
        <v>8.084446403061504</v>
      </c>
      <c r="J29" s="31" t="s">
        <v>585</v>
      </c>
      <c r="K29" s="26">
        <f>ROUND(((I29*(4/6))*0.416)+((I29*(2/6))*0.143),1)</f>
        <v>2.6</v>
      </c>
      <c r="L29" s="5" t="s">
        <v>309</v>
      </c>
    </row>
    <row r="30" spans="1:13" ht="26.25" customHeight="1" x14ac:dyDescent="0.2">
      <c r="A30" s="7" t="s">
        <v>37</v>
      </c>
      <c r="B30" s="3" t="s">
        <v>242</v>
      </c>
      <c r="C30" s="24" t="s">
        <v>2</v>
      </c>
      <c r="D30" s="24">
        <f>ROUND('239633-C'!O8,1)</f>
        <v>16.899999999999999</v>
      </c>
      <c r="E30" s="41" t="s">
        <v>372</v>
      </c>
      <c r="F30" s="24">
        <f>ROUND('239633-C'!Z8,1)</f>
        <v>1.1000000000000001</v>
      </c>
      <c r="G30" s="29" t="s">
        <v>586</v>
      </c>
      <c r="H30" s="26">
        <f>ROUND(((F30*(4/6))*0.81)+((F30*(2/6))*0.174),1)</f>
        <v>0.7</v>
      </c>
      <c r="I30" s="26">
        <f>'239633-C'!Z18</f>
        <v>7.3496101816146098</v>
      </c>
      <c r="J30" s="31" t="s">
        <v>587</v>
      </c>
      <c r="K30" s="26">
        <f>ROUND(((I30*(4/6))*0.428)+((I30*(2/6))*0.075),1)</f>
        <v>2.2999999999999998</v>
      </c>
      <c r="L30" s="5" t="s">
        <v>309</v>
      </c>
    </row>
    <row r="31" spans="1:13" ht="26.25" customHeight="1" x14ac:dyDescent="0.2">
      <c r="A31" s="7" t="s">
        <v>38</v>
      </c>
      <c r="B31" s="3" t="s">
        <v>243</v>
      </c>
      <c r="C31" s="24" t="s">
        <v>2</v>
      </c>
      <c r="D31" s="24">
        <f>ROUND('239633-D'!O9,1)</f>
        <v>12.6</v>
      </c>
      <c r="E31" s="41" t="s">
        <v>372</v>
      </c>
      <c r="F31" s="24">
        <f>ROUND('239633-D'!Z9,1)</f>
        <v>1</v>
      </c>
      <c r="G31" s="29" t="s">
        <v>588</v>
      </c>
      <c r="H31" s="26">
        <f>ROUND(((F31*(4/6))*0.683)+((F31*(2/6))*0.047),1)</f>
        <v>0.5</v>
      </c>
      <c r="I31" s="26">
        <f>'239633-D'!Z20</f>
        <v>8.0213532054075092</v>
      </c>
      <c r="J31" s="31" t="s">
        <v>592</v>
      </c>
      <c r="K31" s="26">
        <f>ROUND(((I31*(4/6))*0.389)+((I31*(2/6))*0.036),1)</f>
        <v>2.2000000000000002</v>
      </c>
      <c r="L31" s="5" t="s">
        <v>309</v>
      </c>
    </row>
    <row r="32" spans="1:13" ht="26.25" customHeight="1" x14ac:dyDescent="0.2">
      <c r="A32" s="7" t="s">
        <v>39</v>
      </c>
      <c r="B32" s="3" t="s">
        <v>273</v>
      </c>
      <c r="C32" s="4" t="s">
        <v>328</v>
      </c>
      <c r="D32" s="4">
        <f>ROUND('242436-A'!O5,1)</f>
        <v>9.8000000000000007</v>
      </c>
      <c r="E32" s="40" t="s">
        <v>372</v>
      </c>
      <c r="F32" s="4">
        <f>ROUND('242436-A'!Z5,1)</f>
        <v>0.4</v>
      </c>
      <c r="G32" s="29" t="s">
        <v>329</v>
      </c>
      <c r="H32" s="26">
        <f>ROUND(((F32/2)*0.816)+((F32/2)*0.163),1)</f>
        <v>0.2</v>
      </c>
      <c r="I32" s="12">
        <f>'242436-A'!Z11</f>
        <v>5.2306484480353426</v>
      </c>
      <c r="J32" s="29" t="s">
        <v>329</v>
      </c>
      <c r="K32" s="26">
        <f>ROUND(((I32/2)*0.816)+((I32/2)*0.163),1)</f>
        <v>2.6</v>
      </c>
      <c r="L32" s="5" t="s">
        <v>330</v>
      </c>
    </row>
    <row r="33" spans="1:12" ht="26.25" customHeight="1" x14ac:dyDescent="0.2">
      <c r="A33" s="7" t="s">
        <v>40</v>
      </c>
      <c r="B33" s="3" t="s">
        <v>274</v>
      </c>
      <c r="C33" s="4" t="s">
        <v>2</v>
      </c>
      <c r="D33" s="4">
        <f>ROUND('242484-A'!O5,1)</f>
        <v>21.8</v>
      </c>
      <c r="E33" s="40" t="s">
        <v>372</v>
      </c>
      <c r="F33" s="4">
        <f>ROUND('242484-A'!Z5,1)</f>
        <v>1.4</v>
      </c>
      <c r="G33" s="29" t="s">
        <v>331</v>
      </c>
      <c r="H33" s="26">
        <f>ROUND(((F33/2)*0.782)+((F33/2)*0.136),1)</f>
        <v>0.6</v>
      </c>
      <c r="I33" s="12">
        <f>'242484-A'!Z11</f>
        <v>12.638418486052581</v>
      </c>
      <c r="J33" s="21" t="s">
        <v>332</v>
      </c>
      <c r="K33" s="26">
        <f>ROUND(((I33/2)*0.424)+((I33/2)*0.062),1)</f>
        <v>3.1</v>
      </c>
      <c r="L33" s="5" t="s">
        <v>330</v>
      </c>
    </row>
    <row r="34" spans="1:12" ht="26.25" customHeight="1" x14ac:dyDescent="0.2">
      <c r="A34" s="7" t="s">
        <v>41</v>
      </c>
      <c r="B34" s="3" t="s">
        <v>365</v>
      </c>
      <c r="C34" s="4" t="s">
        <v>157</v>
      </c>
      <c r="D34" s="4">
        <f>ROUND('405515-AandB'!O8,1)</f>
        <v>14.8</v>
      </c>
      <c r="E34" s="40" t="s">
        <v>372</v>
      </c>
      <c r="F34" s="4">
        <f>ROUND('405515-AandB'!Z8,1)</f>
        <v>0.6</v>
      </c>
      <c r="G34" s="31" t="s">
        <v>579</v>
      </c>
      <c r="H34" s="12">
        <f>ROUND(((F34/2)*0.679)+((F34/2)*0.043),1)</f>
        <v>0.2</v>
      </c>
      <c r="I34" s="12">
        <f>'405515-AandB'!Z17</f>
        <v>5.7665880321752745</v>
      </c>
      <c r="J34" s="21" t="s">
        <v>580</v>
      </c>
      <c r="K34" s="12">
        <f>ROUND(((I34/2)*0.387)+((I34/2)*0.034),1)</f>
        <v>1.2</v>
      </c>
      <c r="L34" s="5" t="s">
        <v>366</v>
      </c>
    </row>
    <row r="35" spans="1:12" ht="26.25" customHeight="1" x14ac:dyDescent="0.2">
      <c r="A35" s="7" t="s">
        <v>42</v>
      </c>
      <c r="B35" s="3" t="s">
        <v>364</v>
      </c>
      <c r="C35" s="4" t="s">
        <v>3</v>
      </c>
      <c r="D35" s="4">
        <f>ROUND('410732'!O7,1)</f>
        <v>32.200000000000003</v>
      </c>
      <c r="E35" s="40" t="s">
        <v>372</v>
      </c>
      <c r="F35" s="4">
        <f>ROUND('410732'!Z7,1)</f>
        <v>2.1</v>
      </c>
      <c r="G35" s="31">
        <v>0.1</v>
      </c>
      <c r="H35" s="12">
        <f>ROUND(F35*G35,1)</f>
        <v>0.2</v>
      </c>
      <c r="I35" s="32">
        <f>'410732'!Z15</f>
        <v>13.212961568081017</v>
      </c>
      <c r="J35" s="11">
        <v>0.1</v>
      </c>
      <c r="K35" s="12">
        <f>ROUND(I35*J35,1)</f>
        <v>1.3</v>
      </c>
      <c r="L35" s="5" t="s">
        <v>366</v>
      </c>
    </row>
    <row r="36" spans="1:12" ht="26.25" customHeight="1" x14ac:dyDescent="0.2">
      <c r="A36" s="7" t="s">
        <v>43</v>
      </c>
      <c r="B36" s="3" t="s">
        <v>333</v>
      </c>
      <c r="C36" s="4" t="s">
        <v>154</v>
      </c>
      <c r="D36" s="4"/>
      <c r="E36" s="40" t="s">
        <v>372</v>
      </c>
      <c r="F36" s="30" t="s">
        <v>7</v>
      </c>
      <c r="G36" s="31" t="s">
        <v>7</v>
      </c>
      <c r="H36" s="12">
        <f>232*(1-0.783)</f>
        <v>50.343999999999994</v>
      </c>
      <c r="I36" s="32" t="s">
        <v>7</v>
      </c>
      <c r="J36" s="21" t="s">
        <v>7</v>
      </c>
      <c r="K36" s="12">
        <f>361.9*(1-0.6)</f>
        <v>144.76</v>
      </c>
    </row>
    <row r="37" spans="1:12" ht="26.25" customHeight="1" x14ac:dyDescent="0.2">
      <c r="G37" s="35" t="s">
        <v>151</v>
      </c>
      <c r="H37" s="13">
        <f>SUM(H2:H36)</f>
        <v>61.143999999999991</v>
      </c>
      <c r="I37" s="13"/>
      <c r="K37" s="13">
        <f>SUM(K2:K36)</f>
        <v>218.85999999999999</v>
      </c>
    </row>
  </sheetData>
  <dataConsolidate/>
  <phoneticPr fontId="1" type="noConversion"/>
  <printOptions gridLines="1"/>
  <pageMargins left="0.5" right="0.25" top="1" bottom="1" header="0.5" footer="0.5"/>
  <pageSetup paperSize="3" fitToWidth="0" fitToHeight="0" orientation="landscape" blackAndWhite="1" r:id="rId1"/>
  <headerFooter alignWithMargins="0">
    <oddHeader>&amp;C&amp;"Arial,Bold"Lake Okeechobee Basin Management Action Plan (BMAP)
Project Collection Sheet</oddHeader>
    <oddFooter>&amp;C&amp;"Arial,Italic"Page &amp;P</oddFooter>
  </headerFooter>
  <colBreaks count="1" manualBreakCount="1">
    <brk id="11" max="14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opLeftCell="R1" workbookViewId="0">
      <selection activeCell="W9" sqref="W9:W12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21.7109375" bestFit="1" customWidth="1"/>
    <col min="21" max="21" width="21.8554687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7</v>
      </c>
      <c r="B2" s="43">
        <v>11</v>
      </c>
      <c r="C2" s="43" t="s">
        <v>464</v>
      </c>
      <c r="D2" s="43" t="s">
        <v>466</v>
      </c>
      <c r="E2" s="43" t="s">
        <v>444</v>
      </c>
      <c r="F2" s="43" t="s">
        <v>467</v>
      </c>
      <c r="G2" s="43">
        <v>6083</v>
      </c>
      <c r="H2" s="43">
        <v>6084</v>
      </c>
      <c r="I2" s="43">
        <v>6029</v>
      </c>
      <c r="J2" s="43">
        <v>1900</v>
      </c>
      <c r="K2" s="43">
        <v>1900</v>
      </c>
      <c r="L2" s="43" t="s">
        <v>372</v>
      </c>
      <c r="M2" s="43" t="s">
        <v>404</v>
      </c>
      <c r="N2" s="44">
        <v>0.32019799999999998</v>
      </c>
      <c r="O2" s="43" t="s">
        <v>405</v>
      </c>
      <c r="P2" s="43" t="s">
        <v>406</v>
      </c>
      <c r="Q2" s="43">
        <v>70</v>
      </c>
      <c r="R2" s="43">
        <v>10</v>
      </c>
      <c r="S2" s="43" t="s">
        <v>407</v>
      </c>
      <c r="T2" s="43" t="s">
        <v>410</v>
      </c>
      <c r="U2" s="43" t="s">
        <v>411</v>
      </c>
      <c r="V2" s="45">
        <v>0.19295699999999999</v>
      </c>
      <c r="W2" s="45">
        <v>0.78300000000000003</v>
      </c>
      <c r="X2" s="45">
        <f>N2*V2*(1-W2)</f>
        <v>1.3407224670461996E-2</v>
      </c>
    </row>
    <row r="3" spans="1:24" x14ac:dyDescent="0.2">
      <c r="A3" s="43">
        <v>7</v>
      </c>
      <c r="B3" s="43">
        <v>11</v>
      </c>
      <c r="C3" s="43" t="s">
        <v>464</v>
      </c>
      <c r="D3" s="43" t="s">
        <v>466</v>
      </c>
      <c r="E3" s="43" t="s">
        <v>444</v>
      </c>
      <c r="F3" s="43" t="s">
        <v>467</v>
      </c>
      <c r="G3" s="43">
        <v>14237</v>
      </c>
      <c r="H3" s="43">
        <v>14238</v>
      </c>
      <c r="I3" s="43">
        <v>14238</v>
      </c>
      <c r="J3" s="43">
        <v>3100</v>
      </c>
      <c r="K3" s="43">
        <v>3100</v>
      </c>
      <c r="L3" s="43" t="s">
        <v>372</v>
      </c>
      <c r="M3" s="43" t="s">
        <v>404</v>
      </c>
      <c r="N3" s="44">
        <v>1.50989</v>
      </c>
      <c r="O3" s="43" t="s">
        <v>405</v>
      </c>
      <c r="P3" s="43" t="s">
        <v>406</v>
      </c>
      <c r="Q3" s="43">
        <v>5</v>
      </c>
      <c r="R3" s="43">
        <v>30</v>
      </c>
      <c r="S3" s="43" t="s">
        <v>455</v>
      </c>
      <c r="T3" s="43" t="s">
        <v>460</v>
      </c>
      <c r="U3" s="43" t="s">
        <v>414</v>
      </c>
      <c r="V3" s="45">
        <v>9.3119999999999994E-2</v>
      </c>
      <c r="W3" s="45">
        <v>0.78300000000000003</v>
      </c>
      <c r="X3" s="45">
        <f>N3*V3*(1-W3)</f>
        <v>3.0510407625599992E-2</v>
      </c>
    </row>
    <row r="4" spans="1:24" x14ac:dyDescent="0.2">
      <c r="A4" s="43">
        <v>7</v>
      </c>
      <c r="B4" s="43">
        <v>11</v>
      </c>
      <c r="C4" s="43" t="s">
        <v>464</v>
      </c>
      <c r="D4" s="43" t="s">
        <v>466</v>
      </c>
      <c r="E4" s="43" t="s">
        <v>444</v>
      </c>
      <c r="F4" s="43" t="s">
        <v>467</v>
      </c>
      <c r="G4" s="43">
        <v>52766</v>
      </c>
      <c r="H4" s="43">
        <v>52771</v>
      </c>
      <c r="I4" s="43">
        <v>52737</v>
      </c>
      <c r="J4" s="43">
        <v>8140</v>
      </c>
      <c r="K4" s="43">
        <v>8140</v>
      </c>
      <c r="L4" s="43" t="s">
        <v>372</v>
      </c>
      <c r="M4" s="43" t="s">
        <v>404</v>
      </c>
      <c r="N4" s="44">
        <v>6.9759900000000004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0.78300000000000003</v>
      </c>
      <c r="X4" s="45">
        <f>N4*V4*(1-W4)</f>
        <v>1.0854357493845599</v>
      </c>
    </row>
    <row r="5" spans="1:24" x14ac:dyDescent="0.2">
      <c r="A5" s="43">
        <v>7</v>
      </c>
      <c r="B5" s="43">
        <v>11</v>
      </c>
      <c r="C5" s="43" t="s">
        <v>464</v>
      </c>
      <c r="D5" s="43" t="s">
        <v>466</v>
      </c>
      <c r="E5" s="43" t="s">
        <v>444</v>
      </c>
      <c r="F5" s="43" t="s">
        <v>467</v>
      </c>
      <c r="G5" s="43">
        <v>52766</v>
      </c>
      <c r="H5" s="43">
        <v>52771</v>
      </c>
      <c r="I5" s="43">
        <v>52737</v>
      </c>
      <c r="J5" s="43">
        <v>8140</v>
      </c>
      <c r="K5" s="43">
        <v>8140</v>
      </c>
      <c r="L5" s="43" t="s">
        <v>372</v>
      </c>
      <c r="M5" s="43" t="s">
        <v>404</v>
      </c>
      <c r="N5" s="44">
        <v>1.8113199999999999E-2</v>
      </c>
      <c r="O5" s="43" t="s">
        <v>405</v>
      </c>
      <c r="P5" s="43" t="s">
        <v>406</v>
      </c>
      <c r="Q5" s="43">
        <v>18</v>
      </c>
      <c r="R5" s="43">
        <v>10</v>
      </c>
      <c r="S5" s="43" t="s">
        <v>407</v>
      </c>
      <c r="T5" s="43" t="s">
        <v>420</v>
      </c>
      <c r="U5" s="43" t="s">
        <v>421</v>
      </c>
      <c r="V5" s="45">
        <v>0.717032</v>
      </c>
      <c r="W5" s="45">
        <v>0.78300000000000003</v>
      </c>
      <c r="X5" s="45">
        <f>N5*V5*(1-W5)</f>
        <v>2.8183404528607995E-3</v>
      </c>
    </row>
    <row r="6" spans="1:24" x14ac:dyDescent="0.2">
      <c r="N6" s="44">
        <f>SUM(N2:N5)</f>
        <v>8.8241911999999996</v>
      </c>
      <c r="X6" s="45">
        <f>SUM(X2:X5)</f>
        <v>1.1321717221334826</v>
      </c>
    </row>
    <row r="8" spans="1:24" x14ac:dyDescent="0.2">
      <c r="A8" s="43" t="s">
        <v>377</v>
      </c>
      <c r="B8" s="43" t="s">
        <v>378</v>
      </c>
      <c r="C8" s="43" t="s">
        <v>379</v>
      </c>
      <c r="D8" s="43" t="s">
        <v>380</v>
      </c>
      <c r="E8" s="43" t="s">
        <v>381</v>
      </c>
      <c r="F8" s="43" t="s">
        <v>382</v>
      </c>
      <c r="G8" s="43" t="s">
        <v>383</v>
      </c>
      <c r="H8" s="43" t="s">
        <v>384</v>
      </c>
      <c r="I8" s="43" t="s">
        <v>385</v>
      </c>
      <c r="J8" s="43" t="s">
        <v>386</v>
      </c>
      <c r="K8" s="43" t="s">
        <v>387</v>
      </c>
      <c r="L8" s="43" t="s">
        <v>388</v>
      </c>
      <c r="M8" s="43" t="s">
        <v>389</v>
      </c>
      <c r="N8" s="44" t="s">
        <v>391</v>
      </c>
      <c r="O8" s="43" t="s">
        <v>392</v>
      </c>
      <c r="P8" s="43" t="s">
        <v>393</v>
      </c>
      <c r="Q8" s="43" t="s">
        <v>394</v>
      </c>
      <c r="R8" s="43" t="s">
        <v>395</v>
      </c>
      <c r="S8" s="43" t="s">
        <v>396</v>
      </c>
      <c r="T8" s="43" t="s">
        <v>397</v>
      </c>
      <c r="U8" s="43" t="s">
        <v>398</v>
      </c>
      <c r="V8" s="45" t="s">
        <v>589</v>
      </c>
      <c r="W8" s="45" t="s">
        <v>590</v>
      </c>
      <c r="X8" s="45" t="s">
        <v>591</v>
      </c>
    </row>
    <row r="9" spans="1:24" x14ac:dyDescent="0.2">
      <c r="A9" s="43">
        <v>7</v>
      </c>
      <c r="B9" s="43">
        <v>11</v>
      </c>
      <c r="C9" s="43" t="s">
        <v>464</v>
      </c>
      <c r="D9" s="43" t="s">
        <v>466</v>
      </c>
      <c r="E9" s="43" t="s">
        <v>444</v>
      </c>
      <c r="F9" s="43" t="s">
        <v>467</v>
      </c>
      <c r="G9" s="43">
        <v>6083</v>
      </c>
      <c r="H9" s="43">
        <v>6084</v>
      </c>
      <c r="I9" s="43">
        <v>6029</v>
      </c>
      <c r="J9" s="43">
        <v>1900</v>
      </c>
      <c r="K9" s="43">
        <v>1900</v>
      </c>
      <c r="L9" s="43" t="s">
        <v>372</v>
      </c>
      <c r="M9" s="43" t="s">
        <v>404</v>
      </c>
      <c r="N9" s="44">
        <v>0.32019799999999998</v>
      </c>
      <c r="O9" s="43" t="s">
        <v>405</v>
      </c>
      <c r="P9" s="43" t="s">
        <v>406</v>
      </c>
      <c r="Q9" s="43">
        <v>70</v>
      </c>
      <c r="R9" s="43">
        <v>10</v>
      </c>
      <c r="S9" s="43" t="s">
        <v>407</v>
      </c>
      <c r="T9" s="43" t="s">
        <v>410</v>
      </c>
      <c r="U9" s="43" t="s">
        <v>411</v>
      </c>
      <c r="V9" s="45">
        <v>1.1817740000000001</v>
      </c>
      <c r="W9" s="45">
        <v>0.6</v>
      </c>
      <c r="X9" s="45">
        <v>0.10633086962181201</v>
      </c>
    </row>
    <row r="10" spans="1:24" x14ac:dyDescent="0.2">
      <c r="A10" s="43">
        <v>7</v>
      </c>
      <c r="B10" s="43">
        <v>11</v>
      </c>
      <c r="C10" s="43" t="s">
        <v>464</v>
      </c>
      <c r="D10" s="43" t="s">
        <v>466</v>
      </c>
      <c r="E10" s="43" t="s">
        <v>444</v>
      </c>
      <c r="F10" s="43" t="s">
        <v>467</v>
      </c>
      <c r="G10" s="43">
        <v>14237</v>
      </c>
      <c r="H10" s="43">
        <v>14238</v>
      </c>
      <c r="I10" s="43">
        <v>14238</v>
      </c>
      <c r="J10" s="43">
        <v>3100</v>
      </c>
      <c r="K10" s="43">
        <v>3100</v>
      </c>
      <c r="L10" s="43" t="s">
        <v>372</v>
      </c>
      <c r="M10" s="43" t="s">
        <v>404</v>
      </c>
      <c r="N10" s="44">
        <v>1.50989</v>
      </c>
      <c r="O10" s="43" t="s">
        <v>405</v>
      </c>
      <c r="P10" s="43" t="s">
        <v>406</v>
      </c>
      <c r="Q10" s="43">
        <v>5</v>
      </c>
      <c r="R10" s="43">
        <v>30</v>
      </c>
      <c r="S10" s="43" t="s">
        <v>455</v>
      </c>
      <c r="T10" s="43" t="s">
        <v>460</v>
      </c>
      <c r="U10" s="43" t="s">
        <v>414</v>
      </c>
      <c r="V10" s="45">
        <v>8.1290569999999995</v>
      </c>
      <c r="W10" s="45">
        <v>0.6</v>
      </c>
      <c r="X10" s="45">
        <v>3.4489889065181303</v>
      </c>
    </row>
    <row r="11" spans="1:24" x14ac:dyDescent="0.2">
      <c r="A11" s="43">
        <v>7</v>
      </c>
      <c r="B11" s="43">
        <v>11</v>
      </c>
      <c r="C11" s="43" t="s">
        <v>464</v>
      </c>
      <c r="D11" s="43" t="s">
        <v>466</v>
      </c>
      <c r="E11" s="43" t="s">
        <v>444</v>
      </c>
      <c r="F11" s="43" t="s">
        <v>467</v>
      </c>
      <c r="G11" s="43">
        <v>52766</v>
      </c>
      <c r="H11" s="43">
        <v>52771</v>
      </c>
      <c r="I11" s="43">
        <v>52737</v>
      </c>
      <c r="J11" s="43">
        <v>8140</v>
      </c>
      <c r="K11" s="43">
        <v>8140</v>
      </c>
      <c r="L11" s="43" t="s">
        <v>372</v>
      </c>
      <c r="M11" s="43" t="s">
        <v>404</v>
      </c>
      <c r="N11" s="44">
        <v>6.9759900000000004</v>
      </c>
      <c r="O11" s="43" t="s">
        <v>405</v>
      </c>
      <c r="P11" s="43" t="s">
        <v>406</v>
      </c>
      <c r="Q11" s="43">
        <v>18</v>
      </c>
      <c r="R11" s="43">
        <v>10</v>
      </c>
      <c r="S11" s="43" t="s">
        <v>407</v>
      </c>
      <c r="T11" s="43" t="s">
        <v>420</v>
      </c>
      <c r="U11" s="43" t="s">
        <v>421</v>
      </c>
      <c r="V11" s="45">
        <v>3.4929570000000001</v>
      </c>
      <c r="W11" s="45">
        <v>0.6</v>
      </c>
      <c r="X11" s="45">
        <v>6.8470801017828311</v>
      </c>
    </row>
    <row r="12" spans="1:24" x14ac:dyDescent="0.2">
      <c r="A12" s="43">
        <v>7</v>
      </c>
      <c r="B12" s="43">
        <v>11</v>
      </c>
      <c r="C12" s="43" t="s">
        <v>464</v>
      </c>
      <c r="D12" s="43" t="s">
        <v>466</v>
      </c>
      <c r="E12" s="43" t="s">
        <v>444</v>
      </c>
      <c r="F12" s="43" t="s">
        <v>467</v>
      </c>
      <c r="G12" s="43">
        <v>52766</v>
      </c>
      <c r="H12" s="43">
        <v>52771</v>
      </c>
      <c r="I12" s="43">
        <v>52737</v>
      </c>
      <c r="J12" s="43">
        <v>8140</v>
      </c>
      <c r="K12" s="43">
        <v>8140</v>
      </c>
      <c r="L12" s="43" t="s">
        <v>372</v>
      </c>
      <c r="M12" s="43" t="s">
        <v>404</v>
      </c>
      <c r="N12" s="44">
        <v>1.8113199999999999E-2</v>
      </c>
      <c r="O12" s="43" t="s">
        <v>405</v>
      </c>
      <c r="P12" s="43" t="s">
        <v>406</v>
      </c>
      <c r="Q12" s="43">
        <v>18</v>
      </c>
      <c r="R12" s="43">
        <v>10</v>
      </c>
      <c r="S12" s="43" t="s">
        <v>407</v>
      </c>
      <c r="T12" s="43" t="s">
        <v>420</v>
      </c>
      <c r="U12" s="43" t="s">
        <v>421</v>
      </c>
      <c r="V12" s="45">
        <v>3.4929570000000001</v>
      </c>
      <c r="W12" s="45">
        <v>0.6</v>
      </c>
      <c r="X12" s="45">
        <v>1.7778484673804402E-2</v>
      </c>
    </row>
    <row r="13" spans="1:24" x14ac:dyDescent="0.2">
      <c r="X13" s="45">
        <f>SUM(X9:X12)</f>
        <v>10.420178362596578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opLeftCell="R1" workbookViewId="0">
      <selection activeCell="W12" sqref="W12:W1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8</v>
      </c>
      <c r="B2" s="43">
        <v>12</v>
      </c>
      <c r="C2" s="43" t="s">
        <v>464</v>
      </c>
      <c r="D2" s="43" t="s">
        <v>466</v>
      </c>
      <c r="E2" s="43" t="s">
        <v>432</v>
      </c>
      <c r="F2" s="43" t="s">
        <v>468</v>
      </c>
      <c r="G2" s="43">
        <v>4386</v>
      </c>
      <c r="H2" s="43">
        <v>4387</v>
      </c>
      <c r="I2" s="43">
        <v>4355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0.246471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 t="shared" ref="X2:X7" si="0">N2*V2*(1-W2)</f>
        <v>9.4935751045967978E-2</v>
      </c>
    </row>
    <row r="3" spans="1:24" x14ac:dyDescent="0.2">
      <c r="A3" s="43">
        <v>8</v>
      </c>
      <c r="B3" s="43">
        <v>12</v>
      </c>
      <c r="C3" s="43" t="s">
        <v>464</v>
      </c>
      <c r="D3" s="43" t="s">
        <v>466</v>
      </c>
      <c r="E3" s="43" t="s">
        <v>432</v>
      </c>
      <c r="F3" s="43" t="s">
        <v>468</v>
      </c>
      <c r="G3" s="43">
        <v>6085</v>
      </c>
      <c r="H3" s="43">
        <v>6086</v>
      </c>
      <c r="I3" s="43">
        <v>6031</v>
      </c>
      <c r="J3" s="43">
        <v>1900</v>
      </c>
      <c r="K3" s="43">
        <v>1900</v>
      </c>
      <c r="L3" s="43" t="s">
        <v>372</v>
      </c>
      <c r="M3" s="43" t="s">
        <v>404</v>
      </c>
      <c r="N3" s="44">
        <v>0.79542800000000002</v>
      </c>
      <c r="O3" s="43" t="s">
        <v>405</v>
      </c>
      <c r="P3" s="43" t="s">
        <v>406</v>
      </c>
      <c r="Q3" s="43">
        <v>70</v>
      </c>
      <c r="R3" s="43">
        <v>10</v>
      </c>
      <c r="S3" s="43" t="s">
        <v>407</v>
      </c>
      <c r="T3" s="43" t="s">
        <v>410</v>
      </c>
      <c r="U3" s="43" t="s">
        <v>411</v>
      </c>
      <c r="V3" s="45">
        <v>0.19295699999999999</v>
      </c>
      <c r="W3" s="45">
        <v>0.78300000000000003</v>
      </c>
      <c r="X3" s="45">
        <f t="shared" si="0"/>
        <v>3.3305897929331994E-2</v>
      </c>
    </row>
    <row r="4" spans="1:24" x14ac:dyDescent="0.2">
      <c r="A4" s="43">
        <v>8</v>
      </c>
      <c r="B4" s="43">
        <v>12</v>
      </c>
      <c r="C4" s="43" t="s">
        <v>464</v>
      </c>
      <c r="D4" s="43" t="s">
        <v>466</v>
      </c>
      <c r="E4" s="43" t="s">
        <v>432</v>
      </c>
      <c r="F4" s="43" t="s">
        <v>468</v>
      </c>
      <c r="G4" s="43">
        <v>19412</v>
      </c>
      <c r="H4" s="43">
        <v>19413</v>
      </c>
      <c r="I4" s="43">
        <v>19332</v>
      </c>
      <c r="J4" s="43">
        <v>4340</v>
      </c>
      <c r="K4" s="43">
        <v>4340</v>
      </c>
      <c r="L4" s="43" t="s">
        <v>372</v>
      </c>
      <c r="M4" s="43" t="s">
        <v>404</v>
      </c>
      <c r="N4" s="44">
        <v>3.0775500000000001E-2</v>
      </c>
      <c r="O4" s="43" t="s">
        <v>405</v>
      </c>
      <c r="P4" s="43" t="s">
        <v>406</v>
      </c>
      <c r="Q4" s="43">
        <v>7</v>
      </c>
      <c r="R4" s="43">
        <v>40</v>
      </c>
      <c r="S4" s="43" t="s">
        <v>412</v>
      </c>
      <c r="T4" s="43" t="s">
        <v>415</v>
      </c>
      <c r="U4" s="43" t="s">
        <v>416</v>
      </c>
      <c r="V4" s="45">
        <v>0.115981</v>
      </c>
      <c r="W4" s="45">
        <v>0.78300000000000003</v>
      </c>
      <c r="X4" s="45">
        <f t="shared" si="0"/>
        <v>7.7455399861349992E-4</v>
      </c>
    </row>
    <row r="5" spans="1:24" x14ac:dyDescent="0.2">
      <c r="A5" s="43">
        <v>8</v>
      </c>
      <c r="B5" s="43">
        <v>12</v>
      </c>
      <c r="C5" s="43" t="s">
        <v>464</v>
      </c>
      <c r="D5" s="43" t="s">
        <v>466</v>
      </c>
      <c r="E5" s="43" t="s">
        <v>432</v>
      </c>
      <c r="F5" s="43" t="s">
        <v>468</v>
      </c>
      <c r="G5" s="43">
        <v>22912</v>
      </c>
      <c r="H5" s="43">
        <v>22913</v>
      </c>
      <c r="I5" s="43">
        <v>22878</v>
      </c>
      <c r="J5" s="43">
        <v>5300</v>
      </c>
      <c r="K5" s="43">
        <v>5300</v>
      </c>
      <c r="L5" s="43" t="s">
        <v>372</v>
      </c>
      <c r="M5" s="43" t="s">
        <v>404</v>
      </c>
      <c r="N5" s="44">
        <v>8.2035200000000003E-2</v>
      </c>
      <c r="O5" s="43" t="s">
        <v>405</v>
      </c>
      <c r="P5" s="43" t="s">
        <v>406</v>
      </c>
      <c r="Q5" s="43">
        <v>9</v>
      </c>
      <c r="R5" s="43">
        <v>50</v>
      </c>
      <c r="S5" s="43" t="s">
        <v>438</v>
      </c>
      <c r="T5" s="43" t="s">
        <v>439</v>
      </c>
      <c r="U5" s="43" t="s">
        <v>440</v>
      </c>
      <c r="V5" s="45">
        <v>0.128413</v>
      </c>
      <c r="W5" s="45">
        <v>0.78300000000000003</v>
      </c>
      <c r="X5" s="45">
        <f t="shared" si="0"/>
        <v>2.2859617918591997E-3</v>
      </c>
    </row>
    <row r="6" spans="1:24" x14ac:dyDescent="0.2">
      <c r="A6" s="43">
        <v>8</v>
      </c>
      <c r="B6" s="43">
        <v>12</v>
      </c>
      <c r="C6" s="43" t="s">
        <v>464</v>
      </c>
      <c r="D6" s="43" t="s">
        <v>466</v>
      </c>
      <c r="E6" s="43" t="s">
        <v>432</v>
      </c>
      <c r="F6" s="43" t="s">
        <v>468</v>
      </c>
      <c r="G6" s="43">
        <v>30199</v>
      </c>
      <c r="H6" s="43">
        <v>30200</v>
      </c>
      <c r="I6" s="43">
        <v>30200</v>
      </c>
      <c r="J6" s="43">
        <v>6210</v>
      </c>
      <c r="K6" s="43">
        <v>6210</v>
      </c>
      <c r="L6" s="43" t="s">
        <v>372</v>
      </c>
      <c r="M6" s="43" t="s">
        <v>404</v>
      </c>
      <c r="N6" s="44">
        <v>1.8861800000000001E-2</v>
      </c>
      <c r="O6" s="43" t="s">
        <v>405</v>
      </c>
      <c r="P6" s="43" t="s">
        <v>406</v>
      </c>
      <c r="Q6" s="43">
        <v>14</v>
      </c>
      <c r="R6" s="43">
        <v>60</v>
      </c>
      <c r="S6" s="43" t="s">
        <v>417</v>
      </c>
      <c r="T6" s="43" t="s">
        <v>418</v>
      </c>
      <c r="U6" s="43" t="s">
        <v>418</v>
      </c>
      <c r="V6" s="45">
        <v>0.44770799999999999</v>
      </c>
      <c r="W6" s="45">
        <v>0.78300000000000003</v>
      </c>
      <c r="X6" s="45">
        <f t="shared" si="0"/>
        <v>1.8324735897047998E-3</v>
      </c>
    </row>
    <row r="7" spans="1:24" x14ac:dyDescent="0.2">
      <c r="A7" s="43">
        <v>8</v>
      </c>
      <c r="B7" s="43">
        <v>12</v>
      </c>
      <c r="C7" s="43" t="s">
        <v>464</v>
      </c>
      <c r="D7" s="43" t="s">
        <v>466</v>
      </c>
      <c r="E7" s="43" t="s">
        <v>432</v>
      </c>
      <c r="F7" s="43" t="s">
        <v>468</v>
      </c>
      <c r="G7" s="43">
        <v>52766</v>
      </c>
      <c r="H7" s="43">
        <v>52771</v>
      </c>
      <c r="I7" s="43">
        <v>52737</v>
      </c>
      <c r="J7" s="43">
        <v>8140</v>
      </c>
      <c r="K7" s="43">
        <v>8140</v>
      </c>
      <c r="L7" s="43" t="s">
        <v>372</v>
      </c>
      <c r="M7" s="43" t="s">
        <v>404</v>
      </c>
      <c r="N7" s="44">
        <v>10.3195</v>
      </c>
      <c r="O7" s="43" t="s">
        <v>405</v>
      </c>
      <c r="P7" s="43" t="s">
        <v>406</v>
      </c>
      <c r="Q7" s="43">
        <v>18</v>
      </c>
      <c r="R7" s="43">
        <v>10</v>
      </c>
      <c r="S7" s="43" t="s">
        <v>407</v>
      </c>
      <c r="T7" s="43" t="s">
        <v>420</v>
      </c>
      <c r="U7" s="43" t="s">
        <v>421</v>
      </c>
      <c r="V7" s="45">
        <v>0.717032</v>
      </c>
      <c r="W7" s="45">
        <v>0.78300000000000003</v>
      </c>
      <c r="X7" s="45">
        <f t="shared" si="0"/>
        <v>1.6056723441079999</v>
      </c>
    </row>
    <row r="8" spans="1:24" x14ac:dyDescent="0.2">
      <c r="N8" s="44">
        <f>SUM(N2:N7)</f>
        <v>11.493071499999999</v>
      </c>
      <c r="X8" s="45">
        <f>SUM(X2:X7)</f>
        <v>1.7388069824634773</v>
      </c>
    </row>
    <row r="11" spans="1:24" x14ac:dyDescent="0.2">
      <c r="A11" s="43" t="s">
        <v>377</v>
      </c>
      <c r="B11" s="43" t="s">
        <v>378</v>
      </c>
      <c r="C11" s="43" t="s">
        <v>379</v>
      </c>
      <c r="D11" s="43" t="s">
        <v>380</v>
      </c>
      <c r="E11" s="43" t="s">
        <v>381</v>
      </c>
      <c r="F11" s="43" t="s">
        <v>382</v>
      </c>
      <c r="G11" s="43" t="s">
        <v>383</v>
      </c>
      <c r="H11" s="43" t="s">
        <v>384</v>
      </c>
      <c r="I11" s="43" t="s">
        <v>385</v>
      </c>
      <c r="J11" s="43" t="s">
        <v>386</v>
      </c>
      <c r="K11" s="43" t="s">
        <v>387</v>
      </c>
      <c r="L11" s="43" t="s">
        <v>388</v>
      </c>
      <c r="M11" s="43" t="s">
        <v>389</v>
      </c>
      <c r="N11" s="44" t="s">
        <v>391</v>
      </c>
      <c r="O11" s="43" t="s">
        <v>392</v>
      </c>
      <c r="P11" s="43" t="s">
        <v>393</v>
      </c>
      <c r="Q11" s="43" t="s">
        <v>394</v>
      </c>
      <c r="R11" s="43" t="s">
        <v>395</v>
      </c>
      <c r="S11" s="43" t="s">
        <v>396</v>
      </c>
      <c r="T11" s="43" t="s">
        <v>397</v>
      </c>
      <c r="U11" s="43" t="s">
        <v>398</v>
      </c>
      <c r="V11" s="45" t="s">
        <v>589</v>
      </c>
      <c r="W11" s="45" t="s">
        <v>590</v>
      </c>
      <c r="X11" s="45" t="s">
        <v>591</v>
      </c>
    </row>
    <row r="12" spans="1:24" x14ac:dyDescent="0.2">
      <c r="A12" s="43">
        <v>8</v>
      </c>
      <c r="B12" s="43">
        <v>12</v>
      </c>
      <c r="C12" s="43" t="s">
        <v>464</v>
      </c>
      <c r="D12" s="43" t="s">
        <v>466</v>
      </c>
      <c r="E12" s="43" t="s">
        <v>432</v>
      </c>
      <c r="F12" s="43" t="s">
        <v>468</v>
      </c>
      <c r="G12" s="43">
        <v>4386</v>
      </c>
      <c r="H12" s="43">
        <v>4387</v>
      </c>
      <c r="I12" s="43">
        <v>4355</v>
      </c>
      <c r="J12" s="43">
        <v>1400</v>
      </c>
      <c r="K12" s="43">
        <v>1400</v>
      </c>
      <c r="L12" s="43" t="s">
        <v>372</v>
      </c>
      <c r="M12" s="43" t="s">
        <v>404</v>
      </c>
      <c r="N12" s="44">
        <v>0.246471</v>
      </c>
      <c r="O12" s="43" t="s">
        <v>405</v>
      </c>
      <c r="P12" s="43" t="s">
        <v>406</v>
      </c>
      <c r="Q12" s="43">
        <v>3</v>
      </c>
      <c r="R12" s="43">
        <v>10</v>
      </c>
      <c r="S12" s="43" t="s">
        <v>407</v>
      </c>
      <c r="T12" s="43" t="s">
        <v>408</v>
      </c>
      <c r="U12" s="43" t="s">
        <v>408</v>
      </c>
      <c r="V12" s="45">
        <v>7.8337940000000001</v>
      </c>
      <c r="W12" s="45">
        <v>0.6</v>
      </c>
      <c r="X12" s="45">
        <v>0.54255565451369403</v>
      </c>
    </row>
    <row r="13" spans="1:24" x14ac:dyDescent="0.2">
      <c r="A13" s="43">
        <v>8</v>
      </c>
      <c r="B13" s="43">
        <v>12</v>
      </c>
      <c r="C13" s="43" t="s">
        <v>464</v>
      </c>
      <c r="D13" s="43" t="s">
        <v>466</v>
      </c>
      <c r="E13" s="43" t="s">
        <v>432</v>
      </c>
      <c r="F13" s="43" t="s">
        <v>468</v>
      </c>
      <c r="G13" s="43">
        <v>6085</v>
      </c>
      <c r="H13" s="43">
        <v>6086</v>
      </c>
      <c r="I13" s="43">
        <v>6031</v>
      </c>
      <c r="J13" s="43">
        <v>1900</v>
      </c>
      <c r="K13" s="43">
        <v>1900</v>
      </c>
      <c r="L13" s="43" t="s">
        <v>372</v>
      </c>
      <c r="M13" s="43" t="s">
        <v>404</v>
      </c>
      <c r="N13" s="44">
        <v>0.79542800000000002</v>
      </c>
      <c r="O13" s="43" t="s">
        <v>405</v>
      </c>
      <c r="P13" s="43" t="s">
        <v>406</v>
      </c>
      <c r="Q13" s="43">
        <v>70</v>
      </c>
      <c r="R13" s="43">
        <v>10</v>
      </c>
      <c r="S13" s="43" t="s">
        <v>407</v>
      </c>
      <c r="T13" s="43" t="s">
        <v>410</v>
      </c>
      <c r="U13" s="43" t="s">
        <v>411</v>
      </c>
      <c r="V13" s="45">
        <v>1.1817740000000001</v>
      </c>
      <c r="W13" s="45">
        <v>0.6</v>
      </c>
      <c r="X13" s="45">
        <v>0.26414453232543206</v>
      </c>
    </row>
    <row r="14" spans="1:24" x14ac:dyDescent="0.2">
      <c r="A14" s="43">
        <v>8</v>
      </c>
      <c r="B14" s="43">
        <v>12</v>
      </c>
      <c r="C14" s="43" t="s">
        <v>464</v>
      </c>
      <c r="D14" s="43" t="s">
        <v>466</v>
      </c>
      <c r="E14" s="43" t="s">
        <v>432</v>
      </c>
      <c r="F14" s="43" t="s">
        <v>468</v>
      </c>
      <c r="G14" s="43">
        <v>19412</v>
      </c>
      <c r="H14" s="43">
        <v>19413</v>
      </c>
      <c r="I14" s="43">
        <v>19332</v>
      </c>
      <c r="J14" s="43">
        <v>4340</v>
      </c>
      <c r="K14" s="43">
        <v>4340</v>
      </c>
      <c r="L14" s="43" t="s">
        <v>372</v>
      </c>
      <c r="M14" s="43" t="s">
        <v>404</v>
      </c>
      <c r="N14" s="44">
        <v>3.0775500000000001E-2</v>
      </c>
      <c r="O14" s="43" t="s">
        <v>405</v>
      </c>
      <c r="P14" s="43" t="s">
        <v>406</v>
      </c>
      <c r="Q14" s="43">
        <v>7</v>
      </c>
      <c r="R14" s="43">
        <v>40</v>
      </c>
      <c r="S14" s="43" t="s">
        <v>412</v>
      </c>
      <c r="T14" s="43" t="s">
        <v>415</v>
      </c>
      <c r="U14" s="43" t="s">
        <v>416</v>
      </c>
      <c r="V14" s="45">
        <v>7.558414</v>
      </c>
      <c r="W14" s="45">
        <v>0.6</v>
      </c>
      <c r="X14" s="45">
        <v>6.5364525586017005E-2</v>
      </c>
    </row>
    <row r="15" spans="1:24" x14ac:dyDescent="0.2">
      <c r="A15" s="43">
        <v>8</v>
      </c>
      <c r="B15" s="43">
        <v>12</v>
      </c>
      <c r="C15" s="43" t="s">
        <v>464</v>
      </c>
      <c r="D15" s="43" t="s">
        <v>466</v>
      </c>
      <c r="E15" s="43" t="s">
        <v>432</v>
      </c>
      <c r="F15" s="43" t="s">
        <v>468</v>
      </c>
      <c r="G15" s="43">
        <v>22912</v>
      </c>
      <c r="H15" s="43">
        <v>22913</v>
      </c>
      <c r="I15" s="43">
        <v>22878</v>
      </c>
      <c r="J15" s="43">
        <v>5300</v>
      </c>
      <c r="K15" s="43">
        <v>5300</v>
      </c>
      <c r="L15" s="43" t="s">
        <v>372</v>
      </c>
      <c r="M15" s="43" t="s">
        <v>404</v>
      </c>
      <c r="N15" s="44">
        <v>8.2035200000000003E-2</v>
      </c>
      <c r="O15" s="43" t="s">
        <v>405</v>
      </c>
      <c r="P15" s="43" t="s">
        <v>406</v>
      </c>
      <c r="Q15" s="43">
        <v>9</v>
      </c>
      <c r="R15" s="43">
        <v>50</v>
      </c>
      <c r="S15" s="43" t="s">
        <v>438</v>
      </c>
      <c r="T15" s="43" t="s">
        <v>439</v>
      </c>
      <c r="U15" s="43" t="s">
        <v>440</v>
      </c>
      <c r="V15" s="45">
        <v>2.201031</v>
      </c>
      <c r="W15" s="45">
        <v>0.6</v>
      </c>
      <c r="X15" s="45">
        <v>5.0737927139827207E-2</v>
      </c>
    </row>
    <row r="16" spans="1:24" x14ac:dyDescent="0.2">
      <c r="A16" s="43">
        <v>8</v>
      </c>
      <c r="B16" s="43">
        <v>12</v>
      </c>
      <c r="C16" s="43" t="s">
        <v>464</v>
      </c>
      <c r="D16" s="43" t="s">
        <v>466</v>
      </c>
      <c r="E16" s="43" t="s">
        <v>432</v>
      </c>
      <c r="F16" s="43" t="s">
        <v>468</v>
      </c>
      <c r="G16" s="43">
        <v>30199</v>
      </c>
      <c r="H16" s="43">
        <v>30200</v>
      </c>
      <c r="I16" s="43">
        <v>30200</v>
      </c>
      <c r="J16" s="43">
        <v>6210</v>
      </c>
      <c r="K16" s="43">
        <v>6210</v>
      </c>
      <c r="L16" s="43" t="s">
        <v>372</v>
      </c>
      <c r="M16" s="43" t="s">
        <v>404</v>
      </c>
      <c r="N16" s="44">
        <v>1.8861800000000001E-2</v>
      </c>
      <c r="O16" s="43" t="s">
        <v>405</v>
      </c>
      <c r="P16" s="43" t="s">
        <v>406</v>
      </c>
      <c r="Q16" s="43">
        <v>14</v>
      </c>
      <c r="R16" s="43">
        <v>60</v>
      </c>
      <c r="S16" s="43" t="s">
        <v>417</v>
      </c>
      <c r="T16" s="43" t="s">
        <v>418</v>
      </c>
      <c r="U16" s="43" t="s">
        <v>418</v>
      </c>
      <c r="V16" s="45">
        <v>6.3260019999999999</v>
      </c>
      <c r="W16" s="45">
        <v>0.6</v>
      </c>
      <c r="X16" s="45">
        <v>3.3528859451131605E-2</v>
      </c>
    </row>
    <row r="17" spans="1:24" x14ac:dyDescent="0.2">
      <c r="A17" s="43">
        <v>8</v>
      </c>
      <c r="B17" s="43">
        <v>12</v>
      </c>
      <c r="C17" s="43" t="s">
        <v>464</v>
      </c>
      <c r="D17" s="43" t="s">
        <v>466</v>
      </c>
      <c r="E17" s="43" t="s">
        <v>432</v>
      </c>
      <c r="F17" s="43" t="s">
        <v>468</v>
      </c>
      <c r="G17" s="43">
        <v>52766</v>
      </c>
      <c r="H17" s="43">
        <v>52771</v>
      </c>
      <c r="I17" s="43">
        <v>52737</v>
      </c>
      <c r="J17" s="43">
        <v>8140</v>
      </c>
      <c r="K17" s="43">
        <v>8140</v>
      </c>
      <c r="L17" s="43" t="s">
        <v>372</v>
      </c>
      <c r="M17" s="43" t="s">
        <v>404</v>
      </c>
      <c r="N17" s="44">
        <v>10.3195</v>
      </c>
      <c r="O17" s="43" t="s">
        <v>405</v>
      </c>
      <c r="P17" s="43" t="s">
        <v>406</v>
      </c>
      <c r="Q17" s="43">
        <v>18</v>
      </c>
      <c r="R17" s="43">
        <v>10</v>
      </c>
      <c r="S17" s="43" t="s">
        <v>407</v>
      </c>
      <c r="T17" s="43" t="s">
        <v>420</v>
      </c>
      <c r="U17" s="43" t="s">
        <v>421</v>
      </c>
      <c r="V17" s="45">
        <v>3.4929570000000001</v>
      </c>
      <c r="W17" s="45">
        <v>0.6</v>
      </c>
      <c r="X17" s="45">
        <v>10.1288051029815</v>
      </c>
    </row>
    <row r="18" spans="1:24" x14ac:dyDescent="0.2">
      <c r="X18" s="45">
        <f>SUM(X12:X17)</f>
        <v>11.085136601997602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Q1" workbookViewId="0">
      <selection activeCell="W8" sqref="W8:W1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7.425781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5</v>
      </c>
      <c r="B2" s="43">
        <v>9</v>
      </c>
      <c r="C2" s="43" t="s">
        <v>461</v>
      </c>
      <c r="D2" s="43" t="s">
        <v>462</v>
      </c>
      <c r="E2" s="43" t="s">
        <v>457</v>
      </c>
      <c r="F2" s="43" t="s">
        <v>463</v>
      </c>
      <c r="G2" s="43">
        <v>4406</v>
      </c>
      <c r="H2" s="43">
        <v>4407</v>
      </c>
      <c r="I2" s="43">
        <v>4375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5.1813199999999997E-2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>N2*V2*(1-W2)</f>
        <v>1.9957419153145597E-2</v>
      </c>
    </row>
    <row r="3" spans="1:24" x14ac:dyDescent="0.2">
      <c r="A3" s="43">
        <v>5</v>
      </c>
      <c r="B3" s="43">
        <v>9</v>
      </c>
      <c r="C3" s="43" t="s">
        <v>461</v>
      </c>
      <c r="D3" s="43" t="s">
        <v>462</v>
      </c>
      <c r="E3" s="43" t="s">
        <v>457</v>
      </c>
      <c r="F3" s="43" t="s">
        <v>463</v>
      </c>
      <c r="G3" s="43">
        <v>4686</v>
      </c>
      <c r="H3" s="43">
        <v>4687</v>
      </c>
      <c r="I3" s="43">
        <v>4655</v>
      </c>
      <c r="J3" s="43">
        <v>1411</v>
      </c>
      <c r="K3" s="43">
        <v>1411</v>
      </c>
      <c r="L3" s="43" t="s">
        <v>372</v>
      </c>
      <c r="M3" s="43" t="s">
        <v>404</v>
      </c>
      <c r="N3" s="44">
        <v>1.8453299999999999E-2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409</v>
      </c>
      <c r="U3" s="43" t="s">
        <v>408</v>
      </c>
      <c r="V3" s="45">
        <v>1.7750239999999999</v>
      </c>
      <c r="W3" s="45">
        <v>0.78300000000000003</v>
      </c>
      <c r="X3" s="45">
        <f>N3*V3*(1-W3)</f>
        <v>7.1078459322863989E-3</v>
      </c>
    </row>
    <row r="4" spans="1:24" x14ac:dyDescent="0.2">
      <c r="A4" s="43">
        <v>5</v>
      </c>
      <c r="B4" s="43">
        <v>9</v>
      </c>
      <c r="C4" s="43" t="s">
        <v>461</v>
      </c>
      <c r="D4" s="43" t="s">
        <v>462</v>
      </c>
      <c r="E4" s="43" t="s">
        <v>457</v>
      </c>
      <c r="F4" s="43" t="s">
        <v>463</v>
      </c>
      <c r="G4" s="43">
        <v>52766</v>
      </c>
      <c r="H4" s="43">
        <v>52771</v>
      </c>
      <c r="I4" s="43">
        <v>52737</v>
      </c>
      <c r="J4" s="43">
        <v>8140</v>
      </c>
      <c r="K4" s="43">
        <v>8140</v>
      </c>
      <c r="L4" s="43" t="s">
        <v>372</v>
      </c>
      <c r="M4" s="43" t="s">
        <v>404</v>
      </c>
      <c r="N4" s="44">
        <v>2.6592199999999999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0.78300000000000003</v>
      </c>
      <c r="X4" s="45">
        <f>N4*V4*(1-W4)</f>
        <v>0.41376384620367995</v>
      </c>
    </row>
    <row r="5" spans="1:24" x14ac:dyDescent="0.2">
      <c r="N5" s="44">
        <f>SUM(N2:N4)</f>
        <v>2.7294864999999997</v>
      </c>
      <c r="X5" s="45">
        <f>SUM(X2:X4)</f>
        <v>0.44082911128911195</v>
      </c>
    </row>
    <row r="7" spans="1:24" x14ac:dyDescent="0.2">
      <c r="A7" s="43" t="s">
        <v>377</v>
      </c>
      <c r="B7" s="43" t="s">
        <v>378</v>
      </c>
      <c r="C7" s="43" t="s">
        <v>379</v>
      </c>
      <c r="D7" s="43" t="s">
        <v>380</v>
      </c>
      <c r="E7" s="43" t="s">
        <v>381</v>
      </c>
      <c r="F7" s="43" t="s">
        <v>382</v>
      </c>
      <c r="G7" s="43" t="s">
        <v>383</v>
      </c>
      <c r="H7" s="43" t="s">
        <v>384</v>
      </c>
      <c r="I7" s="43" t="s">
        <v>385</v>
      </c>
      <c r="J7" s="43" t="s">
        <v>386</v>
      </c>
      <c r="K7" s="43" t="s">
        <v>387</v>
      </c>
      <c r="L7" s="43" t="s">
        <v>388</v>
      </c>
      <c r="M7" s="43" t="s">
        <v>389</v>
      </c>
      <c r="N7" s="44" t="s">
        <v>391</v>
      </c>
      <c r="O7" s="43" t="s">
        <v>392</v>
      </c>
      <c r="P7" s="43" t="s">
        <v>393</v>
      </c>
      <c r="Q7" s="43" t="s">
        <v>394</v>
      </c>
      <c r="R7" s="43" t="s">
        <v>395</v>
      </c>
      <c r="S7" s="43" t="s">
        <v>396</v>
      </c>
      <c r="T7" s="43" t="s">
        <v>397</v>
      </c>
      <c r="U7" s="43" t="s">
        <v>398</v>
      </c>
      <c r="V7" s="45" t="s">
        <v>589</v>
      </c>
      <c r="W7" s="45" t="s">
        <v>590</v>
      </c>
      <c r="X7" s="45" t="s">
        <v>591</v>
      </c>
    </row>
    <row r="8" spans="1:24" x14ac:dyDescent="0.2">
      <c r="A8" s="43">
        <v>5</v>
      </c>
      <c r="B8" s="43">
        <v>9</v>
      </c>
      <c r="C8" s="43" t="s">
        <v>461</v>
      </c>
      <c r="D8" s="43" t="s">
        <v>462</v>
      </c>
      <c r="E8" s="43" t="s">
        <v>457</v>
      </c>
      <c r="F8" s="43" t="s">
        <v>463</v>
      </c>
      <c r="G8" s="43">
        <v>4406</v>
      </c>
      <c r="H8" s="43">
        <v>4407</v>
      </c>
      <c r="I8" s="43">
        <v>4375</v>
      </c>
      <c r="J8" s="43">
        <v>1400</v>
      </c>
      <c r="K8" s="43">
        <v>1400</v>
      </c>
      <c r="L8" s="43" t="s">
        <v>372</v>
      </c>
      <c r="M8" s="43" t="s">
        <v>404</v>
      </c>
      <c r="N8" s="44">
        <v>5.1813199999999997E-2</v>
      </c>
      <c r="O8" s="43" t="s">
        <v>405</v>
      </c>
      <c r="P8" s="43" t="s">
        <v>406</v>
      </c>
      <c r="Q8" s="43">
        <v>3</v>
      </c>
      <c r="R8" s="43">
        <v>10</v>
      </c>
      <c r="S8" s="43" t="s">
        <v>407</v>
      </c>
      <c r="T8" s="43" t="s">
        <v>408</v>
      </c>
      <c r="U8" s="43" t="s">
        <v>408</v>
      </c>
      <c r="V8" s="45">
        <v>7.8337940000000001</v>
      </c>
      <c r="W8" s="45">
        <v>0.6</v>
      </c>
      <c r="X8" s="45">
        <v>0.1140561958139048</v>
      </c>
    </row>
    <row r="9" spans="1:24" x14ac:dyDescent="0.2">
      <c r="A9" s="43">
        <v>5</v>
      </c>
      <c r="B9" s="43">
        <v>9</v>
      </c>
      <c r="C9" s="43" t="s">
        <v>461</v>
      </c>
      <c r="D9" s="43" t="s">
        <v>462</v>
      </c>
      <c r="E9" s="43" t="s">
        <v>457</v>
      </c>
      <c r="F9" s="43" t="s">
        <v>463</v>
      </c>
      <c r="G9" s="43">
        <v>4686</v>
      </c>
      <c r="H9" s="43">
        <v>4687</v>
      </c>
      <c r="I9" s="43">
        <v>4655</v>
      </c>
      <c r="J9" s="43">
        <v>1411</v>
      </c>
      <c r="K9" s="43">
        <v>1411</v>
      </c>
      <c r="L9" s="43" t="s">
        <v>372</v>
      </c>
      <c r="M9" s="43" t="s">
        <v>404</v>
      </c>
      <c r="N9" s="44">
        <v>1.8453299999999999E-2</v>
      </c>
      <c r="O9" s="43" t="s">
        <v>405</v>
      </c>
      <c r="P9" s="43" t="s">
        <v>406</v>
      </c>
      <c r="Q9" s="43">
        <v>3</v>
      </c>
      <c r="R9" s="43">
        <v>10</v>
      </c>
      <c r="S9" s="43" t="s">
        <v>407</v>
      </c>
      <c r="T9" s="43" t="s">
        <v>409</v>
      </c>
      <c r="U9" s="43" t="s">
        <v>408</v>
      </c>
      <c r="V9" s="45">
        <v>7.8337940000000001</v>
      </c>
      <c r="W9" s="45">
        <v>0.6</v>
      </c>
      <c r="X9" s="45">
        <v>4.0621177580476203E-2</v>
      </c>
    </row>
    <row r="10" spans="1:24" x14ac:dyDescent="0.2">
      <c r="A10" s="43">
        <v>5</v>
      </c>
      <c r="B10" s="43">
        <v>9</v>
      </c>
      <c r="C10" s="43" t="s">
        <v>461</v>
      </c>
      <c r="D10" s="43" t="s">
        <v>462</v>
      </c>
      <c r="E10" s="43" t="s">
        <v>457</v>
      </c>
      <c r="F10" s="43" t="s">
        <v>463</v>
      </c>
      <c r="G10" s="43">
        <v>52766</v>
      </c>
      <c r="H10" s="43">
        <v>52771</v>
      </c>
      <c r="I10" s="43">
        <v>52737</v>
      </c>
      <c r="J10" s="43">
        <v>8140</v>
      </c>
      <c r="K10" s="43">
        <v>8140</v>
      </c>
      <c r="L10" s="43" t="s">
        <v>372</v>
      </c>
      <c r="M10" s="43" t="s">
        <v>404</v>
      </c>
      <c r="N10" s="44">
        <v>2.6592199999999999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3.4929570000000001</v>
      </c>
      <c r="W10" s="45">
        <v>0.6</v>
      </c>
      <c r="X10" s="45">
        <v>2.6100800529047401</v>
      </c>
    </row>
    <row r="11" spans="1:24" x14ac:dyDescent="0.2">
      <c r="X11" s="45">
        <f>SUM(X8:X10)</f>
        <v>2.7647574262991212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opLeftCell="Q1" workbookViewId="0">
      <selection activeCell="W12" sqref="W12:W1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6</v>
      </c>
      <c r="B2" s="43">
        <v>10</v>
      </c>
      <c r="C2" s="43" t="s">
        <v>464</v>
      </c>
      <c r="D2" s="43" t="s">
        <v>462</v>
      </c>
      <c r="E2" s="43" t="s">
        <v>424</v>
      </c>
      <c r="F2" s="43" t="s">
        <v>465</v>
      </c>
      <c r="G2" s="43">
        <v>4391</v>
      </c>
      <c r="H2" s="43">
        <v>4392</v>
      </c>
      <c r="I2" s="43">
        <v>4360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0.62069700000000005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 t="shared" ref="X2:X7" si="0">N2*V2*(1-W2)</f>
        <v>0.23908019956497598</v>
      </c>
    </row>
    <row r="3" spans="1:24" x14ac:dyDescent="0.2">
      <c r="A3" s="43">
        <v>6</v>
      </c>
      <c r="B3" s="43">
        <v>10</v>
      </c>
      <c r="C3" s="43" t="s">
        <v>464</v>
      </c>
      <c r="D3" s="43" t="s">
        <v>462</v>
      </c>
      <c r="E3" s="43" t="s">
        <v>424</v>
      </c>
      <c r="F3" s="43" t="s">
        <v>465</v>
      </c>
      <c r="G3" s="43">
        <v>4398</v>
      </c>
      <c r="H3" s="43">
        <v>4399</v>
      </c>
      <c r="I3" s="43">
        <v>4367</v>
      </c>
      <c r="J3" s="43">
        <v>1400</v>
      </c>
      <c r="K3" s="43">
        <v>1400</v>
      </c>
      <c r="L3" s="43" t="s">
        <v>372</v>
      </c>
      <c r="M3" s="43" t="s">
        <v>404</v>
      </c>
      <c r="N3" s="44">
        <v>2.2941400000000001E-2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 t="shared" si="0"/>
        <v>8.8365732238111991E-3</v>
      </c>
    </row>
    <row r="4" spans="1:24" x14ac:dyDescent="0.2">
      <c r="A4" s="43">
        <v>6</v>
      </c>
      <c r="B4" s="43">
        <v>10</v>
      </c>
      <c r="C4" s="43" t="s">
        <v>464</v>
      </c>
      <c r="D4" s="43" t="s">
        <v>462</v>
      </c>
      <c r="E4" s="43" t="s">
        <v>424</v>
      </c>
      <c r="F4" s="43" t="s">
        <v>465</v>
      </c>
      <c r="G4" s="43">
        <v>4409</v>
      </c>
      <c r="H4" s="43">
        <v>4410</v>
      </c>
      <c r="I4" s="43">
        <v>4378</v>
      </c>
      <c r="J4" s="43">
        <v>1400</v>
      </c>
      <c r="K4" s="43">
        <v>1400</v>
      </c>
      <c r="L4" s="43" t="s">
        <v>372</v>
      </c>
      <c r="M4" s="43" t="s">
        <v>404</v>
      </c>
      <c r="N4" s="44">
        <v>5.2155600000000002E-3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0.78300000000000003</v>
      </c>
      <c r="X4" s="45">
        <f t="shared" si="0"/>
        <v>2.0089304856364797E-3</v>
      </c>
    </row>
    <row r="5" spans="1:24" x14ac:dyDescent="0.2">
      <c r="A5" s="43">
        <v>6</v>
      </c>
      <c r="B5" s="43">
        <v>10</v>
      </c>
      <c r="C5" s="43" t="s">
        <v>464</v>
      </c>
      <c r="D5" s="43" t="s">
        <v>462</v>
      </c>
      <c r="E5" s="43" t="s">
        <v>424</v>
      </c>
      <c r="F5" s="43" t="s">
        <v>465</v>
      </c>
      <c r="G5" s="43">
        <v>6083</v>
      </c>
      <c r="H5" s="43">
        <v>6084</v>
      </c>
      <c r="I5" s="43">
        <v>6029</v>
      </c>
      <c r="J5" s="43">
        <v>1900</v>
      </c>
      <c r="K5" s="43">
        <v>1900</v>
      </c>
      <c r="L5" s="43" t="s">
        <v>372</v>
      </c>
      <c r="M5" s="43" t="s">
        <v>404</v>
      </c>
      <c r="N5" s="44">
        <v>4.6208100000000002E-2</v>
      </c>
      <c r="O5" s="43" t="s">
        <v>405</v>
      </c>
      <c r="P5" s="43" t="s">
        <v>406</v>
      </c>
      <c r="Q5" s="43">
        <v>70</v>
      </c>
      <c r="R5" s="43">
        <v>10</v>
      </c>
      <c r="S5" s="43" t="s">
        <v>407</v>
      </c>
      <c r="T5" s="43" t="s">
        <v>410</v>
      </c>
      <c r="U5" s="43" t="s">
        <v>411</v>
      </c>
      <c r="V5" s="45">
        <v>0.19295699999999999</v>
      </c>
      <c r="W5" s="45">
        <v>0.78300000000000003</v>
      </c>
      <c r="X5" s="45">
        <f t="shared" si="0"/>
        <v>1.9348102683188998E-3</v>
      </c>
    </row>
    <row r="6" spans="1:24" x14ac:dyDescent="0.2">
      <c r="A6" s="43">
        <v>6</v>
      </c>
      <c r="B6" s="43">
        <v>10</v>
      </c>
      <c r="C6" s="43" t="s">
        <v>464</v>
      </c>
      <c r="D6" s="43" t="s">
        <v>462</v>
      </c>
      <c r="E6" s="43" t="s">
        <v>424</v>
      </c>
      <c r="F6" s="43" t="s">
        <v>465</v>
      </c>
      <c r="G6" s="43">
        <v>52766</v>
      </c>
      <c r="H6" s="43">
        <v>52771</v>
      </c>
      <c r="I6" s="43">
        <v>52737</v>
      </c>
      <c r="J6" s="43">
        <v>8140</v>
      </c>
      <c r="K6" s="43">
        <v>8140</v>
      </c>
      <c r="L6" s="43" t="s">
        <v>372</v>
      </c>
      <c r="M6" s="43" t="s">
        <v>404</v>
      </c>
      <c r="N6" s="44">
        <v>9.6390200000000004</v>
      </c>
      <c r="O6" s="43" t="s">
        <v>405</v>
      </c>
      <c r="P6" s="43" t="s">
        <v>406</v>
      </c>
      <c r="Q6" s="43">
        <v>18</v>
      </c>
      <c r="R6" s="43">
        <v>10</v>
      </c>
      <c r="S6" s="43" t="s">
        <v>407</v>
      </c>
      <c r="T6" s="43" t="s">
        <v>420</v>
      </c>
      <c r="U6" s="43" t="s">
        <v>421</v>
      </c>
      <c r="V6" s="45">
        <v>0.717032</v>
      </c>
      <c r="W6" s="45">
        <v>0.78300000000000003</v>
      </c>
      <c r="X6" s="45">
        <f t="shared" si="0"/>
        <v>1.4997924161348799</v>
      </c>
    </row>
    <row r="7" spans="1:24" x14ac:dyDescent="0.2">
      <c r="A7" s="43">
        <v>6</v>
      </c>
      <c r="B7" s="43">
        <v>10</v>
      </c>
      <c r="C7" s="43" t="s">
        <v>464</v>
      </c>
      <c r="D7" s="43" t="s">
        <v>462</v>
      </c>
      <c r="E7" s="43" t="s">
        <v>424</v>
      </c>
      <c r="F7" s="43" t="s">
        <v>465</v>
      </c>
      <c r="G7" s="43">
        <v>52766</v>
      </c>
      <c r="H7" s="43">
        <v>52771</v>
      </c>
      <c r="I7" s="43">
        <v>52737</v>
      </c>
      <c r="J7" s="43">
        <v>8140</v>
      </c>
      <c r="K7" s="43">
        <v>8140</v>
      </c>
      <c r="L7" s="43" t="s">
        <v>372</v>
      </c>
      <c r="M7" s="43" t="s">
        <v>404</v>
      </c>
      <c r="N7" s="44">
        <v>1.8113199999999999E-2</v>
      </c>
      <c r="O7" s="43" t="s">
        <v>405</v>
      </c>
      <c r="P7" s="43" t="s">
        <v>406</v>
      </c>
      <c r="Q7" s="43">
        <v>18</v>
      </c>
      <c r="R7" s="43">
        <v>10</v>
      </c>
      <c r="S7" s="43" t="s">
        <v>407</v>
      </c>
      <c r="T7" s="43" t="s">
        <v>420</v>
      </c>
      <c r="U7" s="43" t="s">
        <v>421</v>
      </c>
      <c r="V7" s="45">
        <v>0.717032</v>
      </c>
      <c r="W7" s="45">
        <v>0.78300000000000003</v>
      </c>
      <c r="X7" s="45">
        <f t="shared" si="0"/>
        <v>2.8183404528607995E-3</v>
      </c>
    </row>
    <row r="8" spans="1:24" x14ac:dyDescent="0.2">
      <c r="N8" s="44">
        <f>SUM(N2:N7)</f>
        <v>10.35219526</v>
      </c>
      <c r="X8" s="45">
        <f>SUM(X2:X7)</f>
        <v>1.7544712701304832</v>
      </c>
    </row>
    <row r="11" spans="1:24" x14ac:dyDescent="0.2">
      <c r="A11" s="43" t="s">
        <v>377</v>
      </c>
      <c r="B11" s="43" t="s">
        <v>378</v>
      </c>
      <c r="C11" s="43" t="s">
        <v>379</v>
      </c>
      <c r="D11" s="43" t="s">
        <v>380</v>
      </c>
      <c r="E11" s="43" t="s">
        <v>381</v>
      </c>
      <c r="F11" s="43" t="s">
        <v>382</v>
      </c>
      <c r="G11" s="43" t="s">
        <v>383</v>
      </c>
      <c r="H11" s="43" t="s">
        <v>384</v>
      </c>
      <c r="I11" s="43" t="s">
        <v>385</v>
      </c>
      <c r="J11" s="43" t="s">
        <v>386</v>
      </c>
      <c r="K11" s="43" t="s">
        <v>387</v>
      </c>
      <c r="L11" s="43" t="s">
        <v>388</v>
      </c>
      <c r="M11" s="43" t="s">
        <v>389</v>
      </c>
      <c r="N11" s="44" t="s">
        <v>391</v>
      </c>
      <c r="O11" s="43" t="s">
        <v>392</v>
      </c>
      <c r="P11" s="43" t="s">
        <v>393</v>
      </c>
      <c r="Q11" s="43" t="s">
        <v>394</v>
      </c>
      <c r="R11" s="43" t="s">
        <v>395</v>
      </c>
      <c r="S11" s="43" t="s">
        <v>396</v>
      </c>
      <c r="T11" s="43" t="s">
        <v>397</v>
      </c>
      <c r="U11" s="43" t="s">
        <v>398</v>
      </c>
      <c r="V11" s="45" t="s">
        <v>589</v>
      </c>
      <c r="W11" s="45" t="s">
        <v>590</v>
      </c>
      <c r="X11" s="45" t="s">
        <v>591</v>
      </c>
    </row>
    <row r="12" spans="1:24" x14ac:dyDescent="0.2">
      <c r="A12" s="43">
        <v>6</v>
      </c>
      <c r="B12" s="43">
        <v>10</v>
      </c>
      <c r="C12" s="43" t="s">
        <v>464</v>
      </c>
      <c r="D12" s="43" t="s">
        <v>462</v>
      </c>
      <c r="E12" s="43" t="s">
        <v>424</v>
      </c>
      <c r="F12" s="43" t="s">
        <v>465</v>
      </c>
      <c r="G12" s="43">
        <v>4391</v>
      </c>
      <c r="H12" s="43">
        <v>4392</v>
      </c>
      <c r="I12" s="43">
        <v>4360</v>
      </c>
      <c r="J12" s="43">
        <v>1400</v>
      </c>
      <c r="K12" s="43">
        <v>1400</v>
      </c>
      <c r="L12" s="43" t="s">
        <v>372</v>
      </c>
      <c r="M12" s="43" t="s">
        <v>404</v>
      </c>
      <c r="N12" s="44">
        <v>0.62069700000000005</v>
      </c>
      <c r="O12" s="43" t="s">
        <v>405</v>
      </c>
      <c r="P12" s="43" t="s">
        <v>406</v>
      </c>
      <c r="Q12" s="43">
        <v>3</v>
      </c>
      <c r="R12" s="43">
        <v>10</v>
      </c>
      <c r="S12" s="43" t="s">
        <v>407</v>
      </c>
      <c r="T12" s="43" t="s">
        <v>408</v>
      </c>
      <c r="U12" s="43" t="s">
        <v>408</v>
      </c>
      <c r="V12" s="45">
        <v>7.8337940000000001</v>
      </c>
      <c r="W12" s="45">
        <v>0.6</v>
      </c>
      <c r="X12" s="45">
        <v>1.3663378940714581</v>
      </c>
    </row>
    <row r="13" spans="1:24" x14ac:dyDescent="0.2">
      <c r="A13" s="43">
        <v>6</v>
      </c>
      <c r="B13" s="43">
        <v>10</v>
      </c>
      <c r="C13" s="43" t="s">
        <v>464</v>
      </c>
      <c r="D13" s="43" t="s">
        <v>462</v>
      </c>
      <c r="E13" s="43" t="s">
        <v>424</v>
      </c>
      <c r="F13" s="43" t="s">
        <v>465</v>
      </c>
      <c r="G13" s="43">
        <v>4398</v>
      </c>
      <c r="H13" s="43">
        <v>4399</v>
      </c>
      <c r="I13" s="43">
        <v>4367</v>
      </c>
      <c r="J13" s="43">
        <v>1400</v>
      </c>
      <c r="K13" s="43">
        <v>1400</v>
      </c>
      <c r="L13" s="43" t="s">
        <v>372</v>
      </c>
      <c r="M13" s="43" t="s">
        <v>404</v>
      </c>
      <c r="N13" s="44">
        <v>2.2941400000000001E-2</v>
      </c>
      <c r="O13" s="43" t="s">
        <v>405</v>
      </c>
      <c r="P13" s="43" t="s">
        <v>406</v>
      </c>
      <c r="Q13" s="43">
        <v>3</v>
      </c>
      <c r="R13" s="43">
        <v>10</v>
      </c>
      <c r="S13" s="43" t="s">
        <v>407</v>
      </c>
      <c r="T13" s="43" t="s">
        <v>408</v>
      </c>
      <c r="U13" s="43" t="s">
        <v>408</v>
      </c>
      <c r="V13" s="45">
        <v>7.8337940000000001</v>
      </c>
      <c r="W13" s="45">
        <v>0.6</v>
      </c>
      <c r="X13" s="45">
        <v>5.0500814669719611E-2</v>
      </c>
    </row>
    <row r="14" spans="1:24" x14ac:dyDescent="0.2">
      <c r="A14" s="43">
        <v>6</v>
      </c>
      <c r="B14" s="43">
        <v>10</v>
      </c>
      <c r="C14" s="43" t="s">
        <v>464</v>
      </c>
      <c r="D14" s="43" t="s">
        <v>462</v>
      </c>
      <c r="E14" s="43" t="s">
        <v>424</v>
      </c>
      <c r="F14" s="43" t="s">
        <v>465</v>
      </c>
      <c r="G14" s="43">
        <v>4409</v>
      </c>
      <c r="H14" s="43">
        <v>4410</v>
      </c>
      <c r="I14" s="43">
        <v>4378</v>
      </c>
      <c r="J14" s="43">
        <v>1400</v>
      </c>
      <c r="K14" s="43">
        <v>1400</v>
      </c>
      <c r="L14" s="43" t="s">
        <v>372</v>
      </c>
      <c r="M14" s="43" t="s">
        <v>404</v>
      </c>
      <c r="N14" s="44">
        <v>5.2155600000000002E-3</v>
      </c>
      <c r="O14" s="43" t="s">
        <v>405</v>
      </c>
      <c r="P14" s="43" t="s">
        <v>406</v>
      </c>
      <c r="Q14" s="43">
        <v>3</v>
      </c>
      <c r="R14" s="43">
        <v>10</v>
      </c>
      <c r="S14" s="43" t="s">
        <v>407</v>
      </c>
      <c r="T14" s="43" t="s">
        <v>408</v>
      </c>
      <c r="U14" s="43" t="s">
        <v>408</v>
      </c>
      <c r="V14" s="45">
        <v>7.8337940000000001</v>
      </c>
      <c r="W14" s="45">
        <v>0.6</v>
      </c>
      <c r="X14" s="45">
        <v>1.1480991960333841E-2</v>
      </c>
    </row>
    <row r="15" spans="1:24" x14ac:dyDescent="0.2">
      <c r="A15" s="43">
        <v>6</v>
      </c>
      <c r="B15" s="43">
        <v>10</v>
      </c>
      <c r="C15" s="43" t="s">
        <v>464</v>
      </c>
      <c r="D15" s="43" t="s">
        <v>462</v>
      </c>
      <c r="E15" s="43" t="s">
        <v>424</v>
      </c>
      <c r="F15" s="43" t="s">
        <v>465</v>
      </c>
      <c r="G15" s="43">
        <v>6083</v>
      </c>
      <c r="H15" s="43">
        <v>6084</v>
      </c>
      <c r="I15" s="43">
        <v>6029</v>
      </c>
      <c r="J15" s="43">
        <v>1900</v>
      </c>
      <c r="K15" s="43">
        <v>1900</v>
      </c>
      <c r="L15" s="43" t="s">
        <v>372</v>
      </c>
      <c r="M15" s="43" t="s">
        <v>404</v>
      </c>
      <c r="N15" s="44">
        <v>4.6208100000000002E-2</v>
      </c>
      <c r="O15" s="43" t="s">
        <v>405</v>
      </c>
      <c r="P15" s="43" t="s">
        <v>406</v>
      </c>
      <c r="Q15" s="43">
        <v>70</v>
      </c>
      <c r="R15" s="43">
        <v>10</v>
      </c>
      <c r="S15" s="43" t="s">
        <v>407</v>
      </c>
      <c r="T15" s="43" t="s">
        <v>410</v>
      </c>
      <c r="U15" s="43" t="s">
        <v>411</v>
      </c>
      <c r="V15" s="45">
        <v>1.1817740000000001</v>
      </c>
      <c r="W15" s="45">
        <v>0.6</v>
      </c>
      <c r="X15" s="45">
        <v>1.5344716258601404E-2</v>
      </c>
    </row>
    <row r="16" spans="1:24" x14ac:dyDescent="0.2">
      <c r="A16" s="43">
        <v>6</v>
      </c>
      <c r="B16" s="43">
        <v>10</v>
      </c>
      <c r="C16" s="43" t="s">
        <v>464</v>
      </c>
      <c r="D16" s="43" t="s">
        <v>462</v>
      </c>
      <c r="E16" s="43" t="s">
        <v>424</v>
      </c>
      <c r="F16" s="43" t="s">
        <v>465</v>
      </c>
      <c r="G16" s="43">
        <v>52766</v>
      </c>
      <c r="H16" s="43">
        <v>52771</v>
      </c>
      <c r="I16" s="43">
        <v>52737</v>
      </c>
      <c r="J16" s="43">
        <v>8140</v>
      </c>
      <c r="K16" s="43">
        <v>8140</v>
      </c>
      <c r="L16" s="43" t="s">
        <v>372</v>
      </c>
      <c r="M16" s="43" t="s">
        <v>404</v>
      </c>
      <c r="N16" s="44">
        <v>9.6390200000000004</v>
      </c>
      <c r="O16" s="43" t="s">
        <v>405</v>
      </c>
      <c r="P16" s="43" t="s">
        <v>406</v>
      </c>
      <c r="Q16" s="43">
        <v>18</v>
      </c>
      <c r="R16" s="43">
        <v>10</v>
      </c>
      <c r="S16" s="43" t="s">
        <v>407</v>
      </c>
      <c r="T16" s="43" t="s">
        <v>420</v>
      </c>
      <c r="U16" s="43" t="s">
        <v>421</v>
      </c>
      <c r="V16" s="45">
        <v>3.4929570000000001</v>
      </c>
      <c r="W16" s="45">
        <v>0.6</v>
      </c>
      <c r="X16" s="45">
        <v>9.4608997493813423</v>
      </c>
    </row>
    <row r="17" spans="1:24" x14ac:dyDescent="0.2">
      <c r="A17" s="43">
        <v>6</v>
      </c>
      <c r="B17" s="43">
        <v>10</v>
      </c>
      <c r="C17" s="43" t="s">
        <v>464</v>
      </c>
      <c r="D17" s="43" t="s">
        <v>462</v>
      </c>
      <c r="E17" s="43" t="s">
        <v>424</v>
      </c>
      <c r="F17" s="43" t="s">
        <v>465</v>
      </c>
      <c r="G17" s="43">
        <v>52766</v>
      </c>
      <c r="H17" s="43">
        <v>52771</v>
      </c>
      <c r="I17" s="43">
        <v>52737</v>
      </c>
      <c r="J17" s="43">
        <v>8140</v>
      </c>
      <c r="K17" s="43">
        <v>8140</v>
      </c>
      <c r="L17" s="43" t="s">
        <v>372</v>
      </c>
      <c r="M17" s="43" t="s">
        <v>404</v>
      </c>
      <c r="N17" s="44">
        <v>1.8113199999999999E-2</v>
      </c>
      <c r="O17" s="43" t="s">
        <v>405</v>
      </c>
      <c r="P17" s="43" t="s">
        <v>406</v>
      </c>
      <c r="Q17" s="43">
        <v>18</v>
      </c>
      <c r="R17" s="43">
        <v>10</v>
      </c>
      <c r="S17" s="43" t="s">
        <v>407</v>
      </c>
      <c r="T17" s="43" t="s">
        <v>420</v>
      </c>
      <c r="U17" s="43" t="s">
        <v>421</v>
      </c>
      <c r="V17" s="45">
        <v>3.4929570000000001</v>
      </c>
      <c r="W17" s="45">
        <v>0.6</v>
      </c>
      <c r="X17" s="45">
        <v>1.7778484673804402E-2</v>
      </c>
    </row>
    <row r="18" spans="1:24" x14ac:dyDescent="0.2">
      <c r="X18" s="45">
        <f>SUM(X12:X17)</f>
        <v>10.92234265101526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opLeftCell="C1" workbookViewId="0">
      <selection activeCell="S2" sqref="S2:S9"/>
    </sheetView>
  </sheetViews>
  <sheetFormatPr defaultRowHeight="12.75" x14ac:dyDescent="0.2"/>
  <cols>
    <col min="1" max="1" width="11.85546875" style="43" bestFit="1" customWidth="1"/>
    <col min="2" max="2" width="9.85546875" style="43" bestFit="1" customWidth="1"/>
    <col min="3" max="3" width="13.42578125" style="43" bestFit="1" customWidth="1"/>
    <col min="4" max="4" width="8.5703125" style="43" bestFit="1" customWidth="1"/>
    <col min="5" max="5" width="15.85546875" style="43" bestFit="1" customWidth="1"/>
    <col min="6" max="6" width="16.140625" style="43" bestFit="1" customWidth="1"/>
    <col min="7" max="7" width="14.7109375" style="44" bestFit="1" customWidth="1"/>
    <col min="8" max="8" width="13.7109375" style="44" customWidth="1"/>
    <col min="9" max="9" width="12" style="43" bestFit="1" customWidth="1"/>
    <col min="10" max="10" width="17.5703125" style="43" bestFit="1" customWidth="1"/>
    <col min="11" max="11" width="10.7109375" style="43" bestFit="1" customWidth="1"/>
    <col min="12" max="12" width="10.5703125" style="43" bestFit="1" customWidth="1"/>
    <col min="13" max="13" width="12.85546875" style="43" bestFit="1" customWidth="1"/>
    <col min="14" max="14" width="37.7109375" style="43" bestFit="1" customWidth="1"/>
    <col min="15" max="15" width="24.5703125" style="43" bestFit="1" customWidth="1"/>
    <col min="16" max="16" width="8.5703125" style="45" bestFit="1" customWidth="1"/>
    <col min="17" max="17" width="9.5703125" style="45" bestFit="1" customWidth="1"/>
    <col min="18" max="19" width="9.7109375" style="45" bestFit="1" customWidth="1"/>
    <col min="20" max="20" width="8.5703125" style="45" bestFit="1" customWidth="1"/>
    <col min="21" max="21" width="10.5703125" style="45" bestFit="1" customWidth="1"/>
  </cols>
  <sheetData>
    <row r="1" spans="1:21" x14ac:dyDescent="0.2">
      <c r="A1" s="43" t="s">
        <v>384</v>
      </c>
      <c r="B1" s="43" t="s">
        <v>378</v>
      </c>
      <c r="C1" s="43" t="s">
        <v>386</v>
      </c>
      <c r="D1" s="43" t="s">
        <v>387</v>
      </c>
      <c r="E1" s="43" t="s">
        <v>388</v>
      </c>
      <c r="F1" s="43" t="s">
        <v>389</v>
      </c>
      <c r="G1" s="44" t="s">
        <v>390</v>
      </c>
      <c r="H1" s="44" t="s">
        <v>391</v>
      </c>
      <c r="I1" s="43" t="s">
        <v>392</v>
      </c>
      <c r="J1" s="43" t="s">
        <v>393</v>
      </c>
      <c r="K1" s="43" t="s">
        <v>394</v>
      </c>
      <c r="L1" s="43" t="s">
        <v>395</v>
      </c>
      <c r="M1" s="43" t="s">
        <v>396</v>
      </c>
      <c r="N1" s="43" t="s">
        <v>397</v>
      </c>
      <c r="O1" s="43" t="s">
        <v>398</v>
      </c>
      <c r="P1" s="45" t="s">
        <v>399</v>
      </c>
      <c r="Q1" s="45" t="s">
        <v>589</v>
      </c>
      <c r="R1" s="45" t="s">
        <v>400</v>
      </c>
      <c r="S1" s="45" t="s">
        <v>590</v>
      </c>
      <c r="T1" s="45" t="s">
        <v>401</v>
      </c>
      <c r="U1" s="45" t="s">
        <v>591</v>
      </c>
    </row>
    <row r="2" spans="1:21" x14ac:dyDescent="0.2">
      <c r="A2" s="43">
        <v>2948</v>
      </c>
      <c r="B2" s="43">
        <v>2876</v>
      </c>
      <c r="C2" s="43">
        <v>1210</v>
      </c>
      <c r="D2" s="43">
        <v>1210</v>
      </c>
      <c r="E2" s="43" t="s">
        <v>372</v>
      </c>
      <c r="F2" s="43" t="s">
        <v>404</v>
      </c>
      <c r="G2" s="44">
        <v>0.76192201488099998</v>
      </c>
      <c r="H2" s="44">
        <v>0.30833899999999997</v>
      </c>
      <c r="I2" s="43" t="s">
        <v>405</v>
      </c>
      <c r="J2" s="43" t="s">
        <v>406</v>
      </c>
      <c r="K2" s="43">
        <v>19</v>
      </c>
      <c r="L2" s="43">
        <v>10</v>
      </c>
      <c r="M2" s="43" t="s">
        <v>407</v>
      </c>
      <c r="N2" s="43" t="s">
        <v>436</v>
      </c>
      <c r="O2" s="43" t="s">
        <v>437</v>
      </c>
      <c r="P2" s="45">
        <v>0.60924900000000004</v>
      </c>
      <c r="Q2" s="45">
        <v>23.305396999999999</v>
      </c>
      <c r="R2" s="45">
        <v>0.78300000000000003</v>
      </c>
      <c r="S2" s="45">
        <v>0.6</v>
      </c>
      <c r="T2" s="45">
        <f>H2*P2*(1-R2)</f>
        <v>4.0764584348186993E-2</v>
      </c>
      <c r="U2" s="45">
        <f>H2*Q2*(1-S2)</f>
        <v>2.8743851222331998</v>
      </c>
    </row>
    <row r="3" spans="1:21" x14ac:dyDescent="0.2">
      <c r="A3" s="43">
        <v>3516</v>
      </c>
      <c r="B3" s="43">
        <v>3453</v>
      </c>
      <c r="C3" s="43">
        <v>1320</v>
      </c>
      <c r="D3" s="43">
        <v>1320</v>
      </c>
      <c r="E3" s="43" t="s">
        <v>372</v>
      </c>
      <c r="F3" s="43" t="s">
        <v>404</v>
      </c>
      <c r="G3" s="44">
        <v>0.72304055823400004</v>
      </c>
      <c r="H3" s="44">
        <v>0.29260399999999998</v>
      </c>
      <c r="I3" s="43" t="s">
        <v>405</v>
      </c>
      <c r="J3" s="43" t="s">
        <v>406</v>
      </c>
      <c r="K3" s="43">
        <v>20</v>
      </c>
      <c r="L3" s="43">
        <v>10</v>
      </c>
      <c r="M3" s="43" t="s">
        <v>407</v>
      </c>
      <c r="N3" s="43" t="s">
        <v>429</v>
      </c>
      <c r="O3" s="43" t="s">
        <v>428</v>
      </c>
      <c r="P3" s="45">
        <v>0.81160900000000002</v>
      </c>
      <c r="Q3" s="45">
        <v>4.5321179999999996</v>
      </c>
      <c r="R3" s="45">
        <v>0.78300000000000003</v>
      </c>
      <c r="S3" s="45">
        <v>0.6</v>
      </c>
      <c r="T3" s="45">
        <f t="shared" ref="T3:T9" si="0">H3*P3*(1-R3)</f>
        <v>5.1533168644411993E-2</v>
      </c>
      <c r="U3" s="45">
        <f t="shared" ref="U3:U9" si="1">H3*Q3*(1-S3)</f>
        <v>0.53044634210879993</v>
      </c>
    </row>
    <row r="4" spans="1:21" x14ac:dyDescent="0.2">
      <c r="A4" s="43">
        <v>4322</v>
      </c>
      <c r="B4" s="43">
        <v>4290</v>
      </c>
      <c r="C4" s="43">
        <v>1400</v>
      </c>
      <c r="D4" s="43">
        <v>1400</v>
      </c>
      <c r="E4" s="43" t="s">
        <v>372</v>
      </c>
      <c r="F4" s="43" t="s">
        <v>404</v>
      </c>
      <c r="G4" s="44">
        <v>0.53453228345299997</v>
      </c>
      <c r="H4" s="44">
        <v>0.21631800000000001</v>
      </c>
      <c r="I4" s="43" t="s">
        <v>405</v>
      </c>
      <c r="J4" s="43" t="s">
        <v>406</v>
      </c>
      <c r="K4" s="43">
        <v>3</v>
      </c>
      <c r="L4" s="43">
        <v>10</v>
      </c>
      <c r="M4" s="43" t="s">
        <v>407</v>
      </c>
      <c r="N4" s="43" t="s">
        <v>408</v>
      </c>
      <c r="O4" s="43" t="s">
        <v>408</v>
      </c>
      <c r="P4" s="45">
        <v>1.7750239999999999</v>
      </c>
      <c r="Q4" s="45">
        <v>7.8337940000000001</v>
      </c>
      <c r="R4" s="45">
        <v>0.78300000000000003</v>
      </c>
      <c r="S4" s="45">
        <v>0.6</v>
      </c>
      <c r="T4" s="45">
        <f t="shared" si="0"/>
        <v>8.3321412234143979E-2</v>
      </c>
      <c r="U4" s="45">
        <f t="shared" si="1"/>
        <v>0.6778362601968001</v>
      </c>
    </row>
    <row r="5" spans="1:21" x14ac:dyDescent="0.2">
      <c r="A5" s="43">
        <v>4327</v>
      </c>
      <c r="B5" s="43">
        <v>4295</v>
      </c>
      <c r="C5" s="43">
        <v>1400</v>
      </c>
      <c r="D5" s="43">
        <v>1400</v>
      </c>
      <c r="E5" s="43" t="s">
        <v>372</v>
      </c>
      <c r="F5" s="43" t="s">
        <v>404</v>
      </c>
      <c r="G5" s="44">
        <v>2.0977857628500001</v>
      </c>
      <c r="H5" s="44">
        <v>0.84894400000000003</v>
      </c>
      <c r="I5" s="43" t="s">
        <v>405</v>
      </c>
      <c r="J5" s="43" t="s">
        <v>406</v>
      </c>
      <c r="K5" s="43">
        <v>3</v>
      </c>
      <c r="L5" s="43">
        <v>10</v>
      </c>
      <c r="M5" s="43" t="s">
        <v>407</v>
      </c>
      <c r="N5" s="43" t="s">
        <v>408</v>
      </c>
      <c r="O5" s="43" t="s">
        <v>408</v>
      </c>
      <c r="P5" s="45">
        <v>1.7750239999999999</v>
      </c>
      <c r="Q5" s="45">
        <v>7.8337940000000001</v>
      </c>
      <c r="R5" s="45">
        <v>0.78300000000000003</v>
      </c>
      <c r="S5" s="45">
        <v>0.6</v>
      </c>
      <c r="T5" s="45">
        <f t="shared" si="0"/>
        <v>0.32699642650035193</v>
      </c>
      <c r="U5" s="45">
        <f t="shared" si="1"/>
        <v>2.6601809654144004</v>
      </c>
    </row>
    <row r="6" spans="1:21" x14ac:dyDescent="0.2">
      <c r="A6" s="43">
        <v>4657</v>
      </c>
      <c r="B6" s="43">
        <v>4625</v>
      </c>
      <c r="C6" s="43">
        <v>1411</v>
      </c>
      <c r="D6" s="43">
        <v>1411</v>
      </c>
      <c r="E6" s="43" t="s">
        <v>372</v>
      </c>
      <c r="F6" s="43" t="s">
        <v>404</v>
      </c>
      <c r="G6" s="44">
        <v>0.33791027860799999</v>
      </c>
      <c r="H6" s="44">
        <v>0.13674700000000001</v>
      </c>
      <c r="I6" s="43" t="s">
        <v>405</v>
      </c>
      <c r="J6" s="43" t="s">
        <v>406</v>
      </c>
      <c r="K6" s="43">
        <v>3</v>
      </c>
      <c r="L6" s="43">
        <v>10</v>
      </c>
      <c r="M6" s="43" t="s">
        <v>407</v>
      </c>
      <c r="N6" s="43" t="s">
        <v>409</v>
      </c>
      <c r="O6" s="43" t="s">
        <v>408</v>
      </c>
      <c r="P6" s="45">
        <v>1.7750239999999999</v>
      </c>
      <c r="Q6" s="45">
        <v>7.8337940000000001</v>
      </c>
      <c r="R6" s="45">
        <v>0.78300000000000003</v>
      </c>
      <c r="S6" s="45">
        <v>0.6</v>
      </c>
      <c r="T6" s="45">
        <f t="shared" si="0"/>
        <v>5.2672237903375996E-2</v>
      </c>
      <c r="U6" s="45">
        <f t="shared" si="1"/>
        <v>0.42849913124720002</v>
      </c>
    </row>
    <row r="7" spans="1:21" x14ac:dyDescent="0.2">
      <c r="A7" s="43">
        <v>4661</v>
      </c>
      <c r="B7" s="43">
        <v>4629</v>
      </c>
      <c r="C7" s="43">
        <v>1411</v>
      </c>
      <c r="D7" s="43">
        <v>1411</v>
      </c>
      <c r="E7" s="43" t="s">
        <v>372</v>
      </c>
      <c r="F7" s="43" t="s">
        <v>404</v>
      </c>
      <c r="G7" s="44">
        <v>0.32539079705700003</v>
      </c>
      <c r="H7" s="44">
        <v>0.13168099999999999</v>
      </c>
      <c r="I7" s="43" t="s">
        <v>405</v>
      </c>
      <c r="J7" s="43" t="s">
        <v>406</v>
      </c>
      <c r="K7" s="43">
        <v>3</v>
      </c>
      <c r="L7" s="43">
        <v>10</v>
      </c>
      <c r="M7" s="43" t="s">
        <v>407</v>
      </c>
      <c r="N7" s="43" t="s">
        <v>409</v>
      </c>
      <c r="O7" s="43" t="s">
        <v>408</v>
      </c>
      <c r="P7" s="45">
        <v>1.7750239999999999</v>
      </c>
      <c r="Q7" s="45">
        <v>7.8337940000000001</v>
      </c>
      <c r="R7" s="45">
        <v>0.78300000000000003</v>
      </c>
      <c r="S7" s="45">
        <v>0.6</v>
      </c>
      <c r="T7" s="45">
        <f t="shared" si="0"/>
        <v>5.0720914969647986E-2</v>
      </c>
      <c r="U7" s="45">
        <f t="shared" si="1"/>
        <v>0.41262473108559999</v>
      </c>
    </row>
    <row r="8" spans="1:21" x14ac:dyDescent="0.2">
      <c r="A8" s="43">
        <v>6036</v>
      </c>
      <c r="B8" s="43">
        <v>5970</v>
      </c>
      <c r="C8" s="43">
        <v>1900</v>
      </c>
      <c r="D8" s="43">
        <v>1900</v>
      </c>
      <c r="E8" s="43" t="s">
        <v>372</v>
      </c>
      <c r="F8" s="43" t="s">
        <v>404</v>
      </c>
      <c r="G8" s="44">
        <v>2.6003320520500002</v>
      </c>
      <c r="H8" s="44">
        <v>1.0523199999999999</v>
      </c>
      <c r="I8" s="43" t="s">
        <v>405</v>
      </c>
      <c r="J8" s="43" t="s">
        <v>406</v>
      </c>
      <c r="K8" s="43">
        <v>70</v>
      </c>
      <c r="L8" s="43">
        <v>10</v>
      </c>
      <c r="M8" s="43" t="s">
        <v>407</v>
      </c>
      <c r="N8" s="43" t="s">
        <v>410</v>
      </c>
      <c r="O8" s="43" t="s">
        <v>411</v>
      </c>
      <c r="P8" s="45">
        <v>0.19295699999999999</v>
      </c>
      <c r="Q8" s="45">
        <v>1.1817740000000001</v>
      </c>
      <c r="R8" s="45">
        <v>0.78300000000000003</v>
      </c>
      <c r="S8" s="45">
        <v>0.6</v>
      </c>
      <c r="T8" s="45">
        <f t="shared" si="0"/>
        <v>4.4062394722079991E-2</v>
      </c>
      <c r="U8" s="45">
        <f t="shared" si="1"/>
        <v>0.49744176627199999</v>
      </c>
    </row>
    <row r="9" spans="1:21" x14ac:dyDescent="0.2">
      <c r="A9" s="43">
        <v>52770</v>
      </c>
      <c r="B9" s="43">
        <v>52736</v>
      </c>
      <c r="C9" s="43">
        <v>8140</v>
      </c>
      <c r="D9" s="43">
        <v>8140</v>
      </c>
      <c r="E9" s="43" t="s">
        <v>372</v>
      </c>
      <c r="F9" s="43" t="s">
        <v>404</v>
      </c>
      <c r="G9" s="44">
        <v>9.0265408778600005</v>
      </c>
      <c r="H9" s="44">
        <v>3.6529099999999999</v>
      </c>
      <c r="I9" s="43" t="s">
        <v>405</v>
      </c>
      <c r="J9" s="43" t="s">
        <v>406</v>
      </c>
      <c r="K9" s="43">
        <v>18</v>
      </c>
      <c r="L9" s="43">
        <v>10</v>
      </c>
      <c r="M9" s="43" t="s">
        <v>407</v>
      </c>
      <c r="N9" s="43" t="s">
        <v>420</v>
      </c>
      <c r="O9" s="43" t="s">
        <v>421</v>
      </c>
      <c r="P9" s="45">
        <v>0.717032</v>
      </c>
      <c r="Q9" s="45">
        <v>3.4929570000000001</v>
      </c>
      <c r="R9" s="45">
        <v>0.78300000000000003</v>
      </c>
      <c r="S9" s="45">
        <v>0.6</v>
      </c>
      <c r="T9" s="45">
        <f t="shared" si="0"/>
        <v>0.56837797979703986</v>
      </c>
      <c r="U9" s="45">
        <f t="shared" si="1"/>
        <v>5.1037830219480007</v>
      </c>
    </row>
    <row r="10" spans="1:21" x14ac:dyDescent="0.2">
      <c r="G10" s="44">
        <f>SUM(G2:G9)</f>
        <v>16.407454624993001</v>
      </c>
      <c r="T10" s="45">
        <f>SUM(T2:T9)</f>
        <v>1.2184491191192386</v>
      </c>
      <c r="U10" s="45">
        <f>SUM(U2:U9)</f>
        <v>13.185197340506001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S1" workbookViewId="0">
      <selection activeCell="W8" sqref="W8:W1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8554687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1.710937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9</v>
      </c>
      <c r="B2" s="43">
        <v>13</v>
      </c>
      <c r="C2" s="43" t="s">
        <v>469</v>
      </c>
      <c r="D2" s="43" t="s">
        <v>470</v>
      </c>
      <c r="E2" s="43" t="s">
        <v>457</v>
      </c>
      <c r="F2" s="43" t="s">
        <v>471</v>
      </c>
      <c r="G2" s="43">
        <v>19098</v>
      </c>
      <c r="H2" s="43">
        <v>19099</v>
      </c>
      <c r="I2" s="43">
        <v>19028</v>
      </c>
      <c r="J2" s="43">
        <v>4340</v>
      </c>
      <c r="K2" s="43">
        <v>4340</v>
      </c>
      <c r="L2" s="43" t="s">
        <v>372</v>
      </c>
      <c r="M2" s="43" t="s">
        <v>472</v>
      </c>
      <c r="N2" s="44">
        <v>0.104646</v>
      </c>
      <c r="O2" s="43" t="s">
        <v>405</v>
      </c>
      <c r="P2" s="43" t="s">
        <v>406</v>
      </c>
      <c r="Q2" s="43">
        <v>7</v>
      </c>
      <c r="R2" s="43">
        <v>40</v>
      </c>
      <c r="S2" s="43" t="s">
        <v>412</v>
      </c>
      <c r="T2" s="43" t="s">
        <v>415</v>
      </c>
      <c r="U2" s="43" t="s">
        <v>416</v>
      </c>
      <c r="V2" s="45">
        <v>0.115981</v>
      </c>
      <c r="W2" s="45">
        <v>0.78300000000000003</v>
      </c>
      <c r="X2" s="45">
        <f>N2*V2*(1-W2)</f>
        <v>2.6337176565419998E-3</v>
      </c>
    </row>
    <row r="3" spans="1:24" x14ac:dyDescent="0.2">
      <c r="A3" s="43">
        <v>9</v>
      </c>
      <c r="B3" s="43">
        <v>13</v>
      </c>
      <c r="C3" s="43" t="s">
        <v>469</v>
      </c>
      <c r="D3" s="43" t="s">
        <v>470</v>
      </c>
      <c r="E3" s="43" t="s">
        <v>457</v>
      </c>
      <c r="F3" s="43" t="s">
        <v>471</v>
      </c>
      <c r="G3" s="43">
        <v>33561</v>
      </c>
      <c r="H3" s="43">
        <v>33562</v>
      </c>
      <c r="I3" s="43">
        <v>33490</v>
      </c>
      <c r="J3" s="43">
        <v>6300</v>
      </c>
      <c r="K3" s="43">
        <v>6300</v>
      </c>
      <c r="L3" s="43" t="s">
        <v>372</v>
      </c>
      <c r="M3" s="43" t="s">
        <v>472</v>
      </c>
      <c r="N3" s="44">
        <v>4.6513199999999998E-2</v>
      </c>
      <c r="O3" s="43" t="s">
        <v>405</v>
      </c>
      <c r="P3" s="43" t="s">
        <v>406</v>
      </c>
      <c r="Q3" s="43">
        <v>15</v>
      </c>
      <c r="R3" s="43">
        <v>60</v>
      </c>
      <c r="S3" s="43" t="s">
        <v>417</v>
      </c>
      <c r="T3" s="43" t="s">
        <v>419</v>
      </c>
      <c r="U3" s="43" t="s">
        <v>419</v>
      </c>
      <c r="V3" s="45">
        <v>0.75712800000000002</v>
      </c>
      <c r="W3" s="45">
        <v>0.78300000000000003</v>
      </c>
      <c r="X3" s="45">
        <f>N3*V3*(1-W3)</f>
        <v>7.641968801443199E-3</v>
      </c>
    </row>
    <row r="4" spans="1:24" x14ac:dyDescent="0.2">
      <c r="A4" s="43">
        <v>9</v>
      </c>
      <c r="B4" s="43">
        <v>13</v>
      </c>
      <c r="C4" s="43" t="s">
        <v>469</v>
      </c>
      <c r="D4" s="43" t="s">
        <v>470</v>
      </c>
      <c r="E4" s="43" t="s">
        <v>457</v>
      </c>
      <c r="F4" s="43" t="s">
        <v>471</v>
      </c>
      <c r="G4" s="43">
        <v>52723</v>
      </c>
      <c r="H4" s="43">
        <v>52728</v>
      </c>
      <c r="I4" s="43">
        <v>52694</v>
      </c>
      <c r="J4" s="43">
        <v>8140</v>
      </c>
      <c r="K4" s="43">
        <v>8140</v>
      </c>
      <c r="L4" s="43" t="s">
        <v>372</v>
      </c>
      <c r="M4" s="43" t="s">
        <v>472</v>
      </c>
      <c r="N4" s="44">
        <v>5.4452600000000002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0.78300000000000003</v>
      </c>
      <c r="X4" s="45">
        <f>N4*V4*(1-W4)</f>
        <v>0.84726037002543986</v>
      </c>
    </row>
    <row r="5" spans="1:24" x14ac:dyDescent="0.2">
      <c r="N5" s="44">
        <f>SUM(N2:N4)</f>
        <v>5.5964192000000006</v>
      </c>
      <c r="X5" s="45">
        <f>SUM(X2:X4)</f>
        <v>0.85753605648342501</v>
      </c>
    </row>
    <row r="7" spans="1:24" x14ac:dyDescent="0.2">
      <c r="A7" s="43" t="s">
        <v>377</v>
      </c>
      <c r="B7" s="43" t="s">
        <v>378</v>
      </c>
      <c r="C7" s="43" t="s">
        <v>379</v>
      </c>
      <c r="D7" s="43" t="s">
        <v>380</v>
      </c>
      <c r="E7" s="43" t="s">
        <v>381</v>
      </c>
      <c r="F7" s="43" t="s">
        <v>382</v>
      </c>
      <c r="G7" s="43" t="s">
        <v>383</v>
      </c>
      <c r="H7" s="43" t="s">
        <v>384</v>
      </c>
      <c r="I7" s="43" t="s">
        <v>385</v>
      </c>
      <c r="J7" s="43" t="s">
        <v>386</v>
      </c>
      <c r="K7" s="43" t="s">
        <v>387</v>
      </c>
      <c r="L7" s="43" t="s">
        <v>388</v>
      </c>
      <c r="M7" s="43" t="s">
        <v>389</v>
      </c>
      <c r="N7" s="44" t="s">
        <v>391</v>
      </c>
      <c r="O7" s="43" t="s">
        <v>392</v>
      </c>
      <c r="P7" s="43" t="s">
        <v>393</v>
      </c>
      <c r="Q7" s="43" t="s">
        <v>394</v>
      </c>
      <c r="R7" s="43" t="s">
        <v>395</v>
      </c>
      <c r="S7" s="43" t="s">
        <v>396</v>
      </c>
      <c r="T7" s="43" t="s">
        <v>397</v>
      </c>
      <c r="U7" s="43" t="s">
        <v>398</v>
      </c>
      <c r="V7" s="45" t="s">
        <v>589</v>
      </c>
      <c r="W7" s="45" t="s">
        <v>590</v>
      </c>
      <c r="X7" s="45" t="s">
        <v>591</v>
      </c>
    </row>
    <row r="8" spans="1:24" x14ac:dyDescent="0.2">
      <c r="A8" s="43">
        <v>9</v>
      </c>
      <c r="B8" s="43">
        <v>13</v>
      </c>
      <c r="C8" s="43" t="s">
        <v>469</v>
      </c>
      <c r="D8" s="43" t="s">
        <v>470</v>
      </c>
      <c r="E8" s="43" t="s">
        <v>457</v>
      </c>
      <c r="F8" s="43" t="s">
        <v>471</v>
      </c>
      <c r="G8" s="43">
        <v>19098</v>
      </c>
      <c r="H8" s="43">
        <v>19099</v>
      </c>
      <c r="I8" s="43">
        <v>19028</v>
      </c>
      <c r="J8" s="43">
        <v>4340</v>
      </c>
      <c r="K8" s="43">
        <v>4340</v>
      </c>
      <c r="L8" s="43" t="s">
        <v>372</v>
      </c>
      <c r="M8" s="43" t="s">
        <v>472</v>
      </c>
      <c r="N8" s="44">
        <v>0.104646</v>
      </c>
      <c r="O8" s="43" t="s">
        <v>405</v>
      </c>
      <c r="P8" s="43" t="s">
        <v>406</v>
      </c>
      <c r="Q8" s="43">
        <v>7</v>
      </c>
      <c r="R8" s="43">
        <v>40</v>
      </c>
      <c r="S8" s="43" t="s">
        <v>412</v>
      </c>
      <c r="T8" s="43" t="s">
        <v>415</v>
      </c>
      <c r="U8" s="43" t="s">
        <v>416</v>
      </c>
      <c r="V8" s="45">
        <v>7.558414</v>
      </c>
      <c r="W8" s="45">
        <v>0.6</v>
      </c>
      <c r="X8" s="45">
        <f>N8*V8*(1-W8)</f>
        <v>0.31638311657760004</v>
      </c>
    </row>
    <row r="9" spans="1:24" x14ac:dyDescent="0.2">
      <c r="A9" s="43">
        <v>9</v>
      </c>
      <c r="B9" s="43">
        <v>13</v>
      </c>
      <c r="C9" s="43" t="s">
        <v>469</v>
      </c>
      <c r="D9" s="43" t="s">
        <v>470</v>
      </c>
      <c r="E9" s="43" t="s">
        <v>457</v>
      </c>
      <c r="F9" s="43" t="s">
        <v>471</v>
      </c>
      <c r="G9" s="43">
        <v>33561</v>
      </c>
      <c r="H9" s="43">
        <v>33562</v>
      </c>
      <c r="I9" s="43">
        <v>33490</v>
      </c>
      <c r="J9" s="43">
        <v>6300</v>
      </c>
      <c r="K9" s="43">
        <v>6300</v>
      </c>
      <c r="L9" s="43" t="s">
        <v>372</v>
      </c>
      <c r="M9" s="43" t="s">
        <v>472</v>
      </c>
      <c r="N9" s="44">
        <v>4.6513199999999998E-2</v>
      </c>
      <c r="O9" s="43" t="s">
        <v>405</v>
      </c>
      <c r="P9" s="43" t="s">
        <v>406</v>
      </c>
      <c r="Q9" s="43">
        <v>15</v>
      </c>
      <c r="R9" s="43">
        <v>60</v>
      </c>
      <c r="S9" s="43" t="s">
        <v>417</v>
      </c>
      <c r="T9" s="43" t="s">
        <v>419</v>
      </c>
      <c r="U9" s="43" t="s">
        <v>419</v>
      </c>
      <c r="V9" s="45">
        <v>6.8155330000000003</v>
      </c>
      <c r="W9" s="45">
        <v>0.6</v>
      </c>
      <c r="X9" s="45">
        <f>N9*V9*(1-W9)</f>
        <v>0.12680489981424001</v>
      </c>
    </row>
    <row r="10" spans="1:24" x14ac:dyDescent="0.2">
      <c r="A10" s="43">
        <v>9</v>
      </c>
      <c r="B10" s="43">
        <v>13</v>
      </c>
      <c r="C10" s="43" t="s">
        <v>469</v>
      </c>
      <c r="D10" s="43" t="s">
        <v>470</v>
      </c>
      <c r="E10" s="43" t="s">
        <v>457</v>
      </c>
      <c r="F10" s="43" t="s">
        <v>471</v>
      </c>
      <c r="G10" s="43">
        <v>52723</v>
      </c>
      <c r="H10" s="43">
        <v>52728</v>
      </c>
      <c r="I10" s="43">
        <v>52694</v>
      </c>
      <c r="J10" s="43">
        <v>8140</v>
      </c>
      <c r="K10" s="43">
        <v>8140</v>
      </c>
      <c r="L10" s="43" t="s">
        <v>372</v>
      </c>
      <c r="M10" s="43" t="s">
        <v>472</v>
      </c>
      <c r="N10" s="44">
        <v>5.4452600000000002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3.4929570000000001</v>
      </c>
      <c r="W10" s="45">
        <v>0.6</v>
      </c>
      <c r="X10" s="45">
        <f>N10*V10*(1-W10)</f>
        <v>7.6080236135280011</v>
      </c>
    </row>
    <row r="11" spans="1:24" x14ac:dyDescent="0.2">
      <c r="X11" s="45">
        <f>SUM(X8:X10)</f>
        <v>8.0512116299198411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opLeftCell="S1" workbookViewId="0">
      <selection activeCell="W10" sqref="W10:W13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8554687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28.42578125" bestFit="1" customWidth="1"/>
    <col min="21" max="21" width="21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10</v>
      </c>
      <c r="B2" s="43">
        <v>17</v>
      </c>
      <c r="C2" s="43" t="s">
        <v>464</v>
      </c>
      <c r="D2" s="43" t="s">
        <v>470</v>
      </c>
      <c r="E2" s="43" t="s">
        <v>424</v>
      </c>
      <c r="F2" s="43" t="s">
        <v>473</v>
      </c>
      <c r="G2" s="43">
        <v>20027</v>
      </c>
      <c r="H2" s="43">
        <v>20052</v>
      </c>
      <c r="I2" s="43">
        <v>20002</v>
      </c>
      <c r="J2" s="43">
        <v>5120</v>
      </c>
      <c r="K2" s="43">
        <v>5120</v>
      </c>
      <c r="L2" s="43" t="s">
        <v>372</v>
      </c>
      <c r="M2" s="43" t="s">
        <v>472</v>
      </c>
      <c r="N2" s="44">
        <v>5.4676799999999999E-4</v>
      </c>
      <c r="O2" s="43" t="s">
        <v>405</v>
      </c>
      <c r="P2" s="43" t="s">
        <v>406</v>
      </c>
      <c r="Q2" s="43">
        <v>9</v>
      </c>
      <c r="R2" s="43">
        <v>50</v>
      </c>
      <c r="S2" s="43" t="s">
        <v>438</v>
      </c>
      <c r="T2" s="43" t="s">
        <v>474</v>
      </c>
      <c r="U2" s="43" t="s">
        <v>440</v>
      </c>
      <c r="V2" s="45">
        <v>0.128413</v>
      </c>
      <c r="W2" s="45">
        <v>0.78300000000000003</v>
      </c>
      <c r="X2" s="45">
        <f>N2*V2*(1-W2)</f>
        <v>1.5236029862927999E-5</v>
      </c>
    </row>
    <row r="3" spans="1:24" x14ac:dyDescent="0.2">
      <c r="A3" s="43">
        <v>10</v>
      </c>
      <c r="B3" s="43">
        <v>17</v>
      </c>
      <c r="C3" s="43" t="s">
        <v>464</v>
      </c>
      <c r="D3" s="43" t="s">
        <v>470</v>
      </c>
      <c r="E3" s="43" t="s">
        <v>424</v>
      </c>
      <c r="F3" s="43" t="s">
        <v>473</v>
      </c>
      <c r="G3" s="43">
        <v>21903</v>
      </c>
      <c r="H3" s="43">
        <v>21904</v>
      </c>
      <c r="I3" s="43">
        <v>21857</v>
      </c>
      <c r="J3" s="43">
        <v>5300</v>
      </c>
      <c r="K3" s="43">
        <v>5300</v>
      </c>
      <c r="L3" s="43" t="s">
        <v>372</v>
      </c>
      <c r="M3" s="43" t="s">
        <v>472</v>
      </c>
      <c r="N3" s="44">
        <v>2.20406E-2</v>
      </c>
      <c r="O3" s="43" t="s">
        <v>405</v>
      </c>
      <c r="P3" s="43" t="s">
        <v>406</v>
      </c>
      <c r="Q3" s="43">
        <v>9</v>
      </c>
      <c r="R3" s="43">
        <v>50</v>
      </c>
      <c r="S3" s="43" t="s">
        <v>438</v>
      </c>
      <c r="T3" s="43" t="s">
        <v>439</v>
      </c>
      <c r="U3" s="43" t="s">
        <v>440</v>
      </c>
      <c r="V3" s="45">
        <v>0.128413</v>
      </c>
      <c r="W3" s="45">
        <v>0.78300000000000003</v>
      </c>
      <c r="X3" s="45">
        <f>N3*V3*(1-W3)</f>
        <v>6.1417500621259999E-4</v>
      </c>
    </row>
    <row r="4" spans="1:24" x14ac:dyDescent="0.2">
      <c r="A4" s="43">
        <v>10</v>
      </c>
      <c r="B4" s="43">
        <v>17</v>
      </c>
      <c r="C4" s="43" t="s">
        <v>464</v>
      </c>
      <c r="D4" s="43" t="s">
        <v>470</v>
      </c>
      <c r="E4" s="43" t="s">
        <v>424</v>
      </c>
      <c r="F4" s="43" t="s">
        <v>473</v>
      </c>
      <c r="G4" s="43">
        <v>52723</v>
      </c>
      <c r="H4" s="43">
        <v>52728</v>
      </c>
      <c r="I4" s="43">
        <v>52694</v>
      </c>
      <c r="J4" s="43">
        <v>8140</v>
      </c>
      <c r="K4" s="43">
        <v>8140</v>
      </c>
      <c r="L4" s="43" t="s">
        <v>372</v>
      </c>
      <c r="M4" s="43" t="s">
        <v>472</v>
      </c>
      <c r="N4" s="44">
        <v>2.19258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0.78300000000000003</v>
      </c>
      <c r="X4" s="45">
        <f>N4*V4*(1-W4)</f>
        <v>0.34115655489551994</v>
      </c>
    </row>
    <row r="5" spans="1:24" x14ac:dyDescent="0.2">
      <c r="A5" s="43">
        <v>11</v>
      </c>
      <c r="B5" s="43">
        <v>19</v>
      </c>
      <c r="C5" s="43" t="s">
        <v>5</v>
      </c>
      <c r="D5" s="43" t="s">
        <v>470</v>
      </c>
      <c r="E5" s="43" t="s">
        <v>5</v>
      </c>
      <c r="F5" s="43" t="s">
        <v>475</v>
      </c>
      <c r="G5" s="43">
        <v>52723</v>
      </c>
      <c r="H5" s="43">
        <v>52728</v>
      </c>
      <c r="I5" s="43">
        <v>52694</v>
      </c>
      <c r="J5" s="43">
        <v>8140</v>
      </c>
      <c r="K5" s="43">
        <v>8140</v>
      </c>
      <c r="L5" s="43" t="s">
        <v>372</v>
      </c>
      <c r="M5" s="43" t="s">
        <v>472</v>
      </c>
      <c r="N5" s="44">
        <v>0.272727</v>
      </c>
      <c r="O5" s="43" t="s">
        <v>405</v>
      </c>
      <c r="P5" s="43" t="s">
        <v>406</v>
      </c>
      <c r="Q5" s="43">
        <v>18</v>
      </c>
      <c r="R5" s="43">
        <v>10</v>
      </c>
      <c r="S5" s="43" t="s">
        <v>407</v>
      </c>
      <c r="T5" s="43" t="s">
        <v>420</v>
      </c>
      <c r="U5" s="43" t="s">
        <v>421</v>
      </c>
      <c r="V5" s="45">
        <v>0.717032</v>
      </c>
      <c r="W5" s="45">
        <v>0.78300000000000003</v>
      </c>
      <c r="X5" s="45">
        <f>N5*V5*(1-W5)</f>
        <v>4.2435215019287993E-2</v>
      </c>
    </row>
    <row r="6" spans="1:24" x14ac:dyDescent="0.2">
      <c r="N6" s="44">
        <f>SUM(N2:N5)</f>
        <v>2.4878943680000001</v>
      </c>
      <c r="X6" s="45">
        <f>SUM(X2:X5)</f>
        <v>0.38422118095088348</v>
      </c>
    </row>
    <row r="9" spans="1:24" x14ac:dyDescent="0.2">
      <c r="A9" s="43" t="s">
        <v>377</v>
      </c>
      <c r="B9" s="43" t="s">
        <v>378</v>
      </c>
      <c r="C9" s="43" t="s">
        <v>379</v>
      </c>
      <c r="D9" s="43" t="s">
        <v>380</v>
      </c>
      <c r="E9" s="43" t="s">
        <v>381</v>
      </c>
      <c r="F9" s="43" t="s">
        <v>382</v>
      </c>
      <c r="G9" s="43" t="s">
        <v>383</v>
      </c>
      <c r="H9" s="43" t="s">
        <v>384</v>
      </c>
      <c r="I9" s="43" t="s">
        <v>385</v>
      </c>
      <c r="J9" s="43" t="s">
        <v>386</v>
      </c>
      <c r="K9" s="43" t="s">
        <v>387</v>
      </c>
      <c r="L9" s="43" t="s">
        <v>388</v>
      </c>
      <c r="M9" s="43" t="s">
        <v>389</v>
      </c>
      <c r="N9" s="44" t="s">
        <v>391</v>
      </c>
      <c r="O9" s="43" t="s">
        <v>392</v>
      </c>
      <c r="P9" s="43" t="s">
        <v>393</v>
      </c>
      <c r="Q9" s="43" t="s">
        <v>394</v>
      </c>
      <c r="R9" s="43" t="s">
        <v>395</v>
      </c>
      <c r="S9" s="43" t="s">
        <v>396</v>
      </c>
      <c r="T9" s="43" t="s">
        <v>397</v>
      </c>
      <c r="U9" s="43" t="s">
        <v>398</v>
      </c>
      <c r="V9" s="45" t="s">
        <v>589</v>
      </c>
      <c r="W9" s="45" t="s">
        <v>590</v>
      </c>
      <c r="X9" s="45" t="s">
        <v>591</v>
      </c>
    </row>
    <row r="10" spans="1:24" x14ac:dyDescent="0.2">
      <c r="A10" s="43">
        <v>10</v>
      </c>
      <c r="B10" s="43">
        <v>17</v>
      </c>
      <c r="C10" s="43" t="s">
        <v>464</v>
      </c>
      <c r="D10" s="43" t="s">
        <v>470</v>
      </c>
      <c r="E10" s="43" t="s">
        <v>424</v>
      </c>
      <c r="F10" s="43" t="s">
        <v>473</v>
      </c>
      <c r="G10" s="43">
        <v>20027</v>
      </c>
      <c r="H10" s="43">
        <v>20052</v>
      </c>
      <c r="I10" s="43">
        <v>20002</v>
      </c>
      <c r="J10" s="43">
        <v>5120</v>
      </c>
      <c r="K10" s="43">
        <v>5120</v>
      </c>
      <c r="L10" s="43" t="s">
        <v>372</v>
      </c>
      <c r="M10" s="43" t="s">
        <v>472</v>
      </c>
      <c r="N10" s="44">
        <v>5.4676799999999999E-4</v>
      </c>
      <c r="O10" s="43" t="s">
        <v>405</v>
      </c>
      <c r="P10" s="43" t="s">
        <v>406</v>
      </c>
      <c r="Q10" s="43">
        <v>9</v>
      </c>
      <c r="R10" s="43">
        <v>50</v>
      </c>
      <c r="S10" s="43" t="s">
        <v>438</v>
      </c>
      <c r="T10" s="43" t="s">
        <v>474</v>
      </c>
      <c r="U10" s="43" t="s">
        <v>440</v>
      </c>
      <c r="V10" s="45">
        <v>2.201031</v>
      </c>
      <c r="W10" s="45">
        <v>0.6</v>
      </c>
      <c r="X10" s="45">
        <v>3.3817038230404801E-4</v>
      </c>
    </row>
    <row r="11" spans="1:24" x14ac:dyDescent="0.2">
      <c r="A11" s="43">
        <v>10</v>
      </c>
      <c r="B11" s="43">
        <v>17</v>
      </c>
      <c r="C11" s="43" t="s">
        <v>464</v>
      </c>
      <c r="D11" s="43" t="s">
        <v>470</v>
      </c>
      <c r="E11" s="43" t="s">
        <v>424</v>
      </c>
      <c r="F11" s="43" t="s">
        <v>473</v>
      </c>
      <c r="G11" s="43">
        <v>21903</v>
      </c>
      <c r="H11" s="43">
        <v>21904</v>
      </c>
      <c r="I11" s="43">
        <v>21857</v>
      </c>
      <c r="J11" s="43">
        <v>5300</v>
      </c>
      <c r="K11" s="43">
        <v>5300</v>
      </c>
      <c r="L11" s="43" t="s">
        <v>372</v>
      </c>
      <c r="M11" s="43" t="s">
        <v>472</v>
      </c>
      <c r="N11" s="44">
        <v>2.20406E-2</v>
      </c>
      <c r="O11" s="43" t="s">
        <v>405</v>
      </c>
      <c r="P11" s="43" t="s">
        <v>406</v>
      </c>
      <c r="Q11" s="43">
        <v>9</v>
      </c>
      <c r="R11" s="43">
        <v>50</v>
      </c>
      <c r="S11" s="43" t="s">
        <v>438</v>
      </c>
      <c r="T11" s="43" t="s">
        <v>439</v>
      </c>
      <c r="U11" s="43" t="s">
        <v>440</v>
      </c>
      <c r="V11" s="45">
        <v>2.201031</v>
      </c>
      <c r="W11" s="45">
        <v>0.6</v>
      </c>
      <c r="X11" s="45">
        <v>1.3631884324266602E-2</v>
      </c>
    </row>
    <row r="12" spans="1:24" x14ac:dyDescent="0.2">
      <c r="A12" s="43">
        <v>10</v>
      </c>
      <c r="B12" s="43">
        <v>17</v>
      </c>
      <c r="C12" s="43" t="s">
        <v>464</v>
      </c>
      <c r="D12" s="43" t="s">
        <v>470</v>
      </c>
      <c r="E12" s="43" t="s">
        <v>424</v>
      </c>
      <c r="F12" s="43" t="s">
        <v>473</v>
      </c>
      <c r="G12" s="43">
        <v>52723</v>
      </c>
      <c r="H12" s="43">
        <v>52728</v>
      </c>
      <c r="I12" s="43">
        <v>52694</v>
      </c>
      <c r="J12" s="43">
        <v>8140</v>
      </c>
      <c r="K12" s="43">
        <v>8140</v>
      </c>
      <c r="L12" s="43" t="s">
        <v>372</v>
      </c>
      <c r="M12" s="43" t="s">
        <v>472</v>
      </c>
      <c r="N12" s="44">
        <v>2.19258</v>
      </c>
      <c r="O12" s="43" t="s">
        <v>405</v>
      </c>
      <c r="P12" s="43" t="s">
        <v>406</v>
      </c>
      <c r="Q12" s="43">
        <v>18</v>
      </c>
      <c r="R12" s="43">
        <v>10</v>
      </c>
      <c r="S12" s="43" t="s">
        <v>407</v>
      </c>
      <c r="T12" s="43" t="s">
        <v>420</v>
      </c>
      <c r="U12" s="43" t="s">
        <v>421</v>
      </c>
      <c r="V12" s="45">
        <v>3.4929570000000001</v>
      </c>
      <c r="W12" s="45">
        <v>0.6</v>
      </c>
      <c r="X12" s="45">
        <v>2.1520631321958601</v>
      </c>
    </row>
    <row r="13" spans="1:24" x14ac:dyDescent="0.2">
      <c r="A13" s="43">
        <v>11</v>
      </c>
      <c r="B13" s="43">
        <v>19</v>
      </c>
      <c r="C13" s="43" t="s">
        <v>5</v>
      </c>
      <c r="D13" s="43" t="s">
        <v>470</v>
      </c>
      <c r="E13" s="43" t="s">
        <v>5</v>
      </c>
      <c r="F13" s="43" t="s">
        <v>475</v>
      </c>
      <c r="G13" s="43">
        <v>52723</v>
      </c>
      <c r="H13" s="43">
        <v>52728</v>
      </c>
      <c r="I13" s="43">
        <v>52694</v>
      </c>
      <c r="J13" s="43">
        <v>8140</v>
      </c>
      <c r="K13" s="43">
        <v>8140</v>
      </c>
      <c r="L13" s="43" t="s">
        <v>372</v>
      </c>
      <c r="M13" s="43" t="s">
        <v>472</v>
      </c>
      <c r="N13" s="44">
        <v>0.272727</v>
      </c>
      <c r="O13" s="43" t="s">
        <v>405</v>
      </c>
      <c r="P13" s="43" t="s">
        <v>406</v>
      </c>
      <c r="Q13" s="43">
        <v>18</v>
      </c>
      <c r="R13" s="43">
        <v>10</v>
      </c>
      <c r="S13" s="43" t="s">
        <v>407</v>
      </c>
      <c r="T13" s="43" t="s">
        <v>420</v>
      </c>
      <c r="U13" s="43" t="s">
        <v>421</v>
      </c>
      <c r="V13" s="45">
        <v>3.4929570000000001</v>
      </c>
      <c r="W13" s="45">
        <v>0.6</v>
      </c>
      <c r="X13" s="45">
        <v>0.267687255130659</v>
      </c>
    </row>
    <row r="14" spans="1:24" x14ac:dyDescent="0.2">
      <c r="X14" s="45">
        <f>SUM(X10:X13)</f>
        <v>2.4337204420330898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opLeftCell="O1" workbookViewId="0">
      <selection activeCell="W22" sqref="W22:W3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9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41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12</v>
      </c>
      <c r="B2" s="43">
        <v>20</v>
      </c>
      <c r="C2" s="43" t="s">
        <v>464</v>
      </c>
      <c r="D2" s="43" t="s">
        <v>476</v>
      </c>
      <c r="E2" s="43" t="s">
        <v>457</v>
      </c>
      <c r="F2" s="43" t="s">
        <v>477</v>
      </c>
      <c r="G2" s="43">
        <v>642</v>
      </c>
      <c r="H2" s="43">
        <v>644</v>
      </c>
      <c r="I2" s="43">
        <v>1299</v>
      </c>
      <c r="J2" s="43">
        <v>1110</v>
      </c>
      <c r="K2" s="43">
        <v>1110</v>
      </c>
      <c r="L2" s="43" t="s">
        <v>372</v>
      </c>
      <c r="M2" s="43" t="s">
        <v>478</v>
      </c>
      <c r="N2" s="44">
        <v>1.4591300000000001E-4</v>
      </c>
      <c r="O2" s="43" t="s">
        <v>405</v>
      </c>
      <c r="P2" s="43" t="s">
        <v>406</v>
      </c>
      <c r="Q2" s="43">
        <v>2</v>
      </c>
      <c r="R2" s="43">
        <v>10</v>
      </c>
      <c r="S2" s="43" t="s">
        <v>407</v>
      </c>
      <c r="T2" s="43" t="s">
        <v>434</v>
      </c>
      <c r="U2" s="43" t="s">
        <v>435</v>
      </c>
      <c r="V2" s="45">
        <v>0.48648799999999998</v>
      </c>
      <c r="W2" s="45">
        <v>0.78300000000000003</v>
      </c>
      <c r="X2" s="45">
        <f t="shared" ref="X2:X18" si="0">N2*V2*(1-W2)</f>
        <v>1.5403728409047998E-5</v>
      </c>
    </row>
    <row r="3" spans="1:24" x14ac:dyDescent="0.2">
      <c r="A3" s="43">
        <v>12</v>
      </c>
      <c r="B3" s="43">
        <v>20</v>
      </c>
      <c r="C3" s="43" t="s">
        <v>464</v>
      </c>
      <c r="D3" s="43" t="s">
        <v>476</v>
      </c>
      <c r="E3" s="43" t="s">
        <v>457</v>
      </c>
      <c r="F3" s="43" t="s">
        <v>477</v>
      </c>
      <c r="G3" s="43">
        <v>2607</v>
      </c>
      <c r="H3" s="43">
        <v>2608</v>
      </c>
      <c r="I3" s="43">
        <v>2599</v>
      </c>
      <c r="J3" s="43">
        <v>1210</v>
      </c>
      <c r="K3" s="43">
        <v>1210</v>
      </c>
      <c r="L3" s="43" t="s">
        <v>372</v>
      </c>
      <c r="M3" s="43" t="s">
        <v>478</v>
      </c>
      <c r="N3" s="44">
        <v>0.13886000000000001</v>
      </c>
      <c r="O3" s="43" t="s">
        <v>405</v>
      </c>
      <c r="P3" s="43" t="s">
        <v>406</v>
      </c>
      <c r="Q3" s="43">
        <v>19</v>
      </c>
      <c r="R3" s="43">
        <v>10</v>
      </c>
      <c r="S3" s="43" t="s">
        <v>407</v>
      </c>
      <c r="T3" s="43" t="s">
        <v>436</v>
      </c>
      <c r="U3" s="43" t="s">
        <v>437</v>
      </c>
      <c r="V3" s="45">
        <v>0.60924900000000004</v>
      </c>
      <c r="W3" s="45">
        <v>0.78300000000000003</v>
      </c>
      <c r="X3" s="45">
        <f t="shared" si="0"/>
        <v>1.8358268602380001E-2</v>
      </c>
    </row>
    <row r="4" spans="1:24" x14ac:dyDescent="0.2">
      <c r="A4" s="43">
        <v>12</v>
      </c>
      <c r="B4" s="43">
        <v>20</v>
      </c>
      <c r="C4" s="43" t="s">
        <v>464</v>
      </c>
      <c r="D4" s="43" t="s">
        <v>476</v>
      </c>
      <c r="E4" s="43" t="s">
        <v>457</v>
      </c>
      <c r="F4" s="43" t="s">
        <v>477</v>
      </c>
      <c r="G4" s="43">
        <v>4101</v>
      </c>
      <c r="H4" s="43">
        <v>4106</v>
      </c>
      <c r="I4" s="43">
        <v>4063</v>
      </c>
      <c r="J4" s="43">
        <v>1400</v>
      </c>
      <c r="K4" s="43">
        <v>1400</v>
      </c>
      <c r="L4" s="43" t="s">
        <v>372</v>
      </c>
      <c r="M4" s="43" t="s">
        <v>478</v>
      </c>
      <c r="N4" s="44">
        <v>1.0509499999999999E-3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0.78300000000000003</v>
      </c>
      <c r="X4" s="45">
        <f t="shared" si="0"/>
        <v>4.0480513959759992E-4</v>
      </c>
    </row>
    <row r="5" spans="1:24" x14ac:dyDescent="0.2">
      <c r="A5" s="43">
        <v>12</v>
      </c>
      <c r="B5" s="43">
        <v>20</v>
      </c>
      <c r="C5" s="43" t="s">
        <v>464</v>
      </c>
      <c r="D5" s="43" t="s">
        <v>476</v>
      </c>
      <c r="E5" s="43" t="s">
        <v>457</v>
      </c>
      <c r="F5" s="43" t="s">
        <v>477</v>
      </c>
      <c r="G5" s="43">
        <v>4105</v>
      </c>
      <c r="H5" s="43">
        <v>4110</v>
      </c>
      <c r="I5" s="43">
        <v>4067</v>
      </c>
      <c r="J5" s="43">
        <v>1400</v>
      </c>
      <c r="K5" s="43">
        <v>1400</v>
      </c>
      <c r="L5" s="43" t="s">
        <v>372</v>
      </c>
      <c r="M5" s="43" t="s">
        <v>478</v>
      </c>
      <c r="N5" s="44">
        <v>0.163879</v>
      </c>
      <c r="O5" s="43" t="s">
        <v>405</v>
      </c>
      <c r="P5" s="43" t="s">
        <v>406</v>
      </c>
      <c r="Q5" s="43">
        <v>3</v>
      </c>
      <c r="R5" s="43">
        <v>10</v>
      </c>
      <c r="S5" s="43" t="s">
        <v>407</v>
      </c>
      <c r="T5" s="43" t="s">
        <v>408</v>
      </c>
      <c r="U5" s="43" t="s">
        <v>408</v>
      </c>
      <c r="V5" s="45">
        <v>1.7750239999999999</v>
      </c>
      <c r="W5" s="45">
        <v>0.78300000000000003</v>
      </c>
      <c r="X5" s="45">
        <f t="shared" si="0"/>
        <v>6.3122947306831989E-2</v>
      </c>
    </row>
    <row r="6" spans="1:24" x14ac:dyDescent="0.2">
      <c r="A6" s="43">
        <v>12</v>
      </c>
      <c r="B6" s="43">
        <v>20</v>
      </c>
      <c r="C6" s="43" t="s">
        <v>464</v>
      </c>
      <c r="D6" s="43" t="s">
        <v>476</v>
      </c>
      <c r="E6" s="43" t="s">
        <v>457</v>
      </c>
      <c r="F6" s="43" t="s">
        <v>477</v>
      </c>
      <c r="G6" s="43">
        <v>4108</v>
      </c>
      <c r="H6" s="43">
        <v>4113</v>
      </c>
      <c r="I6" s="43">
        <v>4070</v>
      </c>
      <c r="J6" s="43">
        <v>1400</v>
      </c>
      <c r="K6" s="43">
        <v>1400</v>
      </c>
      <c r="L6" s="43" t="s">
        <v>372</v>
      </c>
      <c r="M6" s="43" t="s">
        <v>478</v>
      </c>
      <c r="N6" s="44">
        <v>2.8782700000000001E-2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0.78300000000000003</v>
      </c>
      <c r="X6" s="45">
        <f t="shared" si="0"/>
        <v>1.10865263728016E-2</v>
      </c>
    </row>
    <row r="7" spans="1:24" x14ac:dyDescent="0.2">
      <c r="A7" s="43">
        <v>12</v>
      </c>
      <c r="B7" s="43">
        <v>20</v>
      </c>
      <c r="C7" s="43" t="s">
        <v>464</v>
      </c>
      <c r="D7" s="43" t="s">
        <v>476</v>
      </c>
      <c r="E7" s="43" t="s">
        <v>457</v>
      </c>
      <c r="F7" s="43" t="s">
        <v>477</v>
      </c>
      <c r="G7" s="43">
        <v>5759</v>
      </c>
      <c r="H7" s="43">
        <v>5764</v>
      </c>
      <c r="I7" s="43">
        <v>5698</v>
      </c>
      <c r="J7" s="43">
        <v>1900</v>
      </c>
      <c r="K7" s="43">
        <v>1900</v>
      </c>
      <c r="L7" s="43" t="s">
        <v>372</v>
      </c>
      <c r="M7" s="43" t="s">
        <v>478</v>
      </c>
      <c r="N7" s="44">
        <v>0.89424599999999999</v>
      </c>
      <c r="O7" s="43" t="s">
        <v>405</v>
      </c>
      <c r="P7" s="43" t="s">
        <v>406</v>
      </c>
      <c r="Q7" s="43">
        <v>70</v>
      </c>
      <c r="R7" s="43">
        <v>10</v>
      </c>
      <c r="S7" s="43" t="s">
        <v>407</v>
      </c>
      <c r="T7" s="43" t="s">
        <v>410</v>
      </c>
      <c r="U7" s="43" t="s">
        <v>411</v>
      </c>
      <c r="V7" s="45">
        <v>0.19295699999999999</v>
      </c>
      <c r="W7" s="45">
        <v>0.78300000000000003</v>
      </c>
      <c r="X7" s="45">
        <f t="shared" si="0"/>
        <v>3.7443572516573993E-2</v>
      </c>
    </row>
    <row r="8" spans="1:24" x14ac:dyDescent="0.2">
      <c r="A8" s="43">
        <v>12</v>
      </c>
      <c r="B8" s="43">
        <v>20</v>
      </c>
      <c r="C8" s="43" t="s">
        <v>464</v>
      </c>
      <c r="D8" s="43" t="s">
        <v>476</v>
      </c>
      <c r="E8" s="43" t="s">
        <v>457</v>
      </c>
      <c r="F8" s="43" t="s">
        <v>477</v>
      </c>
      <c r="G8" s="43">
        <v>7137</v>
      </c>
      <c r="H8" s="43">
        <v>7138</v>
      </c>
      <c r="I8" s="43">
        <v>7127</v>
      </c>
      <c r="J8" s="43">
        <v>2110</v>
      </c>
      <c r="K8" s="43">
        <v>2110</v>
      </c>
      <c r="L8" s="43" t="s">
        <v>372</v>
      </c>
      <c r="M8" s="43" t="s">
        <v>478</v>
      </c>
      <c r="N8" s="44">
        <v>5.4047499999999998E-2</v>
      </c>
      <c r="O8" s="43" t="s">
        <v>405</v>
      </c>
      <c r="P8" s="43" t="s">
        <v>406</v>
      </c>
      <c r="Q8" s="43">
        <v>26</v>
      </c>
      <c r="R8" s="43">
        <v>21</v>
      </c>
      <c r="S8" s="43" t="s">
        <v>446</v>
      </c>
      <c r="T8" s="43" t="s">
        <v>447</v>
      </c>
      <c r="U8" s="43" t="s">
        <v>446</v>
      </c>
      <c r="V8" s="45">
        <v>1.671602</v>
      </c>
      <c r="W8" s="45">
        <v>0.78300000000000003</v>
      </c>
      <c r="X8" s="45">
        <f t="shared" si="0"/>
        <v>1.9605062273614998E-2</v>
      </c>
    </row>
    <row r="9" spans="1:24" x14ac:dyDescent="0.2">
      <c r="A9" s="43">
        <v>12</v>
      </c>
      <c r="B9" s="43">
        <v>20</v>
      </c>
      <c r="C9" s="43" t="s">
        <v>464</v>
      </c>
      <c r="D9" s="43" t="s">
        <v>476</v>
      </c>
      <c r="E9" s="43" t="s">
        <v>457</v>
      </c>
      <c r="F9" s="43" t="s">
        <v>477</v>
      </c>
      <c r="G9" s="43">
        <v>26911</v>
      </c>
      <c r="H9" s="43">
        <v>26912</v>
      </c>
      <c r="I9" s="43">
        <v>26902</v>
      </c>
      <c r="J9" s="43">
        <v>6172</v>
      </c>
      <c r="K9" s="43">
        <v>6172</v>
      </c>
      <c r="L9" s="43" t="s">
        <v>372</v>
      </c>
      <c r="M9" s="43" t="s">
        <v>478</v>
      </c>
      <c r="N9" s="44">
        <v>2.9739399999999999E-2</v>
      </c>
      <c r="O9" s="43" t="s">
        <v>405</v>
      </c>
      <c r="P9" s="43" t="s">
        <v>406</v>
      </c>
      <c r="Q9" s="43">
        <v>12</v>
      </c>
      <c r="R9" s="43">
        <v>60</v>
      </c>
      <c r="S9" s="43" t="s">
        <v>417</v>
      </c>
      <c r="T9" s="43" t="s">
        <v>479</v>
      </c>
      <c r="U9" s="43" t="s">
        <v>480</v>
      </c>
      <c r="V9" s="45">
        <v>0.596611</v>
      </c>
      <c r="W9" s="45">
        <v>0.78300000000000003</v>
      </c>
      <c r="X9" s="45">
        <f t="shared" si="0"/>
        <v>3.8501991386277992E-3</v>
      </c>
    </row>
    <row r="10" spans="1:24" x14ac:dyDescent="0.2">
      <c r="A10" s="43">
        <v>12</v>
      </c>
      <c r="B10" s="43">
        <v>20</v>
      </c>
      <c r="C10" s="43" t="s">
        <v>464</v>
      </c>
      <c r="D10" s="43" t="s">
        <v>476</v>
      </c>
      <c r="E10" s="43" t="s">
        <v>457</v>
      </c>
      <c r="F10" s="43" t="s">
        <v>477</v>
      </c>
      <c r="G10" s="43">
        <v>52697</v>
      </c>
      <c r="H10" s="43">
        <v>52702</v>
      </c>
      <c r="I10" s="43">
        <v>52668</v>
      </c>
      <c r="J10" s="43">
        <v>8140</v>
      </c>
      <c r="K10" s="43">
        <v>8140</v>
      </c>
      <c r="L10" s="43" t="s">
        <v>372</v>
      </c>
      <c r="M10" s="43" t="s">
        <v>478</v>
      </c>
      <c r="N10" s="44">
        <v>5.06304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0.717032</v>
      </c>
      <c r="W10" s="45">
        <v>0.78300000000000003</v>
      </c>
      <c r="X10" s="45">
        <f t="shared" si="0"/>
        <v>0.78778848830975989</v>
      </c>
    </row>
    <row r="11" spans="1:24" x14ac:dyDescent="0.2">
      <c r="A11" s="43">
        <v>13</v>
      </c>
      <c r="B11" s="43">
        <v>22</v>
      </c>
      <c r="C11" s="43" t="s">
        <v>5</v>
      </c>
      <c r="D11" s="43" t="s">
        <v>476</v>
      </c>
      <c r="E11" s="43" t="s">
        <v>5</v>
      </c>
      <c r="F11" s="43" t="s">
        <v>481</v>
      </c>
      <c r="G11" s="43">
        <v>2607</v>
      </c>
      <c r="H11" s="43">
        <v>2608</v>
      </c>
      <c r="I11" s="43">
        <v>2599</v>
      </c>
      <c r="J11" s="43">
        <v>1210</v>
      </c>
      <c r="K11" s="43">
        <v>1210</v>
      </c>
      <c r="L11" s="43" t="s">
        <v>372</v>
      </c>
      <c r="M11" s="43" t="s">
        <v>478</v>
      </c>
      <c r="N11" s="44">
        <v>0.54254100000000005</v>
      </c>
      <c r="O11" s="43" t="s">
        <v>405</v>
      </c>
      <c r="P11" s="43" t="s">
        <v>406</v>
      </c>
      <c r="Q11" s="43">
        <v>19</v>
      </c>
      <c r="R11" s="43">
        <v>10</v>
      </c>
      <c r="S11" s="43" t="s">
        <v>407</v>
      </c>
      <c r="T11" s="43" t="s">
        <v>436</v>
      </c>
      <c r="U11" s="43" t="s">
        <v>437</v>
      </c>
      <c r="V11" s="45">
        <v>0.60924900000000004</v>
      </c>
      <c r="W11" s="45">
        <v>0.78300000000000003</v>
      </c>
      <c r="X11" s="45">
        <f t="shared" si="0"/>
        <v>7.1727735890853003E-2</v>
      </c>
    </row>
    <row r="12" spans="1:24" x14ac:dyDescent="0.2">
      <c r="A12" s="43">
        <v>13</v>
      </c>
      <c r="B12" s="43">
        <v>22</v>
      </c>
      <c r="C12" s="43" t="s">
        <v>5</v>
      </c>
      <c r="D12" s="43" t="s">
        <v>476</v>
      </c>
      <c r="E12" s="43" t="s">
        <v>5</v>
      </c>
      <c r="F12" s="43" t="s">
        <v>481</v>
      </c>
      <c r="G12" s="43">
        <v>4111</v>
      </c>
      <c r="H12" s="43">
        <v>4116</v>
      </c>
      <c r="I12" s="43">
        <v>4073</v>
      </c>
      <c r="J12" s="43">
        <v>1400</v>
      </c>
      <c r="K12" s="43">
        <v>1400</v>
      </c>
      <c r="L12" s="43" t="s">
        <v>372</v>
      </c>
      <c r="M12" s="43" t="s">
        <v>478</v>
      </c>
      <c r="N12" s="44">
        <v>2.4493600000000001E-2</v>
      </c>
      <c r="O12" s="43" t="s">
        <v>405</v>
      </c>
      <c r="P12" s="43" t="s">
        <v>406</v>
      </c>
      <c r="Q12" s="43">
        <v>3</v>
      </c>
      <c r="R12" s="43">
        <v>10</v>
      </c>
      <c r="S12" s="43" t="s">
        <v>407</v>
      </c>
      <c r="T12" s="43" t="s">
        <v>408</v>
      </c>
      <c r="U12" s="43" t="s">
        <v>408</v>
      </c>
      <c r="V12" s="45">
        <v>1.7750239999999999</v>
      </c>
      <c r="W12" s="45">
        <v>0.78300000000000003</v>
      </c>
      <c r="X12" s="45">
        <f t="shared" si="0"/>
        <v>9.4344499426687982E-3</v>
      </c>
    </row>
    <row r="13" spans="1:24" x14ac:dyDescent="0.2">
      <c r="A13" s="43">
        <v>13</v>
      </c>
      <c r="B13" s="43">
        <v>22</v>
      </c>
      <c r="C13" s="43" t="s">
        <v>5</v>
      </c>
      <c r="D13" s="43" t="s">
        <v>476</v>
      </c>
      <c r="E13" s="43" t="s">
        <v>5</v>
      </c>
      <c r="F13" s="43" t="s">
        <v>481</v>
      </c>
      <c r="G13" s="43">
        <v>41029</v>
      </c>
      <c r="H13" s="43">
        <v>41030</v>
      </c>
      <c r="I13" s="43">
        <v>40991</v>
      </c>
      <c r="J13" s="43">
        <v>6410</v>
      </c>
      <c r="K13" s="43">
        <v>6410</v>
      </c>
      <c r="L13" s="43" t="s">
        <v>372</v>
      </c>
      <c r="M13" s="43" t="s">
        <v>478</v>
      </c>
      <c r="N13" s="44">
        <v>1.73638E-3</v>
      </c>
      <c r="O13" s="43" t="s">
        <v>405</v>
      </c>
      <c r="P13" s="43" t="s">
        <v>406</v>
      </c>
      <c r="Q13" s="43">
        <v>16</v>
      </c>
      <c r="R13" s="43">
        <v>60</v>
      </c>
      <c r="S13" s="43" t="s">
        <v>417</v>
      </c>
      <c r="T13" s="43" t="s">
        <v>482</v>
      </c>
      <c r="U13" s="43" t="s">
        <v>443</v>
      </c>
      <c r="V13" s="45">
        <v>0.78656000000000004</v>
      </c>
      <c r="W13" s="45">
        <v>0.78300000000000003</v>
      </c>
      <c r="X13" s="45">
        <f t="shared" si="0"/>
        <v>2.9637145045760001E-4</v>
      </c>
    </row>
    <row r="14" spans="1:24" x14ac:dyDescent="0.2">
      <c r="A14" s="43">
        <v>13</v>
      </c>
      <c r="B14" s="43">
        <v>22</v>
      </c>
      <c r="C14" s="43" t="s">
        <v>5</v>
      </c>
      <c r="D14" s="43" t="s">
        <v>476</v>
      </c>
      <c r="E14" s="43" t="s">
        <v>5</v>
      </c>
      <c r="F14" s="43" t="s">
        <v>481</v>
      </c>
      <c r="G14" s="43">
        <v>52697</v>
      </c>
      <c r="H14" s="43">
        <v>52702</v>
      </c>
      <c r="I14" s="43">
        <v>52668</v>
      </c>
      <c r="J14" s="43">
        <v>8140</v>
      </c>
      <c r="K14" s="43">
        <v>8140</v>
      </c>
      <c r="L14" s="43" t="s">
        <v>372</v>
      </c>
      <c r="M14" s="43" t="s">
        <v>478</v>
      </c>
      <c r="N14" s="44">
        <v>2.2764000000000002</v>
      </c>
      <c r="O14" s="43" t="s">
        <v>405</v>
      </c>
      <c r="P14" s="43" t="s">
        <v>406</v>
      </c>
      <c r="Q14" s="43">
        <v>18</v>
      </c>
      <c r="R14" s="43">
        <v>10</v>
      </c>
      <c r="S14" s="43" t="s">
        <v>407</v>
      </c>
      <c r="T14" s="43" t="s">
        <v>420</v>
      </c>
      <c r="U14" s="43" t="s">
        <v>421</v>
      </c>
      <c r="V14" s="45">
        <v>0.717032</v>
      </c>
      <c r="W14" s="45">
        <v>0.78300000000000003</v>
      </c>
      <c r="X14" s="45">
        <f t="shared" si="0"/>
        <v>0.35419860692159999</v>
      </c>
    </row>
    <row r="15" spans="1:24" x14ac:dyDescent="0.2">
      <c r="A15" s="43">
        <v>14</v>
      </c>
      <c r="B15" s="43">
        <v>23</v>
      </c>
      <c r="C15" s="43" t="s">
        <v>5</v>
      </c>
      <c r="D15" s="43" t="s">
        <v>476</v>
      </c>
      <c r="E15" s="43" t="s">
        <v>5</v>
      </c>
      <c r="F15" s="43" t="s">
        <v>483</v>
      </c>
      <c r="G15" s="43">
        <v>4115</v>
      </c>
      <c r="H15" s="43">
        <v>4120</v>
      </c>
      <c r="I15" s="43">
        <v>4077</v>
      </c>
      <c r="J15" s="43">
        <v>1400</v>
      </c>
      <c r="K15" s="43">
        <v>1400</v>
      </c>
      <c r="L15" s="43" t="s">
        <v>372</v>
      </c>
      <c r="M15" s="43" t="s">
        <v>478</v>
      </c>
      <c r="N15" s="44">
        <v>7.3930200000000001E-2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1.7750239999999999</v>
      </c>
      <c r="W15" s="45">
        <v>0.78300000000000003</v>
      </c>
      <c r="X15" s="45">
        <f t="shared" si="0"/>
        <v>2.8476449813481592E-2</v>
      </c>
    </row>
    <row r="16" spans="1:24" x14ac:dyDescent="0.2">
      <c r="A16" s="43">
        <v>14</v>
      </c>
      <c r="B16" s="43">
        <v>23</v>
      </c>
      <c r="C16" s="43" t="s">
        <v>5</v>
      </c>
      <c r="D16" s="43" t="s">
        <v>476</v>
      </c>
      <c r="E16" s="43" t="s">
        <v>5</v>
      </c>
      <c r="F16" s="43" t="s">
        <v>483</v>
      </c>
      <c r="G16" s="43">
        <v>14835</v>
      </c>
      <c r="H16" s="43">
        <v>14836</v>
      </c>
      <c r="I16" s="43">
        <v>14757</v>
      </c>
      <c r="J16" s="43">
        <v>3200</v>
      </c>
      <c r="K16" s="43">
        <v>3200</v>
      </c>
      <c r="L16" s="43" t="s">
        <v>372</v>
      </c>
      <c r="M16" s="43" t="s">
        <v>478</v>
      </c>
      <c r="N16" s="44">
        <v>3.8222799999999999E-3</v>
      </c>
      <c r="O16" s="43" t="s">
        <v>405</v>
      </c>
      <c r="P16" s="43" t="s">
        <v>406</v>
      </c>
      <c r="Q16" s="43">
        <v>5</v>
      </c>
      <c r="R16" s="43">
        <v>30</v>
      </c>
      <c r="S16" s="43" t="s">
        <v>455</v>
      </c>
      <c r="T16" s="43" t="s">
        <v>456</v>
      </c>
      <c r="U16" s="43" t="s">
        <v>414</v>
      </c>
      <c r="V16" s="45">
        <v>9.3119999999999994E-2</v>
      </c>
      <c r="W16" s="45">
        <v>0.78300000000000003</v>
      </c>
      <c r="X16" s="45">
        <f t="shared" si="0"/>
        <v>7.7236964851199984E-5</v>
      </c>
    </row>
    <row r="17" spans="1:24" x14ac:dyDescent="0.2">
      <c r="A17" s="43">
        <v>14</v>
      </c>
      <c r="B17" s="43">
        <v>23</v>
      </c>
      <c r="C17" s="43" t="s">
        <v>5</v>
      </c>
      <c r="D17" s="43" t="s">
        <v>476</v>
      </c>
      <c r="E17" s="43" t="s">
        <v>5</v>
      </c>
      <c r="F17" s="43" t="s">
        <v>483</v>
      </c>
      <c r="G17" s="43">
        <v>26928</v>
      </c>
      <c r="H17" s="43">
        <v>26929</v>
      </c>
      <c r="I17" s="43">
        <v>26919</v>
      </c>
      <c r="J17" s="43">
        <v>6172</v>
      </c>
      <c r="K17" s="43">
        <v>6172</v>
      </c>
      <c r="L17" s="43" t="s">
        <v>372</v>
      </c>
      <c r="M17" s="43" t="s">
        <v>478</v>
      </c>
      <c r="N17" s="44">
        <v>0.12374300000000001</v>
      </c>
      <c r="O17" s="43" t="s">
        <v>405</v>
      </c>
      <c r="P17" s="43" t="s">
        <v>406</v>
      </c>
      <c r="Q17" s="43">
        <v>12</v>
      </c>
      <c r="R17" s="43">
        <v>60</v>
      </c>
      <c r="S17" s="43" t="s">
        <v>417</v>
      </c>
      <c r="T17" s="43" t="s">
        <v>479</v>
      </c>
      <c r="U17" s="43" t="s">
        <v>480</v>
      </c>
      <c r="V17" s="45">
        <v>0.596611</v>
      </c>
      <c r="W17" s="45">
        <v>0.78300000000000003</v>
      </c>
      <c r="X17" s="45">
        <f t="shared" si="0"/>
        <v>1.6020336389141E-2</v>
      </c>
    </row>
    <row r="18" spans="1:24" x14ac:dyDescent="0.2">
      <c r="A18" s="43">
        <v>14</v>
      </c>
      <c r="B18" s="43">
        <v>23</v>
      </c>
      <c r="C18" s="43" t="s">
        <v>5</v>
      </c>
      <c r="D18" s="43" t="s">
        <v>476</v>
      </c>
      <c r="E18" s="43" t="s">
        <v>5</v>
      </c>
      <c r="F18" s="43" t="s">
        <v>483</v>
      </c>
      <c r="G18" s="43">
        <v>52697</v>
      </c>
      <c r="H18" s="43">
        <v>52702</v>
      </c>
      <c r="I18" s="43">
        <v>52668</v>
      </c>
      <c r="J18" s="43">
        <v>8140</v>
      </c>
      <c r="K18" s="43">
        <v>8140</v>
      </c>
      <c r="L18" s="43" t="s">
        <v>372</v>
      </c>
      <c r="M18" s="43" t="s">
        <v>478</v>
      </c>
      <c r="N18" s="44">
        <v>1.29064</v>
      </c>
      <c r="O18" s="43" t="s">
        <v>405</v>
      </c>
      <c r="P18" s="43" t="s">
        <v>406</v>
      </c>
      <c r="Q18" s="43">
        <v>18</v>
      </c>
      <c r="R18" s="43">
        <v>10</v>
      </c>
      <c r="S18" s="43" t="s">
        <v>407</v>
      </c>
      <c r="T18" s="43" t="s">
        <v>420</v>
      </c>
      <c r="U18" s="43" t="s">
        <v>421</v>
      </c>
      <c r="V18" s="45">
        <v>0.717032</v>
      </c>
      <c r="W18" s="45">
        <v>0.78300000000000003</v>
      </c>
      <c r="X18" s="45">
        <f t="shared" si="0"/>
        <v>0.20081834916415997</v>
      </c>
    </row>
    <row r="19" spans="1:24" x14ac:dyDescent="0.2">
      <c r="N19" s="44">
        <f>SUM(N2:N18)</f>
        <v>10.711097922999997</v>
      </c>
      <c r="X19" s="45">
        <f>SUM(X2:X18)</f>
        <v>1.62272480992581</v>
      </c>
    </row>
    <row r="21" spans="1:24" x14ac:dyDescent="0.2">
      <c r="A21" s="43" t="s">
        <v>377</v>
      </c>
      <c r="B21" s="43" t="s">
        <v>378</v>
      </c>
      <c r="C21" s="43" t="s">
        <v>379</v>
      </c>
      <c r="D21" s="43" t="s">
        <v>380</v>
      </c>
      <c r="E21" s="43" t="s">
        <v>381</v>
      </c>
      <c r="F21" s="43" t="s">
        <v>382</v>
      </c>
      <c r="G21" s="43" t="s">
        <v>383</v>
      </c>
      <c r="H21" s="43" t="s">
        <v>384</v>
      </c>
      <c r="I21" s="43" t="s">
        <v>385</v>
      </c>
      <c r="J21" s="43" t="s">
        <v>386</v>
      </c>
      <c r="K21" s="43" t="s">
        <v>387</v>
      </c>
      <c r="L21" s="43" t="s">
        <v>388</v>
      </c>
      <c r="M21" s="43" t="s">
        <v>389</v>
      </c>
      <c r="N21" s="44" t="s">
        <v>391</v>
      </c>
      <c r="O21" s="43" t="s">
        <v>392</v>
      </c>
      <c r="P21" s="43" t="s">
        <v>393</v>
      </c>
      <c r="Q21" s="43" t="s">
        <v>394</v>
      </c>
      <c r="R21" s="43" t="s">
        <v>395</v>
      </c>
      <c r="S21" s="43" t="s">
        <v>396</v>
      </c>
      <c r="T21" s="43" t="s">
        <v>397</v>
      </c>
      <c r="U21" s="43" t="s">
        <v>398</v>
      </c>
      <c r="V21" s="45" t="s">
        <v>589</v>
      </c>
      <c r="W21" s="45" t="s">
        <v>590</v>
      </c>
      <c r="X21" s="45" t="s">
        <v>591</v>
      </c>
    </row>
    <row r="22" spans="1:24" x14ac:dyDescent="0.2">
      <c r="A22" s="43">
        <v>12</v>
      </c>
      <c r="B22" s="43">
        <v>20</v>
      </c>
      <c r="C22" s="43" t="s">
        <v>464</v>
      </c>
      <c r="D22" s="43" t="s">
        <v>476</v>
      </c>
      <c r="E22" s="43" t="s">
        <v>457</v>
      </c>
      <c r="F22" s="43" t="s">
        <v>477</v>
      </c>
      <c r="G22" s="43">
        <v>642</v>
      </c>
      <c r="H22" s="43">
        <v>644</v>
      </c>
      <c r="I22" s="43">
        <v>1299</v>
      </c>
      <c r="J22" s="43">
        <v>1110</v>
      </c>
      <c r="K22" s="43">
        <v>1110</v>
      </c>
      <c r="L22" s="43" t="s">
        <v>372</v>
      </c>
      <c r="M22" s="43" t="s">
        <v>478</v>
      </c>
      <c r="N22" s="44">
        <v>1.4591300000000001E-4</v>
      </c>
      <c r="O22" s="43" t="s">
        <v>405</v>
      </c>
      <c r="P22" s="43" t="s">
        <v>406</v>
      </c>
      <c r="Q22" s="43">
        <v>2</v>
      </c>
      <c r="R22" s="43">
        <v>10</v>
      </c>
      <c r="S22" s="43" t="s">
        <v>407</v>
      </c>
      <c r="T22" s="43" t="s">
        <v>434</v>
      </c>
      <c r="U22" s="43" t="s">
        <v>435</v>
      </c>
      <c r="V22" s="45">
        <v>11.234235</v>
      </c>
      <c r="W22" s="45">
        <v>0.6</v>
      </c>
      <c r="X22" s="45">
        <f t="shared" ref="X22:X38" si="1">N22*V22*(1-W22)</f>
        <v>6.5568837262200007E-4</v>
      </c>
    </row>
    <row r="23" spans="1:24" x14ac:dyDescent="0.2">
      <c r="A23" s="43">
        <v>12</v>
      </c>
      <c r="B23" s="43">
        <v>20</v>
      </c>
      <c r="C23" s="43" t="s">
        <v>464</v>
      </c>
      <c r="D23" s="43" t="s">
        <v>476</v>
      </c>
      <c r="E23" s="43" t="s">
        <v>457</v>
      </c>
      <c r="F23" s="43" t="s">
        <v>477</v>
      </c>
      <c r="G23" s="43">
        <v>2607</v>
      </c>
      <c r="H23" s="43">
        <v>2608</v>
      </c>
      <c r="I23" s="43">
        <v>2599</v>
      </c>
      <c r="J23" s="43">
        <v>1210</v>
      </c>
      <c r="K23" s="43">
        <v>1210</v>
      </c>
      <c r="L23" s="43" t="s">
        <v>372</v>
      </c>
      <c r="M23" s="43" t="s">
        <v>478</v>
      </c>
      <c r="N23" s="44">
        <v>0.13886000000000001</v>
      </c>
      <c r="O23" s="43" t="s">
        <v>405</v>
      </c>
      <c r="P23" s="43" t="s">
        <v>406</v>
      </c>
      <c r="Q23" s="43">
        <v>19</v>
      </c>
      <c r="R23" s="43">
        <v>10</v>
      </c>
      <c r="S23" s="43" t="s">
        <v>407</v>
      </c>
      <c r="T23" s="43" t="s">
        <v>436</v>
      </c>
      <c r="U23" s="43" t="s">
        <v>437</v>
      </c>
      <c r="V23" s="45">
        <v>23.305396999999999</v>
      </c>
      <c r="W23" s="45">
        <v>0.6</v>
      </c>
      <c r="X23" s="45">
        <f t="shared" si="1"/>
        <v>1.2944749709680001</v>
      </c>
    </row>
    <row r="24" spans="1:24" x14ac:dyDescent="0.2">
      <c r="A24" s="43">
        <v>12</v>
      </c>
      <c r="B24" s="43">
        <v>20</v>
      </c>
      <c r="C24" s="43" t="s">
        <v>464</v>
      </c>
      <c r="D24" s="43" t="s">
        <v>476</v>
      </c>
      <c r="E24" s="43" t="s">
        <v>457</v>
      </c>
      <c r="F24" s="43" t="s">
        <v>477</v>
      </c>
      <c r="G24" s="43">
        <v>4101</v>
      </c>
      <c r="H24" s="43">
        <v>4106</v>
      </c>
      <c r="I24" s="43">
        <v>4063</v>
      </c>
      <c r="J24" s="43">
        <v>1400</v>
      </c>
      <c r="K24" s="43">
        <v>1400</v>
      </c>
      <c r="L24" s="43" t="s">
        <v>372</v>
      </c>
      <c r="M24" s="43" t="s">
        <v>478</v>
      </c>
      <c r="N24" s="44">
        <v>1.0509499999999999E-3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408</v>
      </c>
      <c r="U24" s="43" t="s">
        <v>408</v>
      </c>
      <c r="V24" s="45">
        <v>7.8337940000000001</v>
      </c>
      <c r="W24" s="45">
        <v>0.6</v>
      </c>
      <c r="X24" s="45">
        <f t="shared" si="1"/>
        <v>3.2931703217200002E-3</v>
      </c>
    </row>
    <row r="25" spans="1:24" x14ac:dyDescent="0.2">
      <c r="A25" s="43">
        <v>12</v>
      </c>
      <c r="B25" s="43">
        <v>20</v>
      </c>
      <c r="C25" s="43" t="s">
        <v>464</v>
      </c>
      <c r="D25" s="43" t="s">
        <v>476</v>
      </c>
      <c r="E25" s="43" t="s">
        <v>457</v>
      </c>
      <c r="F25" s="43" t="s">
        <v>477</v>
      </c>
      <c r="G25" s="43">
        <v>4105</v>
      </c>
      <c r="H25" s="43">
        <v>4110</v>
      </c>
      <c r="I25" s="43">
        <v>4067</v>
      </c>
      <c r="J25" s="43">
        <v>1400</v>
      </c>
      <c r="K25" s="43">
        <v>1400</v>
      </c>
      <c r="L25" s="43" t="s">
        <v>372</v>
      </c>
      <c r="M25" s="43" t="s">
        <v>478</v>
      </c>
      <c r="N25" s="44">
        <v>0.163879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408</v>
      </c>
      <c r="U25" s="43" t="s">
        <v>408</v>
      </c>
      <c r="V25" s="45">
        <v>7.8337940000000001</v>
      </c>
      <c r="W25" s="45">
        <v>0.6</v>
      </c>
      <c r="X25" s="45">
        <f t="shared" si="1"/>
        <v>0.51351773077039997</v>
      </c>
    </row>
    <row r="26" spans="1:24" x14ac:dyDescent="0.2">
      <c r="A26" s="43">
        <v>12</v>
      </c>
      <c r="B26" s="43">
        <v>20</v>
      </c>
      <c r="C26" s="43" t="s">
        <v>464</v>
      </c>
      <c r="D26" s="43" t="s">
        <v>476</v>
      </c>
      <c r="E26" s="43" t="s">
        <v>457</v>
      </c>
      <c r="F26" s="43" t="s">
        <v>477</v>
      </c>
      <c r="G26" s="43">
        <v>4108</v>
      </c>
      <c r="H26" s="43">
        <v>4113</v>
      </c>
      <c r="I26" s="43">
        <v>4070</v>
      </c>
      <c r="J26" s="43">
        <v>1400</v>
      </c>
      <c r="K26" s="43">
        <v>1400</v>
      </c>
      <c r="L26" s="43" t="s">
        <v>372</v>
      </c>
      <c r="M26" s="43" t="s">
        <v>478</v>
      </c>
      <c r="N26" s="44">
        <v>2.8782700000000001E-2</v>
      </c>
      <c r="O26" s="43" t="s">
        <v>405</v>
      </c>
      <c r="P26" s="43" t="s">
        <v>406</v>
      </c>
      <c r="Q26" s="43">
        <v>3</v>
      </c>
      <c r="R26" s="43">
        <v>10</v>
      </c>
      <c r="S26" s="43" t="s">
        <v>407</v>
      </c>
      <c r="T26" s="43" t="s">
        <v>408</v>
      </c>
      <c r="U26" s="43" t="s">
        <v>408</v>
      </c>
      <c r="V26" s="45">
        <v>7.8337940000000001</v>
      </c>
      <c r="W26" s="45">
        <v>0.6</v>
      </c>
      <c r="X26" s="45">
        <f t="shared" si="1"/>
        <v>9.0191097025520015E-2</v>
      </c>
    </row>
    <row r="27" spans="1:24" x14ac:dyDescent="0.2">
      <c r="A27" s="43">
        <v>12</v>
      </c>
      <c r="B27" s="43">
        <v>20</v>
      </c>
      <c r="C27" s="43" t="s">
        <v>464</v>
      </c>
      <c r="D27" s="43" t="s">
        <v>476</v>
      </c>
      <c r="E27" s="43" t="s">
        <v>457</v>
      </c>
      <c r="F27" s="43" t="s">
        <v>477</v>
      </c>
      <c r="G27" s="43">
        <v>5759</v>
      </c>
      <c r="H27" s="43">
        <v>5764</v>
      </c>
      <c r="I27" s="43">
        <v>5698</v>
      </c>
      <c r="J27" s="43">
        <v>1900</v>
      </c>
      <c r="K27" s="43">
        <v>1900</v>
      </c>
      <c r="L27" s="43" t="s">
        <v>372</v>
      </c>
      <c r="M27" s="43" t="s">
        <v>478</v>
      </c>
      <c r="N27" s="44">
        <v>0.89424599999999999</v>
      </c>
      <c r="O27" s="43" t="s">
        <v>405</v>
      </c>
      <c r="P27" s="43" t="s">
        <v>406</v>
      </c>
      <c r="Q27" s="43">
        <v>70</v>
      </c>
      <c r="R27" s="43">
        <v>10</v>
      </c>
      <c r="S27" s="43" t="s">
        <v>407</v>
      </c>
      <c r="T27" s="43" t="s">
        <v>410</v>
      </c>
      <c r="U27" s="43" t="s">
        <v>411</v>
      </c>
      <c r="V27" s="45">
        <v>1.1817740000000001</v>
      </c>
      <c r="W27" s="45">
        <v>0.6</v>
      </c>
      <c r="X27" s="45">
        <f t="shared" si="1"/>
        <v>0.42271866896160004</v>
      </c>
    </row>
    <row r="28" spans="1:24" x14ac:dyDescent="0.2">
      <c r="A28" s="43">
        <v>12</v>
      </c>
      <c r="B28" s="43">
        <v>20</v>
      </c>
      <c r="C28" s="43" t="s">
        <v>464</v>
      </c>
      <c r="D28" s="43" t="s">
        <v>476</v>
      </c>
      <c r="E28" s="43" t="s">
        <v>457</v>
      </c>
      <c r="F28" s="43" t="s">
        <v>477</v>
      </c>
      <c r="G28" s="43">
        <v>7137</v>
      </c>
      <c r="H28" s="43">
        <v>7138</v>
      </c>
      <c r="I28" s="43">
        <v>7127</v>
      </c>
      <c r="J28" s="43">
        <v>2110</v>
      </c>
      <c r="K28" s="43">
        <v>2110</v>
      </c>
      <c r="L28" s="43" t="s">
        <v>372</v>
      </c>
      <c r="M28" s="43" t="s">
        <v>478</v>
      </c>
      <c r="N28" s="44">
        <v>5.4047499999999998E-2</v>
      </c>
      <c r="O28" s="43" t="s">
        <v>405</v>
      </c>
      <c r="P28" s="43" t="s">
        <v>406</v>
      </c>
      <c r="Q28" s="43">
        <v>26</v>
      </c>
      <c r="R28" s="43">
        <v>21</v>
      </c>
      <c r="S28" s="43" t="s">
        <v>446</v>
      </c>
      <c r="T28" s="43" t="s">
        <v>447</v>
      </c>
      <c r="U28" s="43" t="s">
        <v>446</v>
      </c>
      <c r="V28" s="45">
        <v>12.944876000000001</v>
      </c>
      <c r="W28" s="45">
        <v>0.6</v>
      </c>
      <c r="X28" s="45">
        <f t="shared" si="1"/>
        <v>0.27985527424400003</v>
      </c>
    </row>
    <row r="29" spans="1:24" x14ac:dyDescent="0.2">
      <c r="A29" s="43">
        <v>12</v>
      </c>
      <c r="B29" s="43">
        <v>20</v>
      </c>
      <c r="C29" s="43" t="s">
        <v>464</v>
      </c>
      <c r="D29" s="43" t="s">
        <v>476</v>
      </c>
      <c r="E29" s="43" t="s">
        <v>457</v>
      </c>
      <c r="F29" s="43" t="s">
        <v>477</v>
      </c>
      <c r="G29" s="43">
        <v>26911</v>
      </c>
      <c r="H29" s="43">
        <v>26912</v>
      </c>
      <c r="I29" s="43">
        <v>26902</v>
      </c>
      <c r="J29" s="43">
        <v>6172</v>
      </c>
      <c r="K29" s="43">
        <v>6172</v>
      </c>
      <c r="L29" s="43" t="s">
        <v>372</v>
      </c>
      <c r="M29" s="43" t="s">
        <v>478</v>
      </c>
      <c r="N29" s="44">
        <v>2.9739399999999999E-2</v>
      </c>
      <c r="O29" s="43" t="s">
        <v>405</v>
      </c>
      <c r="P29" s="43" t="s">
        <v>406</v>
      </c>
      <c r="Q29" s="43">
        <v>12</v>
      </c>
      <c r="R29" s="43">
        <v>60</v>
      </c>
      <c r="S29" s="43" t="s">
        <v>417</v>
      </c>
      <c r="T29" s="43" t="s">
        <v>479</v>
      </c>
      <c r="U29" s="43" t="s">
        <v>480</v>
      </c>
      <c r="V29" s="45">
        <v>6.1431250000000004</v>
      </c>
      <c r="W29" s="45">
        <v>0.6</v>
      </c>
      <c r="X29" s="45">
        <f t="shared" si="1"/>
        <v>7.3077140650000011E-2</v>
      </c>
    </row>
    <row r="30" spans="1:24" x14ac:dyDescent="0.2">
      <c r="A30" s="43">
        <v>12</v>
      </c>
      <c r="B30" s="43">
        <v>20</v>
      </c>
      <c r="C30" s="43" t="s">
        <v>464</v>
      </c>
      <c r="D30" s="43" t="s">
        <v>476</v>
      </c>
      <c r="E30" s="43" t="s">
        <v>457</v>
      </c>
      <c r="F30" s="43" t="s">
        <v>477</v>
      </c>
      <c r="G30" s="43">
        <v>52697</v>
      </c>
      <c r="H30" s="43">
        <v>52702</v>
      </c>
      <c r="I30" s="43">
        <v>52668</v>
      </c>
      <c r="J30" s="43">
        <v>8140</v>
      </c>
      <c r="K30" s="43">
        <v>8140</v>
      </c>
      <c r="L30" s="43" t="s">
        <v>372</v>
      </c>
      <c r="M30" s="43" t="s">
        <v>478</v>
      </c>
      <c r="N30" s="44">
        <v>5.06304</v>
      </c>
      <c r="O30" s="43" t="s">
        <v>405</v>
      </c>
      <c r="P30" s="43" t="s">
        <v>406</v>
      </c>
      <c r="Q30" s="43">
        <v>18</v>
      </c>
      <c r="R30" s="43">
        <v>10</v>
      </c>
      <c r="S30" s="43" t="s">
        <v>407</v>
      </c>
      <c r="T30" s="43" t="s">
        <v>420</v>
      </c>
      <c r="U30" s="43" t="s">
        <v>421</v>
      </c>
      <c r="V30" s="45">
        <v>3.4929570000000001</v>
      </c>
      <c r="W30" s="45">
        <v>0.6</v>
      </c>
      <c r="X30" s="45">
        <f t="shared" si="1"/>
        <v>7.0739924037120012</v>
      </c>
    </row>
    <row r="31" spans="1:24" x14ac:dyDescent="0.2">
      <c r="A31" s="43">
        <v>13</v>
      </c>
      <c r="B31" s="43">
        <v>22</v>
      </c>
      <c r="C31" s="43" t="s">
        <v>5</v>
      </c>
      <c r="D31" s="43" t="s">
        <v>476</v>
      </c>
      <c r="E31" s="43" t="s">
        <v>5</v>
      </c>
      <c r="F31" s="43" t="s">
        <v>481</v>
      </c>
      <c r="G31" s="43">
        <v>2607</v>
      </c>
      <c r="H31" s="43">
        <v>2608</v>
      </c>
      <c r="I31" s="43">
        <v>2599</v>
      </c>
      <c r="J31" s="43">
        <v>1210</v>
      </c>
      <c r="K31" s="43">
        <v>1210</v>
      </c>
      <c r="L31" s="43" t="s">
        <v>372</v>
      </c>
      <c r="M31" s="43" t="s">
        <v>478</v>
      </c>
      <c r="N31" s="44">
        <v>0.54254100000000005</v>
      </c>
      <c r="O31" s="43" t="s">
        <v>405</v>
      </c>
      <c r="P31" s="43" t="s">
        <v>406</v>
      </c>
      <c r="Q31" s="43">
        <v>19</v>
      </c>
      <c r="R31" s="43">
        <v>10</v>
      </c>
      <c r="S31" s="43" t="s">
        <v>407</v>
      </c>
      <c r="T31" s="43" t="s">
        <v>436</v>
      </c>
      <c r="U31" s="43" t="s">
        <v>437</v>
      </c>
      <c r="V31" s="45">
        <v>23.305396999999999</v>
      </c>
      <c r="W31" s="45">
        <v>0.6</v>
      </c>
      <c r="X31" s="45">
        <f t="shared" si="1"/>
        <v>5.0576533575108007</v>
      </c>
    </row>
    <row r="32" spans="1:24" x14ac:dyDescent="0.2">
      <c r="A32" s="43">
        <v>13</v>
      </c>
      <c r="B32" s="43">
        <v>22</v>
      </c>
      <c r="C32" s="43" t="s">
        <v>5</v>
      </c>
      <c r="D32" s="43" t="s">
        <v>476</v>
      </c>
      <c r="E32" s="43" t="s">
        <v>5</v>
      </c>
      <c r="F32" s="43" t="s">
        <v>481</v>
      </c>
      <c r="G32" s="43">
        <v>4111</v>
      </c>
      <c r="H32" s="43">
        <v>4116</v>
      </c>
      <c r="I32" s="43">
        <v>4073</v>
      </c>
      <c r="J32" s="43">
        <v>1400</v>
      </c>
      <c r="K32" s="43">
        <v>1400</v>
      </c>
      <c r="L32" s="43" t="s">
        <v>372</v>
      </c>
      <c r="M32" s="43" t="s">
        <v>478</v>
      </c>
      <c r="N32" s="44">
        <v>2.4493600000000001E-2</v>
      </c>
      <c r="O32" s="43" t="s">
        <v>405</v>
      </c>
      <c r="P32" s="43" t="s">
        <v>406</v>
      </c>
      <c r="Q32" s="43">
        <v>3</v>
      </c>
      <c r="R32" s="43">
        <v>10</v>
      </c>
      <c r="S32" s="43" t="s">
        <v>407</v>
      </c>
      <c r="T32" s="43" t="s">
        <v>408</v>
      </c>
      <c r="U32" s="43" t="s">
        <v>408</v>
      </c>
      <c r="V32" s="45">
        <v>7.8337940000000001</v>
      </c>
      <c r="W32" s="45">
        <v>0.6</v>
      </c>
      <c r="X32" s="45">
        <f t="shared" si="1"/>
        <v>7.6751126687360005E-2</v>
      </c>
    </row>
    <row r="33" spans="1:24" x14ac:dyDescent="0.2">
      <c r="A33" s="43">
        <v>13</v>
      </c>
      <c r="B33" s="43">
        <v>22</v>
      </c>
      <c r="C33" s="43" t="s">
        <v>5</v>
      </c>
      <c r="D33" s="43" t="s">
        <v>476</v>
      </c>
      <c r="E33" s="43" t="s">
        <v>5</v>
      </c>
      <c r="F33" s="43" t="s">
        <v>481</v>
      </c>
      <c r="G33" s="43">
        <v>41029</v>
      </c>
      <c r="H33" s="43">
        <v>41030</v>
      </c>
      <c r="I33" s="43">
        <v>40991</v>
      </c>
      <c r="J33" s="43">
        <v>6410</v>
      </c>
      <c r="K33" s="43">
        <v>6410</v>
      </c>
      <c r="L33" s="43" t="s">
        <v>372</v>
      </c>
      <c r="M33" s="43" t="s">
        <v>478</v>
      </c>
      <c r="N33" s="44">
        <v>1.73638E-3</v>
      </c>
      <c r="O33" s="43" t="s">
        <v>405</v>
      </c>
      <c r="P33" s="43" t="s">
        <v>406</v>
      </c>
      <c r="Q33" s="43">
        <v>16</v>
      </c>
      <c r="R33" s="43">
        <v>60</v>
      </c>
      <c r="S33" s="43" t="s">
        <v>417</v>
      </c>
      <c r="T33" s="43" t="s">
        <v>482</v>
      </c>
      <c r="U33" s="43" t="s">
        <v>443</v>
      </c>
      <c r="V33" s="45">
        <v>7.079313</v>
      </c>
      <c r="W33" s="45">
        <v>0.6</v>
      </c>
      <c r="X33" s="45">
        <f t="shared" si="1"/>
        <v>4.9169510027760009E-3</v>
      </c>
    </row>
    <row r="34" spans="1:24" x14ac:dyDescent="0.2">
      <c r="A34" s="43">
        <v>13</v>
      </c>
      <c r="B34" s="43">
        <v>22</v>
      </c>
      <c r="C34" s="43" t="s">
        <v>5</v>
      </c>
      <c r="D34" s="43" t="s">
        <v>476</v>
      </c>
      <c r="E34" s="43" t="s">
        <v>5</v>
      </c>
      <c r="F34" s="43" t="s">
        <v>481</v>
      </c>
      <c r="G34" s="43">
        <v>52697</v>
      </c>
      <c r="H34" s="43">
        <v>52702</v>
      </c>
      <c r="I34" s="43">
        <v>52668</v>
      </c>
      <c r="J34" s="43">
        <v>8140</v>
      </c>
      <c r="K34" s="43">
        <v>8140</v>
      </c>
      <c r="L34" s="43" t="s">
        <v>372</v>
      </c>
      <c r="M34" s="43" t="s">
        <v>478</v>
      </c>
      <c r="N34" s="44">
        <v>2.2764000000000002</v>
      </c>
      <c r="O34" s="43" t="s">
        <v>405</v>
      </c>
      <c r="P34" s="43" t="s">
        <v>406</v>
      </c>
      <c r="Q34" s="43">
        <v>18</v>
      </c>
      <c r="R34" s="43">
        <v>10</v>
      </c>
      <c r="S34" s="43" t="s">
        <v>407</v>
      </c>
      <c r="T34" s="43" t="s">
        <v>420</v>
      </c>
      <c r="U34" s="43" t="s">
        <v>421</v>
      </c>
      <c r="V34" s="45">
        <v>3.4929570000000001</v>
      </c>
      <c r="W34" s="45">
        <v>0.6</v>
      </c>
      <c r="X34" s="45">
        <f t="shared" si="1"/>
        <v>3.1805469259200003</v>
      </c>
    </row>
    <row r="35" spans="1:24" x14ac:dyDescent="0.2">
      <c r="A35" s="43">
        <v>14</v>
      </c>
      <c r="B35" s="43">
        <v>23</v>
      </c>
      <c r="C35" s="43" t="s">
        <v>5</v>
      </c>
      <c r="D35" s="43" t="s">
        <v>476</v>
      </c>
      <c r="E35" s="43" t="s">
        <v>5</v>
      </c>
      <c r="F35" s="43" t="s">
        <v>483</v>
      </c>
      <c r="G35" s="43">
        <v>4115</v>
      </c>
      <c r="H35" s="43">
        <v>4120</v>
      </c>
      <c r="I35" s="43">
        <v>4077</v>
      </c>
      <c r="J35" s="43">
        <v>1400</v>
      </c>
      <c r="K35" s="43">
        <v>1400</v>
      </c>
      <c r="L35" s="43" t="s">
        <v>372</v>
      </c>
      <c r="M35" s="43" t="s">
        <v>478</v>
      </c>
      <c r="N35" s="44">
        <v>7.3930200000000001E-2</v>
      </c>
      <c r="O35" s="43" t="s">
        <v>405</v>
      </c>
      <c r="P35" s="43" t="s">
        <v>406</v>
      </c>
      <c r="Q35" s="43">
        <v>3</v>
      </c>
      <c r="R35" s="43">
        <v>10</v>
      </c>
      <c r="S35" s="43" t="s">
        <v>407</v>
      </c>
      <c r="T35" s="43" t="s">
        <v>408</v>
      </c>
      <c r="U35" s="43" t="s">
        <v>408</v>
      </c>
      <c r="V35" s="45">
        <v>7.8337940000000001</v>
      </c>
      <c r="W35" s="45">
        <v>0.6</v>
      </c>
      <c r="X35" s="45">
        <f t="shared" si="1"/>
        <v>0.23166158287152003</v>
      </c>
    </row>
    <row r="36" spans="1:24" x14ac:dyDescent="0.2">
      <c r="A36" s="43">
        <v>14</v>
      </c>
      <c r="B36" s="43">
        <v>23</v>
      </c>
      <c r="C36" s="43" t="s">
        <v>5</v>
      </c>
      <c r="D36" s="43" t="s">
        <v>476</v>
      </c>
      <c r="E36" s="43" t="s">
        <v>5</v>
      </c>
      <c r="F36" s="43" t="s">
        <v>483</v>
      </c>
      <c r="G36" s="43">
        <v>14835</v>
      </c>
      <c r="H36" s="43">
        <v>14836</v>
      </c>
      <c r="I36" s="43">
        <v>14757</v>
      </c>
      <c r="J36" s="43">
        <v>3200</v>
      </c>
      <c r="K36" s="43">
        <v>3200</v>
      </c>
      <c r="L36" s="43" t="s">
        <v>372</v>
      </c>
      <c r="M36" s="43" t="s">
        <v>478</v>
      </c>
      <c r="N36" s="44">
        <v>3.8222799999999999E-3</v>
      </c>
      <c r="O36" s="43" t="s">
        <v>405</v>
      </c>
      <c r="P36" s="43" t="s">
        <v>406</v>
      </c>
      <c r="Q36" s="43">
        <v>5</v>
      </c>
      <c r="R36" s="43">
        <v>30</v>
      </c>
      <c r="S36" s="43" t="s">
        <v>455</v>
      </c>
      <c r="T36" s="43" t="s">
        <v>456</v>
      </c>
      <c r="U36" s="43" t="s">
        <v>414</v>
      </c>
      <c r="V36" s="45">
        <v>8.1290569999999995</v>
      </c>
      <c r="W36" s="45">
        <v>0.6</v>
      </c>
      <c r="X36" s="45">
        <f t="shared" si="1"/>
        <v>1.2428612795984E-2</v>
      </c>
    </row>
    <row r="37" spans="1:24" x14ac:dyDescent="0.2">
      <c r="A37" s="43">
        <v>14</v>
      </c>
      <c r="B37" s="43">
        <v>23</v>
      </c>
      <c r="C37" s="43" t="s">
        <v>5</v>
      </c>
      <c r="D37" s="43" t="s">
        <v>476</v>
      </c>
      <c r="E37" s="43" t="s">
        <v>5</v>
      </c>
      <c r="F37" s="43" t="s">
        <v>483</v>
      </c>
      <c r="G37" s="43">
        <v>26928</v>
      </c>
      <c r="H37" s="43">
        <v>26929</v>
      </c>
      <c r="I37" s="43">
        <v>26919</v>
      </c>
      <c r="J37" s="43">
        <v>6172</v>
      </c>
      <c r="K37" s="43">
        <v>6172</v>
      </c>
      <c r="L37" s="43" t="s">
        <v>372</v>
      </c>
      <c r="M37" s="43" t="s">
        <v>478</v>
      </c>
      <c r="N37" s="44">
        <v>0.12374300000000001</v>
      </c>
      <c r="O37" s="43" t="s">
        <v>405</v>
      </c>
      <c r="P37" s="43" t="s">
        <v>406</v>
      </c>
      <c r="Q37" s="43">
        <v>12</v>
      </c>
      <c r="R37" s="43">
        <v>60</v>
      </c>
      <c r="S37" s="43" t="s">
        <v>417</v>
      </c>
      <c r="T37" s="43" t="s">
        <v>479</v>
      </c>
      <c r="U37" s="43" t="s">
        <v>480</v>
      </c>
      <c r="V37" s="45">
        <v>6.1431250000000004</v>
      </c>
      <c r="W37" s="45">
        <v>0.6</v>
      </c>
      <c r="X37" s="45">
        <f t="shared" si="1"/>
        <v>0.30406748675000006</v>
      </c>
    </row>
    <row r="38" spans="1:24" x14ac:dyDescent="0.2">
      <c r="A38" s="43">
        <v>14</v>
      </c>
      <c r="B38" s="43">
        <v>23</v>
      </c>
      <c r="C38" s="43" t="s">
        <v>5</v>
      </c>
      <c r="D38" s="43" t="s">
        <v>476</v>
      </c>
      <c r="E38" s="43" t="s">
        <v>5</v>
      </c>
      <c r="F38" s="43" t="s">
        <v>483</v>
      </c>
      <c r="G38" s="43">
        <v>52697</v>
      </c>
      <c r="H38" s="43">
        <v>52702</v>
      </c>
      <c r="I38" s="43">
        <v>52668</v>
      </c>
      <c r="J38" s="43">
        <v>8140</v>
      </c>
      <c r="K38" s="43">
        <v>8140</v>
      </c>
      <c r="L38" s="43" t="s">
        <v>372</v>
      </c>
      <c r="M38" s="43" t="s">
        <v>478</v>
      </c>
      <c r="N38" s="44">
        <v>1.29064</v>
      </c>
      <c r="O38" s="43" t="s">
        <v>405</v>
      </c>
      <c r="P38" s="43" t="s">
        <v>406</v>
      </c>
      <c r="Q38" s="43">
        <v>18</v>
      </c>
      <c r="R38" s="43">
        <v>10</v>
      </c>
      <c r="S38" s="43" t="s">
        <v>407</v>
      </c>
      <c r="T38" s="43" t="s">
        <v>420</v>
      </c>
      <c r="U38" s="43" t="s">
        <v>421</v>
      </c>
      <c r="V38" s="45">
        <v>3.4929570000000001</v>
      </c>
      <c r="W38" s="45">
        <v>0.6</v>
      </c>
      <c r="X38" s="45">
        <f t="shared" si="1"/>
        <v>1.8032600089919999</v>
      </c>
    </row>
    <row r="39" spans="1:24" x14ac:dyDescent="0.2">
      <c r="X39" s="45">
        <f>SUM(X22:X38)</f>
        <v>20.423062197556305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opLeftCell="N1" workbookViewId="0">
      <selection activeCell="W12" sqref="W12:W1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15</v>
      </c>
      <c r="B2" s="43">
        <v>24</v>
      </c>
      <c r="C2" s="43" t="s">
        <v>464</v>
      </c>
      <c r="D2" s="43" t="s">
        <v>476</v>
      </c>
      <c r="E2" s="43" t="s">
        <v>424</v>
      </c>
      <c r="F2" s="43" t="s">
        <v>484</v>
      </c>
      <c r="G2" s="43">
        <v>2607</v>
      </c>
      <c r="H2" s="43">
        <v>2608</v>
      </c>
      <c r="I2" s="43">
        <v>2599</v>
      </c>
      <c r="J2" s="43">
        <v>1210</v>
      </c>
      <c r="K2" s="43">
        <v>1210</v>
      </c>
      <c r="L2" s="43" t="s">
        <v>372</v>
      </c>
      <c r="M2" s="43" t="s">
        <v>478</v>
      </c>
      <c r="N2" s="44">
        <v>0.17793500000000001</v>
      </c>
      <c r="O2" s="43" t="s">
        <v>405</v>
      </c>
      <c r="P2" s="43" t="s">
        <v>406</v>
      </c>
      <c r="Q2" s="43">
        <v>19</v>
      </c>
      <c r="R2" s="43">
        <v>10</v>
      </c>
      <c r="S2" s="43" t="s">
        <v>407</v>
      </c>
      <c r="T2" s="43" t="s">
        <v>436</v>
      </c>
      <c r="U2" s="43" t="s">
        <v>437</v>
      </c>
      <c r="V2" s="45">
        <v>0.60924900000000004</v>
      </c>
      <c r="W2" s="45">
        <v>0.78300000000000003</v>
      </c>
      <c r="X2" s="45">
        <f t="shared" ref="X2:X8" si="0">N2*V2*(1-W2)</f>
        <v>2.3524258416854998E-2</v>
      </c>
    </row>
    <row r="3" spans="1:24" x14ac:dyDescent="0.2">
      <c r="A3" s="43">
        <v>15</v>
      </c>
      <c r="B3" s="43">
        <v>24</v>
      </c>
      <c r="C3" s="43" t="s">
        <v>464</v>
      </c>
      <c r="D3" s="43" t="s">
        <v>476</v>
      </c>
      <c r="E3" s="43" t="s">
        <v>424</v>
      </c>
      <c r="F3" s="43" t="s">
        <v>484</v>
      </c>
      <c r="G3" s="43">
        <v>4114</v>
      </c>
      <c r="H3" s="43">
        <v>4119</v>
      </c>
      <c r="I3" s="43">
        <v>4076</v>
      </c>
      <c r="J3" s="43">
        <v>1400</v>
      </c>
      <c r="K3" s="43">
        <v>1400</v>
      </c>
      <c r="L3" s="43" t="s">
        <v>372</v>
      </c>
      <c r="M3" s="43" t="s">
        <v>478</v>
      </c>
      <c r="N3" s="44">
        <v>0.93457299999999999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 t="shared" si="0"/>
        <v>0.35997902253118391</v>
      </c>
    </row>
    <row r="4" spans="1:24" x14ac:dyDescent="0.2">
      <c r="A4" s="43">
        <v>15</v>
      </c>
      <c r="B4" s="43">
        <v>24</v>
      </c>
      <c r="C4" s="43" t="s">
        <v>464</v>
      </c>
      <c r="D4" s="43" t="s">
        <v>476</v>
      </c>
      <c r="E4" s="43" t="s">
        <v>424</v>
      </c>
      <c r="F4" s="43" t="s">
        <v>484</v>
      </c>
      <c r="G4" s="43">
        <v>5766</v>
      </c>
      <c r="H4" s="43">
        <v>5771</v>
      </c>
      <c r="I4" s="43">
        <v>5705</v>
      </c>
      <c r="J4" s="43">
        <v>1900</v>
      </c>
      <c r="K4" s="43">
        <v>1900</v>
      </c>
      <c r="L4" s="43" t="s">
        <v>372</v>
      </c>
      <c r="M4" s="43" t="s">
        <v>478</v>
      </c>
      <c r="N4" s="44">
        <v>0.109943</v>
      </c>
      <c r="O4" s="43" t="s">
        <v>405</v>
      </c>
      <c r="P4" s="43" t="s">
        <v>406</v>
      </c>
      <c r="Q4" s="43">
        <v>70</v>
      </c>
      <c r="R4" s="43">
        <v>10</v>
      </c>
      <c r="S4" s="43" t="s">
        <v>407</v>
      </c>
      <c r="T4" s="43" t="s">
        <v>410</v>
      </c>
      <c r="U4" s="43" t="s">
        <v>411</v>
      </c>
      <c r="V4" s="45">
        <v>0.19295699999999999</v>
      </c>
      <c r="W4" s="45">
        <v>0.78300000000000003</v>
      </c>
      <c r="X4" s="45">
        <f t="shared" si="0"/>
        <v>4.6034969048669985E-3</v>
      </c>
    </row>
    <row r="5" spans="1:24" x14ac:dyDescent="0.2">
      <c r="A5" s="43">
        <v>15</v>
      </c>
      <c r="B5" s="43">
        <v>24</v>
      </c>
      <c r="C5" s="43" t="s">
        <v>464</v>
      </c>
      <c r="D5" s="43" t="s">
        <v>476</v>
      </c>
      <c r="E5" s="43" t="s">
        <v>424</v>
      </c>
      <c r="F5" s="43" t="s">
        <v>484</v>
      </c>
      <c r="G5" s="43">
        <v>26927</v>
      </c>
      <c r="H5" s="43">
        <v>26928</v>
      </c>
      <c r="I5" s="43">
        <v>26918</v>
      </c>
      <c r="J5" s="43">
        <v>6172</v>
      </c>
      <c r="K5" s="43">
        <v>6172</v>
      </c>
      <c r="L5" s="43" t="s">
        <v>372</v>
      </c>
      <c r="M5" s="43" t="s">
        <v>478</v>
      </c>
      <c r="N5" s="44">
        <v>3.69499E-3</v>
      </c>
      <c r="O5" s="43" t="s">
        <v>405</v>
      </c>
      <c r="P5" s="43" t="s">
        <v>406</v>
      </c>
      <c r="Q5" s="43">
        <v>12</v>
      </c>
      <c r="R5" s="43">
        <v>60</v>
      </c>
      <c r="S5" s="43" t="s">
        <v>417</v>
      </c>
      <c r="T5" s="43" t="s">
        <v>479</v>
      </c>
      <c r="U5" s="43" t="s">
        <v>480</v>
      </c>
      <c r="V5" s="45">
        <v>0.596611</v>
      </c>
      <c r="W5" s="45">
        <v>0.78300000000000003</v>
      </c>
      <c r="X5" s="45">
        <f t="shared" si="0"/>
        <v>4.7837035431912996E-4</v>
      </c>
    </row>
    <row r="6" spans="1:24" x14ac:dyDescent="0.2">
      <c r="A6" s="43">
        <v>15</v>
      </c>
      <c r="B6" s="43">
        <v>24</v>
      </c>
      <c r="C6" s="43" t="s">
        <v>464</v>
      </c>
      <c r="D6" s="43" t="s">
        <v>476</v>
      </c>
      <c r="E6" s="43" t="s">
        <v>424</v>
      </c>
      <c r="F6" s="43" t="s">
        <v>484</v>
      </c>
      <c r="G6" s="43">
        <v>52697</v>
      </c>
      <c r="H6" s="43">
        <v>52702</v>
      </c>
      <c r="I6" s="43">
        <v>52668</v>
      </c>
      <c r="J6" s="43">
        <v>8140</v>
      </c>
      <c r="K6" s="43">
        <v>8140</v>
      </c>
      <c r="L6" s="43" t="s">
        <v>372</v>
      </c>
      <c r="M6" s="43" t="s">
        <v>478</v>
      </c>
      <c r="N6" s="44">
        <v>3.34964</v>
      </c>
      <c r="O6" s="43" t="s">
        <v>405</v>
      </c>
      <c r="P6" s="43" t="s">
        <v>406</v>
      </c>
      <c r="Q6" s="43">
        <v>18</v>
      </c>
      <c r="R6" s="43">
        <v>10</v>
      </c>
      <c r="S6" s="43" t="s">
        <v>407</v>
      </c>
      <c r="T6" s="43" t="s">
        <v>420</v>
      </c>
      <c r="U6" s="43" t="s">
        <v>421</v>
      </c>
      <c r="V6" s="45">
        <v>0.717032</v>
      </c>
      <c r="W6" s="45">
        <v>0.78300000000000003</v>
      </c>
      <c r="X6" s="45">
        <f t="shared" si="0"/>
        <v>0.52119039786015986</v>
      </c>
    </row>
    <row r="7" spans="1:24" x14ac:dyDescent="0.2">
      <c r="A7" s="43">
        <v>16</v>
      </c>
      <c r="B7" s="43">
        <v>27</v>
      </c>
      <c r="C7" s="43" t="s">
        <v>5</v>
      </c>
      <c r="D7" s="43" t="s">
        <v>476</v>
      </c>
      <c r="E7" s="43" t="s">
        <v>5</v>
      </c>
      <c r="F7" s="43" t="s">
        <v>485</v>
      </c>
      <c r="G7" s="43">
        <v>2607</v>
      </c>
      <c r="H7" s="43">
        <v>2608</v>
      </c>
      <c r="I7" s="43">
        <v>2599</v>
      </c>
      <c r="J7" s="43">
        <v>1210</v>
      </c>
      <c r="K7" s="43">
        <v>1210</v>
      </c>
      <c r="L7" s="43" t="s">
        <v>372</v>
      </c>
      <c r="M7" s="43" t="s">
        <v>478</v>
      </c>
      <c r="N7" s="44">
        <v>0.16411000000000001</v>
      </c>
      <c r="O7" s="43" t="s">
        <v>405</v>
      </c>
      <c r="P7" s="43" t="s">
        <v>406</v>
      </c>
      <c r="Q7" s="43">
        <v>19</v>
      </c>
      <c r="R7" s="43">
        <v>10</v>
      </c>
      <c r="S7" s="43" t="s">
        <v>407</v>
      </c>
      <c r="T7" s="43" t="s">
        <v>436</v>
      </c>
      <c r="U7" s="43" t="s">
        <v>437</v>
      </c>
      <c r="V7" s="45">
        <v>0.60924900000000004</v>
      </c>
      <c r="W7" s="45">
        <v>0.78300000000000003</v>
      </c>
      <c r="X7" s="45">
        <f t="shared" si="0"/>
        <v>2.169649618563E-2</v>
      </c>
    </row>
    <row r="8" spans="1:24" x14ac:dyDescent="0.2">
      <c r="A8" s="43">
        <v>16</v>
      </c>
      <c r="B8" s="43">
        <v>27</v>
      </c>
      <c r="C8" s="43" t="s">
        <v>5</v>
      </c>
      <c r="D8" s="43" t="s">
        <v>476</v>
      </c>
      <c r="E8" s="43" t="s">
        <v>5</v>
      </c>
      <c r="F8" s="43" t="s">
        <v>485</v>
      </c>
      <c r="G8" s="43">
        <v>52697</v>
      </c>
      <c r="H8" s="43">
        <v>52702</v>
      </c>
      <c r="I8" s="43">
        <v>52668</v>
      </c>
      <c r="J8" s="43">
        <v>8140</v>
      </c>
      <c r="K8" s="43">
        <v>8140</v>
      </c>
      <c r="L8" s="43" t="s">
        <v>372</v>
      </c>
      <c r="M8" s="43" t="s">
        <v>478</v>
      </c>
      <c r="N8" s="44">
        <v>0.68372100000000002</v>
      </c>
      <c r="O8" s="43" t="s">
        <v>405</v>
      </c>
      <c r="P8" s="43" t="s">
        <v>406</v>
      </c>
      <c r="Q8" s="43">
        <v>18</v>
      </c>
      <c r="R8" s="43">
        <v>10</v>
      </c>
      <c r="S8" s="43" t="s">
        <v>407</v>
      </c>
      <c r="T8" s="43" t="s">
        <v>420</v>
      </c>
      <c r="U8" s="43" t="s">
        <v>421</v>
      </c>
      <c r="V8" s="45">
        <v>0.717032</v>
      </c>
      <c r="W8" s="45">
        <v>0.78300000000000003</v>
      </c>
      <c r="X8" s="45">
        <f t="shared" si="0"/>
        <v>0.10638421442762398</v>
      </c>
    </row>
    <row r="9" spans="1:24" x14ac:dyDescent="0.2">
      <c r="N9" s="44">
        <f>SUM(N2:N8)</f>
        <v>5.4236169900000002</v>
      </c>
      <c r="X9" s="45">
        <f>SUM(X2:X8)</f>
        <v>1.0378562566806389</v>
      </c>
    </row>
    <row r="11" spans="1:24" x14ac:dyDescent="0.2">
      <c r="A11" s="43" t="s">
        <v>377</v>
      </c>
      <c r="B11" s="43" t="s">
        <v>378</v>
      </c>
      <c r="C11" s="43" t="s">
        <v>379</v>
      </c>
      <c r="D11" s="43" t="s">
        <v>380</v>
      </c>
      <c r="E11" s="43" t="s">
        <v>381</v>
      </c>
      <c r="F11" s="43" t="s">
        <v>382</v>
      </c>
      <c r="G11" s="43" t="s">
        <v>383</v>
      </c>
      <c r="H11" s="43" t="s">
        <v>384</v>
      </c>
      <c r="I11" s="43" t="s">
        <v>385</v>
      </c>
      <c r="J11" s="43" t="s">
        <v>386</v>
      </c>
      <c r="K11" s="43" t="s">
        <v>387</v>
      </c>
      <c r="L11" s="43" t="s">
        <v>388</v>
      </c>
      <c r="M11" s="43" t="s">
        <v>389</v>
      </c>
      <c r="N11" s="44" t="s">
        <v>391</v>
      </c>
      <c r="O11" s="43" t="s">
        <v>392</v>
      </c>
      <c r="P11" s="43" t="s">
        <v>393</v>
      </c>
      <c r="Q11" s="43" t="s">
        <v>394</v>
      </c>
      <c r="R11" s="43" t="s">
        <v>395</v>
      </c>
      <c r="S11" s="43" t="s">
        <v>396</v>
      </c>
      <c r="T11" s="43" t="s">
        <v>397</v>
      </c>
      <c r="U11" s="43" t="s">
        <v>398</v>
      </c>
      <c r="V11" s="45" t="s">
        <v>589</v>
      </c>
      <c r="W11" s="45" t="s">
        <v>590</v>
      </c>
      <c r="X11" s="45" t="s">
        <v>591</v>
      </c>
    </row>
    <row r="12" spans="1:24" x14ac:dyDescent="0.2">
      <c r="A12" s="43">
        <v>15</v>
      </c>
      <c r="B12" s="43">
        <v>24</v>
      </c>
      <c r="C12" s="43" t="s">
        <v>464</v>
      </c>
      <c r="D12" s="43" t="s">
        <v>476</v>
      </c>
      <c r="E12" s="43" t="s">
        <v>424</v>
      </c>
      <c r="F12" s="43" t="s">
        <v>484</v>
      </c>
      <c r="G12" s="43">
        <v>2607</v>
      </c>
      <c r="H12" s="43">
        <v>2608</v>
      </c>
      <c r="I12" s="43">
        <v>2599</v>
      </c>
      <c r="J12" s="43">
        <v>1210</v>
      </c>
      <c r="K12" s="43">
        <v>1210</v>
      </c>
      <c r="L12" s="43" t="s">
        <v>372</v>
      </c>
      <c r="M12" s="43" t="s">
        <v>478</v>
      </c>
      <c r="N12" s="44">
        <v>0.17793500000000001</v>
      </c>
      <c r="O12" s="43" t="s">
        <v>405</v>
      </c>
      <c r="P12" s="43" t="s">
        <v>406</v>
      </c>
      <c r="Q12" s="43">
        <v>19</v>
      </c>
      <c r="R12" s="43">
        <v>10</v>
      </c>
      <c r="S12" s="43" t="s">
        <v>407</v>
      </c>
      <c r="T12" s="43" t="s">
        <v>436</v>
      </c>
      <c r="U12" s="43" t="s">
        <v>437</v>
      </c>
      <c r="V12" s="45">
        <v>23.305396999999999</v>
      </c>
      <c r="W12" s="45">
        <v>0.6</v>
      </c>
      <c r="X12" s="45">
        <f t="shared" ref="X12:X18" si="1">N12*V12*(1-W12)</f>
        <v>1.6587383260780002</v>
      </c>
    </row>
    <row r="13" spans="1:24" x14ac:dyDescent="0.2">
      <c r="A13" s="43">
        <v>15</v>
      </c>
      <c r="B13" s="43">
        <v>24</v>
      </c>
      <c r="C13" s="43" t="s">
        <v>464</v>
      </c>
      <c r="D13" s="43" t="s">
        <v>476</v>
      </c>
      <c r="E13" s="43" t="s">
        <v>424</v>
      </c>
      <c r="F13" s="43" t="s">
        <v>484</v>
      </c>
      <c r="G13" s="43">
        <v>4114</v>
      </c>
      <c r="H13" s="43">
        <v>4119</v>
      </c>
      <c r="I13" s="43">
        <v>4076</v>
      </c>
      <c r="J13" s="43">
        <v>1400</v>
      </c>
      <c r="K13" s="43">
        <v>1400</v>
      </c>
      <c r="L13" s="43" t="s">
        <v>372</v>
      </c>
      <c r="M13" s="43" t="s">
        <v>478</v>
      </c>
      <c r="N13" s="44">
        <v>0.93457299999999999</v>
      </c>
      <c r="O13" s="43" t="s">
        <v>405</v>
      </c>
      <c r="P13" s="43" t="s">
        <v>406</v>
      </c>
      <c r="Q13" s="43">
        <v>3</v>
      </c>
      <c r="R13" s="43">
        <v>10</v>
      </c>
      <c r="S13" s="43" t="s">
        <v>407</v>
      </c>
      <c r="T13" s="43" t="s">
        <v>408</v>
      </c>
      <c r="U13" s="43" t="s">
        <v>408</v>
      </c>
      <c r="V13" s="45">
        <v>7.8337940000000001</v>
      </c>
      <c r="W13" s="45">
        <v>0.6</v>
      </c>
      <c r="X13" s="45">
        <f t="shared" si="1"/>
        <v>2.9285009439848002</v>
      </c>
    </row>
    <row r="14" spans="1:24" x14ac:dyDescent="0.2">
      <c r="A14" s="43">
        <v>15</v>
      </c>
      <c r="B14" s="43">
        <v>24</v>
      </c>
      <c r="C14" s="43" t="s">
        <v>464</v>
      </c>
      <c r="D14" s="43" t="s">
        <v>476</v>
      </c>
      <c r="E14" s="43" t="s">
        <v>424</v>
      </c>
      <c r="F14" s="43" t="s">
        <v>484</v>
      </c>
      <c r="G14" s="43">
        <v>5766</v>
      </c>
      <c r="H14" s="43">
        <v>5771</v>
      </c>
      <c r="I14" s="43">
        <v>5705</v>
      </c>
      <c r="J14" s="43">
        <v>1900</v>
      </c>
      <c r="K14" s="43">
        <v>1900</v>
      </c>
      <c r="L14" s="43" t="s">
        <v>372</v>
      </c>
      <c r="M14" s="43" t="s">
        <v>478</v>
      </c>
      <c r="N14" s="44">
        <v>0.109943</v>
      </c>
      <c r="O14" s="43" t="s">
        <v>405</v>
      </c>
      <c r="P14" s="43" t="s">
        <v>406</v>
      </c>
      <c r="Q14" s="43">
        <v>70</v>
      </c>
      <c r="R14" s="43">
        <v>10</v>
      </c>
      <c r="S14" s="43" t="s">
        <v>407</v>
      </c>
      <c r="T14" s="43" t="s">
        <v>410</v>
      </c>
      <c r="U14" s="43" t="s">
        <v>411</v>
      </c>
      <c r="V14" s="45">
        <v>1.1817740000000001</v>
      </c>
      <c r="W14" s="45">
        <v>0.6</v>
      </c>
      <c r="X14" s="45">
        <f t="shared" si="1"/>
        <v>5.1971111552800014E-2</v>
      </c>
    </row>
    <row r="15" spans="1:24" x14ac:dyDescent="0.2">
      <c r="A15" s="43">
        <v>15</v>
      </c>
      <c r="B15" s="43">
        <v>24</v>
      </c>
      <c r="C15" s="43" t="s">
        <v>464</v>
      </c>
      <c r="D15" s="43" t="s">
        <v>476</v>
      </c>
      <c r="E15" s="43" t="s">
        <v>424</v>
      </c>
      <c r="F15" s="43" t="s">
        <v>484</v>
      </c>
      <c r="G15" s="43">
        <v>26927</v>
      </c>
      <c r="H15" s="43">
        <v>26928</v>
      </c>
      <c r="I15" s="43">
        <v>26918</v>
      </c>
      <c r="J15" s="43">
        <v>6172</v>
      </c>
      <c r="K15" s="43">
        <v>6172</v>
      </c>
      <c r="L15" s="43" t="s">
        <v>372</v>
      </c>
      <c r="M15" s="43" t="s">
        <v>478</v>
      </c>
      <c r="N15" s="44">
        <v>3.69499E-3</v>
      </c>
      <c r="O15" s="43" t="s">
        <v>405</v>
      </c>
      <c r="P15" s="43" t="s">
        <v>406</v>
      </c>
      <c r="Q15" s="43">
        <v>12</v>
      </c>
      <c r="R15" s="43">
        <v>60</v>
      </c>
      <c r="S15" s="43" t="s">
        <v>417</v>
      </c>
      <c r="T15" s="43" t="s">
        <v>479</v>
      </c>
      <c r="U15" s="43" t="s">
        <v>480</v>
      </c>
      <c r="V15" s="45">
        <v>6.1431250000000004</v>
      </c>
      <c r="W15" s="45">
        <v>0.6</v>
      </c>
      <c r="X15" s="45">
        <f t="shared" si="1"/>
        <v>9.0795141775000011E-3</v>
      </c>
    </row>
    <row r="16" spans="1:24" x14ac:dyDescent="0.2">
      <c r="A16" s="43">
        <v>15</v>
      </c>
      <c r="B16" s="43">
        <v>24</v>
      </c>
      <c r="C16" s="43" t="s">
        <v>464</v>
      </c>
      <c r="D16" s="43" t="s">
        <v>476</v>
      </c>
      <c r="E16" s="43" t="s">
        <v>424</v>
      </c>
      <c r="F16" s="43" t="s">
        <v>484</v>
      </c>
      <c r="G16" s="43">
        <v>52697</v>
      </c>
      <c r="H16" s="43">
        <v>52702</v>
      </c>
      <c r="I16" s="43">
        <v>52668</v>
      </c>
      <c r="J16" s="43">
        <v>8140</v>
      </c>
      <c r="K16" s="43">
        <v>8140</v>
      </c>
      <c r="L16" s="43" t="s">
        <v>372</v>
      </c>
      <c r="M16" s="43" t="s">
        <v>478</v>
      </c>
      <c r="N16" s="44">
        <v>3.34964</v>
      </c>
      <c r="O16" s="43" t="s">
        <v>405</v>
      </c>
      <c r="P16" s="43" t="s">
        <v>406</v>
      </c>
      <c r="Q16" s="43">
        <v>18</v>
      </c>
      <c r="R16" s="43">
        <v>10</v>
      </c>
      <c r="S16" s="43" t="s">
        <v>407</v>
      </c>
      <c r="T16" s="43" t="s">
        <v>420</v>
      </c>
      <c r="U16" s="43" t="s">
        <v>421</v>
      </c>
      <c r="V16" s="45">
        <v>3.4929570000000001</v>
      </c>
      <c r="W16" s="45">
        <v>0.6</v>
      </c>
      <c r="X16" s="45">
        <f t="shared" si="1"/>
        <v>4.6800593941919999</v>
      </c>
    </row>
    <row r="17" spans="1:24" x14ac:dyDescent="0.2">
      <c r="A17" s="43">
        <v>16</v>
      </c>
      <c r="B17" s="43">
        <v>27</v>
      </c>
      <c r="C17" s="43" t="s">
        <v>5</v>
      </c>
      <c r="D17" s="43" t="s">
        <v>476</v>
      </c>
      <c r="E17" s="43" t="s">
        <v>5</v>
      </c>
      <c r="F17" s="43" t="s">
        <v>485</v>
      </c>
      <c r="G17" s="43">
        <v>2607</v>
      </c>
      <c r="H17" s="43">
        <v>2608</v>
      </c>
      <c r="I17" s="43">
        <v>2599</v>
      </c>
      <c r="J17" s="43">
        <v>1210</v>
      </c>
      <c r="K17" s="43">
        <v>1210</v>
      </c>
      <c r="L17" s="43" t="s">
        <v>372</v>
      </c>
      <c r="M17" s="43" t="s">
        <v>478</v>
      </c>
      <c r="N17" s="44">
        <v>0.16411000000000001</v>
      </c>
      <c r="O17" s="43" t="s">
        <v>405</v>
      </c>
      <c r="P17" s="43" t="s">
        <v>406</v>
      </c>
      <c r="Q17" s="43">
        <v>19</v>
      </c>
      <c r="R17" s="43">
        <v>10</v>
      </c>
      <c r="S17" s="43" t="s">
        <v>407</v>
      </c>
      <c r="T17" s="43" t="s">
        <v>436</v>
      </c>
      <c r="U17" s="43" t="s">
        <v>437</v>
      </c>
      <c r="V17" s="45">
        <v>23.305396999999999</v>
      </c>
      <c r="W17" s="45">
        <v>0.6</v>
      </c>
      <c r="X17" s="45">
        <f t="shared" si="1"/>
        <v>1.5298594806680001</v>
      </c>
    </row>
    <row r="18" spans="1:24" x14ac:dyDescent="0.2">
      <c r="A18" s="43">
        <v>16</v>
      </c>
      <c r="B18" s="43">
        <v>27</v>
      </c>
      <c r="C18" s="43" t="s">
        <v>5</v>
      </c>
      <c r="D18" s="43" t="s">
        <v>476</v>
      </c>
      <c r="E18" s="43" t="s">
        <v>5</v>
      </c>
      <c r="F18" s="43" t="s">
        <v>485</v>
      </c>
      <c r="G18" s="43">
        <v>52697</v>
      </c>
      <c r="H18" s="43">
        <v>52702</v>
      </c>
      <c r="I18" s="43">
        <v>52668</v>
      </c>
      <c r="J18" s="43">
        <v>8140</v>
      </c>
      <c r="K18" s="43">
        <v>8140</v>
      </c>
      <c r="L18" s="43" t="s">
        <v>372</v>
      </c>
      <c r="M18" s="43" t="s">
        <v>478</v>
      </c>
      <c r="N18" s="44">
        <v>0.68372100000000002</v>
      </c>
      <c r="O18" s="43" t="s">
        <v>405</v>
      </c>
      <c r="P18" s="43" t="s">
        <v>406</v>
      </c>
      <c r="Q18" s="43">
        <v>18</v>
      </c>
      <c r="R18" s="43">
        <v>10</v>
      </c>
      <c r="S18" s="43" t="s">
        <v>407</v>
      </c>
      <c r="T18" s="43" t="s">
        <v>420</v>
      </c>
      <c r="U18" s="43" t="s">
        <v>421</v>
      </c>
      <c r="V18" s="45">
        <v>3.4929570000000001</v>
      </c>
      <c r="W18" s="45">
        <v>0.6</v>
      </c>
      <c r="X18" s="45">
        <f t="shared" si="1"/>
        <v>0.95528322119880016</v>
      </c>
    </row>
    <row r="19" spans="1:24" x14ac:dyDescent="0.2">
      <c r="X19" s="45">
        <f>SUM(X12:X18)</f>
        <v>11.813491991851901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P1" workbookViewId="0">
      <selection activeCell="W15" sqref="W15:W23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17</v>
      </c>
      <c r="B2" s="43">
        <v>28</v>
      </c>
      <c r="C2" s="43" t="s">
        <v>464</v>
      </c>
      <c r="D2" s="43" t="s">
        <v>476</v>
      </c>
      <c r="E2" s="43" t="s">
        <v>444</v>
      </c>
      <c r="F2" s="43" t="s">
        <v>486</v>
      </c>
      <c r="G2" s="43">
        <v>4115</v>
      </c>
      <c r="H2" s="43">
        <v>4120</v>
      </c>
      <c r="I2" s="43">
        <v>4077</v>
      </c>
      <c r="J2" s="43">
        <v>1400</v>
      </c>
      <c r="K2" s="43">
        <v>1400</v>
      </c>
      <c r="L2" s="43" t="s">
        <v>372</v>
      </c>
      <c r="M2" s="43" t="s">
        <v>478</v>
      </c>
      <c r="N2" s="44">
        <v>8.2754599999999998E-2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 t="shared" ref="X2:X10" si="0">N2*V2*(1-W2)</f>
        <v>3.1875434040956795E-2</v>
      </c>
    </row>
    <row r="3" spans="1:24" x14ac:dyDescent="0.2">
      <c r="A3" s="43">
        <v>17</v>
      </c>
      <c r="B3" s="43">
        <v>28</v>
      </c>
      <c r="C3" s="43" t="s">
        <v>464</v>
      </c>
      <c r="D3" s="43" t="s">
        <v>476</v>
      </c>
      <c r="E3" s="43" t="s">
        <v>444</v>
      </c>
      <c r="F3" s="43" t="s">
        <v>486</v>
      </c>
      <c r="G3" s="43">
        <v>4118</v>
      </c>
      <c r="H3" s="43">
        <v>4123</v>
      </c>
      <c r="I3" s="43">
        <v>4080</v>
      </c>
      <c r="J3" s="43">
        <v>1400</v>
      </c>
      <c r="K3" s="43">
        <v>1400</v>
      </c>
      <c r="L3" s="43" t="s">
        <v>372</v>
      </c>
      <c r="M3" s="43" t="s">
        <v>478</v>
      </c>
      <c r="N3" s="44">
        <v>1.72993E-2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 t="shared" si="0"/>
        <v>6.6633479722543985E-3</v>
      </c>
    </row>
    <row r="4" spans="1:24" x14ac:dyDescent="0.2">
      <c r="A4" s="43">
        <v>17</v>
      </c>
      <c r="B4" s="43">
        <v>28</v>
      </c>
      <c r="C4" s="43" t="s">
        <v>464</v>
      </c>
      <c r="D4" s="43" t="s">
        <v>476</v>
      </c>
      <c r="E4" s="43" t="s">
        <v>444</v>
      </c>
      <c r="F4" s="43" t="s">
        <v>486</v>
      </c>
      <c r="G4" s="43">
        <v>4969</v>
      </c>
      <c r="H4" s="43">
        <v>4999</v>
      </c>
      <c r="I4" s="43">
        <v>4977</v>
      </c>
      <c r="J4" s="43">
        <v>1700</v>
      </c>
      <c r="K4" s="43">
        <v>1700</v>
      </c>
      <c r="L4" s="43" t="s">
        <v>372</v>
      </c>
      <c r="M4" s="43" t="s">
        <v>478</v>
      </c>
      <c r="N4" s="44">
        <v>1.50794E-2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450</v>
      </c>
      <c r="U4" s="43" t="s">
        <v>408</v>
      </c>
      <c r="V4" s="45">
        <v>1.7750239999999999</v>
      </c>
      <c r="W4" s="45">
        <v>0.78300000000000003</v>
      </c>
      <c r="X4" s="45">
        <f t="shared" si="0"/>
        <v>5.8082864285151992E-3</v>
      </c>
    </row>
    <row r="5" spans="1:24" x14ac:dyDescent="0.2">
      <c r="A5" s="43">
        <v>17</v>
      </c>
      <c r="B5" s="43">
        <v>28</v>
      </c>
      <c r="C5" s="43" t="s">
        <v>464</v>
      </c>
      <c r="D5" s="43" t="s">
        <v>476</v>
      </c>
      <c r="E5" s="43" t="s">
        <v>444</v>
      </c>
      <c r="F5" s="43" t="s">
        <v>486</v>
      </c>
      <c r="G5" s="43">
        <v>5227</v>
      </c>
      <c r="H5" s="43">
        <v>5257</v>
      </c>
      <c r="I5" s="43">
        <v>7143</v>
      </c>
      <c r="J5" s="43">
        <v>2110</v>
      </c>
      <c r="K5" s="43">
        <v>2110</v>
      </c>
      <c r="L5" s="43" t="s">
        <v>372</v>
      </c>
      <c r="M5" s="43" t="s">
        <v>478</v>
      </c>
      <c r="N5" s="44">
        <v>8.5649000000000003E-2</v>
      </c>
      <c r="O5" s="43" t="s">
        <v>405</v>
      </c>
      <c r="P5" s="43" t="s">
        <v>406</v>
      </c>
      <c r="Q5" s="43">
        <v>26</v>
      </c>
      <c r="R5" s="43">
        <v>21</v>
      </c>
      <c r="S5" s="43" t="s">
        <v>446</v>
      </c>
      <c r="T5" s="43" t="s">
        <v>447</v>
      </c>
      <c r="U5" s="43" t="s">
        <v>446</v>
      </c>
      <c r="V5" s="45">
        <v>1.671602</v>
      </c>
      <c r="W5" s="45">
        <v>0.78300000000000003</v>
      </c>
      <c r="X5" s="45">
        <f t="shared" si="0"/>
        <v>3.1068115614465999E-2</v>
      </c>
    </row>
    <row r="6" spans="1:24" x14ac:dyDescent="0.2">
      <c r="A6" s="43">
        <v>17</v>
      </c>
      <c r="B6" s="43">
        <v>28</v>
      </c>
      <c r="C6" s="43" t="s">
        <v>464</v>
      </c>
      <c r="D6" s="43" t="s">
        <v>476</v>
      </c>
      <c r="E6" s="43" t="s">
        <v>444</v>
      </c>
      <c r="F6" s="43" t="s">
        <v>486</v>
      </c>
      <c r="G6" s="43">
        <v>5228</v>
      </c>
      <c r="H6" s="43">
        <v>5258</v>
      </c>
      <c r="I6" s="43">
        <v>7144</v>
      </c>
      <c r="J6" s="43">
        <v>2110</v>
      </c>
      <c r="K6" s="43">
        <v>2110</v>
      </c>
      <c r="L6" s="43" t="s">
        <v>372</v>
      </c>
      <c r="M6" s="43" t="s">
        <v>478</v>
      </c>
      <c r="N6" s="44">
        <v>0.35249799999999998</v>
      </c>
      <c r="O6" s="43" t="s">
        <v>405</v>
      </c>
      <c r="P6" s="43" t="s">
        <v>406</v>
      </c>
      <c r="Q6" s="43">
        <v>26</v>
      </c>
      <c r="R6" s="43">
        <v>21</v>
      </c>
      <c r="S6" s="43" t="s">
        <v>446</v>
      </c>
      <c r="T6" s="43" t="s">
        <v>447</v>
      </c>
      <c r="U6" s="43" t="s">
        <v>446</v>
      </c>
      <c r="V6" s="45">
        <v>1.671602</v>
      </c>
      <c r="W6" s="45">
        <v>0.78300000000000003</v>
      </c>
      <c r="X6" s="45">
        <f t="shared" si="0"/>
        <v>0.127864290509732</v>
      </c>
    </row>
    <row r="7" spans="1:24" x14ac:dyDescent="0.2">
      <c r="A7" s="43">
        <v>17</v>
      </c>
      <c r="B7" s="43">
        <v>28</v>
      </c>
      <c r="C7" s="43" t="s">
        <v>464</v>
      </c>
      <c r="D7" s="43" t="s">
        <v>476</v>
      </c>
      <c r="E7" s="43" t="s">
        <v>444</v>
      </c>
      <c r="F7" s="43" t="s">
        <v>486</v>
      </c>
      <c r="G7" s="43">
        <v>5768</v>
      </c>
      <c r="H7" s="43">
        <v>5773</v>
      </c>
      <c r="I7" s="43">
        <v>5707</v>
      </c>
      <c r="J7" s="43">
        <v>1900</v>
      </c>
      <c r="K7" s="43">
        <v>1900</v>
      </c>
      <c r="L7" s="43" t="s">
        <v>372</v>
      </c>
      <c r="M7" s="43" t="s">
        <v>478</v>
      </c>
      <c r="N7" s="44">
        <v>0.115325</v>
      </c>
      <c r="O7" s="43" t="s">
        <v>405</v>
      </c>
      <c r="P7" s="43" t="s">
        <v>406</v>
      </c>
      <c r="Q7" s="43">
        <v>70</v>
      </c>
      <c r="R7" s="43">
        <v>10</v>
      </c>
      <c r="S7" s="43" t="s">
        <v>407</v>
      </c>
      <c r="T7" s="43" t="s">
        <v>410</v>
      </c>
      <c r="U7" s="43" t="s">
        <v>411</v>
      </c>
      <c r="V7" s="45">
        <v>0.19295699999999999</v>
      </c>
      <c r="W7" s="45">
        <v>0.78300000000000003</v>
      </c>
      <c r="X7" s="45">
        <f t="shared" si="0"/>
        <v>4.828850227424999E-3</v>
      </c>
    </row>
    <row r="8" spans="1:24" x14ac:dyDescent="0.2">
      <c r="A8" s="43">
        <v>17</v>
      </c>
      <c r="B8" s="43">
        <v>28</v>
      </c>
      <c r="C8" s="43" t="s">
        <v>464</v>
      </c>
      <c r="D8" s="43" t="s">
        <v>476</v>
      </c>
      <c r="E8" s="43" t="s">
        <v>444</v>
      </c>
      <c r="F8" s="43" t="s">
        <v>486</v>
      </c>
      <c r="G8" s="43">
        <v>5771</v>
      </c>
      <c r="H8" s="43">
        <v>5776</v>
      </c>
      <c r="I8" s="43">
        <v>5710</v>
      </c>
      <c r="J8" s="43">
        <v>1900</v>
      </c>
      <c r="K8" s="43">
        <v>1900</v>
      </c>
      <c r="L8" s="43" t="s">
        <v>372</v>
      </c>
      <c r="M8" s="43" t="s">
        <v>478</v>
      </c>
      <c r="N8" s="44">
        <v>1.6127699999999998E-2</v>
      </c>
      <c r="O8" s="43" t="s">
        <v>405</v>
      </c>
      <c r="P8" s="43" t="s">
        <v>406</v>
      </c>
      <c r="Q8" s="43">
        <v>70</v>
      </c>
      <c r="R8" s="43">
        <v>10</v>
      </c>
      <c r="S8" s="43" t="s">
        <v>407</v>
      </c>
      <c r="T8" s="43" t="s">
        <v>410</v>
      </c>
      <c r="U8" s="43" t="s">
        <v>411</v>
      </c>
      <c r="V8" s="45">
        <v>0.19295699999999999</v>
      </c>
      <c r="W8" s="45">
        <v>0.78300000000000003</v>
      </c>
      <c r="X8" s="45">
        <f t="shared" si="0"/>
        <v>6.7529371613129976E-4</v>
      </c>
    </row>
    <row r="9" spans="1:24" x14ac:dyDescent="0.2">
      <c r="A9" s="43">
        <v>17</v>
      </c>
      <c r="B9" s="43">
        <v>28</v>
      </c>
      <c r="C9" s="43" t="s">
        <v>464</v>
      </c>
      <c r="D9" s="43" t="s">
        <v>476</v>
      </c>
      <c r="E9" s="43" t="s">
        <v>444</v>
      </c>
      <c r="F9" s="43" t="s">
        <v>486</v>
      </c>
      <c r="G9" s="43">
        <v>50135</v>
      </c>
      <c r="H9" s="43">
        <v>50136</v>
      </c>
      <c r="I9" s="43">
        <v>50088</v>
      </c>
      <c r="J9" s="43">
        <v>6430</v>
      </c>
      <c r="K9" s="43">
        <v>6430</v>
      </c>
      <c r="L9" s="43" t="s">
        <v>372</v>
      </c>
      <c r="M9" s="43" t="s">
        <v>478</v>
      </c>
      <c r="N9" s="44">
        <v>0.68548399999999998</v>
      </c>
      <c r="O9" s="43" t="s">
        <v>405</v>
      </c>
      <c r="P9" s="43" t="s">
        <v>406</v>
      </c>
      <c r="Q9" s="43">
        <v>16</v>
      </c>
      <c r="R9" s="43">
        <v>60</v>
      </c>
      <c r="S9" s="43" t="s">
        <v>417</v>
      </c>
      <c r="T9" s="43" t="s">
        <v>487</v>
      </c>
      <c r="U9" s="43" t="s">
        <v>443</v>
      </c>
      <c r="V9" s="45">
        <v>0.78656000000000004</v>
      </c>
      <c r="W9" s="45">
        <v>0.78300000000000003</v>
      </c>
      <c r="X9" s="45">
        <f t="shared" si="0"/>
        <v>0.11700082202367999</v>
      </c>
    </row>
    <row r="10" spans="1:24" x14ac:dyDescent="0.2">
      <c r="A10" s="43">
        <v>17</v>
      </c>
      <c r="B10" s="43">
        <v>28</v>
      </c>
      <c r="C10" s="43" t="s">
        <v>464</v>
      </c>
      <c r="D10" s="43" t="s">
        <v>476</v>
      </c>
      <c r="E10" s="43" t="s">
        <v>444</v>
      </c>
      <c r="F10" s="43" t="s">
        <v>486</v>
      </c>
      <c r="G10" s="43">
        <v>52697</v>
      </c>
      <c r="H10" s="43">
        <v>52702</v>
      </c>
      <c r="I10" s="43">
        <v>52668</v>
      </c>
      <c r="J10" s="43">
        <v>8140</v>
      </c>
      <c r="K10" s="43">
        <v>8140</v>
      </c>
      <c r="L10" s="43" t="s">
        <v>372</v>
      </c>
      <c r="M10" s="43" t="s">
        <v>478</v>
      </c>
      <c r="N10" s="44">
        <v>5.0111999999999997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0.717032</v>
      </c>
      <c r="W10" s="45">
        <v>0.78300000000000003</v>
      </c>
      <c r="X10" s="45">
        <f t="shared" si="0"/>
        <v>0.77972239457279979</v>
      </c>
    </row>
    <row r="11" spans="1:24" x14ac:dyDescent="0.2">
      <c r="N11" s="44">
        <f>SUM(N2:N10)</f>
        <v>6.381416999999999</v>
      </c>
      <c r="X11" s="45">
        <f>SUM(X2:X10)</f>
        <v>1.1055068351059605</v>
      </c>
    </row>
    <row r="14" spans="1:24" x14ac:dyDescent="0.2">
      <c r="A14" s="43" t="s">
        <v>377</v>
      </c>
      <c r="B14" s="43" t="s">
        <v>378</v>
      </c>
      <c r="C14" s="43" t="s">
        <v>379</v>
      </c>
      <c r="D14" s="43" t="s">
        <v>380</v>
      </c>
      <c r="E14" s="43" t="s">
        <v>381</v>
      </c>
      <c r="F14" s="43" t="s">
        <v>382</v>
      </c>
      <c r="G14" s="43" t="s">
        <v>383</v>
      </c>
      <c r="H14" s="43" t="s">
        <v>384</v>
      </c>
      <c r="I14" s="43" t="s">
        <v>385</v>
      </c>
      <c r="J14" s="43" t="s">
        <v>386</v>
      </c>
      <c r="K14" s="43" t="s">
        <v>387</v>
      </c>
      <c r="L14" s="43" t="s">
        <v>388</v>
      </c>
      <c r="M14" s="43" t="s">
        <v>389</v>
      </c>
      <c r="N14" s="44" t="s">
        <v>391</v>
      </c>
      <c r="O14" s="43" t="s">
        <v>392</v>
      </c>
      <c r="P14" s="43" t="s">
        <v>393</v>
      </c>
      <c r="Q14" s="43" t="s">
        <v>394</v>
      </c>
      <c r="R14" s="43" t="s">
        <v>395</v>
      </c>
      <c r="S14" s="43" t="s">
        <v>396</v>
      </c>
      <c r="T14" s="43" t="s">
        <v>397</v>
      </c>
      <c r="U14" s="43" t="s">
        <v>398</v>
      </c>
      <c r="V14" s="45" t="s">
        <v>589</v>
      </c>
      <c r="W14" s="45" t="s">
        <v>590</v>
      </c>
      <c r="X14" s="45" t="s">
        <v>591</v>
      </c>
    </row>
    <row r="15" spans="1:24" x14ac:dyDescent="0.2">
      <c r="A15" s="43">
        <v>17</v>
      </c>
      <c r="B15" s="43">
        <v>28</v>
      </c>
      <c r="C15" s="43" t="s">
        <v>464</v>
      </c>
      <c r="D15" s="43" t="s">
        <v>476</v>
      </c>
      <c r="E15" s="43" t="s">
        <v>444</v>
      </c>
      <c r="F15" s="43" t="s">
        <v>486</v>
      </c>
      <c r="G15" s="43">
        <v>4115</v>
      </c>
      <c r="H15" s="43">
        <v>4120</v>
      </c>
      <c r="I15" s="43">
        <v>4077</v>
      </c>
      <c r="J15" s="43">
        <v>1400</v>
      </c>
      <c r="K15" s="43">
        <v>1400</v>
      </c>
      <c r="L15" s="43" t="s">
        <v>372</v>
      </c>
      <c r="M15" s="43" t="s">
        <v>478</v>
      </c>
      <c r="N15" s="44">
        <v>8.2754599999999998E-2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7.8337940000000001</v>
      </c>
      <c r="W15" s="45">
        <v>0.6</v>
      </c>
      <c r="X15" s="45">
        <f t="shared" ref="X15:X23" si="1">N15*V15*(1-W15)</f>
        <v>0.25931299558096005</v>
      </c>
    </row>
    <row r="16" spans="1:24" x14ac:dyDescent="0.2">
      <c r="A16" s="43">
        <v>17</v>
      </c>
      <c r="B16" s="43">
        <v>28</v>
      </c>
      <c r="C16" s="43" t="s">
        <v>464</v>
      </c>
      <c r="D16" s="43" t="s">
        <v>476</v>
      </c>
      <c r="E16" s="43" t="s">
        <v>444</v>
      </c>
      <c r="F16" s="43" t="s">
        <v>486</v>
      </c>
      <c r="G16" s="43">
        <v>4118</v>
      </c>
      <c r="H16" s="43">
        <v>4123</v>
      </c>
      <c r="I16" s="43">
        <v>4080</v>
      </c>
      <c r="J16" s="43">
        <v>1400</v>
      </c>
      <c r="K16" s="43">
        <v>1400</v>
      </c>
      <c r="L16" s="43" t="s">
        <v>372</v>
      </c>
      <c r="M16" s="43" t="s">
        <v>478</v>
      </c>
      <c r="N16" s="44">
        <v>1.72993E-2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7.8337940000000001</v>
      </c>
      <c r="W16" s="45">
        <v>0.6</v>
      </c>
      <c r="X16" s="45">
        <f t="shared" si="1"/>
        <v>5.4207661017680001E-2</v>
      </c>
    </row>
    <row r="17" spans="1:24" x14ac:dyDescent="0.2">
      <c r="A17" s="43">
        <v>17</v>
      </c>
      <c r="B17" s="43">
        <v>28</v>
      </c>
      <c r="C17" s="43" t="s">
        <v>464</v>
      </c>
      <c r="D17" s="43" t="s">
        <v>476</v>
      </c>
      <c r="E17" s="43" t="s">
        <v>444</v>
      </c>
      <c r="F17" s="43" t="s">
        <v>486</v>
      </c>
      <c r="G17" s="43">
        <v>4969</v>
      </c>
      <c r="H17" s="43">
        <v>4999</v>
      </c>
      <c r="I17" s="43">
        <v>4977</v>
      </c>
      <c r="J17" s="43">
        <v>1700</v>
      </c>
      <c r="K17" s="43">
        <v>1700</v>
      </c>
      <c r="L17" s="43" t="s">
        <v>372</v>
      </c>
      <c r="M17" s="43" t="s">
        <v>478</v>
      </c>
      <c r="N17" s="44">
        <v>1.50794E-2</v>
      </c>
      <c r="O17" s="43" t="s">
        <v>405</v>
      </c>
      <c r="P17" s="43" t="s">
        <v>406</v>
      </c>
      <c r="Q17" s="43">
        <v>3</v>
      </c>
      <c r="R17" s="43">
        <v>10</v>
      </c>
      <c r="S17" s="43" t="s">
        <v>407</v>
      </c>
      <c r="T17" s="43" t="s">
        <v>450</v>
      </c>
      <c r="U17" s="43" t="s">
        <v>408</v>
      </c>
      <c r="V17" s="45">
        <v>7.8337940000000001</v>
      </c>
      <c r="W17" s="45">
        <v>0.6</v>
      </c>
      <c r="X17" s="45">
        <f t="shared" si="1"/>
        <v>4.7251565297440005E-2</v>
      </c>
    </row>
    <row r="18" spans="1:24" x14ac:dyDescent="0.2">
      <c r="A18" s="43">
        <v>17</v>
      </c>
      <c r="B18" s="43">
        <v>28</v>
      </c>
      <c r="C18" s="43" t="s">
        <v>464</v>
      </c>
      <c r="D18" s="43" t="s">
        <v>476</v>
      </c>
      <c r="E18" s="43" t="s">
        <v>444</v>
      </c>
      <c r="F18" s="43" t="s">
        <v>486</v>
      </c>
      <c r="G18" s="43">
        <v>5227</v>
      </c>
      <c r="H18" s="43">
        <v>5257</v>
      </c>
      <c r="I18" s="43">
        <v>7143</v>
      </c>
      <c r="J18" s="43">
        <v>2110</v>
      </c>
      <c r="K18" s="43">
        <v>2110</v>
      </c>
      <c r="L18" s="43" t="s">
        <v>372</v>
      </c>
      <c r="M18" s="43" t="s">
        <v>478</v>
      </c>
      <c r="N18" s="44">
        <v>8.5649000000000003E-2</v>
      </c>
      <c r="O18" s="43" t="s">
        <v>405</v>
      </c>
      <c r="P18" s="43" t="s">
        <v>406</v>
      </c>
      <c r="Q18" s="43">
        <v>26</v>
      </c>
      <c r="R18" s="43">
        <v>21</v>
      </c>
      <c r="S18" s="43" t="s">
        <v>446</v>
      </c>
      <c r="T18" s="43" t="s">
        <v>447</v>
      </c>
      <c r="U18" s="43" t="s">
        <v>446</v>
      </c>
      <c r="V18" s="45">
        <v>12.944876000000001</v>
      </c>
      <c r="W18" s="45">
        <v>0.6</v>
      </c>
      <c r="X18" s="45">
        <f t="shared" si="1"/>
        <v>0.44348627380960004</v>
      </c>
    </row>
    <row r="19" spans="1:24" x14ac:dyDescent="0.2">
      <c r="A19" s="43">
        <v>17</v>
      </c>
      <c r="B19" s="43">
        <v>28</v>
      </c>
      <c r="C19" s="43" t="s">
        <v>464</v>
      </c>
      <c r="D19" s="43" t="s">
        <v>476</v>
      </c>
      <c r="E19" s="43" t="s">
        <v>444</v>
      </c>
      <c r="F19" s="43" t="s">
        <v>486</v>
      </c>
      <c r="G19" s="43">
        <v>5228</v>
      </c>
      <c r="H19" s="43">
        <v>5258</v>
      </c>
      <c r="I19" s="43">
        <v>7144</v>
      </c>
      <c r="J19" s="43">
        <v>2110</v>
      </c>
      <c r="K19" s="43">
        <v>2110</v>
      </c>
      <c r="L19" s="43" t="s">
        <v>372</v>
      </c>
      <c r="M19" s="43" t="s">
        <v>478</v>
      </c>
      <c r="N19" s="44">
        <v>0.35249799999999998</v>
      </c>
      <c r="O19" s="43" t="s">
        <v>405</v>
      </c>
      <c r="P19" s="43" t="s">
        <v>406</v>
      </c>
      <c r="Q19" s="43">
        <v>26</v>
      </c>
      <c r="R19" s="43">
        <v>21</v>
      </c>
      <c r="S19" s="43" t="s">
        <v>446</v>
      </c>
      <c r="T19" s="43" t="s">
        <v>447</v>
      </c>
      <c r="U19" s="43" t="s">
        <v>446</v>
      </c>
      <c r="V19" s="45">
        <v>12.944876000000001</v>
      </c>
      <c r="W19" s="45">
        <v>0.6</v>
      </c>
      <c r="X19" s="45">
        <f t="shared" si="1"/>
        <v>1.8252171600992</v>
      </c>
    </row>
    <row r="20" spans="1:24" x14ac:dyDescent="0.2">
      <c r="A20" s="43">
        <v>17</v>
      </c>
      <c r="B20" s="43">
        <v>28</v>
      </c>
      <c r="C20" s="43" t="s">
        <v>464</v>
      </c>
      <c r="D20" s="43" t="s">
        <v>476</v>
      </c>
      <c r="E20" s="43" t="s">
        <v>444</v>
      </c>
      <c r="F20" s="43" t="s">
        <v>486</v>
      </c>
      <c r="G20" s="43">
        <v>5768</v>
      </c>
      <c r="H20" s="43">
        <v>5773</v>
      </c>
      <c r="I20" s="43">
        <v>5707</v>
      </c>
      <c r="J20" s="43">
        <v>1900</v>
      </c>
      <c r="K20" s="43">
        <v>1900</v>
      </c>
      <c r="L20" s="43" t="s">
        <v>372</v>
      </c>
      <c r="M20" s="43" t="s">
        <v>478</v>
      </c>
      <c r="N20" s="44">
        <v>0.115325</v>
      </c>
      <c r="O20" s="43" t="s">
        <v>405</v>
      </c>
      <c r="P20" s="43" t="s">
        <v>406</v>
      </c>
      <c r="Q20" s="43">
        <v>70</v>
      </c>
      <c r="R20" s="43">
        <v>10</v>
      </c>
      <c r="S20" s="43" t="s">
        <v>407</v>
      </c>
      <c r="T20" s="43" t="s">
        <v>410</v>
      </c>
      <c r="U20" s="43" t="s">
        <v>411</v>
      </c>
      <c r="V20" s="45">
        <v>1.1817740000000001</v>
      </c>
      <c r="W20" s="45">
        <v>0.6</v>
      </c>
      <c r="X20" s="45">
        <f t="shared" si="1"/>
        <v>5.4515234620000012E-2</v>
      </c>
    </row>
    <row r="21" spans="1:24" x14ac:dyDescent="0.2">
      <c r="A21" s="43">
        <v>17</v>
      </c>
      <c r="B21" s="43">
        <v>28</v>
      </c>
      <c r="C21" s="43" t="s">
        <v>464</v>
      </c>
      <c r="D21" s="43" t="s">
        <v>476</v>
      </c>
      <c r="E21" s="43" t="s">
        <v>444</v>
      </c>
      <c r="F21" s="43" t="s">
        <v>486</v>
      </c>
      <c r="G21" s="43">
        <v>5771</v>
      </c>
      <c r="H21" s="43">
        <v>5776</v>
      </c>
      <c r="I21" s="43">
        <v>5710</v>
      </c>
      <c r="J21" s="43">
        <v>1900</v>
      </c>
      <c r="K21" s="43">
        <v>1900</v>
      </c>
      <c r="L21" s="43" t="s">
        <v>372</v>
      </c>
      <c r="M21" s="43" t="s">
        <v>478</v>
      </c>
      <c r="N21" s="44">
        <v>1.6127699999999998E-2</v>
      </c>
      <c r="O21" s="43" t="s">
        <v>405</v>
      </c>
      <c r="P21" s="43" t="s">
        <v>406</v>
      </c>
      <c r="Q21" s="43">
        <v>70</v>
      </c>
      <c r="R21" s="43">
        <v>10</v>
      </c>
      <c r="S21" s="43" t="s">
        <v>407</v>
      </c>
      <c r="T21" s="43" t="s">
        <v>410</v>
      </c>
      <c r="U21" s="43" t="s">
        <v>411</v>
      </c>
      <c r="V21" s="45">
        <v>1.1817740000000001</v>
      </c>
      <c r="W21" s="45">
        <v>0.6</v>
      </c>
      <c r="X21" s="45">
        <f t="shared" si="1"/>
        <v>7.6237186159200006E-3</v>
      </c>
    </row>
    <row r="22" spans="1:24" x14ac:dyDescent="0.2">
      <c r="A22" s="43">
        <v>17</v>
      </c>
      <c r="B22" s="43">
        <v>28</v>
      </c>
      <c r="C22" s="43" t="s">
        <v>464</v>
      </c>
      <c r="D22" s="43" t="s">
        <v>476</v>
      </c>
      <c r="E22" s="43" t="s">
        <v>444</v>
      </c>
      <c r="F22" s="43" t="s">
        <v>486</v>
      </c>
      <c r="G22" s="43">
        <v>50135</v>
      </c>
      <c r="H22" s="43">
        <v>50136</v>
      </c>
      <c r="I22" s="43">
        <v>50088</v>
      </c>
      <c r="J22" s="43">
        <v>6430</v>
      </c>
      <c r="K22" s="43">
        <v>6430</v>
      </c>
      <c r="L22" s="43" t="s">
        <v>372</v>
      </c>
      <c r="M22" s="43" t="s">
        <v>478</v>
      </c>
      <c r="N22" s="44">
        <v>0.68548399999999998</v>
      </c>
      <c r="O22" s="43" t="s">
        <v>405</v>
      </c>
      <c r="P22" s="43" t="s">
        <v>406</v>
      </c>
      <c r="Q22" s="43">
        <v>16</v>
      </c>
      <c r="R22" s="43">
        <v>60</v>
      </c>
      <c r="S22" s="43" t="s">
        <v>417</v>
      </c>
      <c r="T22" s="43" t="s">
        <v>487</v>
      </c>
      <c r="U22" s="43" t="s">
        <v>443</v>
      </c>
      <c r="V22" s="45">
        <v>7.079313</v>
      </c>
      <c r="W22" s="45">
        <v>0.6</v>
      </c>
      <c r="X22" s="45">
        <f t="shared" si="1"/>
        <v>1.9411023169968002</v>
      </c>
    </row>
    <row r="23" spans="1:24" x14ac:dyDescent="0.2">
      <c r="A23" s="43">
        <v>17</v>
      </c>
      <c r="B23" s="43">
        <v>28</v>
      </c>
      <c r="C23" s="43" t="s">
        <v>464</v>
      </c>
      <c r="D23" s="43" t="s">
        <v>476</v>
      </c>
      <c r="E23" s="43" t="s">
        <v>444</v>
      </c>
      <c r="F23" s="43" t="s">
        <v>486</v>
      </c>
      <c r="G23" s="43">
        <v>52697</v>
      </c>
      <c r="H23" s="43">
        <v>52702</v>
      </c>
      <c r="I23" s="43">
        <v>52668</v>
      </c>
      <c r="J23" s="43">
        <v>8140</v>
      </c>
      <c r="K23" s="43">
        <v>8140</v>
      </c>
      <c r="L23" s="43" t="s">
        <v>372</v>
      </c>
      <c r="M23" s="43" t="s">
        <v>478</v>
      </c>
      <c r="N23" s="44">
        <v>5.0111999999999997</v>
      </c>
      <c r="O23" s="43" t="s">
        <v>405</v>
      </c>
      <c r="P23" s="43" t="s">
        <v>406</v>
      </c>
      <c r="Q23" s="43">
        <v>18</v>
      </c>
      <c r="R23" s="43">
        <v>10</v>
      </c>
      <c r="S23" s="43" t="s">
        <v>407</v>
      </c>
      <c r="T23" s="43" t="s">
        <v>420</v>
      </c>
      <c r="U23" s="43" t="s">
        <v>421</v>
      </c>
      <c r="V23" s="45">
        <v>3.4929570000000001</v>
      </c>
      <c r="W23" s="45">
        <v>0.6</v>
      </c>
      <c r="X23" s="45">
        <f t="shared" si="1"/>
        <v>7.0015624473600004</v>
      </c>
    </row>
    <row r="24" spans="1:24" x14ac:dyDescent="0.2">
      <c r="X24" s="45">
        <f>SUM(X15:X23)</f>
        <v>11.6342793733976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A25" workbookViewId="0">
      <selection activeCell="F5" sqref="F5"/>
    </sheetView>
  </sheetViews>
  <sheetFormatPr defaultRowHeight="12.75" x14ac:dyDescent="0.2"/>
  <cols>
    <col min="1" max="1" width="11.5703125" style="5" bestFit="1" customWidth="1"/>
    <col min="2" max="2" width="50.5703125" style="5" bestFit="1" customWidth="1"/>
    <col min="3" max="3" width="19.28515625" style="5" bestFit="1" customWidth="1"/>
    <col min="4" max="4" width="9.85546875" style="5" customWidth="1"/>
    <col min="5" max="5" width="11.42578125" style="42" bestFit="1" customWidth="1"/>
    <col min="6" max="6" width="15" style="6" customWidth="1"/>
    <col min="7" max="7" width="15.7109375" style="34" customWidth="1"/>
    <col min="8" max="9" width="14.28515625" style="5" customWidth="1"/>
    <col min="10" max="10" width="14.42578125" style="5" customWidth="1"/>
    <col min="11" max="11" width="14.28515625" style="5" customWidth="1"/>
    <col min="12" max="12" width="16.28515625" style="5" customWidth="1"/>
    <col min="13" max="14" width="12.7109375" style="5" customWidth="1"/>
    <col min="15" max="15" width="14.42578125" style="5" customWidth="1"/>
    <col min="16" max="16384" width="9.140625" style="5"/>
  </cols>
  <sheetData>
    <row r="1" spans="1:12" s="2" customFormat="1" ht="25.5" x14ac:dyDescent="0.2">
      <c r="A1" s="1" t="s">
        <v>1</v>
      </c>
      <c r="B1" s="1" t="s">
        <v>0</v>
      </c>
      <c r="C1" s="1" t="s">
        <v>8</v>
      </c>
      <c r="D1" s="1" t="s">
        <v>370</v>
      </c>
      <c r="E1" s="1" t="s">
        <v>371</v>
      </c>
      <c r="F1" s="8" t="s">
        <v>373</v>
      </c>
      <c r="G1" s="9" t="s">
        <v>149</v>
      </c>
      <c r="H1" s="8" t="s">
        <v>374</v>
      </c>
      <c r="I1" s="8" t="s">
        <v>375</v>
      </c>
      <c r="J1" s="9" t="s">
        <v>150</v>
      </c>
      <c r="K1" s="8" t="s">
        <v>376</v>
      </c>
    </row>
    <row r="2" spans="1:12" s="27" customFormat="1" ht="25.5" x14ac:dyDescent="0.2">
      <c r="A2" s="23" t="s">
        <v>44</v>
      </c>
      <c r="B2" s="3" t="s">
        <v>200</v>
      </c>
      <c r="C2" s="24" t="s">
        <v>315</v>
      </c>
      <c r="D2" s="41">
        <v>0</v>
      </c>
      <c r="E2" s="41" t="s">
        <v>372</v>
      </c>
      <c r="F2" s="27">
        <v>0</v>
      </c>
      <c r="G2" s="49" t="s">
        <v>497</v>
      </c>
      <c r="H2" s="26">
        <v>0</v>
      </c>
      <c r="I2" s="26">
        <v>0</v>
      </c>
      <c r="J2" s="31" t="s">
        <v>498</v>
      </c>
      <c r="K2" s="26">
        <v>0</v>
      </c>
      <c r="L2" s="27" t="s">
        <v>581</v>
      </c>
    </row>
    <row r="3" spans="1:12" s="27" customFormat="1" ht="25.5" x14ac:dyDescent="0.2">
      <c r="A3" s="23" t="s">
        <v>45</v>
      </c>
      <c r="B3" s="3" t="s">
        <v>207</v>
      </c>
      <c r="C3" s="24" t="s">
        <v>152</v>
      </c>
      <c r="D3" s="41">
        <v>0</v>
      </c>
      <c r="E3" s="41" t="s">
        <v>372</v>
      </c>
      <c r="F3" s="23">
        <v>0</v>
      </c>
      <c r="G3" s="31" t="s">
        <v>321</v>
      </c>
      <c r="H3" s="26">
        <v>0</v>
      </c>
      <c r="I3" s="26">
        <v>0</v>
      </c>
      <c r="J3" s="31" t="s">
        <v>322</v>
      </c>
      <c r="K3" s="26">
        <v>0</v>
      </c>
      <c r="L3" s="27" t="s">
        <v>581</v>
      </c>
    </row>
    <row r="4" spans="1:12" s="27" customFormat="1" ht="25.5" x14ac:dyDescent="0.2">
      <c r="A4" s="23" t="s">
        <v>46</v>
      </c>
      <c r="B4" s="3" t="s">
        <v>201</v>
      </c>
      <c r="C4" s="24" t="s">
        <v>315</v>
      </c>
      <c r="D4" s="41">
        <v>0</v>
      </c>
      <c r="E4" s="41" t="s">
        <v>372</v>
      </c>
      <c r="F4" s="23">
        <v>0</v>
      </c>
      <c r="G4" s="31" t="s">
        <v>499</v>
      </c>
      <c r="H4" s="26">
        <v>0</v>
      </c>
      <c r="I4" s="26">
        <v>0</v>
      </c>
      <c r="J4" s="31" t="s">
        <v>500</v>
      </c>
      <c r="K4" s="26">
        <v>0</v>
      </c>
      <c r="L4" s="27" t="s">
        <v>581</v>
      </c>
    </row>
    <row r="5" spans="1:12" s="27" customFormat="1" ht="25.5" x14ac:dyDescent="0.2">
      <c r="A5" s="23" t="s">
        <v>47</v>
      </c>
      <c r="B5" s="3" t="s">
        <v>208</v>
      </c>
      <c r="C5" s="24" t="s">
        <v>315</v>
      </c>
      <c r="D5" s="41">
        <v>0</v>
      </c>
      <c r="E5" s="41" t="s">
        <v>372</v>
      </c>
      <c r="F5" s="23">
        <v>0</v>
      </c>
      <c r="G5" s="31" t="s">
        <v>501</v>
      </c>
      <c r="H5" s="26">
        <v>0</v>
      </c>
      <c r="I5" s="26">
        <v>0</v>
      </c>
      <c r="J5" s="31" t="s">
        <v>502</v>
      </c>
      <c r="K5" s="26">
        <v>0</v>
      </c>
      <c r="L5" s="27" t="s">
        <v>581</v>
      </c>
    </row>
    <row r="6" spans="1:12" s="27" customFormat="1" ht="25.5" x14ac:dyDescent="0.2">
      <c r="A6" s="23" t="s">
        <v>48</v>
      </c>
      <c r="B6" s="3" t="s">
        <v>209</v>
      </c>
      <c r="C6" s="24" t="s">
        <v>315</v>
      </c>
      <c r="D6" s="41">
        <v>0</v>
      </c>
      <c r="E6" s="41" t="s">
        <v>372</v>
      </c>
      <c r="F6" s="23">
        <v>0</v>
      </c>
      <c r="G6" s="31" t="s">
        <v>503</v>
      </c>
      <c r="H6" s="26">
        <v>0</v>
      </c>
      <c r="I6" s="26">
        <v>0</v>
      </c>
      <c r="J6" s="31" t="s">
        <v>504</v>
      </c>
      <c r="K6" s="26">
        <v>0</v>
      </c>
      <c r="L6" s="27" t="s">
        <v>581</v>
      </c>
    </row>
    <row r="7" spans="1:12" ht="25.5" x14ac:dyDescent="0.2">
      <c r="A7" s="23" t="s">
        <v>49</v>
      </c>
      <c r="B7" s="3" t="s">
        <v>215</v>
      </c>
      <c r="C7" s="4" t="s">
        <v>152</v>
      </c>
      <c r="D7" s="4"/>
      <c r="E7" s="40" t="s">
        <v>372</v>
      </c>
      <c r="F7" s="7">
        <v>0</v>
      </c>
      <c r="G7" s="21">
        <v>0</v>
      </c>
      <c r="H7" s="12">
        <v>0</v>
      </c>
      <c r="I7" s="12">
        <v>0</v>
      </c>
      <c r="J7" s="21">
        <v>0</v>
      </c>
      <c r="K7" s="12">
        <v>0</v>
      </c>
      <c r="L7" s="36" t="s">
        <v>346</v>
      </c>
    </row>
    <row r="8" spans="1:12" ht="25.5" x14ac:dyDescent="0.2">
      <c r="A8" s="23" t="s">
        <v>50</v>
      </c>
      <c r="B8" s="3" t="s">
        <v>216</v>
      </c>
      <c r="C8" s="4" t="s">
        <v>152</v>
      </c>
      <c r="D8" s="4"/>
      <c r="E8" s="40" t="s">
        <v>372</v>
      </c>
      <c r="F8" s="7">
        <v>0</v>
      </c>
      <c r="G8" s="21">
        <v>0</v>
      </c>
      <c r="H8" s="12">
        <v>0</v>
      </c>
      <c r="I8" s="12">
        <v>0</v>
      </c>
      <c r="J8" s="21">
        <v>0</v>
      </c>
      <c r="K8" s="12">
        <v>0</v>
      </c>
      <c r="L8" s="36" t="s">
        <v>357</v>
      </c>
    </row>
    <row r="9" spans="1:12" ht="25.5" x14ac:dyDescent="0.2">
      <c r="A9" s="23" t="s">
        <v>51</v>
      </c>
      <c r="B9" s="3" t="s">
        <v>217</v>
      </c>
      <c r="C9" s="4" t="s">
        <v>2</v>
      </c>
      <c r="D9" s="4"/>
      <c r="E9" s="40" t="s">
        <v>372</v>
      </c>
      <c r="F9" s="7">
        <v>0</v>
      </c>
      <c r="G9" s="21">
        <v>0</v>
      </c>
      <c r="H9" s="12">
        <v>0</v>
      </c>
      <c r="I9" s="12">
        <v>0</v>
      </c>
      <c r="J9" s="21">
        <v>0</v>
      </c>
      <c r="K9" s="12">
        <v>0</v>
      </c>
      <c r="L9" s="36" t="s">
        <v>357</v>
      </c>
    </row>
    <row r="10" spans="1:12" ht="25.5" x14ac:dyDescent="0.2">
      <c r="A10" s="23" t="s">
        <v>52</v>
      </c>
      <c r="B10" s="3" t="s">
        <v>218</v>
      </c>
      <c r="C10" s="4" t="s">
        <v>156</v>
      </c>
      <c r="D10" s="4"/>
      <c r="E10" s="40" t="s">
        <v>372</v>
      </c>
      <c r="F10" s="7">
        <v>0</v>
      </c>
      <c r="G10" s="21">
        <v>0</v>
      </c>
      <c r="H10" s="12">
        <v>0</v>
      </c>
      <c r="I10" s="12">
        <v>0</v>
      </c>
      <c r="J10" s="21">
        <v>0</v>
      </c>
      <c r="K10" s="12">
        <v>0</v>
      </c>
      <c r="L10" s="36" t="s">
        <v>357</v>
      </c>
    </row>
    <row r="11" spans="1:12" ht="25.5" x14ac:dyDescent="0.2">
      <c r="A11" s="23" t="s">
        <v>53</v>
      </c>
      <c r="B11" s="3" t="s">
        <v>219</v>
      </c>
      <c r="C11" s="4" t="s">
        <v>2</v>
      </c>
      <c r="D11" s="4"/>
      <c r="E11" s="40" t="s">
        <v>372</v>
      </c>
      <c r="F11" s="7">
        <v>0</v>
      </c>
      <c r="G11" s="21">
        <v>0</v>
      </c>
      <c r="H11" s="12">
        <v>0</v>
      </c>
      <c r="I11" s="12">
        <v>0</v>
      </c>
      <c r="J11" s="21">
        <v>0</v>
      </c>
      <c r="K11" s="12">
        <v>0</v>
      </c>
      <c r="L11" s="36" t="s">
        <v>357</v>
      </c>
    </row>
    <row r="12" spans="1:12" ht="25.5" x14ac:dyDescent="0.2">
      <c r="A12" s="23" t="s">
        <v>54</v>
      </c>
      <c r="B12" s="3" t="s">
        <v>220</v>
      </c>
      <c r="C12" s="4" t="s">
        <v>2</v>
      </c>
      <c r="D12" s="4"/>
      <c r="E12" s="40" t="s">
        <v>372</v>
      </c>
      <c r="F12" s="7">
        <v>0</v>
      </c>
      <c r="G12" s="21">
        <v>0</v>
      </c>
      <c r="H12" s="12">
        <v>0</v>
      </c>
      <c r="I12" s="12">
        <v>0</v>
      </c>
      <c r="J12" s="21">
        <v>0</v>
      </c>
      <c r="K12" s="12">
        <v>0</v>
      </c>
      <c r="L12" s="36" t="s">
        <v>347</v>
      </c>
    </row>
    <row r="13" spans="1:12" ht="25.5" x14ac:dyDescent="0.2">
      <c r="A13" s="23" t="s">
        <v>55</v>
      </c>
      <c r="B13" s="3" t="s">
        <v>221</v>
      </c>
      <c r="C13" s="4" t="s">
        <v>2</v>
      </c>
      <c r="D13" s="4"/>
      <c r="E13" s="40" t="s">
        <v>372</v>
      </c>
      <c r="F13" s="7">
        <v>0</v>
      </c>
      <c r="G13" s="21">
        <v>0</v>
      </c>
      <c r="H13" s="12">
        <v>0</v>
      </c>
      <c r="I13" s="12">
        <v>0</v>
      </c>
      <c r="J13" s="21">
        <v>0</v>
      </c>
      <c r="K13" s="12">
        <v>0</v>
      </c>
      <c r="L13" s="36" t="s">
        <v>347</v>
      </c>
    </row>
    <row r="14" spans="1:12" ht="25.5" x14ac:dyDescent="0.2">
      <c r="A14" s="23" t="s">
        <v>56</v>
      </c>
      <c r="B14" s="3" t="s">
        <v>222</v>
      </c>
      <c r="C14" s="4" t="s">
        <v>2</v>
      </c>
      <c r="D14" s="4"/>
      <c r="E14" s="40" t="s">
        <v>372</v>
      </c>
      <c r="F14" s="7">
        <v>0</v>
      </c>
      <c r="G14" s="21">
        <v>0</v>
      </c>
      <c r="H14" s="12">
        <v>0</v>
      </c>
      <c r="I14" s="12">
        <v>0</v>
      </c>
      <c r="J14" s="21">
        <v>0</v>
      </c>
      <c r="K14" s="12">
        <v>0</v>
      </c>
      <c r="L14" s="36" t="s">
        <v>347</v>
      </c>
    </row>
    <row r="15" spans="1:12" ht="25.5" x14ac:dyDescent="0.2">
      <c r="A15" s="23" t="s">
        <v>57</v>
      </c>
      <c r="B15" s="3" t="s">
        <v>223</v>
      </c>
      <c r="C15" s="4" t="s">
        <v>2</v>
      </c>
      <c r="D15" s="4"/>
      <c r="E15" s="40" t="s">
        <v>372</v>
      </c>
      <c r="F15" s="7">
        <v>0</v>
      </c>
      <c r="G15" s="21">
        <v>0</v>
      </c>
      <c r="H15" s="12">
        <v>0</v>
      </c>
      <c r="I15" s="12">
        <v>0</v>
      </c>
      <c r="J15" s="21">
        <v>0</v>
      </c>
      <c r="K15" s="12">
        <v>0</v>
      </c>
      <c r="L15" s="36" t="s">
        <v>347</v>
      </c>
    </row>
    <row r="16" spans="1:12" ht="25.5" x14ac:dyDescent="0.2">
      <c r="A16" s="23" t="s">
        <v>58</v>
      </c>
      <c r="B16" s="3" t="s">
        <v>167</v>
      </c>
      <c r="C16" s="4" t="s">
        <v>155</v>
      </c>
      <c r="D16" s="4"/>
      <c r="E16" s="40" t="s">
        <v>372</v>
      </c>
      <c r="F16" s="7">
        <v>0</v>
      </c>
      <c r="G16" s="21">
        <v>0</v>
      </c>
      <c r="H16" s="12">
        <v>0</v>
      </c>
      <c r="I16" s="12">
        <v>0</v>
      </c>
      <c r="J16" s="21">
        <v>0</v>
      </c>
      <c r="K16" s="12">
        <v>0</v>
      </c>
      <c r="L16" s="36" t="s">
        <v>348</v>
      </c>
    </row>
    <row r="17" spans="1:12" ht="25.5" x14ac:dyDescent="0.2">
      <c r="A17" s="23" t="s">
        <v>59</v>
      </c>
      <c r="B17" s="3" t="s">
        <v>224</v>
      </c>
      <c r="C17" s="4" t="s">
        <v>156</v>
      </c>
      <c r="D17" s="4"/>
      <c r="E17" s="40" t="s">
        <v>372</v>
      </c>
      <c r="F17" s="7">
        <v>0</v>
      </c>
      <c r="G17" s="21">
        <v>0</v>
      </c>
      <c r="H17" s="12">
        <v>0</v>
      </c>
      <c r="I17" s="12">
        <v>0</v>
      </c>
      <c r="J17" s="21">
        <v>0</v>
      </c>
      <c r="K17" s="12">
        <v>0</v>
      </c>
      <c r="L17" s="36" t="s">
        <v>348</v>
      </c>
    </row>
    <row r="18" spans="1:12" ht="25.5" x14ac:dyDescent="0.2">
      <c r="A18" s="23" t="s">
        <v>60</v>
      </c>
      <c r="B18" s="3" t="s">
        <v>225</v>
      </c>
      <c r="C18" s="4" t="s">
        <v>156</v>
      </c>
      <c r="D18" s="4"/>
      <c r="E18" s="40" t="s">
        <v>372</v>
      </c>
      <c r="F18" s="7">
        <v>0</v>
      </c>
      <c r="G18" s="21">
        <v>0</v>
      </c>
      <c r="H18" s="12">
        <v>0</v>
      </c>
      <c r="I18" s="12">
        <v>0</v>
      </c>
      <c r="J18" s="21">
        <v>0</v>
      </c>
      <c r="K18" s="12">
        <v>0</v>
      </c>
      <c r="L18" s="36" t="s">
        <v>348</v>
      </c>
    </row>
    <row r="19" spans="1:12" ht="25.5" x14ac:dyDescent="0.2">
      <c r="A19" s="23" t="s">
        <v>61</v>
      </c>
      <c r="B19" s="3" t="s">
        <v>226</v>
      </c>
      <c r="C19" s="4" t="s">
        <v>2</v>
      </c>
      <c r="D19" s="4"/>
      <c r="E19" s="40" t="s">
        <v>372</v>
      </c>
      <c r="F19" s="7">
        <v>0</v>
      </c>
      <c r="G19" s="21">
        <v>0</v>
      </c>
      <c r="H19" s="12">
        <v>0</v>
      </c>
      <c r="I19" s="12">
        <v>0</v>
      </c>
      <c r="J19" s="21">
        <v>0</v>
      </c>
      <c r="K19" s="12">
        <v>0</v>
      </c>
      <c r="L19" s="36" t="s">
        <v>349</v>
      </c>
    </row>
    <row r="20" spans="1:12" ht="25.5" x14ac:dyDescent="0.2">
      <c r="A20" s="23" t="s">
        <v>62</v>
      </c>
      <c r="B20" s="3" t="s">
        <v>227</v>
      </c>
      <c r="C20" s="4" t="s">
        <v>2</v>
      </c>
      <c r="D20" s="4"/>
      <c r="E20" s="40" t="s">
        <v>372</v>
      </c>
      <c r="F20" s="7">
        <v>0</v>
      </c>
      <c r="G20" s="21">
        <v>0</v>
      </c>
      <c r="H20" s="12">
        <v>0</v>
      </c>
      <c r="I20" s="12">
        <v>0</v>
      </c>
      <c r="J20" s="21">
        <v>0</v>
      </c>
      <c r="K20" s="12">
        <v>0</v>
      </c>
      <c r="L20" s="36" t="s">
        <v>349</v>
      </c>
    </row>
    <row r="21" spans="1:12" ht="25.5" x14ac:dyDescent="0.2">
      <c r="A21" s="23" t="s">
        <v>63</v>
      </c>
      <c r="B21" s="3" t="s">
        <v>228</v>
      </c>
      <c r="C21" s="4" t="s">
        <v>156</v>
      </c>
      <c r="D21" s="4"/>
      <c r="E21" s="40" t="s">
        <v>372</v>
      </c>
      <c r="F21" s="7">
        <v>0</v>
      </c>
      <c r="G21" s="21">
        <v>0</v>
      </c>
      <c r="H21" s="12">
        <v>0</v>
      </c>
      <c r="I21" s="12">
        <v>0</v>
      </c>
      <c r="J21" s="21">
        <v>0</v>
      </c>
      <c r="K21" s="12">
        <v>0</v>
      </c>
      <c r="L21" s="36" t="s">
        <v>348</v>
      </c>
    </row>
    <row r="22" spans="1:12" ht="25.5" x14ac:dyDescent="0.2">
      <c r="A22" s="23" t="s">
        <v>64</v>
      </c>
      <c r="B22" s="3" t="s">
        <v>168</v>
      </c>
      <c r="C22" s="4" t="s">
        <v>155</v>
      </c>
      <c r="D22" s="4"/>
      <c r="E22" s="40" t="s">
        <v>372</v>
      </c>
      <c r="F22" s="7">
        <v>0</v>
      </c>
      <c r="G22" s="21">
        <v>0</v>
      </c>
      <c r="H22" s="12">
        <v>0</v>
      </c>
      <c r="I22" s="12">
        <v>0</v>
      </c>
      <c r="J22" s="21">
        <v>0</v>
      </c>
      <c r="K22" s="12">
        <v>0</v>
      </c>
      <c r="L22" s="36" t="s">
        <v>348</v>
      </c>
    </row>
    <row r="23" spans="1:12" ht="25.5" x14ac:dyDescent="0.2">
      <c r="A23" s="23" t="s">
        <v>65</v>
      </c>
      <c r="B23" s="3" t="s">
        <v>229</v>
      </c>
      <c r="C23" s="4" t="s">
        <v>2</v>
      </c>
      <c r="D23" s="4"/>
      <c r="E23" s="40" t="s">
        <v>372</v>
      </c>
      <c r="F23" s="7">
        <v>0</v>
      </c>
      <c r="G23" s="21">
        <v>0</v>
      </c>
      <c r="H23" s="12">
        <v>0</v>
      </c>
      <c r="I23" s="12">
        <v>0</v>
      </c>
      <c r="J23" s="21">
        <v>0</v>
      </c>
      <c r="K23" s="12">
        <v>0</v>
      </c>
      <c r="L23" s="36" t="s">
        <v>350</v>
      </c>
    </row>
    <row r="24" spans="1:12" ht="25.5" x14ac:dyDescent="0.2">
      <c r="A24" s="23" t="s">
        <v>66</v>
      </c>
      <c r="B24" s="3" t="s">
        <v>230</v>
      </c>
      <c r="C24" s="4" t="s">
        <v>2</v>
      </c>
      <c r="D24" s="4"/>
      <c r="E24" s="40" t="s">
        <v>372</v>
      </c>
      <c r="F24" s="7">
        <v>0</v>
      </c>
      <c r="G24" s="21">
        <v>0</v>
      </c>
      <c r="H24" s="12">
        <v>0</v>
      </c>
      <c r="I24" s="12">
        <v>0</v>
      </c>
      <c r="J24" s="21">
        <v>0</v>
      </c>
      <c r="K24" s="12">
        <v>0</v>
      </c>
      <c r="L24" s="36" t="s">
        <v>350</v>
      </c>
    </row>
    <row r="25" spans="1:12" ht="25.5" x14ac:dyDescent="0.2">
      <c r="A25" s="23" t="s">
        <v>67</v>
      </c>
      <c r="B25" s="3" t="s">
        <v>231</v>
      </c>
      <c r="C25" s="4" t="s">
        <v>2</v>
      </c>
      <c r="D25" s="4"/>
      <c r="E25" s="40" t="s">
        <v>372</v>
      </c>
      <c r="F25" s="7">
        <v>0</v>
      </c>
      <c r="G25" s="21">
        <v>0</v>
      </c>
      <c r="H25" s="12">
        <v>0</v>
      </c>
      <c r="I25" s="12">
        <v>0</v>
      </c>
      <c r="J25" s="21">
        <v>0</v>
      </c>
      <c r="K25" s="12">
        <v>0</v>
      </c>
      <c r="L25" s="36" t="s">
        <v>347</v>
      </c>
    </row>
    <row r="26" spans="1:12" x14ac:dyDescent="0.2">
      <c r="A26" s="23" t="s">
        <v>68</v>
      </c>
      <c r="B26" s="3" t="s">
        <v>237</v>
      </c>
      <c r="C26" s="24" t="s">
        <v>2</v>
      </c>
      <c r="D26" s="24">
        <v>0</v>
      </c>
      <c r="E26" s="41">
        <v>0</v>
      </c>
      <c r="F26" s="10" t="s">
        <v>352</v>
      </c>
      <c r="G26" s="29">
        <v>0</v>
      </c>
      <c r="H26" s="26">
        <v>0</v>
      </c>
      <c r="I26" s="26">
        <v>0</v>
      </c>
      <c r="J26" s="31">
        <v>0</v>
      </c>
      <c r="K26" s="12">
        <f t="shared" ref="K26" si="0">ROUND(I26*J26,1)</f>
        <v>0</v>
      </c>
      <c r="L26" s="5" t="s">
        <v>581</v>
      </c>
    </row>
    <row r="27" spans="1:12" ht="25.5" x14ac:dyDescent="0.2">
      <c r="A27" s="23" t="s">
        <v>69</v>
      </c>
      <c r="B27" s="3" t="s">
        <v>169</v>
      </c>
      <c r="C27" s="4" t="s">
        <v>5</v>
      </c>
      <c r="D27" s="4"/>
      <c r="E27" s="40" t="s">
        <v>372</v>
      </c>
      <c r="F27" s="7">
        <v>0</v>
      </c>
      <c r="G27" s="21">
        <v>0</v>
      </c>
      <c r="H27" s="26">
        <f t="shared" ref="H27:H57" si="1">ROUND(((F27*(4/6))*0.81)+((F27*(2/6))*0.174),1)</f>
        <v>0</v>
      </c>
      <c r="I27" s="12">
        <v>0</v>
      </c>
      <c r="J27" s="11">
        <v>0</v>
      </c>
      <c r="K27" s="12">
        <v>0</v>
      </c>
      <c r="L27" s="36" t="s">
        <v>351</v>
      </c>
    </row>
    <row r="28" spans="1:12" ht="25.5" x14ac:dyDescent="0.2">
      <c r="A28" s="23" t="s">
        <v>70</v>
      </c>
      <c r="B28" s="3" t="s">
        <v>244</v>
      </c>
      <c r="C28" s="4" t="s">
        <v>2</v>
      </c>
      <c r="D28" s="4"/>
      <c r="E28" s="40" t="s">
        <v>372</v>
      </c>
      <c r="F28" s="7">
        <v>0</v>
      </c>
      <c r="G28" s="21">
        <v>0</v>
      </c>
      <c r="H28" s="26">
        <f t="shared" si="1"/>
        <v>0</v>
      </c>
      <c r="I28" s="12">
        <v>0</v>
      </c>
      <c r="J28" s="11">
        <v>0</v>
      </c>
      <c r="K28" s="12">
        <v>0</v>
      </c>
      <c r="L28" s="36" t="s">
        <v>351</v>
      </c>
    </row>
    <row r="29" spans="1:12" ht="25.5" x14ac:dyDescent="0.2">
      <c r="A29" s="23" t="s">
        <v>71</v>
      </c>
      <c r="B29" s="3" t="s">
        <v>245</v>
      </c>
      <c r="C29" s="4" t="s">
        <v>2</v>
      </c>
      <c r="D29" s="4"/>
      <c r="E29" s="40" t="s">
        <v>372</v>
      </c>
      <c r="F29" s="7">
        <v>0</v>
      </c>
      <c r="G29" s="21">
        <v>0</v>
      </c>
      <c r="H29" s="26">
        <f t="shared" si="1"/>
        <v>0</v>
      </c>
      <c r="I29" s="12">
        <v>0</v>
      </c>
      <c r="J29" s="11">
        <v>0</v>
      </c>
      <c r="K29" s="12">
        <v>0</v>
      </c>
      <c r="L29" s="36" t="s">
        <v>351</v>
      </c>
    </row>
    <row r="30" spans="1:12" ht="25.5" x14ac:dyDescent="0.2">
      <c r="A30" s="23" t="s">
        <v>72</v>
      </c>
      <c r="B30" s="3" t="s">
        <v>246</v>
      </c>
      <c r="C30" s="4" t="s">
        <v>2</v>
      </c>
      <c r="D30" s="4"/>
      <c r="E30" s="40" t="s">
        <v>372</v>
      </c>
      <c r="F30" s="7">
        <v>0</v>
      </c>
      <c r="G30" s="21">
        <v>0</v>
      </c>
      <c r="H30" s="26">
        <f t="shared" si="1"/>
        <v>0</v>
      </c>
      <c r="I30" s="12">
        <v>0</v>
      </c>
      <c r="J30" s="11">
        <v>0</v>
      </c>
      <c r="K30" s="12">
        <v>0</v>
      </c>
      <c r="L30" s="36" t="s">
        <v>351</v>
      </c>
    </row>
    <row r="31" spans="1:12" s="27" customFormat="1" ht="25.5" x14ac:dyDescent="0.2">
      <c r="A31" s="23" t="s">
        <v>73</v>
      </c>
      <c r="B31" s="3" t="s">
        <v>247</v>
      </c>
      <c r="C31" s="24" t="s">
        <v>2</v>
      </c>
      <c r="D31" s="24"/>
      <c r="E31" s="40" t="s">
        <v>372</v>
      </c>
      <c r="F31" s="23">
        <v>0</v>
      </c>
      <c r="G31" s="31">
        <v>0</v>
      </c>
      <c r="H31" s="26">
        <f t="shared" si="1"/>
        <v>0</v>
      </c>
      <c r="I31" s="26">
        <v>0</v>
      </c>
      <c r="J31" s="25">
        <v>0</v>
      </c>
      <c r="K31" s="26">
        <v>0</v>
      </c>
      <c r="L31" s="37" t="s">
        <v>354</v>
      </c>
    </row>
    <row r="32" spans="1:12" s="27" customFormat="1" ht="25.5" x14ac:dyDescent="0.2">
      <c r="A32" s="23" t="s">
        <v>74</v>
      </c>
      <c r="B32" s="3" t="s">
        <v>248</v>
      </c>
      <c r="C32" s="24" t="s">
        <v>2</v>
      </c>
      <c r="D32" s="24"/>
      <c r="E32" s="40" t="s">
        <v>372</v>
      </c>
      <c r="F32" s="23">
        <v>0</v>
      </c>
      <c r="G32" s="31">
        <v>0</v>
      </c>
      <c r="H32" s="26">
        <f t="shared" si="1"/>
        <v>0</v>
      </c>
      <c r="I32" s="26">
        <v>0</v>
      </c>
      <c r="J32" s="25">
        <v>0</v>
      </c>
      <c r="K32" s="26">
        <v>0</v>
      </c>
      <c r="L32" s="37" t="s">
        <v>354</v>
      </c>
    </row>
    <row r="33" spans="1:12" s="27" customFormat="1" ht="25.5" x14ac:dyDescent="0.2">
      <c r="A33" s="23" t="s">
        <v>75</v>
      </c>
      <c r="B33" s="3" t="s">
        <v>249</v>
      </c>
      <c r="C33" s="24" t="s">
        <v>2</v>
      </c>
      <c r="D33" s="24"/>
      <c r="E33" s="40" t="s">
        <v>372</v>
      </c>
      <c r="F33" s="23">
        <v>0</v>
      </c>
      <c r="G33" s="31">
        <v>0</v>
      </c>
      <c r="H33" s="26">
        <f t="shared" si="1"/>
        <v>0</v>
      </c>
      <c r="I33" s="26">
        <v>0</v>
      </c>
      <c r="J33" s="25">
        <v>0</v>
      </c>
      <c r="K33" s="26">
        <v>0</v>
      </c>
      <c r="L33" s="37" t="s">
        <v>354</v>
      </c>
    </row>
    <row r="34" spans="1:12" s="27" customFormat="1" ht="25.5" x14ac:dyDescent="0.2">
      <c r="A34" s="23" t="s">
        <v>76</v>
      </c>
      <c r="B34" s="3" t="s">
        <v>250</v>
      </c>
      <c r="C34" s="24" t="s">
        <v>2</v>
      </c>
      <c r="D34" s="24"/>
      <c r="E34" s="40" t="s">
        <v>372</v>
      </c>
      <c r="F34" s="23">
        <v>0</v>
      </c>
      <c r="G34" s="31">
        <v>0</v>
      </c>
      <c r="H34" s="26">
        <f t="shared" si="1"/>
        <v>0</v>
      </c>
      <c r="I34" s="26">
        <v>0</v>
      </c>
      <c r="J34" s="25">
        <v>0</v>
      </c>
      <c r="K34" s="26">
        <v>0</v>
      </c>
      <c r="L34" s="37" t="s">
        <v>354</v>
      </c>
    </row>
    <row r="35" spans="1:12" s="27" customFormat="1" ht="25.5" x14ac:dyDescent="0.2">
      <c r="A35" s="23" t="s">
        <v>77</v>
      </c>
      <c r="B35" s="3" t="s">
        <v>251</v>
      </c>
      <c r="C35" s="24" t="s">
        <v>2</v>
      </c>
      <c r="D35" s="24"/>
      <c r="E35" s="40" t="s">
        <v>372</v>
      </c>
      <c r="F35" s="23">
        <v>0</v>
      </c>
      <c r="G35" s="31">
        <v>0</v>
      </c>
      <c r="H35" s="26">
        <f t="shared" si="1"/>
        <v>0</v>
      </c>
      <c r="I35" s="26">
        <v>0</v>
      </c>
      <c r="J35" s="25">
        <v>0</v>
      </c>
      <c r="K35" s="26">
        <v>0</v>
      </c>
      <c r="L35" s="37" t="s">
        <v>354</v>
      </c>
    </row>
    <row r="36" spans="1:12" s="27" customFormat="1" ht="25.5" x14ac:dyDescent="0.2">
      <c r="A36" s="23" t="s">
        <v>78</v>
      </c>
      <c r="B36" s="3" t="s">
        <v>252</v>
      </c>
      <c r="C36" s="24" t="s">
        <v>2</v>
      </c>
      <c r="D36" s="24"/>
      <c r="E36" s="40" t="s">
        <v>372</v>
      </c>
      <c r="F36" s="23">
        <v>0</v>
      </c>
      <c r="G36" s="31">
        <v>0</v>
      </c>
      <c r="H36" s="26">
        <f t="shared" si="1"/>
        <v>0</v>
      </c>
      <c r="I36" s="26">
        <v>0</v>
      </c>
      <c r="J36" s="25">
        <v>0</v>
      </c>
      <c r="K36" s="26">
        <v>0</v>
      </c>
      <c r="L36" s="37" t="s">
        <v>354</v>
      </c>
    </row>
    <row r="37" spans="1:12" s="27" customFormat="1" ht="25.5" x14ac:dyDescent="0.2">
      <c r="A37" s="23" t="s">
        <v>79</v>
      </c>
      <c r="B37" s="3" t="s">
        <v>253</v>
      </c>
      <c r="C37" s="24" t="s">
        <v>2</v>
      </c>
      <c r="D37" s="24"/>
      <c r="E37" s="40" t="s">
        <v>372</v>
      </c>
      <c r="F37" s="23">
        <v>0</v>
      </c>
      <c r="G37" s="31">
        <v>0</v>
      </c>
      <c r="H37" s="26">
        <f t="shared" si="1"/>
        <v>0</v>
      </c>
      <c r="I37" s="26">
        <v>0</v>
      </c>
      <c r="J37" s="25">
        <v>0</v>
      </c>
      <c r="K37" s="26">
        <v>0</v>
      </c>
      <c r="L37" s="37" t="s">
        <v>354</v>
      </c>
    </row>
    <row r="38" spans="1:12" s="27" customFormat="1" ht="25.5" x14ac:dyDescent="0.2">
      <c r="A38" s="23" t="s">
        <v>80</v>
      </c>
      <c r="B38" s="3" t="s">
        <v>254</v>
      </c>
      <c r="C38" s="24" t="s">
        <v>2</v>
      </c>
      <c r="D38" s="24"/>
      <c r="E38" s="40" t="s">
        <v>372</v>
      </c>
      <c r="F38" s="23">
        <v>0</v>
      </c>
      <c r="G38" s="31">
        <v>0</v>
      </c>
      <c r="H38" s="26">
        <f t="shared" si="1"/>
        <v>0</v>
      </c>
      <c r="I38" s="26">
        <v>0</v>
      </c>
      <c r="J38" s="25">
        <v>0</v>
      </c>
      <c r="K38" s="26">
        <v>0</v>
      </c>
      <c r="L38" s="37" t="s">
        <v>357</v>
      </c>
    </row>
    <row r="39" spans="1:12" s="27" customFormat="1" ht="25.5" x14ac:dyDescent="0.2">
      <c r="A39" s="23" t="s">
        <v>81</v>
      </c>
      <c r="B39" s="3" t="s">
        <v>255</v>
      </c>
      <c r="C39" s="24" t="s">
        <v>2</v>
      </c>
      <c r="D39" s="24"/>
      <c r="E39" s="40" t="s">
        <v>372</v>
      </c>
      <c r="F39" s="23">
        <v>0</v>
      </c>
      <c r="G39" s="31">
        <v>0</v>
      </c>
      <c r="H39" s="26">
        <f t="shared" si="1"/>
        <v>0</v>
      </c>
      <c r="I39" s="26">
        <v>0</v>
      </c>
      <c r="J39" s="25">
        <v>0</v>
      </c>
      <c r="K39" s="26">
        <v>0</v>
      </c>
      <c r="L39" s="37" t="s">
        <v>357</v>
      </c>
    </row>
    <row r="40" spans="1:12" s="27" customFormat="1" ht="25.5" x14ac:dyDescent="0.2">
      <c r="A40" s="23" t="s">
        <v>82</v>
      </c>
      <c r="B40" s="3" t="s">
        <v>256</v>
      </c>
      <c r="C40" s="24" t="s">
        <v>2</v>
      </c>
      <c r="D40" s="24"/>
      <c r="E40" s="40" t="s">
        <v>372</v>
      </c>
      <c r="F40" s="23">
        <v>0</v>
      </c>
      <c r="G40" s="31">
        <v>0</v>
      </c>
      <c r="H40" s="26">
        <f t="shared" si="1"/>
        <v>0</v>
      </c>
      <c r="I40" s="26">
        <v>0</v>
      </c>
      <c r="J40" s="25">
        <v>0</v>
      </c>
      <c r="K40" s="26">
        <v>0</v>
      </c>
      <c r="L40" s="37" t="s">
        <v>357</v>
      </c>
    </row>
    <row r="41" spans="1:12" s="27" customFormat="1" ht="25.5" x14ac:dyDescent="0.2">
      <c r="A41" s="23" t="s">
        <v>83</v>
      </c>
      <c r="B41" s="3" t="s">
        <v>257</v>
      </c>
      <c r="C41" s="24" t="s">
        <v>2</v>
      </c>
      <c r="D41" s="24"/>
      <c r="E41" s="40" t="s">
        <v>372</v>
      </c>
      <c r="F41" s="23">
        <v>0</v>
      </c>
      <c r="G41" s="31">
        <v>0</v>
      </c>
      <c r="H41" s="26">
        <f t="shared" si="1"/>
        <v>0</v>
      </c>
      <c r="I41" s="26">
        <v>0</v>
      </c>
      <c r="J41" s="25">
        <v>0</v>
      </c>
      <c r="K41" s="26">
        <v>0</v>
      </c>
      <c r="L41" s="37" t="s">
        <v>357</v>
      </c>
    </row>
    <row r="42" spans="1:12" s="27" customFormat="1" ht="25.5" x14ac:dyDescent="0.2">
      <c r="A42" s="23" t="s">
        <v>84</v>
      </c>
      <c r="B42" s="3" t="s">
        <v>258</v>
      </c>
      <c r="C42" s="24" t="s">
        <v>2</v>
      </c>
      <c r="D42" s="24"/>
      <c r="E42" s="40" t="s">
        <v>372</v>
      </c>
      <c r="F42" s="23">
        <v>0</v>
      </c>
      <c r="G42" s="31">
        <v>0</v>
      </c>
      <c r="H42" s="26">
        <f t="shared" si="1"/>
        <v>0</v>
      </c>
      <c r="I42" s="26">
        <v>0</v>
      </c>
      <c r="J42" s="25">
        <v>0</v>
      </c>
      <c r="K42" s="26">
        <v>0</v>
      </c>
      <c r="L42" s="37" t="s">
        <v>357</v>
      </c>
    </row>
    <row r="43" spans="1:12" s="27" customFormat="1" ht="25.5" x14ac:dyDescent="0.2">
      <c r="A43" s="23" t="s">
        <v>85</v>
      </c>
      <c r="B43" s="3" t="s">
        <v>259</v>
      </c>
      <c r="C43" s="24" t="s">
        <v>2</v>
      </c>
      <c r="D43" s="24"/>
      <c r="E43" s="40" t="s">
        <v>372</v>
      </c>
      <c r="F43" s="23">
        <v>0</v>
      </c>
      <c r="G43" s="31">
        <v>0</v>
      </c>
      <c r="H43" s="26">
        <f t="shared" si="1"/>
        <v>0</v>
      </c>
      <c r="I43" s="26">
        <v>0</v>
      </c>
      <c r="J43" s="25">
        <v>0</v>
      </c>
      <c r="K43" s="26">
        <v>0</v>
      </c>
      <c r="L43" s="37" t="s">
        <v>357</v>
      </c>
    </row>
    <row r="44" spans="1:12" s="27" customFormat="1" ht="25.5" x14ac:dyDescent="0.2">
      <c r="A44" s="23" t="s">
        <v>86</v>
      </c>
      <c r="B44" s="3" t="s">
        <v>260</v>
      </c>
      <c r="C44" s="24" t="s">
        <v>2</v>
      </c>
      <c r="D44" s="24"/>
      <c r="E44" s="40" t="s">
        <v>372</v>
      </c>
      <c r="F44" s="23">
        <v>0</v>
      </c>
      <c r="G44" s="31">
        <v>0</v>
      </c>
      <c r="H44" s="26">
        <f t="shared" si="1"/>
        <v>0</v>
      </c>
      <c r="I44" s="26">
        <v>0</v>
      </c>
      <c r="J44" s="25">
        <v>0</v>
      </c>
      <c r="K44" s="26">
        <v>0</v>
      </c>
      <c r="L44" s="37" t="s">
        <v>357</v>
      </c>
    </row>
    <row r="45" spans="1:12" ht="25.5" x14ac:dyDescent="0.2">
      <c r="A45" s="23" t="s">
        <v>87</v>
      </c>
      <c r="B45" s="3" t="s">
        <v>170</v>
      </c>
      <c r="C45" s="4" t="s">
        <v>153</v>
      </c>
      <c r="D45" s="4"/>
      <c r="E45" s="40" t="s">
        <v>372</v>
      </c>
      <c r="F45" s="38" t="s">
        <v>352</v>
      </c>
      <c r="G45" s="29">
        <v>0</v>
      </c>
      <c r="H45" s="26">
        <f t="shared" si="1"/>
        <v>0</v>
      </c>
      <c r="I45" s="12">
        <v>0</v>
      </c>
      <c r="J45" s="11">
        <v>0</v>
      </c>
      <c r="K45" s="12">
        <v>0</v>
      </c>
      <c r="L45" s="5" t="s">
        <v>353</v>
      </c>
    </row>
    <row r="46" spans="1:12" s="27" customFormat="1" ht="25.5" x14ac:dyDescent="0.2">
      <c r="A46" s="23" t="s">
        <v>88</v>
      </c>
      <c r="B46" s="3" t="s">
        <v>261</v>
      </c>
      <c r="C46" s="24" t="s">
        <v>2</v>
      </c>
      <c r="D46" s="24"/>
      <c r="E46" s="40" t="s">
        <v>372</v>
      </c>
      <c r="F46" s="10" t="s">
        <v>352</v>
      </c>
      <c r="G46" s="29">
        <v>0</v>
      </c>
      <c r="H46" s="26">
        <f t="shared" si="1"/>
        <v>0</v>
      </c>
      <c r="I46" s="26">
        <v>0</v>
      </c>
      <c r="J46" s="25">
        <v>0</v>
      </c>
      <c r="K46" s="26">
        <v>0</v>
      </c>
      <c r="L46" s="27" t="s">
        <v>368</v>
      </c>
    </row>
    <row r="47" spans="1:12" s="27" customFormat="1" ht="25.5" x14ac:dyDescent="0.2">
      <c r="A47" s="23" t="s">
        <v>89</v>
      </c>
      <c r="B47" s="3" t="s">
        <v>262</v>
      </c>
      <c r="C47" s="24" t="s">
        <v>2</v>
      </c>
      <c r="D47" s="24"/>
      <c r="E47" s="40" t="s">
        <v>372</v>
      </c>
      <c r="F47" s="10" t="s">
        <v>352</v>
      </c>
      <c r="G47" s="29">
        <v>0</v>
      </c>
      <c r="H47" s="26">
        <f t="shared" si="1"/>
        <v>0</v>
      </c>
      <c r="I47" s="26">
        <v>0</v>
      </c>
      <c r="J47" s="25">
        <v>0</v>
      </c>
      <c r="K47" s="26">
        <v>0</v>
      </c>
      <c r="L47" s="27" t="s">
        <v>368</v>
      </c>
    </row>
    <row r="48" spans="1:12" s="27" customFormat="1" ht="25.5" x14ac:dyDescent="0.2">
      <c r="A48" s="23" t="s">
        <v>90</v>
      </c>
      <c r="B48" s="3" t="s">
        <v>263</v>
      </c>
      <c r="C48" s="24" t="s">
        <v>2</v>
      </c>
      <c r="D48" s="24"/>
      <c r="E48" s="40" t="s">
        <v>372</v>
      </c>
      <c r="F48" s="10" t="s">
        <v>352</v>
      </c>
      <c r="G48" s="29">
        <v>0</v>
      </c>
      <c r="H48" s="26">
        <f t="shared" si="1"/>
        <v>0</v>
      </c>
      <c r="I48" s="26">
        <v>0</v>
      </c>
      <c r="J48" s="25">
        <v>0</v>
      </c>
      <c r="K48" s="26">
        <v>0</v>
      </c>
      <c r="L48" s="27" t="s">
        <v>368</v>
      </c>
    </row>
    <row r="49" spans="1:13" s="27" customFormat="1" ht="25.5" x14ac:dyDescent="0.2">
      <c r="A49" s="23" t="s">
        <v>91</v>
      </c>
      <c r="B49" s="3" t="s">
        <v>264</v>
      </c>
      <c r="C49" s="24" t="s">
        <v>2</v>
      </c>
      <c r="D49" s="24"/>
      <c r="E49" s="40" t="s">
        <v>372</v>
      </c>
      <c r="F49" s="10" t="s">
        <v>352</v>
      </c>
      <c r="G49" s="29">
        <v>0</v>
      </c>
      <c r="H49" s="26">
        <f t="shared" si="1"/>
        <v>0</v>
      </c>
      <c r="I49" s="26">
        <v>0</v>
      </c>
      <c r="J49" s="25">
        <v>0</v>
      </c>
      <c r="K49" s="26">
        <v>0</v>
      </c>
      <c r="L49" s="27" t="s">
        <v>368</v>
      </c>
    </row>
    <row r="50" spans="1:13" s="27" customFormat="1" ht="25.5" x14ac:dyDescent="0.2">
      <c r="A50" s="23" t="s">
        <v>92</v>
      </c>
      <c r="B50" s="3" t="s">
        <v>265</v>
      </c>
      <c r="C50" s="24" t="s">
        <v>157</v>
      </c>
      <c r="D50" s="24"/>
      <c r="E50" s="40" t="s">
        <v>372</v>
      </c>
      <c r="F50" s="10" t="s">
        <v>352</v>
      </c>
      <c r="G50" s="29">
        <v>0</v>
      </c>
      <c r="H50" s="26">
        <f t="shared" si="1"/>
        <v>0</v>
      </c>
      <c r="I50" s="26">
        <v>0</v>
      </c>
      <c r="J50" s="25">
        <v>0</v>
      </c>
      <c r="K50" s="26">
        <v>0</v>
      </c>
      <c r="L50" s="27" t="s">
        <v>368</v>
      </c>
    </row>
    <row r="51" spans="1:13" s="27" customFormat="1" ht="25.5" x14ac:dyDescent="0.2">
      <c r="A51" s="23" t="s">
        <v>93</v>
      </c>
      <c r="B51" s="3" t="s">
        <v>266</v>
      </c>
      <c r="C51" s="24" t="s">
        <v>157</v>
      </c>
      <c r="D51" s="24"/>
      <c r="E51" s="40" t="s">
        <v>372</v>
      </c>
      <c r="F51" s="10" t="s">
        <v>352</v>
      </c>
      <c r="G51" s="29">
        <v>0</v>
      </c>
      <c r="H51" s="26">
        <f t="shared" si="1"/>
        <v>0</v>
      </c>
      <c r="I51" s="26">
        <v>0</v>
      </c>
      <c r="J51" s="25">
        <v>0</v>
      </c>
      <c r="K51" s="26">
        <v>0</v>
      </c>
      <c r="L51" s="27" t="s">
        <v>368</v>
      </c>
    </row>
    <row r="52" spans="1:13" s="27" customFormat="1" ht="25.5" x14ac:dyDescent="0.2">
      <c r="A52" s="23" t="s">
        <v>94</v>
      </c>
      <c r="B52" s="3" t="s">
        <v>267</v>
      </c>
      <c r="C52" s="24" t="s">
        <v>2</v>
      </c>
      <c r="D52" s="24"/>
      <c r="E52" s="40" t="s">
        <v>372</v>
      </c>
      <c r="F52" s="10" t="s">
        <v>352</v>
      </c>
      <c r="G52" s="29">
        <v>0</v>
      </c>
      <c r="H52" s="26">
        <f t="shared" si="1"/>
        <v>0</v>
      </c>
      <c r="I52" s="26">
        <v>0</v>
      </c>
      <c r="J52" s="25">
        <v>0</v>
      </c>
      <c r="K52" s="26">
        <v>0</v>
      </c>
      <c r="L52" s="27" t="s">
        <v>347</v>
      </c>
    </row>
    <row r="53" spans="1:13" s="27" customFormat="1" ht="25.5" x14ac:dyDescent="0.2">
      <c r="A53" s="23" t="s">
        <v>95</v>
      </c>
      <c r="B53" s="3" t="s">
        <v>268</v>
      </c>
      <c r="C53" s="24" t="s">
        <v>2</v>
      </c>
      <c r="D53" s="24"/>
      <c r="E53" s="40" t="s">
        <v>372</v>
      </c>
      <c r="F53" s="10" t="s">
        <v>352</v>
      </c>
      <c r="G53" s="29">
        <v>0</v>
      </c>
      <c r="H53" s="26">
        <f t="shared" si="1"/>
        <v>0</v>
      </c>
      <c r="I53" s="26">
        <v>0</v>
      </c>
      <c r="J53" s="25">
        <v>0</v>
      </c>
      <c r="K53" s="26">
        <v>0</v>
      </c>
      <c r="L53" s="27" t="s">
        <v>347</v>
      </c>
    </row>
    <row r="54" spans="1:13" s="27" customFormat="1" ht="25.5" x14ac:dyDescent="0.2">
      <c r="A54" s="23" t="s">
        <v>96</v>
      </c>
      <c r="B54" s="3" t="s">
        <v>270</v>
      </c>
      <c r="C54" s="24" t="s">
        <v>156</v>
      </c>
      <c r="D54" s="24"/>
      <c r="E54" s="40" t="s">
        <v>372</v>
      </c>
      <c r="F54" s="10" t="s">
        <v>352</v>
      </c>
      <c r="G54" s="29">
        <v>0</v>
      </c>
      <c r="H54" s="26">
        <f t="shared" si="1"/>
        <v>0</v>
      </c>
      <c r="I54" s="26">
        <v>0</v>
      </c>
      <c r="J54" s="25">
        <v>0</v>
      </c>
      <c r="K54" s="26">
        <v>0</v>
      </c>
      <c r="L54" s="27" t="s">
        <v>346</v>
      </c>
    </row>
    <row r="55" spans="1:13" s="27" customFormat="1" ht="25.5" x14ac:dyDescent="0.2">
      <c r="A55" s="23" t="s">
        <v>97</v>
      </c>
      <c r="B55" s="3" t="s">
        <v>271</v>
      </c>
      <c r="C55" s="24" t="s">
        <v>156</v>
      </c>
      <c r="D55" s="24"/>
      <c r="E55" s="40" t="s">
        <v>372</v>
      </c>
      <c r="F55" s="10" t="s">
        <v>352</v>
      </c>
      <c r="G55" s="29">
        <v>0</v>
      </c>
      <c r="H55" s="26">
        <f t="shared" si="1"/>
        <v>0</v>
      </c>
      <c r="I55" s="26">
        <v>0</v>
      </c>
      <c r="J55" s="25">
        <v>0</v>
      </c>
      <c r="K55" s="26">
        <v>0</v>
      </c>
      <c r="L55" s="27" t="s">
        <v>348</v>
      </c>
    </row>
    <row r="56" spans="1:13" s="27" customFormat="1" ht="25.5" x14ac:dyDescent="0.2">
      <c r="A56" s="23" t="s">
        <v>98</v>
      </c>
      <c r="B56" s="3" t="s">
        <v>171</v>
      </c>
      <c r="C56" s="24" t="s">
        <v>6</v>
      </c>
      <c r="D56" s="24"/>
      <c r="E56" s="40" t="s">
        <v>372</v>
      </c>
      <c r="F56" s="10" t="s">
        <v>352</v>
      </c>
      <c r="G56" s="29">
        <v>0</v>
      </c>
      <c r="H56" s="26">
        <f t="shared" si="1"/>
        <v>0</v>
      </c>
      <c r="I56" s="26">
        <v>0</v>
      </c>
      <c r="J56" s="25">
        <v>0</v>
      </c>
      <c r="K56" s="26">
        <v>0</v>
      </c>
      <c r="L56" s="27" t="s">
        <v>348</v>
      </c>
    </row>
    <row r="57" spans="1:13" s="27" customFormat="1" ht="25.5" x14ac:dyDescent="0.2">
      <c r="A57" s="23" t="s">
        <v>99</v>
      </c>
      <c r="B57" s="3" t="s">
        <v>272</v>
      </c>
      <c r="C57" s="24" t="s">
        <v>152</v>
      </c>
      <c r="D57" s="24"/>
      <c r="E57" s="40" t="s">
        <v>372</v>
      </c>
      <c r="F57" s="10" t="s">
        <v>352</v>
      </c>
      <c r="G57" s="29">
        <v>0</v>
      </c>
      <c r="H57" s="26">
        <f t="shared" si="1"/>
        <v>0</v>
      </c>
      <c r="I57" s="26">
        <v>0</v>
      </c>
      <c r="J57" s="25">
        <v>0</v>
      </c>
      <c r="K57" s="26">
        <v>0</v>
      </c>
      <c r="L57" s="27" t="s">
        <v>348</v>
      </c>
    </row>
    <row r="58" spans="1:13" ht="25.5" x14ac:dyDescent="0.2">
      <c r="A58" s="23" t="s">
        <v>100</v>
      </c>
      <c r="B58" s="3" t="s">
        <v>275</v>
      </c>
      <c r="C58" s="4" t="s">
        <v>2</v>
      </c>
      <c r="D58" s="4"/>
      <c r="E58" s="40" t="s">
        <v>372</v>
      </c>
      <c r="F58" s="10" t="s">
        <v>352</v>
      </c>
      <c r="G58" s="29">
        <v>0</v>
      </c>
      <c r="H58" s="26">
        <v>0</v>
      </c>
      <c r="I58" s="12">
        <v>0</v>
      </c>
      <c r="J58" s="11">
        <v>0</v>
      </c>
      <c r="K58" s="12">
        <v>0</v>
      </c>
      <c r="L58" s="27" t="s">
        <v>354</v>
      </c>
      <c r="M58" s="27"/>
    </row>
    <row r="59" spans="1:13" ht="25.5" x14ac:dyDescent="0.2">
      <c r="A59" s="23" t="s">
        <v>101</v>
      </c>
      <c r="B59" s="3" t="s">
        <v>276</v>
      </c>
      <c r="C59" s="4" t="s">
        <v>2</v>
      </c>
      <c r="D59" s="4"/>
      <c r="E59" s="40" t="s">
        <v>372</v>
      </c>
      <c r="F59" s="10" t="s">
        <v>352</v>
      </c>
      <c r="G59" s="29">
        <v>0</v>
      </c>
      <c r="H59" s="26">
        <v>0</v>
      </c>
      <c r="I59" s="12">
        <v>0</v>
      </c>
      <c r="J59" s="11">
        <v>0</v>
      </c>
      <c r="K59" s="12">
        <v>0</v>
      </c>
      <c r="L59" s="27" t="s">
        <v>354</v>
      </c>
      <c r="M59" s="27"/>
    </row>
    <row r="60" spans="1:13" ht="25.5" x14ac:dyDescent="0.2">
      <c r="A60" s="23" t="s">
        <v>102</v>
      </c>
      <c r="B60" s="3" t="s">
        <v>277</v>
      </c>
      <c r="C60" s="4" t="s">
        <v>2</v>
      </c>
      <c r="D60" s="4"/>
      <c r="E60" s="40" t="s">
        <v>372</v>
      </c>
      <c r="F60" s="10" t="s">
        <v>352</v>
      </c>
      <c r="G60" s="29">
        <v>0</v>
      </c>
      <c r="H60" s="12">
        <v>0</v>
      </c>
      <c r="I60" s="12">
        <v>0</v>
      </c>
      <c r="J60" s="11">
        <v>0</v>
      </c>
      <c r="K60" s="12">
        <v>0</v>
      </c>
      <c r="L60" s="27" t="s">
        <v>354</v>
      </c>
      <c r="M60" s="27"/>
    </row>
    <row r="61" spans="1:13" ht="25.5" x14ac:dyDescent="0.2">
      <c r="A61" s="23" t="s">
        <v>103</v>
      </c>
      <c r="B61" s="3" t="s">
        <v>278</v>
      </c>
      <c r="C61" s="4" t="s">
        <v>2</v>
      </c>
      <c r="D61" s="4"/>
      <c r="E61" s="40" t="s">
        <v>372</v>
      </c>
      <c r="F61" s="10" t="s">
        <v>352</v>
      </c>
      <c r="G61" s="29">
        <v>0</v>
      </c>
      <c r="H61" s="12">
        <v>0</v>
      </c>
      <c r="I61" s="12">
        <v>0</v>
      </c>
      <c r="J61" s="11">
        <v>0</v>
      </c>
      <c r="K61" s="12">
        <v>0</v>
      </c>
      <c r="L61" s="27" t="s">
        <v>354</v>
      </c>
      <c r="M61" s="27"/>
    </row>
    <row r="62" spans="1:13" ht="25.5" x14ac:dyDescent="0.2">
      <c r="A62" s="23" t="s">
        <v>104</v>
      </c>
      <c r="B62" s="3" t="s">
        <v>279</v>
      </c>
      <c r="C62" s="4" t="s">
        <v>2</v>
      </c>
      <c r="D62" s="4"/>
      <c r="E62" s="40" t="s">
        <v>372</v>
      </c>
      <c r="F62" s="10" t="s">
        <v>352</v>
      </c>
      <c r="G62" s="29">
        <v>0</v>
      </c>
      <c r="H62" s="12">
        <v>0</v>
      </c>
      <c r="I62" s="12">
        <v>0</v>
      </c>
      <c r="J62" s="11">
        <v>0</v>
      </c>
      <c r="K62" s="12">
        <v>0</v>
      </c>
      <c r="L62" s="27" t="s">
        <v>354</v>
      </c>
      <c r="M62" s="27"/>
    </row>
    <row r="63" spans="1:13" ht="25.5" x14ac:dyDescent="0.2">
      <c r="A63" s="23" t="s">
        <v>105</v>
      </c>
      <c r="B63" s="3" t="s">
        <v>280</v>
      </c>
      <c r="C63" s="4" t="s">
        <v>2</v>
      </c>
      <c r="D63" s="4"/>
      <c r="E63" s="40" t="s">
        <v>372</v>
      </c>
      <c r="F63" s="10" t="s">
        <v>352</v>
      </c>
      <c r="G63" s="29">
        <v>0</v>
      </c>
      <c r="H63" s="12">
        <v>0</v>
      </c>
      <c r="I63" s="12">
        <v>0</v>
      </c>
      <c r="J63" s="11">
        <v>0</v>
      </c>
      <c r="K63" s="12">
        <v>0</v>
      </c>
      <c r="L63" s="27" t="s">
        <v>355</v>
      </c>
      <c r="M63" s="27"/>
    </row>
    <row r="64" spans="1:13" ht="25.5" x14ac:dyDescent="0.2">
      <c r="A64" s="23" t="s">
        <v>106</v>
      </c>
      <c r="B64" s="3" t="s">
        <v>281</v>
      </c>
      <c r="C64" s="4" t="s">
        <v>2</v>
      </c>
      <c r="D64" s="4"/>
      <c r="E64" s="40" t="s">
        <v>372</v>
      </c>
      <c r="F64" s="10" t="s">
        <v>352</v>
      </c>
      <c r="G64" s="29">
        <v>0</v>
      </c>
      <c r="H64" s="12">
        <v>0</v>
      </c>
      <c r="I64" s="12">
        <v>0</v>
      </c>
      <c r="J64" s="11">
        <v>0</v>
      </c>
      <c r="K64" s="12">
        <v>0</v>
      </c>
      <c r="L64" s="27" t="s">
        <v>355</v>
      </c>
      <c r="M64" s="27"/>
    </row>
    <row r="65" spans="1:13" ht="25.5" x14ac:dyDescent="0.2">
      <c r="A65" s="23" t="s">
        <v>107</v>
      </c>
      <c r="B65" s="3" t="s">
        <v>282</v>
      </c>
      <c r="C65" s="4" t="s">
        <v>2</v>
      </c>
      <c r="D65" s="4"/>
      <c r="E65" s="40" t="s">
        <v>372</v>
      </c>
      <c r="F65" s="10" t="s">
        <v>352</v>
      </c>
      <c r="G65" s="29">
        <v>0</v>
      </c>
      <c r="H65" s="12">
        <v>0</v>
      </c>
      <c r="I65" s="12">
        <v>0</v>
      </c>
      <c r="J65" s="11">
        <v>0</v>
      </c>
      <c r="K65" s="12">
        <v>0</v>
      </c>
      <c r="L65" s="27" t="s">
        <v>355</v>
      </c>
      <c r="M65" s="27"/>
    </row>
    <row r="66" spans="1:13" ht="25.5" x14ac:dyDescent="0.2">
      <c r="A66" s="23" t="s">
        <v>108</v>
      </c>
      <c r="B66" s="3" t="s">
        <v>283</v>
      </c>
      <c r="C66" s="24" t="s">
        <v>2</v>
      </c>
      <c r="D66" s="24"/>
      <c r="E66" s="40" t="s">
        <v>372</v>
      </c>
      <c r="F66" s="10" t="s">
        <v>352</v>
      </c>
      <c r="G66" s="29">
        <v>0</v>
      </c>
      <c r="H66" s="12">
        <v>0</v>
      </c>
      <c r="I66" s="12">
        <v>0</v>
      </c>
      <c r="J66" s="11">
        <v>0</v>
      </c>
      <c r="K66" s="12">
        <v>0</v>
      </c>
      <c r="L66" s="27" t="s">
        <v>356</v>
      </c>
      <c r="M66" s="27"/>
    </row>
    <row r="67" spans="1:13" ht="25.5" x14ac:dyDescent="0.2">
      <c r="A67" s="23" t="s">
        <v>109</v>
      </c>
      <c r="B67" s="3" t="s">
        <v>284</v>
      </c>
      <c r="C67" s="24" t="s">
        <v>2</v>
      </c>
      <c r="D67" s="24"/>
      <c r="E67" s="40" t="s">
        <v>372</v>
      </c>
      <c r="F67" s="10" t="s">
        <v>352</v>
      </c>
      <c r="G67" s="29">
        <v>0</v>
      </c>
      <c r="H67" s="12">
        <v>0</v>
      </c>
      <c r="I67" s="12">
        <v>0</v>
      </c>
      <c r="J67" s="11">
        <v>0</v>
      </c>
      <c r="K67" s="12">
        <v>0</v>
      </c>
      <c r="L67" s="27" t="s">
        <v>356</v>
      </c>
      <c r="M67" s="27"/>
    </row>
    <row r="68" spans="1:13" ht="25.5" x14ac:dyDescent="0.2">
      <c r="A68" s="23" t="s">
        <v>110</v>
      </c>
      <c r="B68" s="3" t="s">
        <v>285</v>
      </c>
      <c r="C68" s="24" t="s">
        <v>334</v>
      </c>
      <c r="D68" s="24"/>
      <c r="E68" s="40" t="s">
        <v>372</v>
      </c>
      <c r="F68" s="10" t="s">
        <v>352</v>
      </c>
      <c r="G68" s="29">
        <v>0</v>
      </c>
      <c r="H68" s="12">
        <v>0</v>
      </c>
      <c r="I68" s="12">
        <v>0</v>
      </c>
      <c r="J68" s="11">
        <v>0</v>
      </c>
      <c r="K68" s="12">
        <v>0</v>
      </c>
      <c r="L68" s="27" t="s">
        <v>356</v>
      </c>
      <c r="M68" s="27"/>
    </row>
    <row r="69" spans="1:13" ht="25.5" x14ac:dyDescent="0.2">
      <c r="A69" s="23" t="s">
        <v>111</v>
      </c>
      <c r="B69" s="3" t="s">
        <v>286</v>
      </c>
      <c r="C69" s="24" t="s">
        <v>334</v>
      </c>
      <c r="D69" s="24"/>
      <c r="E69" s="40" t="s">
        <v>372</v>
      </c>
      <c r="F69" s="10" t="s">
        <v>352</v>
      </c>
      <c r="G69" s="29">
        <v>0</v>
      </c>
      <c r="H69" s="12">
        <v>0</v>
      </c>
      <c r="I69" s="12">
        <v>0</v>
      </c>
      <c r="J69" s="11">
        <v>0</v>
      </c>
      <c r="K69" s="12">
        <v>0</v>
      </c>
      <c r="L69" s="27" t="s">
        <v>356</v>
      </c>
      <c r="M69" s="27"/>
    </row>
    <row r="70" spans="1:13" ht="25.5" x14ac:dyDescent="0.2">
      <c r="A70" s="23" t="s">
        <v>112</v>
      </c>
      <c r="B70" s="3" t="s">
        <v>269</v>
      </c>
      <c r="C70" s="24" t="s">
        <v>334</v>
      </c>
      <c r="D70" s="24"/>
      <c r="E70" s="40" t="s">
        <v>372</v>
      </c>
      <c r="F70" s="10" t="s">
        <v>352</v>
      </c>
      <c r="G70" s="29">
        <v>0</v>
      </c>
      <c r="H70" s="12">
        <v>0</v>
      </c>
      <c r="I70" s="12">
        <v>0</v>
      </c>
      <c r="J70" s="11">
        <v>0</v>
      </c>
      <c r="K70" s="12">
        <v>0</v>
      </c>
      <c r="L70" s="27" t="s">
        <v>356</v>
      </c>
      <c r="M70" s="27"/>
    </row>
    <row r="71" spans="1:13" ht="25.5" x14ac:dyDescent="0.2">
      <c r="A71" s="23" t="s">
        <v>113</v>
      </c>
      <c r="B71" s="3" t="s">
        <v>287</v>
      </c>
      <c r="C71" s="24" t="s">
        <v>334</v>
      </c>
      <c r="D71" s="24"/>
      <c r="E71" s="40" t="s">
        <v>372</v>
      </c>
      <c r="F71" s="10" t="s">
        <v>352</v>
      </c>
      <c r="G71" s="29">
        <v>0</v>
      </c>
      <c r="H71" s="12">
        <v>0</v>
      </c>
      <c r="I71" s="12">
        <v>0</v>
      </c>
      <c r="J71" s="11">
        <v>0</v>
      </c>
      <c r="K71" s="12">
        <v>0</v>
      </c>
      <c r="L71" s="27" t="s">
        <v>354</v>
      </c>
      <c r="M71" s="27"/>
    </row>
    <row r="72" spans="1:13" ht="25.5" x14ac:dyDescent="0.2">
      <c r="A72" s="23" t="s">
        <v>114</v>
      </c>
      <c r="B72" s="3" t="s">
        <v>288</v>
      </c>
      <c r="C72" s="4" t="s">
        <v>2</v>
      </c>
      <c r="D72" s="4"/>
      <c r="E72" s="40" t="s">
        <v>372</v>
      </c>
      <c r="F72" s="10" t="s">
        <v>352</v>
      </c>
      <c r="G72" s="29">
        <v>0</v>
      </c>
      <c r="H72" s="12">
        <v>0</v>
      </c>
      <c r="I72" s="12">
        <v>0</v>
      </c>
      <c r="J72" s="11">
        <v>0</v>
      </c>
      <c r="K72" s="12">
        <v>0</v>
      </c>
      <c r="L72" s="27" t="s">
        <v>354</v>
      </c>
      <c r="M72" s="27"/>
    </row>
    <row r="73" spans="1:13" ht="25.5" x14ac:dyDescent="0.2">
      <c r="A73" s="23" t="s">
        <v>115</v>
      </c>
      <c r="B73" s="3" t="s">
        <v>172</v>
      </c>
      <c r="C73" s="4" t="s">
        <v>5</v>
      </c>
      <c r="D73" s="4"/>
      <c r="E73" s="40" t="s">
        <v>372</v>
      </c>
      <c r="F73" s="10" t="s">
        <v>352</v>
      </c>
      <c r="G73" s="29">
        <v>0</v>
      </c>
      <c r="H73" s="12">
        <v>0</v>
      </c>
      <c r="I73" s="12">
        <v>0</v>
      </c>
      <c r="J73" s="11">
        <v>0</v>
      </c>
      <c r="K73" s="12">
        <v>0</v>
      </c>
      <c r="L73" s="27" t="s">
        <v>354</v>
      </c>
      <c r="M73" s="27"/>
    </row>
    <row r="74" spans="1:13" ht="25.5" x14ac:dyDescent="0.2">
      <c r="A74" s="23" t="s">
        <v>116</v>
      </c>
      <c r="B74" s="3" t="s">
        <v>289</v>
      </c>
      <c r="C74" s="4" t="s">
        <v>2</v>
      </c>
      <c r="D74" s="4"/>
      <c r="E74" s="40" t="s">
        <v>372</v>
      </c>
      <c r="F74" s="10" t="s">
        <v>352</v>
      </c>
      <c r="G74" s="29">
        <v>0</v>
      </c>
      <c r="H74" s="12">
        <v>0</v>
      </c>
      <c r="I74" s="12">
        <v>0</v>
      </c>
      <c r="J74" s="11">
        <v>0</v>
      </c>
      <c r="K74" s="12">
        <v>0</v>
      </c>
      <c r="L74" s="27" t="s">
        <v>354</v>
      </c>
      <c r="M74" s="27"/>
    </row>
    <row r="75" spans="1:13" ht="25.5" x14ac:dyDescent="0.2">
      <c r="A75" s="23" t="s">
        <v>117</v>
      </c>
      <c r="B75" s="3" t="s">
        <v>290</v>
      </c>
      <c r="C75" s="4" t="s">
        <v>2</v>
      </c>
      <c r="D75" s="4"/>
      <c r="E75" s="40" t="s">
        <v>372</v>
      </c>
      <c r="F75" s="10" t="s">
        <v>352</v>
      </c>
      <c r="G75" s="29">
        <v>0</v>
      </c>
      <c r="H75" s="12">
        <v>0</v>
      </c>
      <c r="I75" s="12">
        <v>0</v>
      </c>
      <c r="J75" s="11">
        <v>0</v>
      </c>
      <c r="K75" s="12">
        <v>0</v>
      </c>
      <c r="L75" s="27" t="s">
        <v>354</v>
      </c>
      <c r="M75" s="27"/>
    </row>
    <row r="76" spans="1:13" ht="25.5" x14ac:dyDescent="0.2">
      <c r="A76" s="23" t="s">
        <v>118</v>
      </c>
      <c r="B76" s="3" t="s">
        <v>173</v>
      </c>
      <c r="C76" s="4" t="s">
        <v>5</v>
      </c>
      <c r="D76" s="4"/>
      <c r="E76" s="40" t="s">
        <v>372</v>
      </c>
      <c r="F76" s="10" t="s">
        <v>352</v>
      </c>
      <c r="G76" s="29">
        <v>0</v>
      </c>
      <c r="H76" s="12">
        <v>0</v>
      </c>
      <c r="I76" s="12">
        <v>0</v>
      </c>
      <c r="J76" s="11">
        <v>0</v>
      </c>
      <c r="K76" s="12">
        <v>0</v>
      </c>
      <c r="L76" s="27" t="s">
        <v>354</v>
      </c>
      <c r="M76" s="27"/>
    </row>
    <row r="77" spans="1:13" ht="25.5" x14ac:dyDescent="0.2">
      <c r="A77" s="23" t="s">
        <v>119</v>
      </c>
      <c r="B77" s="3" t="s">
        <v>291</v>
      </c>
      <c r="C77" s="4" t="s">
        <v>2</v>
      </c>
      <c r="D77" s="4"/>
      <c r="E77" s="40" t="s">
        <v>372</v>
      </c>
      <c r="F77" s="10" t="s">
        <v>352</v>
      </c>
      <c r="G77" s="29">
        <v>0</v>
      </c>
      <c r="H77" s="12">
        <v>0</v>
      </c>
      <c r="I77" s="12">
        <v>0</v>
      </c>
      <c r="J77" s="11">
        <v>0</v>
      </c>
      <c r="K77" s="12">
        <v>0</v>
      </c>
      <c r="L77" s="27" t="s">
        <v>354</v>
      </c>
      <c r="M77" s="27"/>
    </row>
    <row r="78" spans="1:13" ht="25.5" x14ac:dyDescent="0.2">
      <c r="A78" s="23" t="s">
        <v>120</v>
      </c>
      <c r="B78" s="3" t="s">
        <v>292</v>
      </c>
      <c r="C78" s="4" t="s">
        <v>2</v>
      </c>
      <c r="D78" s="4"/>
      <c r="E78" s="40" t="s">
        <v>372</v>
      </c>
      <c r="F78" s="10" t="s">
        <v>352</v>
      </c>
      <c r="G78" s="29">
        <v>0</v>
      </c>
      <c r="H78" s="12">
        <v>0</v>
      </c>
      <c r="I78" s="12">
        <v>0</v>
      </c>
      <c r="J78" s="11">
        <v>0</v>
      </c>
      <c r="K78" s="12">
        <v>0</v>
      </c>
      <c r="L78" s="27" t="s">
        <v>354</v>
      </c>
      <c r="M78" s="27"/>
    </row>
    <row r="79" spans="1:13" ht="25.5" x14ac:dyDescent="0.2">
      <c r="A79" s="23" t="s">
        <v>121</v>
      </c>
      <c r="B79" s="3" t="s">
        <v>293</v>
      </c>
      <c r="C79" s="4" t="s">
        <v>2</v>
      </c>
      <c r="D79" s="4"/>
      <c r="E79" s="40" t="s">
        <v>372</v>
      </c>
      <c r="F79" s="10" t="s">
        <v>352</v>
      </c>
      <c r="G79" s="29">
        <v>0</v>
      </c>
      <c r="H79" s="12">
        <v>0</v>
      </c>
      <c r="I79" s="12">
        <v>0</v>
      </c>
      <c r="J79" s="11">
        <v>0</v>
      </c>
      <c r="K79" s="12">
        <v>0</v>
      </c>
      <c r="L79" s="27" t="s">
        <v>354</v>
      </c>
      <c r="M79" s="27"/>
    </row>
    <row r="80" spans="1:13" ht="25.5" x14ac:dyDescent="0.2">
      <c r="A80" s="23" t="s">
        <v>122</v>
      </c>
      <c r="B80" s="3" t="s">
        <v>174</v>
      </c>
      <c r="C80" s="4" t="s">
        <v>5</v>
      </c>
      <c r="D80" s="4"/>
      <c r="E80" s="40" t="s">
        <v>372</v>
      </c>
      <c r="F80" s="10" t="s">
        <v>352</v>
      </c>
      <c r="G80" s="29">
        <v>0</v>
      </c>
      <c r="H80" s="12">
        <v>0</v>
      </c>
      <c r="I80" s="12">
        <v>0</v>
      </c>
      <c r="J80" s="11">
        <v>0</v>
      </c>
      <c r="K80" s="12">
        <v>0</v>
      </c>
      <c r="L80" s="27" t="s">
        <v>354</v>
      </c>
      <c r="M80" s="27"/>
    </row>
    <row r="81" spans="1:13" ht="25.5" x14ac:dyDescent="0.2">
      <c r="A81" s="23" t="s">
        <v>123</v>
      </c>
      <c r="B81" s="3" t="s">
        <v>294</v>
      </c>
      <c r="C81" s="4" t="s">
        <v>2</v>
      </c>
      <c r="D81" s="4"/>
      <c r="E81" s="40" t="s">
        <v>372</v>
      </c>
      <c r="F81" s="10" t="s">
        <v>352</v>
      </c>
      <c r="G81" s="29">
        <v>0</v>
      </c>
      <c r="H81" s="12">
        <v>0</v>
      </c>
      <c r="I81" s="12">
        <v>0</v>
      </c>
      <c r="J81" s="11">
        <v>0</v>
      </c>
      <c r="K81" s="12">
        <v>0</v>
      </c>
      <c r="L81" s="27" t="s">
        <v>354</v>
      </c>
      <c r="M81" s="27"/>
    </row>
    <row r="82" spans="1:13" ht="25.5" x14ac:dyDescent="0.2">
      <c r="A82" s="23" t="s">
        <v>124</v>
      </c>
      <c r="B82" s="3" t="s">
        <v>295</v>
      </c>
      <c r="C82" s="4" t="s">
        <v>157</v>
      </c>
      <c r="D82" s="4"/>
      <c r="E82" s="40" t="s">
        <v>372</v>
      </c>
      <c r="F82" s="10" t="s">
        <v>352</v>
      </c>
      <c r="G82" s="29">
        <v>0</v>
      </c>
      <c r="H82" s="12">
        <v>0</v>
      </c>
      <c r="I82" s="12">
        <v>0</v>
      </c>
      <c r="J82" s="11">
        <v>0</v>
      </c>
      <c r="K82" s="12">
        <v>0</v>
      </c>
      <c r="L82" s="27" t="s">
        <v>354</v>
      </c>
      <c r="M82" s="27"/>
    </row>
    <row r="83" spans="1:13" ht="25.5" x14ac:dyDescent="0.2">
      <c r="A83" s="23" t="s">
        <v>125</v>
      </c>
      <c r="B83" s="3" t="s">
        <v>296</v>
      </c>
      <c r="C83" s="4" t="s">
        <v>157</v>
      </c>
      <c r="D83" s="4"/>
      <c r="E83" s="40" t="s">
        <v>372</v>
      </c>
      <c r="F83" s="10" t="s">
        <v>352</v>
      </c>
      <c r="G83" s="29">
        <v>0</v>
      </c>
      <c r="H83" s="12">
        <v>0</v>
      </c>
      <c r="I83" s="12">
        <v>0</v>
      </c>
      <c r="J83" s="11">
        <v>0</v>
      </c>
      <c r="K83" s="12">
        <v>0</v>
      </c>
      <c r="L83" s="27" t="s">
        <v>354</v>
      </c>
      <c r="M83" s="27"/>
    </row>
    <row r="84" spans="1:13" ht="25.5" x14ac:dyDescent="0.2">
      <c r="A84" s="23" t="s">
        <v>126</v>
      </c>
      <c r="B84" s="3" t="s">
        <v>297</v>
      </c>
      <c r="C84" s="4" t="s">
        <v>157</v>
      </c>
      <c r="D84" s="4"/>
      <c r="E84" s="40" t="s">
        <v>372</v>
      </c>
      <c r="F84" s="10" t="s">
        <v>352</v>
      </c>
      <c r="G84" s="29">
        <v>0</v>
      </c>
      <c r="H84" s="12">
        <v>0</v>
      </c>
      <c r="I84" s="12">
        <v>0</v>
      </c>
      <c r="J84" s="11">
        <v>0</v>
      </c>
      <c r="K84" s="12">
        <v>0</v>
      </c>
      <c r="L84" s="27" t="s">
        <v>354</v>
      </c>
      <c r="M84" s="27"/>
    </row>
    <row r="85" spans="1:13" ht="25.5" x14ac:dyDescent="0.2">
      <c r="A85" s="23" t="s">
        <v>127</v>
      </c>
      <c r="B85" s="3" t="s">
        <v>298</v>
      </c>
      <c r="C85" s="4" t="s">
        <v>2</v>
      </c>
      <c r="D85" s="4"/>
      <c r="E85" s="40" t="s">
        <v>372</v>
      </c>
      <c r="F85" s="10" t="s">
        <v>352</v>
      </c>
      <c r="G85" s="29">
        <v>0</v>
      </c>
      <c r="H85" s="12">
        <v>0</v>
      </c>
      <c r="I85" s="12">
        <v>0</v>
      </c>
      <c r="J85" s="11">
        <v>0</v>
      </c>
      <c r="K85" s="12">
        <v>0</v>
      </c>
      <c r="L85" s="27" t="s">
        <v>354</v>
      </c>
      <c r="M85" s="27"/>
    </row>
    <row r="86" spans="1:13" ht="25.5" x14ac:dyDescent="0.2">
      <c r="A86" s="23" t="s">
        <v>128</v>
      </c>
      <c r="B86" s="3" t="s">
        <v>299</v>
      </c>
      <c r="C86" s="4" t="s">
        <v>2</v>
      </c>
      <c r="D86" s="4"/>
      <c r="E86" s="40" t="s">
        <v>372</v>
      </c>
      <c r="F86" s="10" t="s">
        <v>352</v>
      </c>
      <c r="G86" s="29">
        <v>0</v>
      </c>
      <c r="H86" s="12">
        <v>0</v>
      </c>
      <c r="I86" s="12">
        <v>0</v>
      </c>
      <c r="J86" s="11">
        <v>0</v>
      </c>
      <c r="K86" s="12">
        <v>0</v>
      </c>
      <c r="L86" s="27" t="s">
        <v>354</v>
      </c>
      <c r="M86" s="27"/>
    </row>
    <row r="87" spans="1:13" ht="25.5" x14ac:dyDescent="0.2">
      <c r="A87" s="23" t="s">
        <v>129</v>
      </c>
      <c r="B87" s="3" t="s">
        <v>300</v>
      </c>
      <c r="C87" s="4" t="s">
        <v>2</v>
      </c>
      <c r="D87" s="4"/>
      <c r="E87" s="40" t="s">
        <v>372</v>
      </c>
      <c r="F87" s="10" t="s">
        <v>352</v>
      </c>
      <c r="G87" s="29">
        <v>0</v>
      </c>
      <c r="H87" s="12">
        <v>0</v>
      </c>
      <c r="I87" s="12">
        <v>0</v>
      </c>
      <c r="J87" s="11">
        <v>0</v>
      </c>
      <c r="K87" s="12">
        <v>0</v>
      </c>
      <c r="L87" s="27" t="s">
        <v>354</v>
      </c>
      <c r="M87" s="27"/>
    </row>
    <row r="88" spans="1:13" ht="25.5" x14ac:dyDescent="0.2">
      <c r="A88" s="23" t="s">
        <v>130</v>
      </c>
      <c r="B88" s="3" t="s">
        <v>301</v>
      </c>
      <c r="C88" s="4" t="s">
        <v>152</v>
      </c>
      <c r="D88" s="4"/>
      <c r="E88" s="40" t="s">
        <v>372</v>
      </c>
      <c r="F88" s="10" t="s">
        <v>352</v>
      </c>
      <c r="G88" s="29">
        <v>0</v>
      </c>
      <c r="H88" s="12">
        <v>0</v>
      </c>
      <c r="I88" s="12">
        <v>0</v>
      </c>
      <c r="J88" s="11">
        <v>0</v>
      </c>
      <c r="K88" s="12">
        <v>0</v>
      </c>
      <c r="L88" s="27" t="s">
        <v>354</v>
      </c>
      <c r="M88" s="27"/>
    </row>
    <row r="89" spans="1:13" ht="25.5" x14ac:dyDescent="0.2">
      <c r="A89" s="23" t="s">
        <v>131</v>
      </c>
      <c r="B89" s="3" t="s">
        <v>302</v>
      </c>
      <c r="C89" s="4" t="s">
        <v>2</v>
      </c>
      <c r="D89" s="4"/>
      <c r="E89" s="40" t="s">
        <v>372</v>
      </c>
      <c r="F89" s="10" t="s">
        <v>352</v>
      </c>
      <c r="G89" s="29">
        <v>0</v>
      </c>
      <c r="H89" s="12">
        <v>0</v>
      </c>
      <c r="I89" s="12">
        <v>0</v>
      </c>
      <c r="J89" s="11">
        <v>0</v>
      </c>
      <c r="K89" s="12">
        <v>0</v>
      </c>
      <c r="L89" s="27" t="s">
        <v>354</v>
      </c>
      <c r="M89" s="27"/>
    </row>
    <row r="90" spans="1:13" ht="25.5" x14ac:dyDescent="0.2">
      <c r="A90" s="23" t="s">
        <v>132</v>
      </c>
      <c r="B90" s="3" t="s">
        <v>303</v>
      </c>
      <c r="C90" s="4" t="s">
        <v>2</v>
      </c>
      <c r="D90" s="4"/>
      <c r="E90" s="40" t="s">
        <v>372</v>
      </c>
      <c r="F90" s="10" t="s">
        <v>352</v>
      </c>
      <c r="G90" s="29">
        <v>0</v>
      </c>
      <c r="H90" s="12">
        <v>0</v>
      </c>
      <c r="I90" s="12">
        <v>0</v>
      </c>
      <c r="J90" s="11">
        <v>0</v>
      </c>
      <c r="K90" s="12">
        <v>0</v>
      </c>
      <c r="L90" s="27" t="s">
        <v>354</v>
      </c>
      <c r="M90" s="27"/>
    </row>
    <row r="91" spans="1:13" ht="25.5" x14ac:dyDescent="0.2">
      <c r="A91" s="23" t="s">
        <v>133</v>
      </c>
      <c r="B91" s="3" t="s">
        <v>304</v>
      </c>
      <c r="C91" s="4" t="s">
        <v>2</v>
      </c>
      <c r="D91" s="4"/>
      <c r="E91" s="40" t="s">
        <v>372</v>
      </c>
      <c r="F91" s="10" t="s">
        <v>352</v>
      </c>
      <c r="G91" s="29">
        <v>0</v>
      </c>
      <c r="H91" s="12">
        <v>0</v>
      </c>
      <c r="I91" s="12">
        <v>0</v>
      </c>
      <c r="J91" s="11">
        <v>0</v>
      </c>
      <c r="K91" s="12">
        <v>0</v>
      </c>
      <c r="L91" s="27" t="s">
        <v>354</v>
      </c>
      <c r="M91" s="27"/>
    </row>
    <row r="92" spans="1:13" ht="25.5" x14ac:dyDescent="0.2">
      <c r="A92" s="23" t="s">
        <v>134</v>
      </c>
      <c r="B92" s="3" t="s">
        <v>305</v>
      </c>
      <c r="C92" s="4" t="s">
        <v>2</v>
      </c>
      <c r="D92" s="4"/>
      <c r="E92" s="40" t="s">
        <v>372</v>
      </c>
      <c r="F92" s="10" t="s">
        <v>352</v>
      </c>
      <c r="G92" s="29">
        <v>0</v>
      </c>
      <c r="H92" s="12">
        <v>0</v>
      </c>
      <c r="I92" s="12">
        <v>0</v>
      </c>
      <c r="J92" s="11">
        <v>0</v>
      </c>
      <c r="K92" s="12">
        <v>0</v>
      </c>
      <c r="L92" s="27" t="s">
        <v>354</v>
      </c>
      <c r="M92" s="27"/>
    </row>
    <row r="93" spans="1:13" ht="25.5" x14ac:dyDescent="0.2">
      <c r="A93" s="23" t="s">
        <v>135</v>
      </c>
      <c r="B93" s="3" t="s">
        <v>175</v>
      </c>
      <c r="C93" s="4" t="s">
        <v>5</v>
      </c>
      <c r="D93" s="4"/>
      <c r="E93" s="40" t="s">
        <v>372</v>
      </c>
      <c r="F93" s="10" t="s">
        <v>352</v>
      </c>
      <c r="G93" s="29">
        <v>0</v>
      </c>
      <c r="H93" s="12">
        <v>0</v>
      </c>
      <c r="I93" s="12">
        <v>0</v>
      </c>
      <c r="J93" s="11">
        <v>0</v>
      </c>
      <c r="K93" s="12">
        <v>0</v>
      </c>
      <c r="L93" s="27" t="s">
        <v>354</v>
      </c>
      <c r="M93" s="27"/>
    </row>
    <row r="94" spans="1:13" ht="25.5" x14ac:dyDescent="0.2">
      <c r="A94" s="23" t="s">
        <v>136</v>
      </c>
      <c r="B94" s="3" t="s">
        <v>176</v>
      </c>
      <c r="C94" s="4" t="s">
        <v>5</v>
      </c>
      <c r="D94" s="4"/>
      <c r="E94" s="40" t="s">
        <v>372</v>
      </c>
      <c r="F94" s="10" t="s">
        <v>352</v>
      </c>
      <c r="G94" s="29">
        <v>0</v>
      </c>
      <c r="H94" s="12">
        <v>0</v>
      </c>
      <c r="I94" s="12">
        <v>0</v>
      </c>
      <c r="J94" s="11">
        <v>0</v>
      </c>
      <c r="K94" s="12">
        <v>0</v>
      </c>
      <c r="L94" s="27" t="s">
        <v>354</v>
      </c>
      <c r="M94" s="27"/>
    </row>
    <row r="95" spans="1:13" ht="25.5" x14ac:dyDescent="0.2">
      <c r="A95" s="23" t="s">
        <v>137</v>
      </c>
      <c r="B95" s="3" t="s">
        <v>306</v>
      </c>
      <c r="C95" s="4" t="s">
        <v>2</v>
      </c>
      <c r="D95" s="4"/>
      <c r="E95" s="40" t="s">
        <v>372</v>
      </c>
      <c r="F95" s="10" t="s">
        <v>352</v>
      </c>
      <c r="G95" s="29">
        <v>0</v>
      </c>
      <c r="H95" s="12">
        <v>0</v>
      </c>
      <c r="I95" s="12">
        <v>0</v>
      </c>
      <c r="J95" s="11">
        <v>0</v>
      </c>
      <c r="K95" s="12">
        <v>0</v>
      </c>
      <c r="L95" s="27" t="s">
        <v>354</v>
      </c>
      <c r="M95" s="27"/>
    </row>
    <row r="96" spans="1:13" ht="25.5" x14ac:dyDescent="0.2">
      <c r="A96" s="23" t="s">
        <v>138</v>
      </c>
      <c r="B96" s="3" t="s">
        <v>307</v>
      </c>
      <c r="C96" s="4" t="s">
        <v>2</v>
      </c>
      <c r="D96" s="4"/>
      <c r="E96" s="40" t="s">
        <v>372</v>
      </c>
      <c r="F96" s="10" t="s">
        <v>352</v>
      </c>
      <c r="G96" s="29">
        <v>0</v>
      </c>
      <c r="H96" s="12">
        <v>0</v>
      </c>
      <c r="I96" s="12">
        <v>0</v>
      </c>
      <c r="J96" s="11">
        <v>0</v>
      </c>
      <c r="K96" s="12">
        <v>0</v>
      </c>
      <c r="L96" s="27" t="s">
        <v>354</v>
      </c>
      <c r="M96" s="27"/>
    </row>
    <row r="97" spans="1:13" ht="25.5" x14ac:dyDescent="0.2">
      <c r="A97" s="23" t="s">
        <v>139</v>
      </c>
      <c r="B97" s="3" t="s">
        <v>177</v>
      </c>
      <c r="C97" s="4" t="s">
        <v>5</v>
      </c>
      <c r="D97" s="4"/>
      <c r="E97" s="40" t="s">
        <v>372</v>
      </c>
      <c r="F97" s="10" t="s">
        <v>352</v>
      </c>
      <c r="G97" s="29">
        <v>0</v>
      </c>
      <c r="H97" s="12">
        <v>0</v>
      </c>
      <c r="I97" s="12">
        <v>0</v>
      </c>
      <c r="J97" s="11">
        <v>0</v>
      </c>
      <c r="K97" s="12">
        <v>0</v>
      </c>
      <c r="L97" s="27" t="s">
        <v>354</v>
      </c>
      <c r="M97" s="27"/>
    </row>
    <row r="98" spans="1:13" ht="25.5" x14ac:dyDescent="0.2">
      <c r="A98" s="23" t="s">
        <v>140</v>
      </c>
      <c r="B98" s="3" t="s">
        <v>308</v>
      </c>
      <c r="C98" s="4" t="s">
        <v>5</v>
      </c>
      <c r="D98" s="4"/>
      <c r="E98" s="40" t="s">
        <v>372</v>
      </c>
      <c r="F98" s="10" t="s">
        <v>352</v>
      </c>
      <c r="G98" s="29">
        <v>0</v>
      </c>
      <c r="H98" s="12">
        <v>0</v>
      </c>
      <c r="I98" s="12">
        <v>0</v>
      </c>
      <c r="J98" s="11">
        <v>0</v>
      </c>
      <c r="K98" s="12">
        <v>0</v>
      </c>
      <c r="L98" s="27" t="s">
        <v>354</v>
      </c>
      <c r="M98" s="27"/>
    </row>
    <row r="99" spans="1:13" ht="25.5" x14ac:dyDescent="0.2">
      <c r="A99" s="23" t="s">
        <v>141</v>
      </c>
      <c r="B99" s="3" t="s">
        <v>178</v>
      </c>
      <c r="C99" s="4" t="s">
        <v>5</v>
      </c>
      <c r="D99" s="4"/>
      <c r="E99" s="40" t="s">
        <v>372</v>
      </c>
      <c r="F99" s="10" t="s">
        <v>352</v>
      </c>
      <c r="G99" s="29">
        <v>0</v>
      </c>
      <c r="H99" s="12">
        <v>0</v>
      </c>
      <c r="I99" s="12">
        <v>0</v>
      </c>
      <c r="J99" s="11">
        <v>0</v>
      </c>
      <c r="K99" s="12">
        <v>0</v>
      </c>
      <c r="L99" s="27" t="s">
        <v>354</v>
      </c>
      <c r="M99" s="27"/>
    </row>
    <row r="100" spans="1:13" ht="25.5" x14ac:dyDescent="0.2">
      <c r="A100" s="23" t="s">
        <v>142</v>
      </c>
      <c r="B100" s="3" t="s">
        <v>179</v>
      </c>
      <c r="C100" s="4" t="s">
        <v>5</v>
      </c>
      <c r="D100" s="4"/>
      <c r="E100" s="40" t="s">
        <v>372</v>
      </c>
      <c r="F100" s="10" t="s">
        <v>352</v>
      </c>
      <c r="G100" s="29">
        <v>0</v>
      </c>
      <c r="H100" s="12">
        <v>0</v>
      </c>
      <c r="I100" s="12">
        <v>0</v>
      </c>
      <c r="J100" s="11">
        <v>0</v>
      </c>
      <c r="K100" s="12">
        <v>0</v>
      </c>
      <c r="L100" s="27" t="s">
        <v>354</v>
      </c>
      <c r="M100" s="27"/>
    </row>
    <row r="101" spans="1:13" ht="25.5" x14ac:dyDescent="0.2">
      <c r="A101" s="23" t="s">
        <v>143</v>
      </c>
      <c r="B101" s="3" t="s">
        <v>180</v>
      </c>
      <c r="C101" s="4" t="s">
        <v>5</v>
      </c>
      <c r="D101" s="4"/>
      <c r="E101" s="40" t="s">
        <v>372</v>
      </c>
      <c r="F101" s="10" t="s">
        <v>352</v>
      </c>
      <c r="G101" s="29">
        <v>0</v>
      </c>
      <c r="H101" s="12">
        <v>0</v>
      </c>
      <c r="I101" s="12">
        <v>0</v>
      </c>
      <c r="J101" s="11">
        <v>0</v>
      </c>
      <c r="K101" s="12">
        <v>0</v>
      </c>
      <c r="L101" s="27" t="s">
        <v>354</v>
      </c>
      <c r="M101" s="27"/>
    </row>
    <row r="102" spans="1:13" ht="25.5" x14ac:dyDescent="0.2">
      <c r="A102" s="23" t="s">
        <v>144</v>
      </c>
      <c r="B102" s="3" t="s">
        <v>181</v>
      </c>
      <c r="C102" s="4" t="s">
        <v>5</v>
      </c>
      <c r="D102" s="4"/>
      <c r="E102" s="40" t="s">
        <v>372</v>
      </c>
      <c r="F102" s="10" t="s">
        <v>352</v>
      </c>
      <c r="G102" s="29">
        <v>0</v>
      </c>
      <c r="H102" s="12">
        <v>0</v>
      </c>
      <c r="I102" s="12">
        <v>0</v>
      </c>
      <c r="J102" s="11">
        <v>0</v>
      </c>
      <c r="K102" s="12">
        <v>0</v>
      </c>
      <c r="L102" s="27" t="s">
        <v>354</v>
      </c>
      <c r="M102" s="27"/>
    </row>
    <row r="103" spans="1:13" ht="25.5" x14ac:dyDescent="0.2">
      <c r="A103" s="23" t="s">
        <v>145</v>
      </c>
      <c r="B103" s="3" t="s">
        <v>182</v>
      </c>
      <c r="C103" s="4" t="s">
        <v>5</v>
      </c>
      <c r="D103" s="4"/>
      <c r="E103" s="40" t="s">
        <v>372</v>
      </c>
      <c r="F103" s="10" t="s">
        <v>352</v>
      </c>
      <c r="G103" s="29">
        <v>0</v>
      </c>
      <c r="H103" s="12">
        <v>0</v>
      </c>
      <c r="I103" s="12">
        <v>0</v>
      </c>
      <c r="J103" s="11">
        <v>0</v>
      </c>
      <c r="K103" s="12">
        <v>0</v>
      </c>
      <c r="L103" s="27" t="s">
        <v>354</v>
      </c>
      <c r="M103" s="27"/>
    </row>
    <row r="104" spans="1:13" ht="25.5" x14ac:dyDescent="0.2">
      <c r="A104" s="23" t="s">
        <v>146</v>
      </c>
      <c r="B104" s="3" t="s">
        <v>183</v>
      </c>
      <c r="C104" s="4" t="s">
        <v>5</v>
      </c>
      <c r="D104" s="4"/>
      <c r="E104" s="40" t="s">
        <v>372</v>
      </c>
      <c r="F104" s="10" t="s">
        <v>352</v>
      </c>
      <c r="G104" s="29">
        <v>0</v>
      </c>
      <c r="H104" s="12">
        <v>0</v>
      </c>
      <c r="I104" s="12">
        <v>0</v>
      </c>
      <c r="J104" s="11">
        <v>0</v>
      </c>
      <c r="K104" s="12">
        <v>0</v>
      </c>
      <c r="L104" s="27" t="s">
        <v>354</v>
      </c>
      <c r="M104" s="27"/>
    </row>
    <row r="105" spans="1:13" ht="25.5" x14ac:dyDescent="0.2">
      <c r="A105" s="23" t="s">
        <v>147</v>
      </c>
      <c r="B105" s="3" t="s">
        <v>184</v>
      </c>
      <c r="C105" s="4" t="s">
        <v>5</v>
      </c>
      <c r="D105" s="4"/>
      <c r="E105" s="40" t="s">
        <v>372</v>
      </c>
      <c r="F105" s="10" t="s">
        <v>352</v>
      </c>
      <c r="G105" s="29">
        <v>0</v>
      </c>
      <c r="H105" s="12">
        <v>0</v>
      </c>
      <c r="I105" s="12">
        <v>0</v>
      </c>
      <c r="J105" s="11">
        <v>0</v>
      </c>
      <c r="K105" s="12">
        <v>0</v>
      </c>
      <c r="L105" s="27" t="s">
        <v>354</v>
      </c>
      <c r="M105" s="27"/>
    </row>
    <row r="106" spans="1:13" ht="25.5" x14ac:dyDescent="0.2">
      <c r="A106" s="23" t="s">
        <v>148</v>
      </c>
      <c r="B106" s="3" t="s">
        <v>185</v>
      </c>
      <c r="C106" s="4" t="s">
        <v>5</v>
      </c>
      <c r="D106" s="4"/>
      <c r="E106" s="40" t="s">
        <v>372</v>
      </c>
      <c r="F106" s="10" t="s">
        <v>352</v>
      </c>
      <c r="G106" s="29">
        <v>0</v>
      </c>
      <c r="H106" s="12">
        <v>0</v>
      </c>
      <c r="I106" s="12">
        <v>0</v>
      </c>
      <c r="J106" s="11">
        <v>0</v>
      </c>
      <c r="K106" s="12">
        <v>0</v>
      </c>
      <c r="L106" s="27" t="s">
        <v>354</v>
      </c>
      <c r="M106" s="27"/>
    </row>
    <row r="107" spans="1:13" x14ac:dyDescent="0.2">
      <c r="G107" s="35" t="s">
        <v>151</v>
      </c>
      <c r="H107" s="13">
        <f>SUM(H2:H106)</f>
        <v>0</v>
      </c>
      <c r="I107" s="13"/>
      <c r="K107" s="13">
        <f>SUM(K2:K106)</f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N1" workbookViewId="0">
      <selection activeCell="W18" sqref="W18:W2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29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18</v>
      </c>
      <c r="B2" s="43">
        <v>29</v>
      </c>
      <c r="C2" s="43" t="s">
        <v>464</v>
      </c>
      <c r="D2" s="43" t="s">
        <v>476</v>
      </c>
      <c r="E2" s="43" t="s">
        <v>432</v>
      </c>
      <c r="F2" s="43" t="s">
        <v>488</v>
      </c>
      <c r="G2" s="43">
        <v>3482</v>
      </c>
      <c r="H2" s="43">
        <v>3486</v>
      </c>
      <c r="I2" s="43">
        <v>3423</v>
      </c>
      <c r="J2" s="43">
        <v>1320</v>
      </c>
      <c r="K2" s="43">
        <v>1320</v>
      </c>
      <c r="L2" s="43" t="s">
        <v>372</v>
      </c>
      <c r="M2" s="43" t="s">
        <v>478</v>
      </c>
      <c r="N2" s="44">
        <v>7.7246199999999998E-3</v>
      </c>
      <c r="O2" s="43" t="s">
        <v>405</v>
      </c>
      <c r="P2" s="43" t="s">
        <v>406</v>
      </c>
      <c r="Q2" s="43">
        <v>20</v>
      </c>
      <c r="R2" s="43">
        <v>10</v>
      </c>
      <c r="S2" s="43" t="s">
        <v>407</v>
      </c>
      <c r="T2" s="43" t="s">
        <v>429</v>
      </c>
      <c r="U2" s="43" t="s">
        <v>428</v>
      </c>
      <c r="V2" s="45">
        <v>0.81160900000000002</v>
      </c>
      <c r="W2" s="45">
        <v>0.78300000000000003</v>
      </c>
      <c r="X2" s="45">
        <f t="shared" ref="X2:X13" si="0">N2*V2*(1-W2)</f>
        <v>1.3604535316468597E-3</v>
      </c>
    </row>
    <row r="3" spans="1:24" x14ac:dyDescent="0.2">
      <c r="A3" s="43">
        <v>18</v>
      </c>
      <c r="B3" s="43">
        <v>29</v>
      </c>
      <c r="C3" s="43" t="s">
        <v>464</v>
      </c>
      <c r="D3" s="43" t="s">
        <v>476</v>
      </c>
      <c r="E3" s="43" t="s">
        <v>432</v>
      </c>
      <c r="F3" s="43" t="s">
        <v>488</v>
      </c>
      <c r="G3" s="43">
        <v>3483</v>
      </c>
      <c r="H3" s="43">
        <v>3487</v>
      </c>
      <c r="I3" s="43">
        <v>3424</v>
      </c>
      <c r="J3" s="43">
        <v>1320</v>
      </c>
      <c r="K3" s="43">
        <v>1320</v>
      </c>
      <c r="L3" s="43" t="s">
        <v>372</v>
      </c>
      <c r="M3" s="43" t="s">
        <v>478</v>
      </c>
      <c r="N3" s="44">
        <v>1.35589E-2</v>
      </c>
      <c r="O3" s="43" t="s">
        <v>405</v>
      </c>
      <c r="P3" s="43" t="s">
        <v>406</v>
      </c>
      <c r="Q3" s="43">
        <v>20</v>
      </c>
      <c r="R3" s="43">
        <v>10</v>
      </c>
      <c r="S3" s="43" t="s">
        <v>407</v>
      </c>
      <c r="T3" s="43" t="s">
        <v>429</v>
      </c>
      <c r="U3" s="43" t="s">
        <v>428</v>
      </c>
      <c r="V3" s="45">
        <v>0.81160900000000002</v>
      </c>
      <c r="W3" s="45">
        <v>0.78300000000000003</v>
      </c>
      <c r="X3" s="45">
        <f t="shared" si="0"/>
        <v>2.3879819836116999E-3</v>
      </c>
    </row>
    <row r="4" spans="1:24" x14ac:dyDescent="0.2">
      <c r="A4" s="43">
        <v>18</v>
      </c>
      <c r="B4" s="43">
        <v>29</v>
      </c>
      <c r="C4" s="43" t="s">
        <v>464</v>
      </c>
      <c r="D4" s="43" t="s">
        <v>476</v>
      </c>
      <c r="E4" s="43" t="s">
        <v>432</v>
      </c>
      <c r="F4" s="43" t="s">
        <v>488</v>
      </c>
      <c r="G4" s="43">
        <v>4125</v>
      </c>
      <c r="H4" s="43">
        <v>4130</v>
      </c>
      <c r="I4" s="43">
        <v>4087</v>
      </c>
      <c r="J4" s="43">
        <v>1400</v>
      </c>
      <c r="K4" s="43">
        <v>1400</v>
      </c>
      <c r="L4" s="43" t="s">
        <v>372</v>
      </c>
      <c r="M4" s="43" t="s">
        <v>478</v>
      </c>
      <c r="N4" s="44">
        <v>0.48688700000000001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0.78300000000000003</v>
      </c>
      <c r="X4" s="45">
        <f t="shared" si="0"/>
        <v>0.18753923593249597</v>
      </c>
    </row>
    <row r="5" spans="1:24" x14ac:dyDescent="0.2">
      <c r="A5" s="43">
        <v>18</v>
      </c>
      <c r="B5" s="43">
        <v>29</v>
      </c>
      <c r="C5" s="43" t="s">
        <v>464</v>
      </c>
      <c r="D5" s="43" t="s">
        <v>476</v>
      </c>
      <c r="E5" s="43" t="s">
        <v>432</v>
      </c>
      <c r="F5" s="43" t="s">
        <v>488</v>
      </c>
      <c r="G5" s="43">
        <v>4126</v>
      </c>
      <c r="H5" s="43">
        <v>4131</v>
      </c>
      <c r="I5" s="43">
        <v>4088</v>
      </c>
      <c r="J5" s="43">
        <v>1400</v>
      </c>
      <c r="K5" s="43">
        <v>1400</v>
      </c>
      <c r="L5" s="43" t="s">
        <v>372</v>
      </c>
      <c r="M5" s="43" t="s">
        <v>478</v>
      </c>
      <c r="N5" s="44">
        <v>3.48597E-2</v>
      </c>
      <c r="O5" s="43" t="s">
        <v>405</v>
      </c>
      <c r="P5" s="43" t="s">
        <v>406</v>
      </c>
      <c r="Q5" s="43">
        <v>3</v>
      </c>
      <c r="R5" s="43">
        <v>10</v>
      </c>
      <c r="S5" s="43" t="s">
        <v>407</v>
      </c>
      <c r="T5" s="43" t="s">
        <v>408</v>
      </c>
      <c r="U5" s="43" t="s">
        <v>408</v>
      </c>
      <c r="V5" s="45">
        <v>1.7750239999999999</v>
      </c>
      <c r="W5" s="45">
        <v>0.78300000000000003</v>
      </c>
      <c r="X5" s="45">
        <f t="shared" si="0"/>
        <v>1.3427266496817598E-2</v>
      </c>
    </row>
    <row r="6" spans="1:24" x14ac:dyDescent="0.2">
      <c r="A6" s="43">
        <v>18</v>
      </c>
      <c r="B6" s="43">
        <v>29</v>
      </c>
      <c r="C6" s="43" t="s">
        <v>464</v>
      </c>
      <c r="D6" s="43" t="s">
        <v>476</v>
      </c>
      <c r="E6" s="43" t="s">
        <v>432</v>
      </c>
      <c r="F6" s="43" t="s">
        <v>488</v>
      </c>
      <c r="G6" s="43">
        <v>4128</v>
      </c>
      <c r="H6" s="43">
        <v>4133</v>
      </c>
      <c r="I6" s="43">
        <v>4090</v>
      </c>
      <c r="J6" s="43">
        <v>1400</v>
      </c>
      <c r="K6" s="43">
        <v>1400</v>
      </c>
      <c r="L6" s="43" t="s">
        <v>372</v>
      </c>
      <c r="M6" s="43" t="s">
        <v>478</v>
      </c>
      <c r="N6" s="44">
        <v>3.7273000000000001E-2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0.78300000000000003</v>
      </c>
      <c r="X6" s="45">
        <f t="shared" si="0"/>
        <v>1.4356821892783998E-2</v>
      </c>
    </row>
    <row r="7" spans="1:24" x14ac:dyDescent="0.2">
      <c r="A7" s="43">
        <v>18</v>
      </c>
      <c r="B7" s="43">
        <v>29</v>
      </c>
      <c r="C7" s="43" t="s">
        <v>464</v>
      </c>
      <c r="D7" s="43" t="s">
        <v>476</v>
      </c>
      <c r="E7" s="43" t="s">
        <v>432</v>
      </c>
      <c r="F7" s="43" t="s">
        <v>488</v>
      </c>
      <c r="G7" s="43">
        <v>4130</v>
      </c>
      <c r="H7" s="43">
        <v>4135</v>
      </c>
      <c r="I7" s="43">
        <v>4092</v>
      </c>
      <c r="J7" s="43">
        <v>1400</v>
      </c>
      <c r="K7" s="43">
        <v>1400</v>
      </c>
      <c r="L7" s="43" t="s">
        <v>372</v>
      </c>
      <c r="M7" s="43" t="s">
        <v>478</v>
      </c>
      <c r="N7" s="44">
        <v>5.2322899999999999E-2</v>
      </c>
      <c r="O7" s="43" t="s">
        <v>405</v>
      </c>
      <c r="P7" s="43" t="s">
        <v>406</v>
      </c>
      <c r="Q7" s="43">
        <v>3</v>
      </c>
      <c r="R7" s="43">
        <v>10</v>
      </c>
      <c r="S7" s="43" t="s">
        <v>407</v>
      </c>
      <c r="T7" s="43" t="s">
        <v>408</v>
      </c>
      <c r="U7" s="43" t="s">
        <v>408</v>
      </c>
      <c r="V7" s="45">
        <v>1.7750239999999999</v>
      </c>
      <c r="W7" s="45">
        <v>0.78300000000000003</v>
      </c>
      <c r="X7" s="45">
        <f t="shared" si="0"/>
        <v>2.0153745505163193E-2</v>
      </c>
    </row>
    <row r="8" spans="1:24" x14ac:dyDescent="0.2">
      <c r="A8" s="43">
        <v>18</v>
      </c>
      <c r="B8" s="43">
        <v>29</v>
      </c>
      <c r="C8" s="43" t="s">
        <v>464</v>
      </c>
      <c r="D8" s="43" t="s">
        <v>476</v>
      </c>
      <c r="E8" s="43" t="s">
        <v>432</v>
      </c>
      <c r="F8" s="43" t="s">
        <v>488</v>
      </c>
      <c r="G8" s="43">
        <v>4631</v>
      </c>
      <c r="H8" s="43">
        <v>4632</v>
      </c>
      <c r="I8" s="43">
        <v>4600</v>
      </c>
      <c r="J8" s="43">
        <v>1411</v>
      </c>
      <c r="K8" s="43">
        <v>1411</v>
      </c>
      <c r="L8" s="43" t="s">
        <v>372</v>
      </c>
      <c r="M8" s="43" t="s">
        <v>478</v>
      </c>
      <c r="N8" s="44">
        <v>1.0175099999999999E-2</v>
      </c>
      <c r="O8" s="43" t="s">
        <v>405</v>
      </c>
      <c r="P8" s="43" t="s">
        <v>406</v>
      </c>
      <c r="Q8" s="43">
        <v>3</v>
      </c>
      <c r="R8" s="43">
        <v>10</v>
      </c>
      <c r="S8" s="43" t="s">
        <v>407</v>
      </c>
      <c r="T8" s="43" t="s">
        <v>409</v>
      </c>
      <c r="U8" s="43" t="s">
        <v>408</v>
      </c>
      <c r="V8" s="45">
        <v>1.7750239999999999</v>
      </c>
      <c r="W8" s="45">
        <v>0.78300000000000003</v>
      </c>
      <c r="X8" s="45">
        <f t="shared" si="0"/>
        <v>3.9192471344207998E-3</v>
      </c>
    </row>
    <row r="9" spans="1:24" x14ac:dyDescent="0.2">
      <c r="A9" s="43">
        <v>18</v>
      </c>
      <c r="B9" s="43">
        <v>29</v>
      </c>
      <c r="C9" s="43" t="s">
        <v>464</v>
      </c>
      <c r="D9" s="43" t="s">
        <v>476</v>
      </c>
      <c r="E9" s="43" t="s">
        <v>432</v>
      </c>
      <c r="F9" s="43" t="s">
        <v>488</v>
      </c>
      <c r="G9" s="43">
        <v>4632</v>
      </c>
      <c r="H9" s="43">
        <v>4633</v>
      </c>
      <c r="I9" s="43">
        <v>4601</v>
      </c>
      <c r="J9" s="43">
        <v>1411</v>
      </c>
      <c r="K9" s="43">
        <v>1411</v>
      </c>
      <c r="L9" s="43" t="s">
        <v>372</v>
      </c>
      <c r="M9" s="43" t="s">
        <v>478</v>
      </c>
      <c r="N9" s="44">
        <v>3.0975600000000001E-3</v>
      </c>
      <c r="O9" s="43" t="s">
        <v>405</v>
      </c>
      <c r="P9" s="43" t="s">
        <v>406</v>
      </c>
      <c r="Q9" s="43">
        <v>3</v>
      </c>
      <c r="R9" s="43">
        <v>10</v>
      </c>
      <c r="S9" s="43" t="s">
        <v>407</v>
      </c>
      <c r="T9" s="43" t="s">
        <v>409</v>
      </c>
      <c r="U9" s="43" t="s">
        <v>408</v>
      </c>
      <c r="V9" s="45">
        <v>1.7750239999999999</v>
      </c>
      <c r="W9" s="45">
        <v>0.78300000000000003</v>
      </c>
      <c r="X9" s="45">
        <f t="shared" si="0"/>
        <v>1.1931188050924798E-3</v>
      </c>
    </row>
    <row r="10" spans="1:24" x14ac:dyDescent="0.2">
      <c r="A10" s="43">
        <v>18</v>
      </c>
      <c r="B10" s="43">
        <v>29</v>
      </c>
      <c r="C10" s="43" t="s">
        <v>464</v>
      </c>
      <c r="D10" s="43" t="s">
        <v>476</v>
      </c>
      <c r="E10" s="43" t="s">
        <v>432</v>
      </c>
      <c r="F10" s="43" t="s">
        <v>488</v>
      </c>
      <c r="G10" s="43">
        <v>4836</v>
      </c>
      <c r="H10" s="43">
        <v>4837</v>
      </c>
      <c r="I10" s="43">
        <v>4815</v>
      </c>
      <c r="J10" s="43">
        <v>1550</v>
      </c>
      <c r="K10" s="43">
        <v>1550</v>
      </c>
      <c r="L10" s="43" t="s">
        <v>372</v>
      </c>
      <c r="M10" s="43" t="s">
        <v>478</v>
      </c>
      <c r="N10" s="44">
        <v>7.9807300000000001E-3</v>
      </c>
      <c r="O10" s="43" t="s">
        <v>405</v>
      </c>
      <c r="P10" s="43" t="s">
        <v>406</v>
      </c>
      <c r="Q10" s="43">
        <v>22</v>
      </c>
      <c r="R10" s="43">
        <v>10</v>
      </c>
      <c r="S10" s="43" t="s">
        <v>407</v>
      </c>
      <c r="T10" s="43" t="s">
        <v>489</v>
      </c>
      <c r="U10" s="43" t="s">
        <v>490</v>
      </c>
      <c r="V10" s="45">
        <v>1.769803</v>
      </c>
      <c r="W10" s="45">
        <v>0.78300000000000003</v>
      </c>
      <c r="X10" s="45">
        <f t="shared" si="0"/>
        <v>3.0649774174732296E-3</v>
      </c>
    </row>
    <row r="11" spans="1:24" x14ac:dyDescent="0.2">
      <c r="A11" s="43">
        <v>18</v>
      </c>
      <c r="B11" s="43">
        <v>29</v>
      </c>
      <c r="C11" s="43" t="s">
        <v>464</v>
      </c>
      <c r="D11" s="43" t="s">
        <v>476</v>
      </c>
      <c r="E11" s="43" t="s">
        <v>432</v>
      </c>
      <c r="F11" s="43" t="s">
        <v>488</v>
      </c>
      <c r="G11" s="43">
        <v>5229</v>
      </c>
      <c r="H11" s="43">
        <v>5259</v>
      </c>
      <c r="I11" s="43">
        <v>7145</v>
      </c>
      <c r="J11" s="43">
        <v>2110</v>
      </c>
      <c r="K11" s="43">
        <v>2110</v>
      </c>
      <c r="L11" s="43" t="s">
        <v>372</v>
      </c>
      <c r="M11" s="43" t="s">
        <v>478</v>
      </c>
      <c r="N11" s="44">
        <v>6.2450499999999999E-2</v>
      </c>
      <c r="O11" s="43" t="s">
        <v>405</v>
      </c>
      <c r="P11" s="43" t="s">
        <v>406</v>
      </c>
      <c r="Q11" s="43">
        <v>26</v>
      </c>
      <c r="R11" s="43">
        <v>21</v>
      </c>
      <c r="S11" s="43" t="s">
        <v>446</v>
      </c>
      <c r="T11" s="43" t="s">
        <v>447</v>
      </c>
      <c r="U11" s="43" t="s">
        <v>446</v>
      </c>
      <c r="V11" s="45">
        <v>1.671602</v>
      </c>
      <c r="W11" s="45">
        <v>0.78300000000000003</v>
      </c>
      <c r="X11" s="45">
        <f t="shared" si="0"/>
        <v>2.2653146612116998E-2</v>
      </c>
    </row>
    <row r="12" spans="1:24" x14ac:dyDescent="0.2">
      <c r="A12" s="43">
        <v>18</v>
      </c>
      <c r="B12" s="43">
        <v>29</v>
      </c>
      <c r="C12" s="43" t="s">
        <v>464</v>
      </c>
      <c r="D12" s="43" t="s">
        <v>476</v>
      </c>
      <c r="E12" s="43" t="s">
        <v>432</v>
      </c>
      <c r="F12" s="43" t="s">
        <v>488</v>
      </c>
      <c r="G12" s="43">
        <v>14837</v>
      </c>
      <c r="H12" s="43">
        <v>14838</v>
      </c>
      <c r="I12" s="43">
        <v>14759</v>
      </c>
      <c r="J12" s="43">
        <v>3200</v>
      </c>
      <c r="K12" s="43">
        <v>3200</v>
      </c>
      <c r="L12" s="43" t="s">
        <v>372</v>
      </c>
      <c r="M12" s="43" t="s">
        <v>478</v>
      </c>
      <c r="N12" s="44">
        <v>1.52973</v>
      </c>
      <c r="O12" s="43" t="s">
        <v>405</v>
      </c>
      <c r="P12" s="43" t="s">
        <v>406</v>
      </c>
      <c r="Q12" s="43">
        <v>5</v>
      </c>
      <c r="R12" s="43">
        <v>30</v>
      </c>
      <c r="S12" s="43" t="s">
        <v>455</v>
      </c>
      <c r="T12" s="43" t="s">
        <v>456</v>
      </c>
      <c r="U12" s="43" t="s">
        <v>414</v>
      </c>
      <c r="V12" s="45">
        <v>9.3119999999999994E-2</v>
      </c>
      <c r="W12" s="45">
        <v>0.78300000000000003</v>
      </c>
      <c r="X12" s="45">
        <f t="shared" si="0"/>
        <v>3.0911315299199996E-2</v>
      </c>
    </row>
    <row r="13" spans="1:24" x14ac:dyDescent="0.2">
      <c r="A13" s="43">
        <v>18</v>
      </c>
      <c r="B13" s="43">
        <v>29</v>
      </c>
      <c r="C13" s="43" t="s">
        <v>464</v>
      </c>
      <c r="D13" s="43" t="s">
        <v>476</v>
      </c>
      <c r="E13" s="43" t="s">
        <v>432</v>
      </c>
      <c r="F13" s="43" t="s">
        <v>488</v>
      </c>
      <c r="G13" s="43">
        <v>52706</v>
      </c>
      <c r="H13" s="43">
        <v>52711</v>
      </c>
      <c r="I13" s="43">
        <v>52677</v>
      </c>
      <c r="J13" s="43">
        <v>8140</v>
      </c>
      <c r="K13" s="43">
        <v>8140</v>
      </c>
      <c r="L13" s="43" t="s">
        <v>372</v>
      </c>
      <c r="M13" s="43" t="s">
        <v>478</v>
      </c>
      <c r="N13" s="44">
        <v>11.3908</v>
      </c>
      <c r="O13" s="43" t="s">
        <v>405</v>
      </c>
      <c r="P13" s="43" t="s">
        <v>406</v>
      </c>
      <c r="Q13" s="43">
        <v>18</v>
      </c>
      <c r="R13" s="43">
        <v>10</v>
      </c>
      <c r="S13" s="43" t="s">
        <v>407</v>
      </c>
      <c r="T13" s="43" t="s">
        <v>420</v>
      </c>
      <c r="U13" s="43" t="s">
        <v>421</v>
      </c>
      <c r="V13" s="45">
        <v>0.717032</v>
      </c>
      <c r="W13" s="45">
        <v>0.78300000000000003</v>
      </c>
      <c r="X13" s="45">
        <f t="shared" si="0"/>
        <v>1.7723622789152</v>
      </c>
    </row>
    <row r="14" spans="1:24" x14ac:dyDescent="0.2">
      <c r="N14" s="44">
        <f>SUM(N2:N13)</f>
        <v>13.636860009999999</v>
      </c>
      <c r="X14" s="45">
        <f>SUM(X2:X13)</f>
        <v>2.0733295895260229</v>
      </c>
    </row>
    <row r="17" spans="1:24" x14ac:dyDescent="0.2">
      <c r="A17" s="43" t="s">
        <v>377</v>
      </c>
      <c r="B17" s="43" t="s">
        <v>378</v>
      </c>
      <c r="C17" s="43" t="s">
        <v>379</v>
      </c>
      <c r="D17" s="43" t="s">
        <v>380</v>
      </c>
      <c r="E17" s="43" t="s">
        <v>381</v>
      </c>
      <c r="F17" s="43" t="s">
        <v>382</v>
      </c>
      <c r="G17" s="43" t="s">
        <v>383</v>
      </c>
      <c r="H17" s="43" t="s">
        <v>384</v>
      </c>
      <c r="I17" s="43" t="s">
        <v>385</v>
      </c>
      <c r="J17" s="43" t="s">
        <v>386</v>
      </c>
      <c r="K17" s="43" t="s">
        <v>387</v>
      </c>
      <c r="L17" s="43" t="s">
        <v>388</v>
      </c>
      <c r="M17" s="43" t="s">
        <v>389</v>
      </c>
      <c r="N17" s="44" t="s">
        <v>391</v>
      </c>
      <c r="O17" s="43" t="s">
        <v>392</v>
      </c>
      <c r="P17" s="43" t="s">
        <v>393</v>
      </c>
      <c r="Q17" s="43" t="s">
        <v>394</v>
      </c>
      <c r="R17" s="43" t="s">
        <v>395</v>
      </c>
      <c r="S17" s="43" t="s">
        <v>396</v>
      </c>
      <c r="T17" s="43" t="s">
        <v>397</v>
      </c>
      <c r="U17" s="43" t="s">
        <v>398</v>
      </c>
      <c r="V17" s="45" t="s">
        <v>589</v>
      </c>
      <c r="W17" s="45" t="s">
        <v>590</v>
      </c>
      <c r="X17" s="45" t="s">
        <v>591</v>
      </c>
    </row>
    <row r="18" spans="1:24" x14ac:dyDescent="0.2">
      <c r="A18" s="43">
        <v>18</v>
      </c>
      <c r="B18" s="43">
        <v>29</v>
      </c>
      <c r="C18" s="43" t="s">
        <v>464</v>
      </c>
      <c r="D18" s="43" t="s">
        <v>476</v>
      </c>
      <c r="E18" s="43" t="s">
        <v>432</v>
      </c>
      <c r="F18" s="43" t="s">
        <v>488</v>
      </c>
      <c r="G18" s="43">
        <v>3482</v>
      </c>
      <c r="H18" s="43">
        <v>3486</v>
      </c>
      <c r="I18" s="43">
        <v>3423</v>
      </c>
      <c r="J18" s="43">
        <v>1320</v>
      </c>
      <c r="K18" s="43">
        <v>1320</v>
      </c>
      <c r="L18" s="43" t="s">
        <v>372</v>
      </c>
      <c r="M18" s="43" t="s">
        <v>478</v>
      </c>
      <c r="N18" s="44">
        <v>7.7246199999999998E-3</v>
      </c>
      <c r="O18" s="43" t="s">
        <v>405</v>
      </c>
      <c r="P18" s="43" t="s">
        <v>406</v>
      </c>
      <c r="Q18" s="43">
        <v>20</v>
      </c>
      <c r="R18" s="43">
        <v>10</v>
      </c>
      <c r="S18" s="43" t="s">
        <v>407</v>
      </c>
      <c r="T18" s="43" t="s">
        <v>429</v>
      </c>
      <c r="U18" s="43" t="s">
        <v>428</v>
      </c>
      <c r="V18" s="45">
        <v>4.5321179999999996</v>
      </c>
      <c r="W18" s="45">
        <v>0.6</v>
      </c>
      <c r="X18" s="45">
        <f t="shared" ref="X18:X29" si="1">N18*V18*(1-W18)</f>
        <v>1.4003555738064E-2</v>
      </c>
    </row>
    <row r="19" spans="1:24" x14ac:dyDescent="0.2">
      <c r="A19" s="43">
        <v>18</v>
      </c>
      <c r="B19" s="43">
        <v>29</v>
      </c>
      <c r="C19" s="43" t="s">
        <v>464</v>
      </c>
      <c r="D19" s="43" t="s">
        <v>476</v>
      </c>
      <c r="E19" s="43" t="s">
        <v>432</v>
      </c>
      <c r="F19" s="43" t="s">
        <v>488</v>
      </c>
      <c r="G19" s="43">
        <v>3483</v>
      </c>
      <c r="H19" s="43">
        <v>3487</v>
      </c>
      <c r="I19" s="43">
        <v>3424</v>
      </c>
      <c r="J19" s="43">
        <v>1320</v>
      </c>
      <c r="K19" s="43">
        <v>1320</v>
      </c>
      <c r="L19" s="43" t="s">
        <v>372</v>
      </c>
      <c r="M19" s="43" t="s">
        <v>478</v>
      </c>
      <c r="N19" s="44">
        <v>1.35589E-2</v>
      </c>
      <c r="O19" s="43" t="s">
        <v>405</v>
      </c>
      <c r="P19" s="43" t="s">
        <v>406</v>
      </c>
      <c r="Q19" s="43">
        <v>20</v>
      </c>
      <c r="R19" s="43">
        <v>10</v>
      </c>
      <c r="S19" s="43" t="s">
        <v>407</v>
      </c>
      <c r="T19" s="43" t="s">
        <v>429</v>
      </c>
      <c r="U19" s="43" t="s">
        <v>428</v>
      </c>
      <c r="V19" s="45">
        <v>4.5321179999999996</v>
      </c>
      <c r="W19" s="45">
        <v>0.6</v>
      </c>
      <c r="X19" s="45">
        <f t="shared" si="1"/>
        <v>2.458021390008E-2</v>
      </c>
    </row>
    <row r="20" spans="1:24" x14ac:dyDescent="0.2">
      <c r="A20" s="43">
        <v>18</v>
      </c>
      <c r="B20" s="43">
        <v>29</v>
      </c>
      <c r="C20" s="43" t="s">
        <v>464</v>
      </c>
      <c r="D20" s="43" t="s">
        <v>476</v>
      </c>
      <c r="E20" s="43" t="s">
        <v>432</v>
      </c>
      <c r="F20" s="43" t="s">
        <v>488</v>
      </c>
      <c r="G20" s="43">
        <v>4125</v>
      </c>
      <c r="H20" s="43">
        <v>4130</v>
      </c>
      <c r="I20" s="43">
        <v>4087</v>
      </c>
      <c r="J20" s="43">
        <v>1400</v>
      </c>
      <c r="K20" s="43">
        <v>1400</v>
      </c>
      <c r="L20" s="43" t="s">
        <v>372</v>
      </c>
      <c r="M20" s="43" t="s">
        <v>478</v>
      </c>
      <c r="N20" s="44">
        <v>0.48688700000000001</v>
      </c>
      <c r="O20" s="43" t="s">
        <v>405</v>
      </c>
      <c r="P20" s="43" t="s">
        <v>406</v>
      </c>
      <c r="Q20" s="43">
        <v>3</v>
      </c>
      <c r="R20" s="43">
        <v>10</v>
      </c>
      <c r="S20" s="43" t="s">
        <v>407</v>
      </c>
      <c r="T20" s="43" t="s">
        <v>408</v>
      </c>
      <c r="U20" s="43" t="s">
        <v>408</v>
      </c>
      <c r="V20" s="45">
        <v>7.8337940000000001</v>
      </c>
      <c r="W20" s="45">
        <v>0.6</v>
      </c>
      <c r="X20" s="45">
        <f t="shared" si="1"/>
        <v>1.5256689837112001</v>
      </c>
    </row>
    <row r="21" spans="1:24" x14ac:dyDescent="0.2">
      <c r="A21" s="43">
        <v>18</v>
      </c>
      <c r="B21" s="43">
        <v>29</v>
      </c>
      <c r="C21" s="43" t="s">
        <v>464</v>
      </c>
      <c r="D21" s="43" t="s">
        <v>476</v>
      </c>
      <c r="E21" s="43" t="s">
        <v>432</v>
      </c>
      <c r="F21" s="43" t="s">
        <v>488</v>
      </c>
      <c r="G21" s="43">
        <v>4126</v>
      </c>
      <c r="H21" s="43">
        <v>4131</v>
      </c>
      <c r="I21" s="43">
        <v>4088</v>
      </c>
      <c r="J21" s="43">
        <v>1400</v>
      </c>
      <c r="K21" s="43">
        <v>1400</v>
      </c>
      <c r="L21" s="43" t="s">
        <v>372</v>
      </c>
      <c r="M21" s="43" t="s">
        <v>478</v>
      </c>
      <c r="N21" s="44">
        <v>3.48597E-2</v>
      </c>
      <c r="O21" s="43" t="s">
        <v>405</v>
      </c>
      <c r="P21" s="43" t="s">
        <v>406</v>
      </c>
      <c r="Q21" s="43">
        <v>3</v>
      </c>
      <c r="R21" s="43">
        <v>10</v>
      </c>
      <c r="S21" s="43" t="s">
        <v>407</v>
      </c>
      <c r="T21" s="43" t="s">
        <v>408</v>
      </c>
      <c r="U21" s="43" t="s">
        <v>408</v>
      </c>
      <c r="V21" s="45">
        <v>7.8337940000000001</v>
      </c>
      <c r="W21" s="45">
        <v>0.6</v>
      </c>
      <c r="X21" s="45">
        <f t="shared" si="1"/>
        <v>0.10923348348072</v>
      </c>
    </row>
    <row r="22" spans="1:24" x14ac:dyDescent="0.2">
      <c r="A22" s="43">
        <v>18</v>
      </c>
      <c r="B22" s="43">
        <v>29</v>
      </c>
      <c r="C22" s="43" t="s">
        <v>464</v>
      </c>
      <c r="D22" s="43" t="s">
        <v>476</v>
      </c>
      <c r="E22" s="43" t="s">
        <v>432</v>
      </c>
      <c r="F22" s="43" t="s">
        <v>488</v>
      </c>
      <c r="G22" s="43">
        <v>4128</v>
      </c>
      <c r="H22" s="43">
        <v>4133</v>
      </c>
      <c r="I22" s="43">
        <v>4090</v>
      </c>
      <c r="J22" s="43">
        <v>1400</v>
      </c>
      <c r="K22" s="43">
        <v>1400</v>
      </c>
      <c r="L22" s="43" t="s">
        <v>372</v>
      </c>
      <c r="M22" s="43" t="s">
        <v>478</v>
      </c>
      <c r="N22" s="44">
        <v>3.7273000000000001E-2</v>
      </c>
      <c r="O22" s="43" t="s">
        <v>405</v>
      </c>
      <c r="P22" s="43" t="s">
        <v>406</v>
      </c>
      <c r="Q22" s="43">
        <v>3</v>
      </c>
      <c r="R22" s="43">
        <v>10</v>
      </c>
      <c r="S22" s="43" t="s">
        <v>407</v>
      </c>
      <c r="T22" s="43" t="s">
        <v>408</v>
      </c>
      <c r="U22" s="43" t="s">
        <v>408</v>
      </c>
      <c r="V22" s="45">
        <v>7.8337940000000001</v>
      </c>
      <c r="W22" s="45">
        <v>0.6</v>
      </c>
      <c r="X22" s="45">
        <f t="shared" si="1"/>
        <v>0.11679560150480001</v>
      </c>
    </row>
    <row r="23" spans="1:24" x14ac:dyDescent="0.2">
      <c r="A23" s="43">
        <v>18</v>
      </c>
      <c r="B23" s="43">
        <v>29</v>
      </c>
      <c r="C23" s="43" t="s">
        <v>464</v>
      </c>
      <c r="D23" s="43" t="s">
        <v>476</v>
      </c>
      <c r="E23" s="43" t="s">
        <v>432</v>
      </c>
      <c r="F23" s="43" t="s">
        <v>488</v>
      </c>
      <c r="G23" s="43">
        <v>4130</v>
      </c>
      <c r="H23" s="43">
        <v>4135</v>
      </c>
      <c r="I23" s="43">
        <v>4092</v>
      </c>
      <c r="J23" s="43">
        <v>1400</v>
      </c>
      <c r="K23" s="43">
        <v>1400</v>
      </c>
      <c r="L23" s="43" t="s">
        <v>372</v>
      </c>
      <c r="M23" s="43" t="s">
        <v>478</v>
      </c>
      <c r="N23" s="44">
        <v>5.2322899999999999E-2</v>
      </c>
      <c r="O23" s="43" t="s">
        <v>405</v>
      </c>
      <c r="P23" s="43" t="s">
        <v>406</v>
      </c>
      <c r="Q23" s="43">
        <v>3</v>
      </c>
      <c r="R23" s="43">
        <v>10</v>
      </c>
      <c r="S23" s="43" t="s">
        <v>407</v>
      </c>
      <c r="T23" s="43" t="s">
        <v>408</v>
      </c>
      <c r="U23" s="43" t="s">
        <v>408</v>
      </c>
      <c r="V23" s="45">
        <v>7.8337940000000001</v>
      </c>
      <c r="W23" s="45">
        <v>0.6</v>
      </c>
      <c r="X23" s="45">
        <f t="shared" si="1"/>
        <v>0.16395472803304001</v>
      </c>
    </row>
    <row r="24" spans="1:24" x14ac:dyDescent="0.2">
      <c r="A24" s="43">
        <v>18</v>
      </c>
      <c r="B24" s="43">
        <v>29</v>
      </c>
      <c r="C24" s="43" t="s">
        <v>464</v>
      </c>
      <c r="D24" s="43" t="s">
        <v>476</v>
      </c>
      <c r="E24" s="43" t="s">
        <v>432</v>
      </c>
      <c r="F24" s="43" t="s">
        <v>488</v>
      </c>
      <c r="G24" s="43">
        <v>4631</v>
      </c>
      <c r="H24" s="43">
        <v>4632</v>
      </c>
      <c r="I24" s="43">
        <v>4600</v>
      </c>
      <c r="J24" s="43">
        <v>1411</v>
      </c>
      <c r="K24" s="43">
        <v>1411</v>
      </c>
      <c r="L24" s="43" t="s">
        <v>372</v>
      </c>
      <c r="M24" s="43" t="s">
        <v>478</v>
      </c>
      <c r="N24" s="44">
        <v>1.0175099999999999E-2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409</v>
      </c>
      <c r="U24" s="43" t="s">
        <v>408</v>
      </c>
      <c r="V24" s="45">
        <v>7.8337940000000001</v>
      </c>
      <c r="W24" s="45">
        <v>0.6</v>
      </c>
      <c r="X24" s="45">
        <f t="shared" si="1"/>
        <v>3.1883854931759999E-2</v>
      </c>
    </row>
    <row r="25" spans="1:24" x14ac:dyDescent="0.2">
      <c r="A25" s="43">
        <v>18</v>
      </c>
      <c r="B25" s="43">
        <v>29</v>
      </c>
      <c r="C25" s="43" t="s">
        <v>464</v>
      </c>
      <c r="D25" s="43" t="s">
        <v>476</v>
      </c>
      <c r="E25" s="43" t="s">
        <v>432</v>
      </c>
      <c r="F25" s="43" t="s">
        <v>488</v>
      </c>
      <c r="G25" s="43">
        <v>4632</v>
      </c>
      <c r="H25" s="43">
        <v>4633</v>
      </c>
      <c r="I25" s="43">
        <v>4601</v>
      </c>
      <c r="J25" s="43">
        <v>1411</v>
      </c>
      <c r="K25" s="43">
        <v>1411</v>
      </c>
      <c r="L25" s="43" t="s">
        <v>372</v>
      </c>
      <c r="M25" s="43" t="s">
        <v>478</v>
      </c>
      <c r="N25" s="44">
        <v>3.0975600000000001E-3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409</v>
      </c>
      <c r="U25" s="43" t="s">
        <v>408</v>
      </c>
      <c r="V25" s="45">
        <v>7.8337940000000001</v>
      </c>
      <c r="W25" s="45">
        <v>0.6</v>
      </c>
      <c r="X25" s="45">
        <f t="shared" si="1"/>
        <v>9.7062587770560017E-3</v>
      </c>
    </row>
    <row r="26" spans="1:24" x14ac:dyDescent="0.2">
      <c r="A26" s="43">
        <v>18</v>
      </c>
      <c r="B26" s="43">
        <v>29</v>
      </c>
      <c r="C26" s="43" t="s">
        <v>464</v>
      </c>
      <c r="D26" s="43" t="s">
        <v>476</v>
      </c>
      <c r="E26" s="43" t="s">
        <v>432</v>
      </c>
      <c r="F26" s="43" t="s">
        <v>488</v>
      </c>
      <c r="G26" s="43">
        <v>4836</v>
      </c>
      <c r="H26" s="43">
        <v>4837</v>
      </c>
      <c r="I26" s="43">
        <v>4815</v>
      </c>
      <c r="J26" s="43">
        <v>1550</v>
      </c>
      <c r="K26" s="43">
        <v>1550</v>
      </c>
      <c r="L26" s="43" t="s">
        <v>372</v>
      </c>
      <c r="M26" s="43" t="s">
        <v>478</v>
      </c>
      <c r="N26" s="44">
        <v>7.9807300000000001E-3</v>
      </c>
      <c r="O26" s="43" t="s">
        <v>405</v>
      </c>
      <c r="P26" s="43" t="s">
        <v>406</v>
      </c>
      <c r="Q26" s="43">
        <v>22</v>
      </c>
      <c r="R26" s="43">
        <v>10</v>
      </c>
      <c r="S26" s="43" t="s">
        <v>407</v>
      </c>
      <c r="T26" s="43" t="s">
        <v>489</v>
      </c>
      <c r="U26" s="43" t="s">
        <v>490</v>
      </c>
      <c r="V26" s="45">
        <v>7.8932630000000001</v>
      </c>
      <c r="W26" s="45">
        <v>0.6</v>
      </c>
      <c r="X26" s="45">
        <f t="shared" si="1"/>
        <v>2.5197600328796001E-2</v>
      </c>
    </row>
    <row r="27" spans="1:24" x14ac:dyDescent="0.2">
      <c r="A27" s="43">
        <v>18</v>
      </c>
      <c r="B27" s="43">
        <v>29</v>
      </c>
      <c r="C27" s="43" t="s">
        <v>464</v>
      </c>
      <c r="D27" s="43" t="s">
        <v>476</v>
      </c>
      <c r="E27" s="43" t="s">
        <v>432</v>
      </c>
      <c r="F27" s="43" t="s">
        <v>488</v>
      </c>
      <c r="G27" s="43">
        <v>5229</v>
      </c>
      <c r="H27" s="43">
        <v>5259</v>
      </c>
      <c r="I27" s="43">
        <v>7145</v>
      </c>
      <c r="J27" s="43">
        <v>2110</v>
      </c>
      <c r="K27" s="43">
        <v>2110</v>
      </c>
      <c r="L27" s="43" t="s">
        <v>372</v>
      </c>
      <c r="M27" s="43" t="s">
        <v>478</v>
      </c>
      <c r="N27" s="44">
        <v>6.2450499999999999E-2</v>
      </c>
      <c r="O27" s="43" t="s">
        <v>405</v>
      </c>
      <c r="P27" s="43" t="s">
        <v>406</v>
      </c>
      <c r="Q27" s="43">
        <v>26</v>
      </c>
      <c r="R27" s="43">
        <v>21</v>
      </c>
      <c r="S27" s="43" t="s">
        <v>446</v>
      </c>
      <c r="T27" s="43" t="s">
        <v>447</v>
      </c>
      <c r="U27" s="43" t="s">
        <v>446</v>
      </c>
      <c r="V27" s="45">
        <v>12.944876000000001</v>
      </c>
      <c r="W27" s="45">
        <v>0.6</v>
      </c>
      <c r="X27" s="45">
        <f t="shared" si="1"/>
        <v>0.32336559145520005</v>
      </c>
    </row>
    <row r="28" spans="1:24" x14ac:dyDescent="0.2">
      <c r="A28" s="43">
        <v>18</v>
      </c>
      <c r="B28" s="43">
        <v>29</v>
      </c>
      <c r="C28" s="43" t="s">
        <v>464</v>
      </c>
      <c r="D28" s="43" t="s">
        <v>476</v>
      </c>
      <c r="E28" s="43" t="s">
        <v>432</v>
      </c>
      <c r="F28" s="43" t="s">
        <v>488</v>
      </c>
      <c r="G28" s="43">
        <v>14837</v>
      </c>
      <c r="H28" s="43">
        <v>14838</v>
      </c>
      <c r="I28" s="43">
        <v>14759</v>
      </c>
      <c r="J28" s="43">
        <v>3200</v>
      </c>
      <c r="K28" s="43">
        <v>3200</v>
      </c>
      <c r="L28" s="43" t="s">
        <v>372</v>
      </c>
      <c r="M28" s="43" t="s">
        <v>478</v>
      </c>
      <c r="N28" s="44">
        <v>1.52973</v>
      </c>
      <c r="O28" s="43" t="s">
        <v>405</v>
      </c>
      <c r="P28" s="43" t="s">
        <v>406</v>
      </c>
      <c r="Q28" s="43">
        <v>5</v>
      </c>
      <c r="R28" s="43">
        <v>30</v>
      </c>
      <c r="S28" s="43" t="s">
        <v>455</v>
      </c>
      <c r="T28" s="43" t="s">
        <v>456</v>
      </c>
      <c r="U28" s="43" t="s">
        <v>414</v>
      </c>
      <c r="V28" s="45">
        <v>8.1290569999999995</v>
      </c>
      <c r="W28" s="45">
        <v>0.6</v>
      </c>
      <c r="X28" s="45">
        <f t="shared" si="1"/>
        <v>4.9741049458440001</v>
      </c>
    </row>
    <row r="29" spans="1:24" x14ac:dyDescent="0.2">
      <c r="A29" s="43">
        <v>18</v>
      </c>
      <c r="B29" s="43">
        <v>29</v>
      </c>
      <c r="C29" s="43" t="s">
        <v>464</v>
      </c>
      <c r="D29" s="43" t="s">
        <v>476</v>
      </c>
      <c r="E29" s="43" t="s">
        <v>432</v>
      </c>
      <c r="F29" s="43" t="s">
        <v>488</v>
      </c>
      <c r="G29" s="43">
        <v>52706</v>
      </c>
      <c r="H29" s="43">
        <v>52711</v>
      </c>
      <c r="I29" s="43">
        <v>52677</v>
      </c>
      <c r="J29" s="43">
        <v>8140</v>
      </c>
      <c r="K29" s="43">
        <v>8140</v>
      </c>
      <c r="L29" s="43" t="s">
        <v>372</v>
      </c>
      <c r="M29" s="43" t="s">
        <v>478</v>
      </c>
      <c r="N29" s="44">
        <v>11.3908</v>
      </c>
      <c r="O29" s="43" t="s">
        <v>405</v>
      </c>
      <c r="P29" s="43" t="s">
        <v>406</v>
      </c>
      <c r="Q29" s="43">
        <v>18</v>
      </c>
      <c r="R29" s="43">
        <v>10</v>
      </c>
      <c r="S29" s="43" t="s">
        <v>407</v>
      </c>
      <c r="T29" s="43" t="s">
        <v>420</v>
      </c>
      <c r="U29" s="43" t="s">
        <v>421</v>
      </c>
      <c r="V29" s="45">
        <v>3.4929570000000001</v>
      </c>
      <c r="W29" s="45">
        <v>0.6</v>
      </c>
      <c r="X29" s="45">
        <f t="shared" si="1"/>
        <v>15.915029838240002</v>
      </c>
    </row>
    <row r="30" spans="1:24" x14ac:dyDescent="0.2">
      <c r="X30" s="45">
        <f>SUM(X18:X29)</f>
        <v>23.23352465594472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opLeftCell="P1" workbookViewId="0">
      <selection activeCell="W17" sqref="W17:W2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7.425781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19</v>
      </c>
      <c r="B2" s="43">
        <v>30</v>
      </c>
      <c r="C2" s="43" t="s">
        <v>491</v>
      </c>
      <c r="D2" s="43" t="s">
        <v>492</v>
      </c>
      <c r="E2" s="43" t="s">
        <v>457</v>
      </c>
      <c r="F2" s="43" t="s">
        <v>493</v>
      </c>
      <c r="G2" s="43">
        <v>2589</v>
      </c>
      <c r="H2" s="43">
        <v>2590</v>
      </c>
      <c r="I2" s="43">
        <v>2581</v>
      </c>
      <c r="J2" s="43">
        <v>1210</v>
      </c>
      <c r="K2" s="43">
        <v>1210</v>
      </c>
      <c r="L2" s="43" t="s">
        <v>372</v>
      </c>
      <c r="M2" s="43" t="s">
        <v>478</v>
      </c>
      <c r="N2" s="44">
        <v>0.34913100000000002</v>
      </c>
      <c r="O2" s="43" t="s">
        <v>405</v>
      </c>
      <c r="P2" s="43" t="s">
        <v>406</v>
      </c>
      <c r="Q2" s="43">
        <v>19</v>
      </c>
      <c r="R2" s="43">
        <v>10</v>
      </c>
      <c r="S2" s="43" t="s">
        <v>407</v>
      </c>
      <c r="T2" s="43" t="s">
        <v>436</v>
      </c>
      <c r="U2" s="43" t="s">
        <v>437</v>
      </c>
      <c r="V2" s="45">
        <v>0.60924900000000004</v>
      </c>
      <c r="W2" s="45">
        <v>0.78300000000000003</v>
      </c>
      <c r="X2" s="45">
        <f t="shared" ref="X2:X12" si="0">N2*V2*(1-W2)</f>
        <v>4.6157573638322999E-2</v>
      </c>
    </row>
    <row r="3" spans="1:24" x14ac:dyDescent="0.2">
      <c r="A3" s="43">
        <v>19</v>
      </c>
      <c r="B3" s="43">
        <v>30</v>
      </c>
      <c r="C3" s="43" t="s">
        <v>491</v>
      </c>
      <c r="D3" s="43" t="s">
        <v>492</v>
      </c>
      <c r="E3" s="43" t="s">
        <v>457</v>
      </c>
      <c r="F3" s="43" t="s">
        <v>493</v>
      </c>
      <c r="G3" s="43">
        <v>4093</v>
      </c>
      <c r="H3" s="43">
        <v>4098</v>
      </c>
      <c r="I3" s="43">
        <v>4055</v>
      </c>
      <c r="J3" s="43">
        <v>1400</v>
      </c>
      <c r="K3" s="43">
        <v>1400</v>
      </c>
      <c r="L3" s="43" t="s">
        <v>372</v>
      </c>
      <c r="M3" s="43" t="s">
        <v>478</v>
      </c>
      <c r="N3" s="44">
        <v>5.2482300000000003E-2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 t="shared" si="0"/>
        <v>2.0215143230318398E-2</v>
      </c>
    </row>
    <row r="4" spans="1:24" x14ac:dyDescent="0.2">
      <c r="A4" s="43">
        <v>19</v>
      </c>
      <c r="B4" s="43">
        <v>30</v>
      </c>
      <c r="C4" s="43" t="s">
        <v>491</v>
      </c>
      <c r="D4" s="43" t="s">
        <v>492</v>
      </c>
      <c r="E4" s="43" t="s">
        <v>457</v>
      </c>
      <c r="F4" s="43" t="s">
        <v>493</v>
      </c>
      <c r="G4" s="43">
        <v>52701</v>
      </c>
      <c r="H4" s="43">
        <v>52706</v>
      </c>
      <c r="I4" s="43">
        <v>52672</v>
      </c>
      <c r="J4" s="43">
        <v>8140</v>
      </c>
      <c r="K4" s="43">
        <v>8140</v>
      </c>
      <c r="L4" s="43" t="s">
        <v>372</v>
      </c>
      <c r="M4" s="43" t="s">
        <v>478</v>
      </c>
      <c r="N4" s="44">
        <v>1.3302099999999999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0.78300000000000003</v>
      </c>
      <c r="X4" s="45">
        <f t="shared" si="0"/>
        <v>0.20697528066823995</v>
      </c>
    </row>
    <row r="5" spans="1:24" x14ac:dyDescent="0.2">
      <c r="A5" s="43">
        <v>20</v>
      </c>
      <c r="B5" s="43">
        <v>31</v>
      </c>
      <c r="C5" s="43" t="s">
        <v>5</v>
      </c>
      <c r="D5" s="43" t="s">
        <v>492</v>
      </c>
      <c r="E5" s="43" t="s">
        <v>5</v>
      </c>
      <c r="F5" s="43" t="s">
        <v>494</v>
      </c>
      <c r="G5" s="43">
        <v>2589</v>
      </c>
      <c r="H5" s="43">
        <v>2590</v>
      </c>
      <c r="I5" s="43">
        <v>2581</v>
      </c>
      <c r="J5" s="43">
        <v>1210</v>
      </c>
      <c r="K5" s="43">
        <v>1210</v>
      </c>
      <c r="L5" s="43" t="s">
        <v>372</v>
      </c>
      <c r="M5" s="43" t="s">
        <v>478</v>
      </c>
      <c r="N5" s="44">
        <v>2.2553E-2</v>
      </c>
      <c r="O5" s="43" t="s">
        <v>405</v>
      </c>
      <c r="P5" s="43" t="s">
        <v>406</v>
      </c>
      <c r="Q5" s="43">
        <v>19</v>
      </c>
      <c r="R5" s="43">
        <v>10</v>
      </c>
      <c r="S5" s="43" t="s">
        <v>407</v>
      </c>
      <c r="T5" s="43" t="s">
        <v>436</v>
      </c>
      <c r="U5" s="43" t="s">
        <v>437</v>
      </c>
      <c r="V5" s="45">
        <v>0.60924900000000004</v>
      </c>
      <c r="W5" s="45">
        <v>0.78300000000000003</v>
      </c>
      <c r="X5" s="45">
        <f t="shared" si="0"/>
        <v>2.9816652152490001E-3</v>
      </c>
    </row>
    <row r="6" spans="1:24" x14ac:dyDescent="0.2">
      <c r="A6" s="43">
        <v>20</v>
      </c>
      <c r="B6" s="43">
        <v>31</v>
      </c>
      <c r="C6" s="43" t="s">
        <v>5</v>
      </c>
      <c r="D6" s="43" t="s">
        <v>492</v>
      </c>
      <c r="E6" s="43" t="s">
        <v>5</v>
      </c>
      <c r="F6" s="43" t="s">
        <v>494</v>
      </c>
      <c r="G6" s="43">
        <v>4093</v>
      </c>
      <c r="H6" s="43">
        <v>4098</v>
      </c>
      <c r="I6" s="43">
        <v>4055</v>
      </c>
      <c r="J6" s="43">
        <v>1400</v>
      </c>
      <c r="K6" s="43">
        <v>1400</v>
      </c>
      <c r="L6" s="43" t="s">
        <v>372</v>
      </c>
      <c r="M6" s="43" t="s">
        <v>478</v>
      </c>
      <c r="N6" s="44">
        <v>3.6375400000000002E-2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0.78300000000000003</v>
      </c>
      <c r="X6" s="45">
        <f t="shared" si="0"/>
        <v>1.4011084138083199E-2</v>
      </c>
    </row>
    <row r="7" spans="1:24" x14ac:dyDescent="0.2">
      <c r="A7" s="43">
        <v>20</v>
      </c>
      <c r="B7" s="43">
        <v>31</v>
      </c>
      <c r="C7" s="43" t="s">
        <v>5</v>
      </c>
      <c r="D7" s="43" t="s">
        <v>492</v>
      </c>
      <c r="E7" s="43" t="s">
        <v>5</v>
      </c>
      <c r="F7" s="43" t="s">
        <v>494</v>
      </c>
      <c r="G7" s="43">
        <v>52701</v>
      </c>
      <c r="H7" s="43">
        <v>52706</v>
      </c>
      <c r="I7" s="43">
        <v>52672</v>
      </c>
      <c r="J7" s="43">
        <v>8140</v>
      </c>
      <c r="K7" s="43">
        <v>8140</v>
      </c>
      <c r="L7" s="43" t="s">
        <v>372</v>
      </c>
      <c r="M7" s="43" t="s">
        <v>478</v>
      </c>
      <c r="N7" s="44">
        <v>1.0179800000000001</v>
      </c>
      <c r="O7" s="43" t="s">
        <v>405</v>
      </c>
      <c r="P7" s="43" t="s">
        <v>406</v>
      </c>
      <c r="Q7" s="43">
        <v>18</v>
      </c>
      <c r="R7" s="43">
        <v>10</v>
      </c>
      <c r="S7" s="43" t="s">
        <v>407</v>
      </c>
      <c r="T7" s="43" t="s">
        <v>420</v>
      </c>
      <c r="U7" s="43" t="s">
        <v>421</v>
      </c>
      <c r="V7" s="45">
        <v>0.717032</v>
      </c>
      <c r="W7" s="45">
        <v>0.78300000000000003</v>
      </c>
      <c r="X7" s="45">
        <f t="shared" si="0"/>
        <v>0.15839355907312</v>
      </c>
    </row>
    <row r="8" spans="1:24" x14ac:dyDescent="0.2">
      <c r="A8" s="43">
        <v>21</v>
      </c>
      <c r="B8" s="43">
        <v>32</v>
      </c>
      <c r="C8" s="43" t="s">
        <v>464</v>
      </c>
      <c r="D8" s="43" t="s">
        <v>492</v>
      </c>
      <c r="E8" s="43" t="s">
        <v>424</v>
      </c>
      <c r="F8" s="43" t="s">
        <v>495</v>
      </c>
      <c r="G8" s="43">
        <v>2589</v>
      </c>
      <c r="H8" s="43">
        <v>2590</v>
      </c>
      <c r="I8" s="43">
        <v>2581</v>
      </c>
      <c r="J8" s="43">
        <v>1210</v>
      </c>
      <c r="K8" s="43">
        <v>1210</v>
      </c>
      <c r="L8" s="43" t="s">
        <v>372</v>
      </c>
      <c r="M8" s="43" t="s">
        <v>478</v>
      </c>
      <c r="N8" s="44">
        <v>9.7246399999999997E-3</v>
      </c>
      <c r="O8" s="43" t="s">
        <v>405</v>
      </c>
      <c r="P8" s="43" t="s">
        <v>406</v>
      </c>
      <c r="Q8" s="43">
        <v>19</v>
      </c>
      <c r="R8" s="43">
        <v>10</v>
      </c>
      <c r="S8" s="43" t="s">
        <v>407</v>
      </c>
      <c r="T8" s="43" t="s">
        <v>436</v>
      </c>
      <c r="U8" s="43" t="s">
        <v>437</v>
      </c>
      <c r="V8" s="45">
        <v>0.60924900000000004</v>
      </c>
      <c r="W8" s="45">
        <v>0.78300000000000003</v>
      </c>
      <c r="X8" s="45">
        <f t="shared" si="0"/>
        <v>1.2856658013931199E-3</v>
      </c>
    </row>
    <row r="9" spans="1:24" x14ac:dyDescent="0.2">
      <c r="A9" s="43">
        <v>21</v>
      </c>
      <c r="B9" s="43">
        <v>32</v>
      </c>
      <c r="C9" s="43" t="s">
        <v>464</v>
      </c>
      <c r="D9" s="43" t="s">
        <v>492</v>
      </c>
      <c r="E9" s="43" t="s">
        <v>424</v>
      </c>
      <c r="F9" s="43" t="s">
        <v>495</v>
      </c>
      <c r="G9" s="43">
        <v>4088</v>
      </c>
      <c r="H9" s="43">
        <v>4093</v>
      </c>
      <c r="I9" s="43">
        <v>4050</v>
      </c>
      <c r="J9" s="43">
        <v>1400</v>
      </c>
      <c r="K9" s="43">
        <v>1400</v>
      </c>
      <c r="L9" s="43" t="s">
        <v>372</v>
      </c>
      <c r="M9" s="43" t="s">
        <v>478</v>
      </c>
      <c r="N9" s="44">
        <v>0.60065400000000002</v>
      </c>
      <c r="O9" s="43" t="s">
        <v>405</v>
      </c>
      <c r="P9" s="43" t="s">
        <v>406</v>
      </c>
      <c r="Q9" s="43">
        <v>3</v>
      </c>
      <c r="R9" s="43">
        <v>10</v>
      </c>
      <c r="S9" s="43" t="s">
        <v>407</v>
      </c>
      <c r="T9" s="43" t="s">
        <v>408</v>
      </c>
      <c r="U9" s="43" t="s">
        <v>408</v>
      </c>
      <c r="V9" s="45">
        <v>1.7750239999999999</v>
      </c>
      <c r="W9" s="45">
        <v>0.78300000000000003</v>
      </c>
      <c r="X9" s="45">
        <f t="shared" si="0"/>
        <v>0.23136003265603197</v>
      </c>
    </row>
    <row r="10" spans="1:24" x14ac:dyDescent="0.2">
      <c r="A10" s="43">
        <v>21</v>
      </c>
      <c r="B10" s="43">
        <v>32</v>
      </c>
      <c r="C10" s="43" t="s">
        <v>464</v>
      </c>
      <c r="D10" s="43" t="s">
        <v>492</v>
      </c>
      <c r="E10" s="43" t="s">
        <v>424</v>
      </c>
      <c r="F10" s="43" t="s">
        <v>495</v>
      </c>
      <c r="G10" s="43">
        <v>52701</v>
      </c>
      <c r="H10" s="43">
        <v>52706</v>
      </c>
      <c r="I10" s="43">
        <v>52672</v>
      </c>
      <c r="J10" s="43">
        <v>8140</v>
      </c>
      <c r="K10" s="43">
        <v>8140</v>
      </c>
      <c r="L10" s="43" t="s">
        <v>372</v>
      </c>
      <c r="M10" s="43" t="s">
        <v>478</v>
      </c>
      <c r="N10" s="44">
        <v>1.5248900000000001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0.717032</v>
      </c>
      <c r="W10" s="45">
        <v>0.78300000000000003</v>
      </c>
      <c r="X10" s="45">
        <f t="shared" si="0"/>
        <v>0.23726669904615996</v>
      </c>
    </row>
    <row r="11" spans="1:24" x14ac:dyDescent="0.2">
      <c r="A11" s="43">
        <v>22</v>
      </c>
      <c r="B11" s="43">
        <v>35</v>
      </c>
      <c r="C11" s="43" t="s">
        <v>5</v>
      </c>
      <c r="D11" s="43" t="s">
        <v>492</v>
      </c>
      <c r="E11" s="43" t="s">
        <v>5</v>
      </c>
      <c r="F11" s="43" t="s">
        <v>496</v>
      </c>
      <c r="G11" s="43">
        <v>4088</v>
      </c>
      <c r="H11" s="43">
        <v>4093</v>
      </c>
      <c r="I11" s="43">
        <v>4050</v>
      </c>
      <c r="J11" s="43">
        <v>1400</v>
      </c>
      <c r="K11" s="43">
        <v>1400</v>
      </c>
      <c r="L11" s="43" t="s">
        <v>372</v>
      </c>
      <c r="M11" s="43" t="s">
        <v>478</v>
      </c>
      <c r="N11" s="44">
        <v>0.105462</v>
      </c>
      <c r="O11" s="43" t="s">
        <v>405</v>
      </c>
      <c r="P11" s="43" t="s">
        <v>406</v>
      </c>
      <c r="Q11" s="43">
        <v>3</v>
      </c>
      <c r="R11" s="43">
        <v>10</v>
      </c>
      <c r="S11" s="43" t="s">
        <v>407</v>
      </c>
      <c r="T11" s="43" t="s">
        <v>408</v>
      </c>
      <c r="U11" s="43" t="s">
        <v>408</v>
      </c>
      <c r="V11" s="45">
        <v>1.7750239999999999</v>
      </c>
      <c r="W11" s="45">
        <v>0.78300000000000003</v>
      </c>
      <c r="X11" s="45">
        <f t="shared" si="0"/>
        <v>4.0621875096095994E-2</v>
      </c>
    </row>
    <row r="12" spans="1:24" x14ac:dyDescent="0.2">
      <c r="A12" s="43">
        <v>22</v>
      </c>
      <c r="B12" s="43">
        <v>35</v>
      </c>
      <c r="C12" s="43" t="s">
        <v>5</v>
      </c>
      <c r="D12" s="43" t="s">
        <v>492</v>
      </c>
      <c r="E12" s="43" t="s">
        <v>5</v>
      </c>
      <c r="F12" s="43" t="s">
        <v>496</v>
      </c>
      <c r="G12" s="43">
        <v>52701</v>
      </c>
      <c r="H12" s="43">
        <v>52706</v>
      </c>
      <c r="I12" s="43">
        <v>52672</v>
      </c>
      <c r="J12" s="43">
        <v>8140</v>
      </c>
      <c r="K12" s="43">
        <v>8140</v>
      </c>
      <c r="L12" s="43" t="s">
        <v>372</v>
      </c>
      <c r="M12" s="43" t="s">
        <v>478</v>
      </c>
      <c r="N12" s="44">
        <v>0.67715099999999995</v>
      </c>
      <c r="O12" s="43" t="s">
        <v>405</v>
      </c>
      <c r="P12" s="43" t="s">
        <v>406</v>
      </c>
      <c r="Q12" s="43">
        <v>18</v>
      </c>
      <c r="R12" s="43">
        <v>10</v>
      </c>
      <c r="S12" s="43" t="s">
        <v>407</v>
      </c>
      <c r="T12" s="43" t="s">
        <v>420</v>
      </c>
      <c r="U12" s="43" t="s">
        <v>421</v>
      </c>
      <c r="V12" s="45">
        <v>0.717032</v>
      </c>
      <c r="W12" s="45">
        <v>0.78300000000000003</v>
      </c>
      <c r="X12" s="45">
        <f t="shared" si="0"/>
        <v>0.10536194907554398</v>
      </c>
    </row>
    <row r="13" spans="1:24" x14ac:dyDescent="0.2">
      <c r="N13" s="44">
        <f>SUM(N2:N12)</f>
        <v>5.726613340000001</v>
      </c>
      <c r="X13" s="45">
        <f>SUM(X2:X12)</f>
        <v>1.0646305276385586</v>
      </c>
    </row>
    <row r="16" spans="1:24" x14ac:dyDescent="0.2">
      <c r="A16" s="43" t="s">
        <v>377</v>
      </c>
      <c r="B16" s="43" t="s">
        <v>378</v>
      </c>
      <c r="C16" s="43" t="s">
        <v>379</v>
      </c>
      <c r="D16" s="43" t="s">
        <v>380</v>
      </c>
      <c r="E16" s="43" t="s">
        <v>381</v>
      </c>
      <c r="F16" s="43" t="s">
        <v>382</v>
      </c>
      <c r="G16" s="43" t="s">
        <v>383</v>
      </c>
      <c r="H16" s="43" t="s">
        <v>384</v>
      </c>
      <c r="I16" s="43" t="s">
        <v>385</v>
      </c>
      <c r="J16" s="43" t="s">
        <v>386</v>
      </c>
      <c r="K16" s="43" t="s">
        <v>387</v>
      </c>
      <c r="L16" s="43" t="s">
        <v>388</v>
      </c>
      <c r="M16" s="43" t="s">
        <v>389</v>
      </c>
      <c r="N16" s="44" t="s">
        <v>391</v>
      </c>
      <c r="O16" s="43" t="s">
        <v>392</v>
      </c>
      <c r="P16" s="43" t="s">
        <v>393</v>
      </c>
      <c r="Q16" s="43" t="s">
        <v>394</v>
      </c>
      <c r="R16" s="43" t="s">
        <v>395</v>
      </c>
      <c r="S16" s="43" t="s">
        <v>396</v>
      </c>
      <c r="T16" s="43" t="s">
        <v>397</v>
      </c>
      <c r="U16" s="43" t="s">
        <v>398</v>
      </c>
      <c r="V16" s="45" t="s">
        <v>589</v>
      </c>
      <c r="W16" s="45" t="s">
        <v>590</v>
      </c>
      <c r="X16" s="45" t="s">
        <v>591</v>
      </c>
    </row>
    <row r="17" spans="1:24" x14ac:dyDescent="0.2">
      <c r="A17" s="43">
        <v>19</v>
      </c>
      <c r="B17" s="43">
        <v>30</v>
      </c>
      <c r="C17" s="43" t="s">
        <v>491</v>
      </c>
      <c r="D17" s="43" t="s">
        <v>492</v>
      </c>
      <c r="E17" s="43" t="s">
        <v>457</v>
      </c>
      <c r="F17" s="43" t="s">
        <v>493</v>
      </c>
      <c r="G17" s="43">
        <v>2589</v>
      </c>
      <c r="H17" s="43">
        <v>2590</v>
      </c>
      <c r="I17" s="43">
        <v>2581</v>
      </c>
      <c r="J17" s="43">
        <v>1210</v>
      </c>
      <c r="K17" s="43">
        <v>1210</v>
      </c>
      <c r="L17" s="43" t="s">
        <v>372</v>
      </c>
      <c r="M17" s="43" t="s">
        <v>478</v>
      </c>
      <c r="N17" s="44">
        <v>0.34913100000000002</v>
      </c>
      <c r="O17" s="43" t="s">
        <v>405</v>
      </c>
      <c r="P17" s="43" t="s">
        <v>406</v>
      </c>
      <c r="Q17" s="43">
        <v>19</v>
      </c>
      <c r="R17" s="43">
        <v>10</v>
      </c>
      <c r="S17" s="43" t="s">
        <v>407</v>
      </c>
      <c r="T17" s="43" t="s">
        <v>436</v>
      </c>
      <c r="U17" s="43" t="s">
        <v>437</v>
      </c>
      <c r="V17" s="45">
        <v>23.305396999999999</v>
      </c>
      <c r="W17" s="45">
        <v>0.6</v>
      </c>
      <c r="X17" s="45">
        <f t="shared" ref="X17:X27" si="1">N17*V17*(1-W17)</f>
        <v>3.2546546240028</v>
      </c>
    </row>
    <row r="18" spans="1:24" x14ac:dyDescent="0.2">
      <c r="A18" s="43">
        <v>19</v>
      </c>
      <c r="B18" s="43">
        <v>30</v>
      </c>
      <c r="C18" s="43" t="s">
        <v>491</v>
      </c>
      <c r="D18" s="43" t="s">
        <v>492</v>
      </c>
      <c r="E18" s="43" t="s">
        <v>457</v>
      </c>
      <c r="F18" s="43" t="s">
        <v>493</v>
      </c>
      <c r="G18" s="43">
        <v>4093</v>
      </c>
      <c r="H18" s="43">
        <v>4098</v>
      </c>
      <c r="I18" s="43">
        <v>4055</v>
      </c>
      <c r="J18" s="43">
        <v>1400</v>
      </c>
      <c r="K18" s="43">
        <v>1400</v>
      </c>
      <c r="L18" s="43" t="s">
        <v>372</v>
      </c>
      <c r="M18" s="43" t="s">
        <v>478</v>
      </c>
      <c r="N18" s="44">
        <v>5.2482300000000003E-2</v>
      </c>
      <c r="O18" s="43" t="s">
        <v>405</v>
      </c>
      <c r="P18" s="43" t="s">
        <v>406</v>
      </c>
      <c r="Q18" s="43">
        <v>3</v>
      </c>
      <c r="R18" s="43">
        <v>10</v>
      </c>
      <c r="S18" s="43" t="s">
        <v>407</v>
      </c>
      <c r="T18" s="43" t="s">
        <v>408</v>
      </c>
      <c r="U18" s="43" t="s">
        <v>408</v>
      </c>
      <c r="V18" s="45">
        <v>7.8337940000000001</v>
      </c>
      <c r="W18" s="45">
        <v>0.6</v>
      </c>
      <c r="X18" s="45">
        <f t="shared" si="1"/>
        <v>0.16445421073848002</v>
      </c>
    </row>
    <row r="19" spans="1:24" x14ac:dyDescent="0.2">
      <c r="A19" s="43">
        <v>19</v>
      </c>
      <c r="B19" s="43">
        <v>30</v>
      </c>
      <c r="C19" s="43" t="s">
        <v>491</v>
      </c>
      <c r="D19" s="43" t="s">
        <v>492</v>
      </c>
      <c r="E19" s="43" t="s">
        <v>457</v>
      </c>
      <c r="F19" s="43" t="s">
        <v>493</v>
      </c>
      <c r="G19" s="43">
        <v>52701</v>
      </c>
      <c r="H19" s="43">
        <v>52706</v>
      </c>
      <c r="I19" s="43">
        <v>52672</v>
      </c>
      <c r="J19" s="43">
        <v>8140</v>
      </c>
      <c r="K19" s="43">
        <v>8140</v>
      </c>
      <c r="L19" s="43" t="s">
        <v>372</v>
      </c>
      <c r="M19" s="43" t="s">
        <v>478</v>
      </c>
      <c r="N19" s="44">
        <v>1.3302099999999999</v>
      </c>
      <c r="O19" s="43" t="s">
        <v>405</v>
      </c>
      <c r="P19" s="43" t="s">
        <v>406</v>
      </c>
      <c r="Q19" s="43">
        <v>18</v>
      </c>
      <c r="R19" s="43">
        <v>10</v>
      </c>
      <c r="S19" s="43" t="s">
        <v>407</v>
      </c>
      <c r="T19" s="43" t="s">
        <v>420</v>
      </c>
      <c r="U19" s="43" t="s">
        <v>421</v>
      </c>
      <c r="V19" s="45">
        <v>3.4929570000000001</v>
      </c>
      <c r="W19" s="45">
        <v>0.6</v>
      </c>
      <c r="X19" s="45">
        <f t="shared" si="1"/>
        <v>1.8585465323879999</v>
      </c>
    </row>
    <row r="20" spans="1:24" x14ac:dyDescent="0.2">
      <c r="A20" s="43">
        <v>20</v>
      </c>
      <c r="B20" s="43">
        <v>31</v>
      </c>
      <c r="C20" s="43" t="s">
        <v>5</v>
      </c>
      <c r="D20" s="43" t="s">
        <v>492</v>
      </c>
      <c r="E20" s="43" t="s">
        <v>5</v>
      </c>
      <c r="F20" s="43" t="s">
        <v>494</v>
      </c>
      <c r="G20" s="43">
        <v>2589</v>
      </c>
      <c r="H20" s="43">
        <v>2590</v>
      </c>
      <c r="I20" s="43">
        <v>2581</v>
      </c>
      <c r="J20" s="43">
        <v>1210</v>
      </c>
      <c r="K20" s="43">
        <v>1210</v>
      </c>
      <c r="L20" s="43" t="s">
        <v>372</v>
      </c>
      <c r="M20" s="43" t="s">
        <v>478</v>
      </c>
      <c r="N20" s="44">
        <v>2.2553E-2</v>
      </c>
      <c r="O20" s="43" t="s">
        <v>405</v>
      </c>
      <c r="P20" s="43" t="s">
        <v>406</v>
      </c>
      <c r="Q20" s="43">
        <v>19</v>
      </c>
      <c r="R20" s="43">
        <v>10</v>
      </c>
      <c r="S20" s="43" t="s">
        <v>407</v>
      </c>
      <c r="T20" s="43" t="s">
        <v>436</v>
      </c>
      <c r="U20" s="43" t="s">
        <v>437</v>
      </c>
      <c r="V20" s="45">
        <v>23.305396999999999</v>
      </c>
      <c r="W20" s="45">
        <v>0.6</v>
      </c>
      <c r="X20" s="45">
        <f t="shared" si="1"/>
        <v>0.2102426474164</v>
      </c>
    </row>
    <row r="21" spans="1:24" x14ac:dyDescent="0.2">
      <c r="A21" s="43">
        <v>20</v>
      </c>
      <c r="B21" s="43">
        <v>31</v>
      </c>
      <c r="C21" s="43" t="s">
        <v>5</v>
      </c>
      <c r="D21" s="43" t="s">
        <v>492</v>
      </c>
      <c r="E21" s="43" t="s">
        <v>5</v>
      </c>
      <c r="F21" s="43" t="s">
        <v>494</v>
      </c>
      <c r="G21" s="43">
        <v>4093</v>
      </c>
      <c r="H21" s="43">
        <v>4098</v>
      </c>
      <c r="I21" s="43">
        <v>4055</v>
      </c>
      <c r="J21" s="43">
        <v>1400</v>
      </c>
      <c r="K21" s="43">
        <v>1400</v>
      </c>
      <c r="L21" s="43" t="s">
        <v>372</v>
      </c>
      <c r="M21" s="43" t="s">
        <v>478</v>
      </c>
      <c r="N21" s="44">
        <v>3.6375400000000002E-2</v>
      </c>
      <c r="O21" s="43" t="s">
        <v>405</v>
      </c>
      <c r="P21" s="43" t="s">
        <v>406</v>
      </c>
      <c r="Q21" s="43">
        <v>3</v>
      </c>
      <c r="R21" s="43">
        <v>10</v>
      </c>
      <c r="S21" s="43" t="s">
        <v>407</v>
      </c>
      <c r="T21" s="43" t="s">
        <v>408</v>
      </c>
      <c r="U21" s="43" t="s">
        <v>408</v>
      </c>
      <c r="V21" s="45">
        <v>7.8337940000000001</v>
      </c>
      <c r="W21" s="45">
        <v>0.6</v>
      </c>
      <c r="X21" s="45">
        <f t="shared" si="1"/>
        <v>0.11398295610704001</v>
      </c>
    </row>
    <row r="22" spans="1:24" x14ac:dyDescent="0.2">
      <c r="A22" s="43">
        <v>20</v>
      </c>
      <c r="B22" s="43">
        <v>31</v>
      </c>
      <c r="C22" s="43" t="s">
        <v>5</v>
      </c>
      <c r="D22" s="43" t="s">
        <v>492</v>
      </c>
      <c r="E22" s="43" t="s">
        <v>5</v>
      </c>
      <c r="F22" s="43" t="s">
        <v>494</v>
      </c>
      <c r="G22" s="43">
        <v>52701</v>
      </c>
      <c r="H22" s="43">
        <v>52706</v>
      </c>
      <c r="I22" s="43">
        <v>52672</v>
      </c>
      <c r="J22" s="43">
        <v>8140</v>
      </c>
      <c r="K22" s="43">
        <v>8140</v>
      </c>
      <c r="L22" s="43" t="s">
        <v>372</v>
      </c>
      <c r="M22" s="43" t="s">
        <v>478</v>
      </c>
      <c r="N22" s="44">
        <v>1.0179800000000001</v>
      </c>
      <c r="O22" s="43" t="s">
        <v>405</v>
      </c>
      <c r="P22" s="43" t="s">
        <v>406</v>
      </c>
      <c r="Q22" s="43">
        <v>18</v>
      </c>
      <c r="R22" s="43">
        <v>10</v>
      </c>
      <c r="S22" s="43" t="s">
        <v>407</v>
      </c>
      <c r="T22" s="43" t="s">
        <v>420</v>
      </c>
      <c r="U22" s="43" t="s">
        <v>421</v>
      </c>
      <c r="V22" s="45">
        <v>3.4929570000000001</v>
      </c>
      <c r="W22" s="45">
        <v>0.6</v>
      </c>
      <c r="X22" s="45">
        <f t="shared" si="1"/>
        <v>1.4223041467440003</v>
      </c>
    </row>
    <row r="23" spans="1:24" x14ac:dyDescent="0.2">
      <c r="A23" s="43">
        <v>21</v>
      </c>
      <c r="B23" s="43">
        <v>32</v>
      </c>
      <c r="C23" s="43" t="s">
        <v>464</v>
      </c>
      <c r="D23" s="43" t="s">
        <v>492</v>
      </c>
      <c r="E23" s="43" t="s">
        <v>424</v>
      </c>
      <c r="F23" s="43" t="s">
        <v>495</v>
      </c>
      <c r="G23" s="43">
        <v>2589</v>
      </c>
      <c r="H23" s="43">
        <v>2590</v>
      </c>
      <c r="I23" s="43">
        <v>2581</v>
      </c>
      <c r="J23" s="43">
        <v>1210</v>
      </c>
      <c r="K23" s="43">
        <v>1210</v>
      </c>
      <c r="L23" s="43" t="s">
        <v>372</v>
      </c>
      <c r="M23" s="43" t="s">
        <v>478</v>
      </c>
      <c r="N23" s="44">
        <v>9.7246399999999997E-3</v>
      </c>
      <c r="O23" s="43" t="s">
        <v>405</v>
      </c>
      <c r="P23" s="43" t="s">
        <v>406</v>
      </c>
      <c r="Q23" s="43">
        <v>19</v>
      </c>
      <c r="R23" s="43">
        <v>10</v>
      </c>
      <c r="S23" s="43" t="s">
        <v>407</v>
      </c>
      <c r="T23" s="43" t="s">
        <v>436</v>
      </c>
      <c r="U23" s="43" t="s">
        <v>437</v>
      </c>
      <c r="V23" s="45">
        <v>23.305396999999999</v>
      </c>
      <c r="W23" s="45">
        <v>0.6</v>
      </c>
      <c r="X23" s="45">
        <f t="shared" si="1"/>
        <v>9.0654638352831995E-2</v>
      </c>
    </row>
    <row r="24" spans="1:24" x14ac:dyDescent="0.2">
      <c r="A24" s="43">
        <v>21</v>
      </c>
      <c r="B24" s="43">
        <v>32</v>
      </c>
      <c r="C24" s="43" t="s">
        <v>464</v>
      </c>
      <c r="D24" s="43" t="s">
        <v>492</v>
      </c>
      <c r="E24" s="43" t="s">
        <v>424</v>
      </c>
      <c r="F24" s="43" t="s">
        <v>495</v>
      </c>
      <c r="G24" s="43">
        <v>4088</v>
      </c>
      <c r="H24" s="43">
        <v>4093</v>
      </c>
      <c r="I24" s="43">
        <v>4050</v>
      </c>
      <c r="J24" s="43">
        <v>1400</v>
      </c>
      <c r="K24" s="43">
        <v>1400</v>
      </c>
      <c r="L24" s="43" t="s">
        <v>372</v>
      </c>
      <c r="M24" s="43" t="s">
        <v>478</v>
      </c>
      <c r="N24" s="44">
        <v>0.60065400000000002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408</v>
      </c>
      <c r="U24" s="43" t="s">
        <v>408</v>
      </c>
      <c r="V24" s="45">
        <v>7.8337940000000001</v>
      </c>
      <c r="W24" s="45">
        <v>0.6</v>
      </c>
      <c r="X24" s="45">
        <f t="shared" si="1"/>
        <v>1.8821598805104001</v>
      </c>
    </row>
    <row r="25" spans="1:24" x14ac:dyDescent="0.2">
      <c r="A25" s="43">
        <v>21</v>
      </c>
      <c r="B25" s="43">
        <v>32</v>
      </c>
      <c r="C25" s="43" t="s">
        <v>464</v>
      </c>
      <c r="D25" s="43" t="s">
        <v>492</v>
      </c>
      <c r="E25" s="43" t="s">
        <v>424</v>
      </c>
      <c r="F25" s="43" t="s">
        <v>495</v>
      </c>
      <c r="G25" s="43">
        <v>52701</v>
      </c>
      <c r="H25" s="43">
        <v>52706</v>
      </c>
      <c r="I25" s="43">
        <v>52672</v>
      </c>
      <c r="J25" s="43">
        <v>8140</v>
      </c>
      <c r="K25" s="43">
        <v>8140</v>
      </c>
      <c r="L25" s="43" t="s">
        <v>372</v>
      </c>
      <c r="M25" s="43" t="s">
        <v>478</v>
      </c>
      <c r="N25" s="44">
        <v>1.5248900000000001</v>
      </c>
      <c r="O25" s="43" t="s">
        <v>405</v>
      </c>
      <c r="P25" s="43" t="s">
        <v>406</v>
      </c>
      <c r="Q25" s="43">
        <v>18</v>
      </c>
      <c r="R25" s="43">
        <v>10</v>
      </c>
      <c r="S25" s="43" t="s">
        <v>407</v>
      </c>
      <c r="T25" s="43" t="s">
        <v>420</v>
      </c>
      <c r="U25" s="43" t="s">
        <v>421</v>
      </c>
      <c r="V25" s="45">
        <v>3.4929570000000001</v>
      </c>
      <c r="W25" s="45">
        <v>0.6</v>
      </c>
      <c r="X25" s="45">
        <f t="shared" si="1"/>
        <v>2.1305500798920001</v>
      </c>
    </row>
    <row r="26" spans="1:24" x14ac:dyDescent="0.2">
      <c r="A26" s="43">
        <v>22</v>
      </c>
      <c r="B26" s="43">
        <v>35</v>
      </c>
      <c r="C26" s="43" t="s">
        <v>5</v>
      </c>
      <c r="D26" s="43" t="s">
        <v>492</v>
      </c>
      <c r="E26" s="43" t="s">
        <v>5</v>
      </c>
      <c r="F26" s="43" t="s">
        <v>496</v>
      </c>
      <c r="G26" s="43">
        <v>4088</v>
      </c>
      <c r="H26" s="43">
        <v>4093</v>
      </c>
      <c r="I26" s="43">
        <v>4050</v>
      </c>
      <c r="J26" s="43">
        <v>1400</v>
      </c>
      <c r="K26" s="43">
        <v>1400</v>
      </c>
      <c r="L26" s="43" t="s">
        <v>372</v>
      </c>
      <c r="M26" s="43" t="s">
        <v>478</v>
      </c>
      <c r="N26" s="44">
        <v>0.105462</v>
      </c>
      <c r="O26" s="43" t="s">
        <v>405</v>
      </c>
      <c r="P26" s="43" t="s">
        <v>406</v>
      </c>
      <c r="Q26" s="43">
        <v>3</v>
      </c>
      <c r="R26" s="43">
        <v>10</v>
      </c>
      <c r="S26" s="43" t="s">
        <v>407</v>
      </c>
      <c r="T26" s="43" t="s">
        <v>408</v>
      </c>
      <c r="U26" s="43" t="s">
        <v>408</v>
      </c>
      <c r="V26" s="45">
        <v>7.8337940000000001</v>
      </c>
      <c r="W26" s="45">
        <v>0.6</v>
      </c>
      <c r="X26" s="45">
        <f t="shared" si="1"/>
        <v>0.33046703313120007</v>
      </c>
    </row>
    <row r="27" spans="1:24" x14ac:dyDescent="0.2">
      <c r="A27" s="43">
        <v>22</v>
      </c>
      <c r="B27" s="43">
        <v>35</v>
      </c>
      <c r="C27" s="43" t="s">
        <v>5</v>
      </c>
      <c r="D27" s="43" t="s">
        <v>492</v>
      </c>
      <c r="E27" s="43" t="s">
        <v>5</v>
      </c>
      <c r="F27" s="43" t="s">
        <v>496</v>
      </c>
      <c r="G27" s="43">
        <v>52701</v>
      </c>
      <c r="H27" s="43">
        <v>52706</v>
      </c>
      <c r="I27" s="43">
        <v>52672</v>
      </c>
      <c r="J27" s="43">
        <v>8140</v>
      </c>
      <c r="K27" s="43">
        <v>8140</v>
      </c>
      <c r="L27" s="43" t="s">
        <v>372</v>
      </c>
      <c r="M27" s="43" t="s">
        <v>478</v>
      </c>
      <c r="N27" s="44">
        <v>0.67715099999999995</v>
      </c>
      <c r="O27" s="43" t="s">
        <v>405</v>
      </c>
      <c r="P27" s="43" t="s">
        <v>406</v>
      </c>
      <c r="Q27" s="43">
        <v>18</v>
      </c>
      <c r="R27" s="43">
        <v>10</v>
      </c>
      <c r="S27" s="43" t="s">
        <v>407</v>
      </c>
      <c r="T27" s="43" t="s">
        <v>420</v>
      </c>
      <c r="U27" s="43" t="s">
        <v>421</v>
      </c>
      <c r="V27" s="45">
        <v>3.4929570000000001</v>
      </c>
      <c r="W27" s="45">
        <v>0.6</v>
      </c>
      <c r="X27" s="45">
        <f t="shared" si="1"/>
        <v>0.94610373020280003</v>
      </c>
    </row>
    <row r="28" spans="1:24" x14ac:dyDescent="0.2">
      <c r="X28" s="45">
        <f>SUM(X17:X27)</f>
        <v>12.404120479485952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opLeftCell="P1" workbookViewId="0">
      <selection activeCell="Y10" sqref="Y10:Y13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71093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60</v>
      </c>
      <c r="B2" s="43">
        <v>66</v>
      </c>
      <c r="C2" s="43">
        <v>5</v>
      </c>
      <c r="D2" s="43" t="s">
        <v>424</v>
      </c>
      <c r="E2" s="43" t="s">
        <v>556</v>
      </c>
      <c r="F2" s="43" t="s">
        <v>557</v>
      </c>
      <c r="G2" s="43" t="s">
        <v>464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0.826757879044</v>
      </c>
      <c r="P2" s="44">
        <v>0.33457700000000001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>P2*X2*(1-Y2)</f>
        <v>0.12887243845201599</v>
      </c>
    </row>
    <row r="3" spans="1:26" x14ac:dyDescent="0.2">
      <c r="A3" s="43">
        <v>60</v>
      </c>
      <c r="B3" s="43">
        <v>66</v>
      </c>
      <c r="C3" s="43">
        <v>5</v>
      </c>
      <c r="D3" s="43" t="s">
        <v>424</v>
      </c>
      <c r="E3" s="43" t="s">
        <v>556</v>
      </c>
      <c r="F3" s="43" t="s">
        <v>557</v>
      </c>
      <c r="G3" s="43" t="s">
        <v>464</v>
      </c>
      <c r="H3" s="43">
        <v>4436</v>
      </c>
      <c r="I3" s="43">
        <v>4437</v>
      </c>
      <c r="J3" s="43">
        <v>4405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0.49993607265599999</v>
      </c>
      <c r="P3" s="44">
        <v>0.202317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>P3*X3*(1-Y3)</f>
        <v>7.7928504141935986E-2</v>
      </c>
    </row>
    <row r="4" spans="1:26" x14ac:dyDescent="0.2">
      <c r="A4" s="43">
        <v>60</v>
      </c>
      <c r="B4" s="43">
        <v>66</v>
      </c>
      <c r="C4" s="43">
        <v>5</v>
      </c>
      <c r="D4" s="43" t="s">
        <v>424</v>
      </c>
      <c r="E4" s="43" t="s">
        <v>556</v>
      </c>
      <c r="F4" s="43" t="s">
        <v>557</v>
      </c>
      <c r="G4" s="43" t="s">
        <v>464</v>
      </c>
      <c r="H4" s="43">
        <v>4575</v>
      </c>
      <c r="I4" s="43">
        <v>4576</v>
      </c>
      <c r="J4" s="43">
        <v>4544</v>
      </c>
      <c r="K4" s="43">
        <v>1400</v>
      </c>
      <c r="L4" s="43">
        <v>1400</v>
      </c>
      <c r="M4" s="43" t="s">
        <v>372</v>
      </c>
      <c r="N4" s="43" t="s">
        <v>426</v>
      </c>
      <c r="O4" s="44">
        <v>0.73215031616199999</v>
      </c>
      <c r="P4" s="44">
        <v>0.29629100000000003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0.78300000000000003</v>
      </c>
      <c r="Z4" s="45">
        <f>P4*X4*(1-Y4)</f>
        <v>0.114125429008528</v>
      </c>
    </row>
    <row r="5" spans="1:26" x14ac:dyDescent="0.2">
      <c r="A5" s="43">
        <v>60</v>
      </c>
      <c r="B5" s="43">
        <v>66</v>
      </c>
      <c r="C5" s="43">
        <v>5</v>
      </c>
      <c r="D5" s="43" t="s">
        <v>424</v>
      </c>
      <c r="E5" s="43" t="s">
        <v>556</v>
      </c>
      <c r="F5" s="43" t="s">
        <v>557</v>
      </c>
      <c r="G5" s="43" t="s">
        <v>464</v>
      </c>
      <c r="H5" s="43">
        <v>52766</v>
      </c>
      <c r="I5" s="43">
        <v>52771</v>
      </c>
      <c r="J5" s="43">
        <v>52737</v>
      </c>
      <c r="K5" s="43">
        <v>8140</v>
      </c>
      <c r="L5" s="43">
        <v>8140</v>
      </c>
      <c r="M5" s="43" t="s">
        <v>372</v>
      </c>
      <c r="N5" s="43" t="s">
        <v>404</v>
      </c>
      <c r="O5" s="44">
        <v>6.3197797470100001</v>
      </c>
      <c r="P5" s="44">
        <v>2.5575199999999998</v>
      </c>
      <c r="Q5" s="43" t="s">
        <v>405</v>
      </c>
      <c r="R5" s="43" t="s">
        <v>406</v>
      </c>
      <c r="S5" s="43">
        <v>18</v>
      </c>
      <c r="T5" s="43">
        <v>10</v>
      </c>
      <c r="U5" s="43" t="s">
        <v>407</v>
      </c>
      <c r="V5" s="43" t="s">
        <v>420</v>
      </c>
      <c r="W5" s="43" t="s">
        <v>421</v>
      </c>
      <c r="X5" s="45">
        <v>0.717032</v>
      </c>
      <c r="Y5" s="45">
        <v>0.78300000000000003</v>
      </c>
      <c r="Z5" s="45">
        <f>P5*X5*(1-Y5)</f>
        <v>0.39793973869887994</v>
      </c>
    </row>
    <row r="6" spans="1:26" x14ac:dyDescent="0.2">
      <c r="O6" s="44">
        <f>SUM(O2:O5)</f>
        <v>8.378624014871999</v>
      </c>
      <c r="Z6" s="45">
        <f>SUM(Z2:Z5)</f>
        <v>0.71886611030135994</v>
      </c>
    </row>
    <row r="9" spans="1:26" x14ac:dyDescent="0.2">
      <c r="A9" s="43" t="s">
        <v>377</v>
      </c>
      <c r="B9" s="43" t="s">
        <v>378</v>
      </c>
      <c r="C9" s="43" t="s">
        <v>527</v>
      </c>
      <c r="D9" s="43" t="s">
        <v>528</v>
      </c>
      <c r="E9" s="43" t="s">
        <v>380</v>
      </c>
      <c r="F9" s="43" t="s">
        <v>529</v>
      </c>
      <c r="G9" s="43" t="s">
        <v>379</v>
      </c>
      <c r="H9" s="43" t="s">
        <v>383</v>
      </c>
      <c r="I9" s="43" t="s">
        <v>384</v>
      </c>
      <c r="J9" s="43" t="s">
        <v>385</v>
      </c>
      <c r="K9" s="43" t="s">
        <v>386</v>
      </c>
      <c r="L9" s="43" t="s">
        <v>387</v>
      </c>
      <c r="M9" s="43" t="s">
        <v>388</v>
      </c>
      <c r="N9" s="43" t="s">
        <v>389</v>
      </c>
      <c r="O9" s="44" t="s">
        <v>390</v>
      </c>
      <c r="P9" s="44" t="s">
        <v>391</v>
      </c>
      <c r="Q9" s="43" t="s">
        <v>392</v>
      </c>
      <c r="R9" s="43" t="s">
        <v>393</v>
      </c>
      <c r="S9" s="43" t="s">
        <v>394</v>
      </c>
      <c r="T9" s="43" t="s">
        <v>395</v>
      </c>
      <c r="U9" s="43" t="s">
        <v>396</v>
      </c>
      <c r="V9" s="43" t="s">
        <v>397</v>
      </c>
      <c r="W9" s="43" t="s">
        <v>398</v>
      </c>
      <c r="X9" s="45" t="s">
        <v>589</v>
      </c>
      <c r="Y9" s="45" t="s">
        <v>590</v>
      </c>
      <c r="Z9" s="45" t="s">
        <v>591</v>
      </c>
    </row>
    <row r="10" spans="1:26" x14ac:dyDescent="0.2">
      <c r="A10" s="43">
        <v>60</v>
      </c>
      <c r="B10" s="43">
        <v>66</v>
      </c>
      <c r="C10" s="43">
        <v>5</v>
      </c>
      <c r="D10" s="43" t="s">
        <v>424</v>
      </c>
      <c r="E10" s="43" t="s">
        <v>556</v>
      </c>
      <c r="F10" s="43" t="s">
        <v>557</v>
      </c>
      <c r="G10" s="43" t="s">
        <v>464</v>
      </c>
      <c r="H10" s="43">
        <v>4429</v>
      </c>
      <c r="I10" s="43">
        <v>4430</v>
      </c>
      <c r="J10" s="43">
        <v>4398</v>
      </c>
      <c r="K10" s="43">
        <v>1400</v>
      </c>
      <c r="L10" s="43">
        <v>1400</v>
      </c>
      <c r="M10" s="43" t="s">
        <v>372</v>
      </c>
      <c r="N10" s="43" t="s">
        <v>404</v>
      </c>
      <c r="O10" s="44">
        <v>0.826757879044</v>
      </c>
      <c r="P10" s="44">
        <v>0.33457700000000001</v>
      </c>
      <c r="Q10" s="43" t="s">
        <v>405</v>
      </c>
      <c r="R10" s="43" t="s">
        <v>406</v>
      </c>
      <c r="S10" s="43">
        <v>3</v>
      </c>
      <c r="T10" s="43">
        <v>10</v>
      </c>
      <c r="U10" s="43" t="s">
        <v>407</v>
      </c>
      <c r="V10" s="43" t="s">
        <v>408</v>
      </c>
      <c r="W10" s="43" t="s">
        <v>408</v>
      </c>
      <c r="X10" s="45">
        <v>7.8337940000000001</v>
      </c>
      <c r="Y10" s="45">
        <v>0.6</v>
      </c>
      <c r="Z10" s="45">
        <v>0.73650304993377813</v>
      </c>
    </row>
    <row r="11" spans="1:26" x14ac:dyDescent="0.2">
      <c r="A11" s="43">
        <v>60</v>
      </c>
      <c r="B11" s="43">
        <v>66</v>
      </c>
      <c r="C11" s="43">
        <v>5</v>
      </c>
      <c r="D11" s="43" t="s">
        <v>424</v>
      </c>
      <c r="E11" s="43" t="s">
        <v>556</v>
      </c>
      <c r="F11" s="43" t="s">
        <v>557</v>
      </c>
      <c r="G11" s="43" t="s">
        <v>464</v>
      </c>
      <c r="H11" s="43">
        <v>4436</v>
      </c>
      <c r="I11" s="43">
        <v>4437</v>
      </c>
      <c r="J11" s="43">
        <v>4405</v>
      </c>
      <c r="K11" s="43">
        <v>1400</v>
      </c>
      <c r="L11" s="43">
        <v>1400</v>
      </c>
      <c r="M11" s="43" t="s">
        <v>372</v>
      </c>
      <c r="N11" s="43" t="s">
        <v>404</v>
      </c>
      <c r="O11" s="44">
        <v>0.49993607265599999</v>
      </c>
      <c r="P11" s="44">
        <v>0.202317</v>
      </c>
      <c r="Q11" s="43" t="s">
        <v>405</v>
      </c>
      <c r="R11" s="43" t="s">
        <v>406</v>
      </c>
      <c r="S11" s="43">
        <v>3</v>
      </c>
      <c r="T11" s="43">
        <v>10</v>
      </c>
      <c r="U11" s="43" t="s">
        <v>407</v>
      </c>
      <c r="V11" s="43" t="s">
        <v>408</v>
      </c>
      <c r="W11" s="43" t="s">
        <v>408</v>
      </c>
      <c r="X11" s="45">
        <v>7.8337940000000001</v>
      </c>
      <c r="Y11" s="45">
        <v>0.6</v>
      </c>
      <c r="Z11" s="45">
        <v>0.44535962589613803</v>
      </c>
    </row>
    <row r="12" spans="1:26" x14ac:dyDescent="0.2">
      <c r="A12" s="43">
        <v>60</v>
      </c>
      <c r="B12" s="43">
        <v>66</v>
      </c>
      <c r="C12" s="43">
        <v>5</v>
      </c>
      <c r="D12" s="43" t="s">
        <v>424</v>
      </c>
      <c r="E12" s="43" t="s">
        <v>556</v>
      </c>
      <c r="F12" s="43" t="s">
        <v>557</v>
      </c>
      <c r="G12" s="43" t="s">
        <v>464</v>
      </c>
      <c r="H12" s="43">
        <v>4575</v>
      </c>
      <c r="I12" s="43">
        <v>4576</v>
      </c>
      <c r="J12" s="43">
        <v>4544</v>
      </c>
      <c r="K12" s="43">
        <v>1400</v>
      </c>
      <c r="L12" s="43">
        <v>1400</v>
      </c>
      <c r="M12" s="43" t="s">
        <v>372</v>
      </c>
      <c r="N12" s="43" t="s">
        <v>426</v>
      </c>
      <c r="O12" s="44">
        <v>0.73215031616199999</v>
      </c>
      <c r="P12" s="44">
        <v>0.29629100000000003</v>
      </c>
      <c r="Q12" s="43" t="s">
        <v>405</v>
      </c>
      <c r="R12" s="43" t="s">
        <v>406</v>
      </c>
      <c r="S12" s="43">
        <v>3</v>
      </c>
      <c r="T12" s="43">
        <v>10</v>
      </c>
      <c r="U12" s="43" t="s">
        <v>407</v>
      </c>
      <c r="V12" s="43" t="s">
        <v>408</v>
      </c>
      <c r="W12" s="43" t="s">
        <v>408</v>
      </c>
      <c r="X12" s="45">
        <v>7.8337940000000001</v>
      </c>
      <c r="Y12" s="45">
        <v>0.6</v>
      </c>
      <c r="Z12" s="45">
        <v>0.65222422691317417</v>
      </c>
    </row>
    <row r="13" spans="1:26" x14ac:dyDescent="0.2">
      <c r="A13" s="43">
        <v>60</v>
      </c>
      <c r="B13" s="43">
        <v>66</v>
      </c>
      <c r="C13" s="43">
        <v>5</v>
      </c>
      <c r="D13" s="43" t="s">
        <v>424</v>
      </c>
      <c r="E13" s="43" t="s">
        <v>556</v>
      </c>
      <c r="F13" s="43" t="s">
        <v>557</v>
      </c>
      <c r="G13" s="43" t="s">
        <v>464</v>
      </c>
      <c r="H13" s="43">
        <v>52766</v>
      </c>
      <c r="I13" s="43">
        <v>52771</v>
      </c>
      <c r="J13" s="43">
        <v>52737</v>
      </c>
      <c r="K13" s="43">
        <v>8140</v>
      </c>
      <c r="L13" s="43">
        <v>8140</v>
      </c>
      <c r="M13" s="43" t="s">
        <v>372</v>
      </c>
      <c r="N13" s="43" t="s">
        <v>404</v>
      </c>
      <c r="O13" s="44">
        <v>6.3197797470100001</v>
      </c>
      <c r="P13" s="44">
        <v>2.5575199999999998</v>
      </c>
      <c r="Q13" s="43" t="s">
        <v>405</v>
      </c>
      <c r="R13" s="43" t="s">
        <v>406</v>
      </c>
      <c r="S13" s="43">
        <v>18</v>
      </c>
      <c r="T13" s="43">
        <v>10</v>
      </c>
      <c r="U13" s="43" t="s">
        <v>407</v>
      </c>
      <c r="V13" s="43" t="s">
        <v>420</v>
      </c>
      <c r="W13" s="43" t="s">
        <v>421</v>
      </c>
      <c r="X13" s="45">
        <v>3.4929570000000001</v>
      </c>
      <c r="Y13" s="45">
        <v>0.6</v>
      </c>
      <c r="Z13" s="45">
        <v>2.5102593756458402</v>
      </c>
    </row>
    <row r="14" spans="1:26" x14ac:dyDescent="0.2">
      <c r="Z14" s="45">
        <f>SUM(Z10:Z13)</f>
        <v>4.3443462783889304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opLeftCell="Q1" workbookViewId="0">
      <selection activeCell="Y10" sqref="Y10:Y14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1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29.425781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61</v>
      </c>
      <c r="B2" s="43">
        <v>69</v>
      </c>
      <c r="C2" s="43">
        <v>5</v>
      </c>
      <c r="D2" s="43" t="s">
        <v>547</v>
      </c>
      <c r="E2" s="43" t="s">
        <v>556</v>
      </c>
      <c r="F2" s="43" t="s">
        <v>558</v>
      </c>
      <c r="G2" s="43" t="s">
        <v>464</v>
      </c>
      <c r="H2" s="43">
        <v>3834</v>
      </c>
      <c r="I2" s="43">
        <v>3836</v>
      </c>
      <c r="J2" s="43">
        <v>3783</v>
      </c>
      <c r="K2" s="43">
        <v>1340</v>
      </c>
      <c r="L2" s="43">
        <v>1340</v>
      </c>
      <c r="M2" s="43" t="s">
        <v>372</v>
      </c>
      <c r="N2" s="43" t="s">
        <v>478</v>
      </c>
      <c r="O2" s="44">
        <v>0.58573991247000001</v>
      </c>
      <c r="P2" s="44">
        <v>0.237041</v>
      </c>
      <c r="Q2" s="43" t="s">
        <v>405</v>
      </c>
      <c r="R2" s="43" t="s">
        <v>406</v>
      </c>
      <c r="S2" s="43">
        <v>21</v>
      </c>
      <c r="T2" s="43">
        <v>10</v>
      </c>
      <c r="U2" s="43" t="s">
        <v>407</v>
      </c>
      <c r="V2" s="43" t="s">
        <v>559</v>
      </c>
      <c r="W2" s="43" t="s">
        <v>540</v>
      </c>
      <c r="X2" s="45">
        <v>1.2503169999999999</v>
      </c>
      <c r="Y2" s="45">
        <v>0.78300000000000003</v>
      </c>
      <c r="Z2" s="45">
        <f>P2*X2*(1-Y2)</f>
        <v>6.4313677063348992E-2</v>
      </c>
    </row>
    <row r="3" spans="1:26" x14ac:dyDescent="0.2">
      <c r="A3" s="43">
        <v>61</v>
      </c>
      <c r="B3" s="43">
        <v>69</v>
      </c>
      <c r="C3" s="43">
        <v>5</v>
      </c>
      <c r="D3" s="43" t="s">
        <v>547</v>
      </c>
      <c r="E3" s="43" t="s">
        <v>556</v>
      </c>
      <c r="F3" s="43" t="s">
        <v>558</v>
      </c>
      <c r="G3" s="43" t="s">
        <v>464</v>
      </c>
      <c r="H3" s="43">
        <v>4613</v>
      </c>
      <c r="I3" s="43">
        <v>4614</v>
      </c>
      <c r="J3" s="43">
        <v>4582</v>
      </c>
      <c r="K3" s="43">
        <v>1411</v>
      </c>
      <c r="L3" s="43">
        <v>1411</v>
      </c>
      <c r="M3" s="43" t="s">
        <v>372</v>
      </c>
      <c r="N3" s="43" t="s">
        <v>478</v>
      </c>
      <c r="O3" s="44">
        <v>7.9329600527600005E-2</v>
      </c>
      <c r="P3" s="44">
        <v>3.21035E-2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409</v>
      </c>
      <c r="W3" s="43" t="s">
        <v>408</v>
      </c>
      <c r="X3" s="45">
        <v>1.7750239999999999</v>
      </c>
      <c r="Y3" s="45">
        <v>0.78300000000000003</v>
      </c>
      <c r="Z3" s="45">
        <f>P3*X3*(1-Y3)</f>
        <v>1.2365632807527997E-2</v>
      </c>
    </row>
    <row r="4" spans="1:26" x14ac:dyDescent="0.2">
      <c r="A4" s="43">
        <v>61</v>
      </c>
      <c r="B4" s="43">
        <v>69</v>
      </c>
      <c r="C4" s="43">
        <v>5</v>
      </c>
      <c r="D4" s="43" t="s">
        <v>547</v>
      </c>
      <c r="E4" s="43" t="s">
        <v>556</v>
      </c>
      <c r="F4" s="43" t="s">
        <v>558</v>
      </c>
      <c r="G4" s="43" t="s">
        <v>464</v>
      </c>
      <c r="H4" s="43">
        <v>20987</v>
      </c>
      <c r="I4" s="43">
        <v>20988</v>
      </c>
      <c r="J4" s="43">
        <v>20988</v>
      </c>
      <c r="K4" s="43">
        <v>5300</v>
      </c>
      <c r="L4" s="43">
        <v>5300</v>
      </c>
      <c r="M4" s="43" t="s">
        <v>372</v>
      </c>
      <c r="N4" s="43" t="s">
        <v>478</v>
      </c>
      <c r="O4" s="44">
        <v>0.61111406099599996</v>
      </c>
      <c r="P4" s="44">
        <v>0.247309</v>
      </c>
      <c r="Q4" s="43" t="s">
        <v>405</v>
      </c>
      <c r="R4" s="43" t="s">
        <v>406</v>
      </c>
      <c r="S4" s="43">
        <v>9</v>
      </c>
      <c r="T4" s="43">
        <v>50</v>
      </c>
      <c r="U4" s="43" t="s">
        <v>438</v>
      </c>
      <c r="V4" s="43" t="s">
        <v>439</v>
      </c>
      <c r="W4" s="43" t="s">
        <v>440</v>
      </c>
      <c r="X4" s="45">
        <v>0.128413</v>
      </c>
      <c r="Y4" s="45">
        <v>0.78300000000000003</v>
      </c>
      <c r="Z4" s="45">
        <f>P4*X4*(1-Y4)</f>
        <v>6.8914188638889984E-3</v>
      </c>
    </row>
    <row r="5" spans="1:26" x14ac:dyDescent="0.2">
      <c r="A5" s="43">
        <v>61</v>
      </c>
      <c r="B5" s="43">
        <v>69</v>
      </c>
      <c r="C5" s="43">
        <v>5</v>
      </c>
      <c r="D5" s="43" t="s">
        <v>547</v>
      </c>
      <c r="E5" s="43" t="s">
        <v>556</v>
      </c>
      <c r="F5" s="43" t="s">
        <v>558</v>
      </c>
      <c r="G5" s="43" t="s">
        <v>464</v>
      </c>
      <c r="H5" s="43">
        <v>29046</v>
      </c>
      <c r="I5" s="43">
        <v>29250</v>
      </c>
      <c r="J5" s="43">
        <v>29225</v>
      </c>
      <c r="K5" s="43">
        <v>6210</v>
      </c>
      <c r="L5" s="43">
        <v>6210</v>
      </c>
      <c r="M5" s="43" t="s">
        <v>372</v>
      </c>
      <c r="N5" s="43" t="s">
        <v>478</v>
      </c>
      <c r="O5" s="44">
        <v>0.539765167918</v>
      </c>
      <c r="P5" s="44">
        <v>0.21843499999999999</v>
      </c>
      <c r="Q5" s="43" t="s">
        <v>405</v>
      </c>
      <c r="R5" s="43" t="s">
        <v>406</v>
      </c>
      <c r="S5" s="43">
        <v>14</v>
      </c>
      <c r="T5" s="43">
        <v>60</v>
      </c>
      <c r="U5" s="43" t="s">
        <v>417</v>
      </c>
      <c r="V5" s="43" t="s">
        <v>418</v>
      </c>
      <c r="W5" s="43" t="s">
        <v>418</v>
      </c>
      <c r="X5" s="45">
        <v>0.44770799999999999</v>
      </c>
      <c r="Y5" s="45">
        <v>0.78300000000000003</v>
      </c>
      <c r="Z5" s="45">
        <f>P5*X5*(1-Y5)</f>
        <v>2.1221536044659997E-2</v>
      </c>
    </row>
    <row r="6" spans="1:26" x14ac:dyDescent="0.2">
      <c r="A6" s="43">
        <v>61</v>
      </c>
      <c r="B6" s="43">
        <v>69</v>
      </c>
      <c r="C6" s="43">
        <v>5</v>
      </c>
      <c r="D6" s="43" t="s">
        <v>547</v>
      </c>
      <c r="E6" s="43" t="s">
        <v>556</v>
      </c>
      <c r="F6" s="43" t="s">
        <v>558</v>
      </c>
      <c r="G6" s="43" t="s">
        <v>464</v>
      </c>
      <c r="H6" s="43">
        <v>52697</v>
      </c>
      <c r="I6" s="43">
        <v>52702</v>
      </c>
      <c r="J6" s="43">
        <v>52668</v>
      </c>
      <c r="K6" s="43">
        <v>8140</v>
      </c>
      <c r="L6" s="43">
        <v>8140</v>
      </c>
      <c r="M6" s="43" t="s">
        <v>372</v>
      </c>
      <c r="N6" s="43" t="s">
        <v>478</v>
      </c>
      <c r="O6" s="44">
        <v>12.0795148584</v>
      </c>
      <c r="P6" s="44">
        <v>4.8884100000000004</v>
      </c>
      <c r="Q6" s="43" t="s">
        <v>405</v>
      </c>
      <c r="R6" s="43" t="s">
        <v>406</v>
      </c>
      <c r="S6" s="43">
        <v>18</v>
      </c>
      <c r="T6" s="43">
        <v>10</v>
      </c>
      <c r="U6" s="43" t="s">
        <v>407</v>
      </c>
      <c r="V6" s="43" t="s">
        <v>420</v>
      </c>
      <c r="W6" s="43" t="s">
        <v>421</v>
      </c>
      <c r="X6" s="45">
        <v>0.717032</v>
      </c>
      <c r="Y6" s="45">
        <v>0.78300000000000003</v>
      </c>
      <c r="Z6" s="45">
        <f>P6*X6*(1-Y6)</f>
        <v>0.76061676860904004</v>
      </c>
    </row>
    <row r="7" spans="1:26" x14ac:dyDescent="0.2">
      <c r="O7" s="44">
        <f>SUM(O2:O6)</f>
        <v>13.895463600311599</v>
      </c>
      <c r="P7" s="44"/>
      <c r="Z7" s="45">
        <f>SUM(Z2:Z6)</f>
        <v>0.86540903338846598</v>
      </c>
    </row>
    <row r="9" spans="1:26" x14ac:dyDescent="0.2">
      <c r="A9" s="43" t="s">
        <v>377</v>
      </c>
      <c r="B9" s="43" t="s">
        <v>378</v>
      </c>
      <c r="C9" s="43" t="s">
        <v>527</v>
      </c>
      <c r="D9" s="43" t="s">
        <v>528</v>
      </c>
      <c r="E9" s="43" t="s">
        <v>380</v>
      </c>
      <c r="F9" s="43" t="s">
        <v>529</v>
      </c>
      <c r="G9" s="43" t="s">
        <v>379</v>
      </c>
      <c r="H9" s="43" t="s">
        <v>383</v>
      </c>
      <c r="I9" s="43" t="s">
        <v>384</v>
      </c>
      <c r="J9" s="43" t="s">
        <v>385</v>
      </c>
      <c r="K9" s="43" t="s">
        <v>386</v>
      </c>
      <c r="L9" s="43" t="s">
        <v>387</v>
      </c>
      <c r="M9" s="43" t="s">
        <v>388</v>
      </c>
      <c r="N9" s="43" t="s">
        <v>389</v>
      </c>
      <c r="O9" s="44" t="s">
        <v>390</v>
      </c>
      <c r="P9" s="44" t="s">
        <v>391</v>
      </c>
      <c r="Q9" s="43" t="s">
        <v>392</v>
      </c>
      <c r="R9" s="43" t="s">
        <v>393</v>
      </c>
      <c r="S9" s="43" t="s">
        <v>394</v>
      </c>
      <c r="T9" s="43" t="s">
        <v>395</v>
      </c>
      <c r="U9" s="43" t="s">
        <v>396</v>
      </c>
      <c r="V9" s="43" t="s">
        <v>397</v>
      </c>
      <c r="W9" s="43" t="s">
        <v>398</v>
      </c>
      <c r="X9" s="45" t="s">
        <v>589</v>
      </c>
      <c r="Y9" s="45" t="s">
        <v>590</v>
      </c>
      <c r="Z9" s="45" t="s">
        <v>591</v>
      </c>
    </row>
    <row r="10" spans="1:26" x14ac:dyDescent="0.2">
      <c r="A10" s="43">
        <v>61</v>
      </c>
      <c r="B10" s="43">
        <v>69</v>
      </c>
      <c r="C10" s="43">
        <v>5</v>
      </c>
      <c r="D10" s="43" t="s">
        <v>547</v>
      </c>
      <c r="E10" s="43" t="s">
        <v>556</v>
      </c>
      <c r="F10" s="43" t="s">
        <v>558</v>
      </c>
      <c r="G10" s="43" t="s">
        <v>464</v>
      </c>
      <c r="H10" s="43">
        <v>3834</v>
      </c>
      <c r="I10" s="43">
        <v>3836</v>
      </c>
      <c r="J10" s="43">
        <v>3783</v>
      </c>
      <c r="K10" s="43">
        <v>1340</v>
      </c>
      <c r="L10" s="43">
        <v>1340</v>
      </c>
      <c r="M10" s="43" t="s">
        <v>372</v>
      </c>
      <c r="N10" s="43" t="s">
        <v>478</v>
      </c>
      <c r="O10" s="44">
        <v>0.58573991247000001</v>
      </c>
      <c r="P10" s="44">
        <v>0.237041</v>
      </c>
      <c r="Q10" s="43" t="s">
        <v>405</v>
      </c>
      <c r="R10" s="43" t="s">
        <v>406</v>
      </c>
      <c r="S10" s="43">
        <v>21</v>
      </c>
      <c r="T10" s="43">
        <v>10</v>
      </c>
      <c r="U10" s="43" t="s">
        <v>407</v>
      </c>
      <c r="V10" s="43" t="s">
        <v>559</v>
      </c>
      <c r="W10" s="43" t="s">
        <v>540</v>
      </c>
      <c r="X10" s="45">
        <v>6.4719680000000004</v>
      </c>
      <c r="Y10" s="45">
        <v>0.6</v>
      </c>
      <c r="Z10" s="45">
        <v>0.43108821643932804</v>
      </c>
    </row>
    <row r="11" spans="1:26" x14ac:dyDescent="0.2">
      <c r="A11" s="43">
        <v>61</v>
      </c>
      <c r="B11" s="43">
        <v>69</v>
      </c>
      <c r="C11" s="43">
        <v>5</v>
      </c>
      <c r="D11" s="43" t="s">
        <v>547</v>
      </c>
      <c r="E11" s="43" t="s">
        <v>556</v>
      </c>
      <c r="F11" s="43" t="s">
        <v>558</v>
      </c>
      <c r="G11" s="43" t="s">
        <v>464</v>
      </c>
      <c r="H11" s="43">
        <v>4613</v>
      </c>
      <c r="I11" s="43">
        <v>4614</v>
      </c>
      <c r="J11" s="43">
        <v>4582</v>
      </c>
      <c r="K11" s="43">
        <v>1411</v>
      </c>
      <c r="L11" s="43">
        <v>1411</v>
      </c>
      <c r="M11" s="43" t="s">
        <v>372</v>
      </c>
      <c r="N11" s="43" t="s">
        <v>478</v>
      </c>
      <c r="O11" s="44">
        <v>7.9329600527600005E-2</v>
      </c>
      <c r="P11" s="44">
        <v>3.21035E-2</v>
      </c>
      <c r="Q11" s="43" t="s">
        <v>405</v>
      </c>
      <c r="R11" s="43" t="s">
        <v>406</v>
      </c>
      <c r="S11" s="43">
        <v>3</v>
      </c>
      <c r="T11" s="43">
        <v>10</v>
      </c>
      <c r="U11" s="43" t="s">
        <v>407</v>
      </c>
      <c r="V11" s="43" t="s">
        <v>409</v>
      </c>
      <c r="W11" s="43" t="s">
        <v>408</v>
      </c>
      <c r="X11" s="45">
        <v>7.8337940000000001</v>
      </c>
      <c r="Y11" s="45">
        <v>0.6</v>
      </c>
      <c r="Z11" s="45">
        <v>7.066930979579901E-2</v>
      </c>
    </row>
    <row r="12" spans="1:26" x14ac:dyDescent="0.2">
      <c r="A12" s="43">
        <v>61</v>
      </c>
      <c r="B12" s="43">
        <v>69</v>
      </c>
      <c r="C12" s="43">
        <v>5</v>
      </c>
      <c r="D12" s="43" t="s">
        <v>547</v>
      </c>
      <c r="E12" s="43" t="s">
        <v>556</v>
      </c>
      <c r="F12" s="43" t="s">
        <v>558</v>
      </c>
      <c r="G12" s="43" t="s">
        <v>464</v>
      </c>
      <c r="H12" s="43">
        <v>20987</v>
      </c>
      <c r="I12" s="43">
        <v>20988</v>
      </c>
      <c r="J12" s="43">
        <v>20988</v>
      </c>
      <c r="K12" s="43">
        <v>5300</v>
      </c>
      <c r="L12" s="43">
        <v>5300</v>
      </c>
      <c r="M12" s="43" t="s">
        <v>372</v>
      </c>
      <c r="N12" s="43" t="s">
        <v>478</v>
      </c>
      <c r="O12" s="44">
        <v>0.61111406099599996</v>
      </c>
      <c r="P12" s="44">
        <v>0.247309</v>
      </c>
      <c r="Q12" s="43" t="s">
        <v>405</v>
      </c>
      <c r="R12" s="43" t="s">
        <v>406</v>
      </c>
      <c r="S12" s="43">
        <v>9</v>
      </c>
      <c r="T12" s="43">
        <v>50</v>
      </c>
      <c r="U12" s="43" t="s">
        <v>438</v>
      </c>
      <c r="V12" s="43" t="s">
        <v>439</v>
      </c>
      <c r="W12" s="43" t="s">
        <v>440</v>
      </c>
      <c r="X12" s="45">
        <v>2.201031</v>
      </c>
      <c r="Y12" s="45">
        <v>0.6</v>
      </c>
      <c r="Z12" s="45">
        <v>0.15295807193769903</v>
      </c>
    </row>
    <row r="13" spans="1:26" x14ac:dyDescent="0.2">
      <c r="A13" s="43">
        <v>61</v>
      </c>
      <c r="B13" s="43">
        <v>69</v>
      </c>
      <c r="C13" s="43">
        <v>5</v>
      </c>
      <c r="D13" s="43" t="s">
        <v>547</v>
      </c>
      <c r="E13" s="43" t="s">
        <v>556</v>
      </c>
      <c r="F13" s="43" t="s">
        <v>558</v>
      </c>
      <c r="G13" s="43" t="s">
        <v>464</v>
      </c>
      <c r="H13" s="43">
        <v>29046</v>
      </c>
      <c r="I13" s="43">
        <v>29250</v>
      </c>
      <c r="J13" s="43">
        <v>29225</v>
      </c>
      <c r="K13" s="43">
        <v>6210</v>
      </c>
      <c r="L13" s="43">
        <v>6210</v>
      </c>
      <c r="M13" s="43" t="s">
        <v>372</v>
      </c>
      <c r="N13" s="43" t="s">
        <v>478</v>
      </c>
      <c r="O13" s="44">
        <v>0.539765167918</v>
      </c>
      <c r="P13" s="44">
        <v>0.21843499999999999</v>
      </c>
      <c r="Q13" s="43" t="s">
        <v>405</v>
      </c>
      <c r="R13" s="43" t="s">
        <v>406</v>
      </c>
      <c r="S13" s="43">
        <v>14</v>
      </c>
      <c r="T13" s="43">
        <v>60</v>
      </c>
      <c r="U13" s="43" t="s">
        <v>417</v>
      </c>
      <c r="V13" s="43" t="s">
        <v>418</v>
      </c>
      <c r="W13" s="43" t="s">
        <v>418</v>
      </c>
      <c r="X13" s="45">
        <v>6.3260019999999999</v>
      </c>
      <c r="Y13" s="45">
        <v>0.6</v>
      </c>
      <c r="Z13" s="45">
        <v>0.38829148937046998</v>
      </c>
    </row>
    <row r="14" spans="1:26" x14ac:dyDescent="0.2">
      <c r="A14" s="43">
        <v>61</v>
      </c>
      <c r="B14" s="43">
        <v>69</v>
      </c>
      <c r="C14" s="43">
        <v>5</v>
      </c>
      <c r="D14" s="43" t="s">
        <v>547</v>
      </c>
      <c r="E14" s="43" t="s">
        <v>556</v>
      </c>
      <c r="F14" s="43" t="s">
        <v>558</v>
      </c>
      <c r="G14" s="43" t="s">
        <v>464</v>
      </c>
      <c r="H14" s="43">
        <v>52697</v>
      </c>
      <c r="I14" s="43">
        <v>52702</v>
      </c>
      <c r="J14" s="43">
        <v>52668</v>
      </c>
      <c r="K14" s="43">
        <v>8140</v>
      </c>
      <c r="L14" s="43">
        <v>8140</v>
      </c>
      <c r="M14" s="43" t="s">
        <v>372</v>
      </c>
      <c r="N14" s="43" t="s">
        <v>478</v>
      </c>
      <c r="O14" s="44">
        <v>12.0795148584</v>
      </c>
      <c r="P14" s="44">
        <v>4.8884100000000004</v>
      </c>
      <c r="Q14" s="43" t="s">
        <v>405</v>
      </c>
      <c r="R14" s="43" t="s">
        <v>406</v>
      </c>
      <c r="S14" s="43">
        <v>18</v>
      </c>
      <c r="T14" s="43">
        <v>10</v>
      </c>
      <c r="U14" s="43" t="s">
        <v>407</v>
      </c>
      <c r="V14" s="43" t="s">
        <v>420</v>
      </c>
      <c r="W14" s="43" t="s">
        <v>421</v>
      </c>
      <c r="X14" s="45">
        <v>3.4929570000000001</v>
      </c>
      <c r="Y14" s="45">
        <v>0.6</v>
      </c>
      <c r="Z14" s="45">
        <v>4.7980766658719709</v>
      </c>
    </row>
    <row r="15" spans="1:26" x14ac:dyDescent="0.2">
      <c r="Z15" s="45">
        <f>SUM(Z10:Z14)</f>
        <v>5.8410837534152673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opLeftCell="S1" workbookViewId="0">
      <selection activeCell="Y23" sqref="Y23:Y3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1.140625" bestFit="1" customWidth="1"/>
    <col min="15" max="16" width="14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25.710937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62</v>
      </c>
      <c r="B2" s="43">
        <v>70</v>
      </c>
      <c r="C2" s="43">
        <v>5</v>
      </c>
      <c r="D2" s="43" t="s">
        <v>560</v>
      </c>
      <c r="E2" s="43" t="s">
        <v>556</v>
      </c>
      <c r="F2" s="43" t="s">
        <v>561</v>
      </c>
      <c r="G2" s="43" t="s">
        <v>464</v>
      </c>
      <c r="H2" s="43">
        <v>4613</v>
      </c>
      <c r="I2" s="43">
        <v>4614</v>
      </c>
      <c r="J2" s="43">
        <v>4582</v>
      </c>
      <c r="K2" s="43">
        <v>1411</v>
      </c>
      <c r="L2" s="43">
        <v>1411</v>
      </c>
      <c r="M2" s="43" t="s">
        <v>372</v>
      </c>
      <c r="N2" s="43" t="s">
        <v>478</v>
      </c>
      <c r="O2" s="44">
        <v>0.64630816391500001</v>
      </c>
      <c r="P2" s="44">
        <v>0.26155200000000001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409</v>
      </c>
      <c r="W2" s="43" t="s">
        <v>408</v>
      </c>
      <c r="X2" s="45">
        <v>1.7750239999999999</v>
      </c>
      <c r="Y2" s="45">
        <v>0.78300000000000003</v>
      </c>
      <c r="Z2" s="45">
        <f t="shared" ref="Z2:Z18" si="0">P2*X2*(1-Y2)</f>
        <v>0.10074465376281598</v>
      </c>
    </row>
    <row r="3" spans="1:26" x14ac:dyDescent="0.2">
      <c r="A3" s="43">
        <v>62</v>
      </c>
      <c r="B3" s="43">
        <v>70</v>
      </c>
      <c r="C3" s="43">
        <v>5</v>
      </c>
      <c r="D3" s="43" t="s">
        <v>560</v>
      </c>
      <c r="E3" s="43" t="s">
        <v>556</v>
      </c>
      <c r="F3" s="43" t="s">
        <v>561</v>
      </c>
      <c r="G3" s="43" t="s">
        <v>464</v>
      </c>
      <c r="H3" s="43">
        <v>20985</v>
      </c>
      <c r="I3" s="43">
        <v>20986</v>
      </c>
      <c r="J3" s="43">
        <v>20986</v>
      </c>
      <c r="K3" s="43">
        <v>5300</v>
      </c>
      <c r="L3" s="43">
        <v>5300</v>
      </c>
      <c r="M3" s="43" t="s">
        <v>372</v>
      </c>
      <c r="N3" s="43" t="s">
        <v>478</v>
      </c>
      <c r="O3" s="44">
        <v>0.61568110615799998</v>
      </c>
      <c r="P3" s="44">
        <v>0.24915699999999999</v>
      </c>
      <c r="Q3" s="43" t="s">
        <v>405</v>
      </c>
      <c r="R3" s="43" t="s">
        <v>406</v>
      </c>
      <c r="S3" s="43">
        <v>9</v>
      </c>
      <c r="T3" s="43">
        <v>50</v>
      </c>
      <c r="U3" s="43" t="s">
        <v>438</v>
      </c>
      <c r="V3" s="43" t="s">
        <v>439</v>
      </c>
      <c r="W3" s="43" t="s">
        <v>440</v>
      </c>
      <c r="X3" s="45">
        <v>0.128413</v>
      </c>
      <c r="Y3" s="45">
        <v>0.78300000000000003</v>
      </c>
      <c r="Z3" s="45">
        <f t="shared" si="0"/>
        <v>6.942914531496998E-3</v>
      </c>
    </row>
    <row r="4" spans="1:26" x14ac:dyDescent="0.2">
      <c r="A4" s="43">
        <v>62</v>
      </c>
      <c r="B4" s="43">
        <v>70</v>
      </c>
      <c r="C4" s="43">
        <v>5</v>
      </c>
      <c r="D4" s="43" t="s">
        <v>560</v>
      </c>
      <c r="E4" s="43" t="s">
        <v>556</v>
      </c>
      <c r="F4" s="43" t="s">
        <v>561</v>
      </c>
      <c r="G4" s="43" t="s">
        <v>464</v>
      </c>
      <c r="H4" s="43">
        <v>29042</v>
      </c>
      <c r="I4" s="43">
        <v>29246</v>
      </c>
      <c r="J4" s="43">
        <v>29221</v>
      </c>
      <c r="K4" s="43">
        <v>6210</v>
      </c>
      <c r="L4" s="43">
        <v>6210</v>
      </c>
      <c r="M4" s="43" t="s">
        <v>372</v>
      </c>
      <c r="N4" s="43" t="s">
        <v>478</v>
      </c>
      <c r="O4" s="44">
        <v>0.156718971052</v>
      </c>
      <c r="P4" s="44">
        <v>6.3421900000000003E-2</v>
      </c>
      <c r="Q4" s="43" t="s">
        <v>405</v>
      </c>
      <c r="R4" s="43" t="s">
        <v>406</v>
      </c>
      <c r="S4" s="43">
        <v>14</v>
      </c>
      <c r="T4" s="43">
        <v>60</v>
      </c>
      <c r="U4" s="43" t="s">
        <v>417</v>
      </c>
      <c r="V4" s="43" t="s">
        <v>418</v>
      </c>
      <c r="W4" s="43" t="s">
        <v>418</v>
      </c>
      <c r="X4" s="45">
        <v>0.44770799999999999</v>
      </c>
      <c r="Y4" s="45">
        <v>0.78300000000000003</v>
      </c>
      <c r="Z4" s="45">
        <f t="shared" si="0"/>
        <v>6.1616047651283992E-3</v>
      </c>
    </row>
    <row r="5" spans="1:26" x14ac:dyDescent="0.2">
      <c r="A5" s="43">
        <v>62</v>
      </c>
      <c r="B5" s="43">
        <v>70</v>
      </c>
      <c r="C5" s="43">
        <v>5</v>
      </c>
      <c r="D5" s="43" t="s">
        <v>560</v>
      </c>
      <c r="E5" s="43" t="s">
        <v>556</v>
      </c>
      <c r="F5" s="43" t="s">
        <v>561</v>
      </c>
      <c r="G5" s="43" t="s">
        <v>464</v>
      </c>
      <c r="H5" s="43">
        <v>52697</v>
      </c>
      <c r="I5" s="43">
        <v>52702</v>
      </c>
      <c r="J5" s="43">
        <v>52668</v>
      </c>
      <c r="K5" s="43">
        <v>8140</v>
      </c>
      <c r="L5" s="43">
        <v>8140</v>
      </c>
      <c r="M5" s="43" t="s">
        <v>372</v>
      </c>
      <c r="N5" s="43" t="s">
        <v>478</v>
      </c>
      <c r="O5" s="44">
        <v>12.8312289765</v>
      </c>
      <c r="P5" s="44">
        <v>5.1926100000000002</v>
      </c>
      <c r="Q5" s="43" t="s">
        <v>405</v>
      </c>
      <c r="R5" s="43" t="s">
        <v>406</v>
      </c>
      <c r="S5" s="43">
        <v>18</v>
      </c>
      <c r="T5" s="43">
        <v>10</v>
      </c>
      <c r="U5" s="43" t="s">
        <v>407</v>
      </c>
      <c r="V5" s="43" t="s">
        <v>420</v>
      </c>
      <c r="W5" s="43" t="s">
        <v>421</v>
      </c>
      <c r="X5" s="45">
        <v>0.717032</v>
      </c>
      <c r="Y5" s="45">
        <v>0.78300000000000003</v>
      </c>
      <c r="Z5" s="45">
        <f t="shared" si="0"/>
        <v>0.80794905477383994</v>
      </c>
    </row>
    <row r="6" spans="1:26" x14ac:dyDescent="0.2">
      <c r="A6" s="43">
        <v>62</v>
      </c>
      <c r="B6" s="43">
        <v>70</v>
      </c>
      <c r="C6" s="43">
        <v>5</v>
      </c>
      <c r="D6" s="43" t="s">
        <v>560</v>
      </c>
      <c r="E6" s="43" t="s">
        <v>556</v>
      </c>
      <c r="F6" s="43" t="s">
        <v>561</v>
      </c>
      <c r="G6" s="43" t="s">
        <v>464</v>
      </c>
      <c r="H6" s="43">
        <v>52779</v>
      </c>
      <c r="I6" s="43">
        <v>52784</v>
      </c>
      <c r="J6" s="43">
        <v>52750</v>
      </c>
      <c r="K6" s="43">
        <v>8140</v>
      </c>
      <c r="L6" s="43">
        <v>8140</v>
      </c>
      <c r="M6" s="43" t="s">
        <v>372</v>
      </c>
      <c r="N6" s="43" t="s">
        <v>426</v>
      </c>
      <c r="O6" s="44">
        <v>5.6270228626700003E-2</v>
      </c>
      <c r="P6" s="44">
        <v>2.2771799999999998E-2</v>
      </c>
      <c r="Q6" s="43" t="s">
        <v>405</v>
      </c>
      <c r="R6" s="43" t="s">
        <v>406</v>
      </c>
      <c r="S6" s="43">
        <v>18</v>
      </c>
      <c r="T6" s="43">
        <v>10</v>
      </c>
      <c r="U6" s="43" t="s">
        <v>407</v>
      </c>
      <c r="V6" s="43" t="s">
        <v>420</v>
      </c>
      <c r="W6" s="43" t="s">
        <v>421</v>
      </c>
      <c r="X6" s="45">
        <v>0.717032</v>
      </c>
      <c r="Y6" s="45">
        <v>0.78300000000000003</v>
      </c>
      <c r="Z6" s="45">
        <f t="shared" si="0"/>
        <v>3.5431997175791995E-3</v>
      </c>
    </row>
    <row r="7" spans="1:26" x14ac:dyDescent="0.2">
      <c r="A7" s="43">
        <v>63</v>
      </c>
      <c r="B7" s="43">
        <v>71</v>
      </c>
      <c r="C7" s="43">
        <v>5</v>
      </c>
      <c r="D7" s="43" t="s">
        <v>562</v>
      </c>
      <c r="E7" s="43" t="s">
        <v>556</v>
      </c>
      <c r="F7" s="43" t="s">
        <v>563</v>
      </c>
      <c r="G7" s="43" t="s">
        <v>464</v>
      </c>
      <c r="H7" s="43">
        <v>4594</v>
      </c>
      <c r="I7" s="43">
        <v>4595</v>
      </c>
      <c r="J7" s="43">
        <v>4563</v>
      </c>
      <c r="K7" s="43">
        <v>1400</v>
      </c>
      <c r="L7" s="43">
        <v>1400</v>
      </c>
      <c r="M7" s="43" t="s">
        <v>372</v>
      </c>
      <c r="N7" s="43" t="s">
        <v>426</v>
      </c>
      <c r="O7" s="44">
        <v>0.121183892865</v>
      </c>
      <c r="P7" s="44">
        <v>4.9041399999999999E-2</v>
      </c>
      <c r="Q7" s="43" t="s">
        <v>405</v>
      </c>
      <c r="R7" s="43" t="s">
        <v>406</v>
      </c>
      <c r="S7" s="43">
        <v>3</v>
      </c>
      <c r="T7" s="43">
        <v>10</v>
      </c>
      <c r="U7" s="43" t="s">
        <v>407</v>
      </c>
      <c r="V7" s="43" t="s">
        <v>408</v>
      </c>
      <c r="W7" s="43" t="s">
        <v>408</v>
      </c>
      <c r="X7" s="45">
        <v>1.7750239999999999</v>
      </c>
      <c r="Y7" s="45">
        <v>0.78300000000000003</v>
      </c>
      <c r="Z7" s="45">
        <f t="shared" si="0"/>
        <v>1.8889776652611195E-2</v>
      </c>
    </row>
    <row r="8" spans="1:26" x14ac:dyDescent="0.2">
      <c r="A8" s="43">
        <v>63</v>
      </c>
      <c r="B8" s="43">
        <v>71</v>
      </c>
      <c r="C8" s="43">
        <v>5</v>
      </c>
      <c r="D8" s="43" t="s">
        <v>562</v>
      </c>
      <c r="E8" s="43" t="s">
        <v>556</v>
      </c>
      <c r="F8" s="43" t="s">
        <v>563</v>
      </c>
      <c r="G8" s="43" t="s">
        <v>464</v>
      </c>
      <c r="H8" s="43">
        <v>4597</v>
      </c>
      <c r="I8" s="43">
        <v>4598</v>
      </c>
      <c r="J8" s="43">
        <v>4566</v>
      </c>
      <c r="K8" s="43">
        <v>1400</v>
      </c>
      <c r="L8" s="43">
        <v>1400</v>
      </c>
      <c r="M8" s="43" t="s">
        <v>372</v>
      </c>
      <c r="N8" s="43" t="s">
        <v>426</v>
      </c>
      <c r="O8" s="44">
        <v>5.37894848924E-2</v>
      </c>
      <c r="P8" s="44">
        <v>2.17678E-2</v>
      </c>
      <c r="Q8" s="43" t="s">
        <v>405</v>
      </c>
      <c r="R8" s="43" t="s">
        <v>406</v>
      </c>
      <c r="S8" s="43">
        <v>3</v>
      </c>
      <c r="T8" s="43">
        <v>10</v>
      </c>
      <c r="U8" s="43" t="s">
        <v>407</v>
      </c>
      <c r="V8" s="43" t="s">
        <v>408</v>
      </c>
      <c r="W8" s="43" t="s">
        <v>408</v>
      </c>
      <c r="X8" s="45">
        <v>1.7750239999999999</v>
      </c>
      <c r="Y8" s="45">
        <v>0.78300000000000003</v>
      </c>
      <c r="Z8" s="45">
        <f t="shared" si="0"/>
        <v>8.3845257317023986E-3</v>
      </c>
    </row>
    <row r="9" spans="1:26" x14ac:dyDescent="0.2">
      <c r="A9" s="43">
        <v>63</v>
      </c>
      <c r="B9" s="43">
        <v>71</v>
      </c>
      <c r="C9" s="43">
        <v>5</v>
      </c>
      <c r="D9" s="43" t="s">
        <v>562</v>
      </c>
      <c r="E9" s="43" t="s">
        <v>556</v>
      </c>
      <c r="F9" s="43" t="s">
        <v>563</v>
      </c>
      <c r="G9" s="43" t="s">
        <v>464</v>
      </c>
      <c r="H9" s="43">
        <v>4598</v>
      </c>
      <c r="I9" s="43">
        <v>4599</v>
      </c>
      <c r="J9" s="43">
        <v>4567</v>
      </c>
      <c r="K9" s="43">
        <v>1400</v>
      </c>
      <c r="L9" s="43">
        <v>1400</v>
      </c>
      <c r="M9" s="43" t="s">
        <v>372</v>
      </c>
      <c r="N9" s="43" t="s">
        <v>426</v>
      </c>
      <c r="O9" s="44">
        <v>0.122199976046</v>
      </c>
      <c r="P9" s="44">
        <v>4.9452599999999999E-2</v>
      </c>
      <c r="Q9" s="43" t="s">
        <v>405</v>
      </c>
      <c r="R9" s="43" t="s">
        <v>406</v>
      </c>
      <c r="S9" s="43">
        <v>3</v>
      </c>
      <c r="T9" s="43">
        <v>10</v>
      </c>
      <c r="U9" s="43" t="s">
        <v>407</v>
      </c>
      <c r="V9" s="43" t="s">
        <v>408</v>
      </c>
      <c r="W9" s="43" t="s">
        <v>408</v>
      </c>
      <c r="X9" s="45">
        <v>1.7750239999999999</v>
      </c>
      <c r="Y9" s="45">
        <v>0.78300000000000003</v>
      </c>
      <c r="Z9" s="45">
        <f t="shared" si="0"/>
        <v>1.9048162754140795E-2</v>
      </c>
    </row>
    <row r="10" spans="1:26" x14ac:dyDescent="0.2">
      <c r="A10" s="43">
        <v>63</v>
      </c>
      <c r="B10" s="43">
        <v>71</v>
      </c>
      <c r="C10" s="43">
        <v>5</v>
      </c>
      <c r="D10" s="43" t="s">
        <v>562</v>
      </c>
      <c r="E10" s="43" t="s">
        <v>556</v>
      </c>
      <c r="F10" s="43" t="s">
        <v>563</v>
      </c>
      <c r="G10" s="43" t="s">
        <v>464</v>
      </c>
      <c r="H10" s="43">
        <v>4724</v>
      </c>
      <c r="I10" s="43">
        <v>4725</v>
      </c>
      <c r="J10" s="43">
        <v>4693</v>
      </c>
      <c r="K10" s="43">
        <v>1411</v>
      </c>
      <c r="L10" s="43">
        <v>1411</v>
      </c>
      <c r="M10" s="43" t="s">
        <v>372</v>
      </c>
      <c r="N10" s="43" t="s">
        <v>426</v>
      </c>
      <c r="O10" s="44">
        <v>0.48964708336500001</v>
      </c>
      <c r="P10" s="44">
        <v>0.198153</v>
      </c>
      <c r="Q10" s="43" t="s">
        <v>405</v>
      </c>
      <c r="R10" s="43" t="s">
        <v>406</v>
      </c>
      <c r="S10" s="43">
        <v>3</v>
      </c>
      <c r="T10" s="43">
        <v>10</v>
      </c>
      <c r="U10" s="43" t="s">
        <v>407</v>
      </c>
      <c r="V10" s="43" t="s">
        <v>409</v>
      </c>
      <c r="W10" s="43" t="s">
        <v>408</v>
      </c>
      <c r="X10" s="45">
        <v>1.7750239999999999</v>
      </c>
      <c r="Y10" s="45">
        <v>0.78300000000000003</v>
      </c>
      <c r="Z10" s="45">
        <f t="shared" si="0"/>
        <v>7.6324613755823986E-2</v>
      </c>
    </row>
    <row r="11" spans="1:26" x14ac:dyDescent="0.2">
      <c r="A11" s="43">
        <v>63</v>
      </c>
      <c r="B11" s="43">
        <v>71</v>
      </c>
      <c r="C11" s="43">
        <v>5</v>
      </c>
      <c r="D11" s="43" t="s">
        <v>562</v>
      </c>
      <c r="E11" s="43" t="s">
        <v>556</v>
      </c>
      <c r="F11" s="43" t="s">
        <v>563</v>
      </c>
      <c r="G11" s="43" t="s">
        <v>464</v>
      </c>
      <c r="H11" s="43">
        <v>6209</v>
      </c>
      <c r="I11" s="43">
        <v>6210</v>
      </c>
      <c r="J11" s="43">
        <v>6166</v>
      </c>
      <c r="K11" s="43">
        <v>1900</v>
      </c>
      <c r="L11" s="43">
        <v>1900</v>
      </c>
      <c r="M11" s="43" t="s">
        <v>372</v>
      </c>
      <c r="N11" s="43" t="s">
        <v>426</v>
      </c>
      <c r="O11" s="44">
        <v>9.2160049264999998E-3</v>
      </c>
      <c r="P11" s="44">
        <v>3.7295800000000001E-3</v>
      </c>
      <c r="Q11" s="43" t="s">
        <v>405</v>
      </c>
      <c r="R11" s="43" t="s">
        <v>406</v>
      </c>
      <c r="S11" s="43">
        <v>70</v>
      </c>
      <c r="T11" s="43">
        <v>10</v>
      </c>
      <c r="U11" s="43" t="s">
        <v>407</v>
      </c>
      <c r="V11" s="43" t="s">
        <v>410</v>
      </c>
      <c r="W11" s="43" t="s">
        <v>411</v>
      </c>
      <c r="X11" s="45">
        <v>0.19295699999999999</v>
      </c>
      <c r="Y11" s="45">
        <v>0.78300000000000003</v>
      </c>
      <c r="Z11" s="45">
        <f t="shared" si="0"/>
        <v>1.5616373926901999E-4</v>
      </c>
    </row>
    <row r="12" spans="1:26" x14ac:dyDescent="0.2">
      <c r="A12" s="43">
        <v>63</v>
      </c>
      <c r="B12" s="43">
        <v>71</v>
      </c>
      <c r="C12" s="43">
        <v>5</v>
      </c>
      <c r="D12" s="43" t="s">
        <v>562</v>
      </c>
      <c r="E12" s="43" t="s">
        <v>556</v>
      </c>
      <c r="F12" s="43" t="s">
        <v>563</v>
      </c>
      <c r="G12" s="43" t="s">
        <v>464</v>
      </c>
      <c r="H12" s="43">
        <v>6211</v>
      </c>
      <c r="I12" s="43">
        <v>6212</v>
      </c>
      <c r="J12" s="43">
        <v>6168</v>
      </c>
      <c r="K12" s="43">
        <v>1900</v>
      </c>
      <c r="L12" s="43">
        <v>1900</v>
      </c>
      <c r="M12" s="43" t="s">
        <v>372</v>
      </c>
      <c r="N12" s="43" t="s">
        <v>426</v>
      </c>
      <c r="O12" s="44">
        <v>0.22606415399099999</v>
      </c>
      <c r="P12" s="44">
        <v>9.1484899999999994E-2</v>
      </c>
      <c r="Q12" s="43" t="s">
        <v>405</v>
      </c>
      <c r="R12" s="43" t="s">
        <v>406</v>
      </c>
      <c r="S12" s="43">
        <v>70</v>
      </c>
      <c r="T12" s="43">
        <v>10</v>
      </c>
      <c r="U12" s="43" t="s">
        <v>407</v>
      </c>
      <c r="V12" s="43" t="s">
        <v>410</v>
      </c>
      <c r="W12" s="43" t="s">
        <v>411</v>
      </c>
      <c r="X12" s="45">
        <v>0.19295699999999999</v>
      </c>
      <c r="Y12" s="45">
        <v>0.78300000000000003</v>
      </c>
      <c r="Z12" s="45">
        <f t="shared" si="0"/>
        <v>3.830625451298099E-3</v>
      </c>
    </row>
    <row r="13" spans="1:26" x14ac:dyDescent="0.2">
      <c r="A13" s="43">
        <v>63</v>
      </c>
      <c r="B13" s="43">
        <v>71</v>
      </c>
      <c r="C13" s="43">
        <v>5</v>
      </c>
      <c r="D13" s="43" t="s">
        <v>562</v>
      </c>
      <c r="E13" s="43" t="s">
        <v>556</v>
      </c>
      <c r="F13" s="43" t="s">
        <v>563</v>
      </c>
      <c r="G13" s="43" t="s">
        <v>464</v>
      </c>
      <c r="H13" s="43">
        <v>15306</v>
      </c>
      <c r="I13" s="43">
        <v>15307</v>
      </c>
      <c r="J13" s="43">
        <v>15239</v>
      </c>
      <c r="K13" s="43">
        <v>3200</v>
      </c>
      <c r="L13" s="43">
        <v>3200</v>
      </c>
      <c r="M13" s="43" t="s">
        <v>372</v>
      </c>
      <c r="N13" s="43" t="s">
        <v>426</v>
      </c>
      <c r="O13" s="44">
        <v>4.2552053607599997E-4</v>
      </c>
      <c r="P13" s="44">
        <v>1.7220199999999999E-4</v>
      </c>
      <c r="Q13" s="43" t="s">
        <v>405</v>
      </c>
      <c r="R13" s="43" t="s">
        <v>406</v>
      </c>
      <c r="S13" s="43">
        <v>5</v>
      </c>
      <c r="T13" s="43">
        <v>30</v>
      </c>
      <c r="U13" s="43" t="s">
        <v>455</v>
      </c>
      <c r="V13" s="43" t="s">
        <v>456</v>
      </c>
      <c r="W13" s="43" t="s">
        <v>414</v>
      </c>
      <c r="X13" s="45">
        <v>9.3119999999999994E-2</v>
      </c>
      <c r="Y13" s="45">
        <v>0.78300000000000003</v>
      </c>
      <c r="Z13" s="45">
        <f t="shared" si="0"/>
        <v>3.4796927020799992E-6</v>
      </c>
    </row>
    <row r="14" spans="1:26" x14ac:dyDescent="0.2">
      <c r="A14" s="43">
        <v>63</v>
      </c>
      <c r="B14" s="43">
        <v>71</v>
      </c>
      <c r="C14" s="43">
        <v>5</v>
      </c>
      <c r="D14" s="43" t="s">
        <v>562</v>
      </c>
      <c r="E14" s="43" t="s">
        <v>556</v>
      </c>
      <c r="F14" s="43" t="s">
        <v>563</v>
      </c>
      <c r="G14" s="43" t="s">
        <v>464</v>
      </c>
      <c r="H14" s="43">
        <v>19680</v>
      </c>
      <c r="I14" s="43">
        <v>19682</v>
      </c>
      <c r="J14" s="43">
        <v>19621</v>
      </c>
      <c r="K14" s="43">
        <v>4410</v>
      </c>
      <c r="L14" s="43">
        <v>4410</v>
      </c>
      <c r="M14" s="43" t="s">
        <v>372</v>
      </c>
      <c r="N14" s="43" t="s">
        <v>426</v>
      </c>
      <c r="O14" s="44">
        <v>4.3911427762700003E-2</v>
      </c>
      <c r="P14" s="44">
        <v>1.7770299999999999E-2</v>
      </c>
      <c r="Q14" s="43" t="s">
        <v>405</v>
      </c>
      <c r="R14" s="43" t="s">
        <v>406</v>
      </c>
      <c r="S14" s="43">
        <v>8</v>
      </c>
      <c r="T14" s="43">
        <v>40</v>
      </c>
      <c r="U14" s="43" t="s">
        <v>412</v>
      </c>
      <c r="V14" s="43" t="s">
        <v>553</v>
      </c>
      <c r="W14" s="43" t="s">
        <v>553</v>
      </c>
      <c r="X14" s="45">
        <v>0.101843</v>
      </c>
      <c r="Y14" s="45">
        <v>0.78300000000000003</v>
      </c>
      <c r="Z14" s="45">
        <f t="shared" si="0"/>
        <v>3.9272240384929995E-4</v>
      </c>
    </row>
    <row r="15" spans="1:26" x14ac:dyDescent="0.2">
      <c r="A15" s="43">
        <v>63</v>
      </c>
      <c r="B15" s="43">
        <v>71</v>
      </c>
      <c r="C15" s="43">
        <v>5</v>
      </c>
      <c r="D15" s="43" t="s">
        <v>562</v>
      </c>
      <c r="E15" s="43" t="s">
        <v>556</v>
      </c>
      <c r="F15" s="43" t="s">
        <v>563</v>
      </c>
      <c r="G15" s="43" t="s">
        <v>464</v>
      </c>
      <c r="H15" s="43">
        <v>23463</v>
      </c>
      <c r="I15" s="43">
        <v>23464</v>
      </c>
      <c r="J15" s="43">
        <v>23453</v>
      </c>
      <c r="K15" s="43">
        <v>5300</v>
      </c>
      <c r="L15" s="43">
        <v>5300</v>
      </c>
      <c r="M15" s="43" t="s">
        <v>372</v>
      </c>
      <c r="N15" s="43" t="s">
        <v>426</v>
      </c>
      <c r="O15" s="44">
        <v>0.54150737806000004</v>
      </c>
      <c r="P15" s="44">
        <v>0.21914</v>
      </c>
      <c r="Q15" s="43" t="s">
        <v>405</v>
      </c>
      <c r="R15" s="43" t="s">
        <v>406</v>
      </c>
      <c r="S15" s="43">
        <v>9</v>
      </c>
      <c r="T15" s="43">
        <v>50</v>
      </c>
      <c r="U15" s="43" t="s">
        <v>438</v>
      </c>
      <c r="V15" s="43" t="s">
        <v>439</v>
      </c>
      <c r="W15" s="43" t="s">
        <v>440</v>
      </c>
      <c r="X15" s="45">
        <v>0.128413</v>
      </c>
      <c r="Y15" s="45">
        <v>0.78300000000000003</v>
      </c>
      <c r="Z15" s="45">
        <f t="shared" si="0"/>
        <v>6.1064721859399986E-3</v>
      </c>
    </row>
    <row r="16" spans="1:26" x14ac:dyDescent="0.2">
      <c r="A16" s="43">
        <v>63</v>
      </c>
      <c r="B16" s="43">
        <v>71</v>
      </c>
      <c r="C16" s="43">
        <v>5</v>
      </c>
      <c r="D16" s="43" t="s">
        <v>562</v>
      </c>
      <c r="E16" s="43" t="s">
        <v>556</v>
      </c>
      <c r="F16" s="43" t="s">
        <v>563</v>
      </c>
      <c r="G16" s="43" t="s">
        <v>464</v>
      </c>
      <c r="H16" s="43">
        <v>52697</v>
      </c>
      <c r="I16" s="43">
        <v>52702</v>
      </c>
      <c r="J16" s="43">
        <v>52668</v>
      </c>
      <c r="K16" s="43">
        <v>8140</v>
      </c>
      <c r="L16" s="43">
        <v>8140</v>
      </c>
      <c r="M16" s="43" t="s">
        <v>372</v>
      </c>
      <c r="N16" s="43" t="s">
        <v>478</v>
      </c>
      <c r="O16" s="44">
        <v>0.263074421063</v>
      </c>
      <c r="P16" s="44">
        <v>0.106462</v>
      </c>
      <c r="Q16" s="43" t="s">
        <v>405</v>
      </c>
      <c r="R16" s="43" t="s">
        <v>406</v>
      </c>
      <c r="S16" s="43">
        <v>18</v>
      </c>
      <c r="T16" s="43">
        <v>10</v>
      </c>
      <c r="U16" s="43" t="s">
        <v>407</v>
      </c>
      <c r="V16" s="43" t="s">
        <v>420</v>
      </c>
      <c r="W16" s="43" t="s">
        <v>421</v>
      </c>
      <c r="X16" s="45">
        <v>0.717032</v>
      </c>
      <c r="Y16" s="45">
        <v>0.78300000000000003</v>
      </c>
      <c r="Z16" s="45">
        <f t="shared" si="0"/>
        <v>1.6565055390127998E-2</v>
      </c>
    </row>
    <row r="17" spans="1:26" x14ac:dyDescent="0.2">
      <c r="A17" s="43">
        <v>63</v>
      </c>
      <c r="B17" s="43">
        <v>71</v>
      </c>
      <c r="C17" s="43">
        <v>5</v>
      </c>
      <c r="D17" s="43" t="s">
        <v>562</v>
      </c>
      <c r="E17" s="43" t="s">
        <v>556</v>
      </c>
      <c r="F17" s="43" t="s">
        <v>563</v>
      </c>
      <c r="G17" s="43" t="s">
        <v>464</v>
      </c>
      <c r="H17" s="43">
        <v>52766</v>
      </c>
      <c r="I17" s="43">
        <v>52771</v>
      </c>
      <c r="J17" s="43">
        <v>52737</v>
      </c>
      <c r="K17" s="43">
        <v>8140</v>
      </c>
      <c r="L17" s="43">
        <v>8140</v>
      </c>
      <c r="M17" s="43" t="s">
        <v>372</v>
      </c>
      <c r="N17" s="43" t="s">
        <v>404</v>
      </c>
      <c r="O17" s="44">
        <v>6.8893996177600005E-4</v>
      </c>
      <c r="P17" s="44">
        <v>2.7880400000000001E-4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0.717032</v>
      </c>
      <c r="Y17" s="45">
        <v>0.78300000000000003</v>
      </c>
      <c r="Z17" s="45">
        <f t="shared" si="0"/>
        <v>4.3380771570975996E-5</v>
      </c>
    </row>
    <row r="18" spans="1:26" x14ac:dyDescent="0.2">
      <c r="A18" s="43">
        <v>63</v>
      </c>
      <c r="B18" s="43">
        <v>71</v>
      </c>
      <c r="C18" s="43">
        <v>5</v>
      </c>
      <c r="D18" s="43" t="s">
        <v>562</v>
      </c>
      <c r="E18" s="43" t="s">
        <v>556</v>
      </c>
      <c r="F18" s="43" t="s">
        <v>563</v>
      </c>
      <c r="G18" s="43" t="s">
        <v>464</v>
      </c>
      <c r="H18" s="43">
        <v>52779</v>
      </c>
      <c r="I18" s="43">
        <v>52784</v>
      </c>
      <c r="J18" s="43">
        <v>52750</v>
      </c>
      <c r="K18" s="43">
        <v>8140</v>
      </c>
      <c r="L18" s="43">
        <v>8140</v>
      </c>
      <c r="M18" s="43" t="s">
        <v>372</v>
      </c>
      <c r="N18" s="43" t="s">
        <v>426</v>
      </c>
      <c r="O18" s="44">
        <v>31.714183002599999</v>
      </c>
      <c r="P18" s="44">
        <v>12.834300000000001</v>
      </c>
      <c r="Q18" s="43" t="s">
        <v>405</v>
      </c>
      <c r="R18" s="43" t="s">
        <v>406</v>
      </c>
      <c r="S18" s="43">
        <v>18</v>
      </c>
      <c r="T18" s="43">
        <v>10</v>
      </c>
      <c r="U18" s="43" t="s">
        <v>407</v>
      </c>
      <c r="V18" s="43" t="s">
        <v>420</v>
      </c>
      <c r="W18" s="43" t="s">
        <v>421</v>
      </c>
      <c r="X18" s="45">
        <v>0.717032</v>
      </c>
      <c r="Y18" s="45">
        <v>0.78300000000000003</v>
      </c>
      <c r="Z18" s="45">
        <f t="shared" si="0"/>
        <v>1.9969650240791998</v>
      </c>
    </row>
    <row r="19" spans="1:26" x14ac:dyDescent="0.2">
      <c r="O19" s="44">
        <f>SUM(O2:O18)</f>
        <v>47.892098732321152</v>
      </c>
      <c r="Z19" s="45">
        <f>SUM(Z2:Z18)</f>
        <v>3.072051430159096</v>
      </c>
    </row>
    <row r="22" spans="1:26" x14ac:dyDescent="0.2">
      <c r="A22" s="43" t="s">
        <v>377</v>
      </c>
      <c r="B22" s="43" t="s">
        <v>378</v>
      </c>
      <c r="C22" s="43" t="s">
        <v>527</v>
      </c>
      <c r="D22" s="43" t="s">
        <v>528</v>
      </c>
      <c r="E22" s="43" t="s">
        <v>380</v>
      </c>
      <c r="F22" s="43" t="s">
        <v>529</v>
      </c>
      <c r="G22" s="43" t="s">
        <v>379</v>
      </c>
      <c r="H22" s="43" t="s">
        <v>383</v>
      </c>
      <c r="I22" s="43" t="s">
        <v>384</v>
      </c>
      <c r="J22" s="43" t="s">
        <v>385</v>
      </c>
      <c r="K22" s="43" t="s">
        <v>386</v>
      </c>
      <c r="L22" s="43" t="s">
        <v>387</v>
      </c>
      <c r="M22" s="43" t="s">
        <v>388</v>
      </c>
      <c r="N22" s="43" t="s">
        <v>389</v>
      </c>
      <c r="O22" s="44" t="s">
        <v>390</v>
      </c>
      <c r="P22" s="44" t="s">
        <v>391</v>
      </c>
      <c r="Q22" s="43" t="s">
        <v>392</v>
      </c>
      <c r="R22" s="43" t="s">
        <v>393</v>
      </c>
      <c r="S22" s="43" t="s">
        <v>394</v>
      </c>
      <c r="T22" s="43" t="s">
        <v>395</v>
      </c>
      <c r="U22" s="43" t="s">
        <v>396</v>
      </c>
      <c r="V22" s="43" t="s">
        <v>397</v>
      </c>
      <c r="W22" s="43" t="s">
        <v>398</v>
      </c>
      <c r="X22" s="45" t="s">
        <v>589</v>
      </c>
      <c r="Y22" s="45" t="s">
        <v>590</v>
      </c>
      <c r="Z22" s="45" t="s">
        <v>591</v>
      </c>
    </row>
    <row r="23" spans="1:26" x14ac:dyDescent="0.2">
      <c r="A23" s="43">
        <v>62</v>
      </c>
      <c r="B23" s="43">
        <v>70</v>
      </c>
      <c r="C23" s="43">
        <v>5</v>
      </c>
      <c r="D23" s="43" t="s">
        <v>560</v>
      </c>
      <c r="E23" s="43" t="s">
        <v>556</v>
      </c>
      <c r="F23" s="43" t="s">
        <v>561</v>
      </c>
      <c r="G23" s="43" t="s">
        <v>464</v>
      </c>
      <c r="H23" s="43">
        <v>4613</v>
      </c>
      <c r="I23" s="43">
        <v>4614</v>
      </c>
      <c r="J23" s="43">
        <v>4582</v>
      </c>
      <c r="K23" s="43">
        <v>1411</v>
      </c>
      <c r="L23" s="43">
        <v>1411</v>
      </c>
      <c r="M23" s="43" t="s">
        <v>372</v>
      </c>
      <c r="N23" s="43" t="s">
        <v>478</v>
      </c>
      <c r="O23" s="44">
        <v>0.64630816391500001</v>
      </c>
      <c r="P23" s="44">
        <v>0.26155200000000001</v>
      </c>
      <c r="Q23" s="43" t="s">
        <v>405</v>
      </c>
      <c r="R23" s="43" t="s">
        <v>406</v>
      </c>
      <c r="S23" s="43">
        <v>3</v>
      </c>
      <c r="T23" s="43">
        <v>10</v>
      </c>
      <c r="U23" s="43" t="s">
        <v>407</v>
      </c>
      <c r="V23" s="43" t="s">
        <v>409</v>
      </c>
      <c r="W23" s="43" t="s">
        <v>408</v>
      </c>
      <c r="X23" s="45">
        <v>7.8337940000000001</v>
      </c>
      <c r="Y23" s="45">
        <v>0.6</v>
      </c>
      <c r="Z23" s="45">
        <v>0.57575340120892804</v>
      </c>
    </row>
    <row r="24" spans="1:26" x14ac:dyDescent="0.2">
      <c r="A24" s="43">
        <v>62</v>
      </c>
      <c r="B24" s="43">
        <v>70</v>
      </c>
      <c r="C24" s="43">
        <v>5</v>
      </c>
      <c r="D24" s="43" t="s">
        <v>560</v>
      </c>
      <c r="E24" s="43" t="s">
        <v>556</v>
      </c>
      <c r="F24" s="43" t="s">
        <v>561</v>
      </c>
      <c r="G24" s="43" t="s">
        <v>464</v>
      </c>
      <c r="H24" s="43">
        <v>20985</v>
      </c>
      <c r="I24" s="43">
        <v>20986</v>
      </c>
      <c r="J24" s="43">
        <v>20986</v>
      </c>
      <c r="K24" s="43">
        <v>5300</v>
      </c>
      <c r="L24" s="43">
        <v>5300</v>
      </c>
      <c r="M24" s="43" t="s">
        <v>372</v>
      </c>
      <c r="N24" s="43" t="s">
        <v>478</v>
      </c>
      <c r="O24" s="44">
        <v>0.61568110615799998</v>
      </c>
      <c r="P24" s="44">
        <v>0.24915699999999999</v>
      </c>
      <c r="Q24" s="43" t="s">
        <v>405</v>
      </c>
      <c r="R24" s="43" t="s">
        <v>406</v>
      </c>
      <c r="S24" s="43">
        <v>9</v>
      </c>
      <c r="T24" s="43">
        <v>50</v>
      </c>
      <c r="U24" s="43" t="s">
        <v>438</v>
      </c>
      <c r="V24" s="43" t="s">
        <v>439</v>
      </c>
      <c r="W24" s="43" t="s">
        <v>440</v>
      </c>
      <c r="X24" s="45">
        <v>2.201031</v>
      </c>
      <c r="Y24" s="45">
        <v>0.6</v>
      </c>
      <c r="Z24" s="45">
        <v>0.154101040923627</v>
      </c>
    </row>
    <row r="25" spans="1:26" x14ac:dyDescent="0.2">
      <c r="A25" s="43">
        <v>62</v>
      </c>
      <c r="B25" s="43">
        <v>70</v>
      </c>
      <c r="C25" s="43">
        <v>5</v>
      </c>
      <c r="D25" s="43" t="s">
        <v>560</v>
      </c>
      <c r="E25" s="43" t="s">
        <v>556</v>
      </c>
      <c r="F25" s="43" t="s">
        <v>561</v>
      </c>
      <c r="G25" s="43" t="s">
        <v>464</v>
      </c>
      <c r="H25" s="43">
        <v>29042</v>
      </c>
      <c r="I25" s="43">
        <v>29246</v>
      </c>
      <c r="J25" s="43">
        <v>29221</v>
      </c>
      <c r="K25" s="43">
        <v>6210</v>
      </c>
      <c r="L25" s="43">
        <v>6210</v>
      </c>
      <c r="M25" s="43" t="s">
        <v>372</v>
      </c>
      <c r="N25" s="43" t="s">
        <v>478</v>
      </c>
      <c r="O25" s="44">
        <v>0.156718971052</v>
      </c>
      <c r="P25" s="44">
        <v>6.3421900000000003E-2</v>
      </c>
      <c r="Q25" s="43" t="s">
        <v>405</v>
      </c>
      <c r="R25" s="43" t="s">
        <v>406</v>
      </c>
      <c r="S25" s="43">
        <v>14</v>
      </c>
      <c r="T25" s="43">
        <v>60</v>
      </c>
      <c r="U25" s="43" t="s">
        <v>417</v>
      </c>
      <c r="V25" s="43" t="s">
        <v>418</v>
      </c>
      <c r="W25" s="43" t="s">
        <v>418</v>
      </c>
      <c r="X25" s="45">
        <v>6.3260019999999999</v>
      </c>
      <c r="Y25" s="45">
        <v>0.6</v>
      </c>
      <c r="Z25" s="45">
        <v>0.11273918561450783</v>
      </c>
    </row>
    <row r="26" spans="1:26" x14ac:dyDescent="0.2">
      <c r="A26" s="43">
        <v>62</v>
      </c>
      <c r="B26" s="43">
        <v>70</v>
      </c>
      <c r="C26" s="43">
        <v>5</v>
      </c>
      <c r="D26" s="43" t="s">
        <v>560</v>
      </c>
      <c r="E26" s="43" t="s">
        <v>556</v>
      </c>
      <c r="F26" s="43" t="s">
        <v>561</v>
      </c>
      <c r="G26" s="43" t="s">
        <v>464</v>
      </c>
      <c r="H26" s="43">
        <v>52697</v>
      </c>
      <c r="I26" s="43">
        <v>52702</v>
      </c>
      <c r="J26" s="43">
        <v>52668</v>
      </c>
      <c r="K26" s="43">
        <v>8140</v>
      </c>
      <c r="L26" s="43">
        <v>8140</v>
      </c>
      <c r="M26" s="43" t="s">
        <v>372</v>
      </c>
      <c r="N26" s="43" t="s">
        <v>478</v>
      </c>
      <c r="O26" s="44">
        <v>12.8312289765</v>
      </c>
      <c r="P26" s="44">
        <v>5.1926100000000002</v>
      </c>
      <c r="Q26" s="43" t="s">
        <v>405</v>
      </c>
      <c r="R26" s="43" t="s">
        <v>406</v>
      </c>
      <c r="S26" s="43">
        <v>18</v>
      </c>
      <c r="T26" s="43">
        <v>10</v>
      </c>
      <c r="U26" s="43" t="s">
        <v>407</v>
      </c>
      <c r="V26" s="43" t="s">
        <v>420</v>
      </c>
      <c r="W26" s="43" t="s">
        <v>421</v>
      </c>
      <c r="X26" s="45">
        <v>3.4929570000000001</v>
      </c>
      <c r="Y26" s="45">
        <v>0.6</v>
      </c>
      <c r="Z26" s="45">
        <v>5.0966553288233714</v>
      </c>
    </row>
    <row r="27" spans="1:26" x14ac:dyDescent="0.2">
      <c r="A27" s="43">
        <v>62</v>
      </c>
      <c r="B27" s="43">
        <v>70</v>
      </c>
      <c r="C27" s="43">
        <v>5</v>
      </c>
      <c r="D27" s="43" t="s">
        <v>560</v>
      </c>
      <c r="E27" s="43" t="s">
        <v>556</v>
      </c>
      <c r="F27" s="43" t="s">
        <v>561</v>
      </c>
      <c r="G27" s="43" t="s">
        <v>464</v>
      </c>
      <c r="H27" s="43">
        <v>52779</v>
      </c>
      <c r="I27" s="43">
        <v>52784</v>
      </c>
      <c r="J27" s="43">
        <v>52750</v>
      </c>
      <c r="K27" s="43">
        <v>8140</v>
      </c>
      <c r="L27" s="43">
        <v>8140</v>
      </c>
      <c r="M27" s="43" t="s">
        <v>372</v>
      </c>
      <c r="N27" s="43" t="s">
        <v>426</v>
      </c>
      <c r="O27" s="44">
        <v>5.6270228626700003E-2</v>
      </c>
      <c r="P27" s="44">
        <v>2.2771799999999998E-2</v>
      </c>
      <c r="Q27" s="43" t="s">
        <v>405</v>
      </c>
      <c r="R27" s="43" t="s">
        <v>406</v>
      </c>
      <c r="S27" s="43">
        <v>18</v>
      </c>
      <c r="T27" s="43">
        <v>10</v>
      </c>
      <c r="U27" s="43" t="s">
        <v>407</v>
      </c>
      <c r="V27" s="43" t="s">
        <v>420</v>
      </c>
      <c r="W27" s="43" t="s">
        <v>421</v>
      </c>
      <c r="X27" s="45">
        <v>3.4929570000000001</v>
      </c>
      <c r="Y27" s="45">
        <v>0.6</v>
      </c>
      <c r="Z27" s="45">
        <v>2.2350998017740601E-2</v>
      </c>
    </row>
    <row r="28" spans="1:26" x14ac:dyDescent="0.2">
      <c r="A28" s="43">
        <v>63</v>
      </c>
      <c r="B28" s="43">
        <v>71</v>
      </c>
      <c r="C28" s="43">
        <v>5</v>
      </c>
      <c r="D28" s="43" t="s">
        <v>562</v>
      </c>
      <c r="E28" s="43" t="s">
        <v>556</v>
      </c>
      <c r="F28" s="43" t="s">
        <v>563</v>
      </c>
      <c r="G28" s="43" t="s">
        <v>464</v>
      </c>
      <c r="H28" s="43">
        <v>4594</v>
      </c>
      <c r="I28" s="43">
        <v>4595</v>
      </c>
      <c r="J28" s="43">
        <v>4563</v>
      </c>
      <c r="K28" s="43">
        <v>1400</v>
      </c>
      <c r="L28" s="43">
        <v>1400</v>
      </c>
      <c r="M28" s="43" t="s">
        <v>372</v>
      </c>
      <c r="N28" s="43" t="s">
        <v>426</v>
      </c>
      <c r="O28" s="44">
        <v>0.121183892865</v>
      </c>
      <c r="P28" s="44">
        <v>4.9041399999999999E-2</v>
      </c>
      <c r="Q28" s="43" t="s">
        <v>405</v>
      </c>
      <c r="R28" s="43" t="s">
        <v>406</v>
      </c>
      <c r="S28" s="43">
        <v>3</v>
      </c>
      <c r="T28" s="43">
        <v>10</v>
      </c>
      <c r="U28" s="43" t="s">
        <v>407</v>
      </c>
      <c r="V28" s="43" t="s">
        <v>408</v>
      </c>
      <c r="W28" s="43" t="s">
        <v>408</v>
      </c>
      <c r="X28" s="45">
        <v>7.8337940000000001</v>
      </c>
      <c r="Y28" s="45">
        <v>0.6</v>
      </c>
      <c r="Z28" s="45">
        <v>0.10795464324511961</v>
      </c>
    </row>
    <row r="29" spans="1:26" x14ac:dyDescent="0.2">
      <c r="A29" s="43">
        <v>63</v>
      </c>
      <c r="B29" s="43">
        <v>71</v>
      </c>
      <c r="C29" s="43">
        <v>5</v>
      </c>
      <c r="D29" s="43" t="s">
        <v>562</v>
      </c>
      <c r="E29" s="43" t="s">
        <v>556</v>
      </c>
      <c r="F29" s="43" t="s">
        <v>563</v>
      </c>
      <c r="G29" s="43" t="s">
        <v>464</v>
      </c>
      <c r="H29" s="43">
        <v>4597</v>
      </c>
      <c r="I29" s="43">
        <v>4598</v>
      </c>
      <c r="J29" s="43">
        <v>4566</v>
      </c>
      <c r="K29" s="43">
        <v>1400</v>
      </c>
      <c r="L29" s="43">
        <v>1400</v>
      </c>
      <c r="M29" s="43" t="s">
        <v>372</v>
      </c>
      <c r="N29" s="43" t="s">
        <v>426</v>
      </c>
      <c r="O29" s="44">
        <v>5.37894848924E-2</v>
      </c>
      <c r="P29" s="44">
        <v>2.17678E-2</v>
      </c>
      <c r="Q29" s="43" t="s">
        <v>405</v>
      </c>
      <c r="R29" s="43" t="s">
        <v>406</v>
      </c>
      <c r="S29" s="43">
        <v>3</v>
      </c>
      <c r="T29" s="43">
        <v>10</v>
      </c>
      <c r="U29" s="43" t="s">
        <v>407</v>
      </c>
      <c r="V29" s="43" t="s">
        <v>408</v>
      </c>
      <c r="W29" s="43" t="s">
        <v>408</v>
      </c>
      <c r="X29" s="45">
        <v>7.8337940000000001</v>
      </c>
      <c r="Y29" s="45">
        <v>0.6</v>
      </c>
      <c r="Z29" s="45">
        <v>4.7917373550329212E-2</v>
      </c>
    </row>
    <row r="30" spans="1:26" x14ac:dyDescent="0.2">
      <c r="A30" s="43">
        <v>63</v>
      </c>
      <c r="B30" s="43">
        <v>71</v>
      </c>
      <c r="C30" s="43">
        <v>5</v>
      </c>
      <c r="D30" s="43" t="s">
        <v>562</v>
      </c>
      <c r="E30" s="43" t="s">
        <v>556</v>
      </c>
      <c r="F30" s="43" t="s">
        <v>563</v>
      </c>
      <c r="G30" s="43" t="s">
        <v>464</v>
      </c>
      <c r="H30" s="43">
        <v>4598</v>
      </c>
      <c r="I30" s="43">
        <v>4599</v>
      </c>
      <c r="J30" s="43">
        <v>4567</v>
      </c>
      <c r="K30" s="43">
        <v>1400</v>
      </c>
      <c r="L30" s="43">
        <v>1400</v>
      </c>
      <c r="M30" s="43" t="s">
        <v>372</v>
      </c>
      <c r="N30" s="43" t="s">
        <v>426</v>
      </c>
      <c r="O30" s="44">
        <v>0.122199976046</v>
      </c>
      <c r="P30" s="44">
        <v>4.9452599999999999E-2</v>
      </c>
      <c r="Q30" s="43" t="s">
        <v>405</v>
      </c>
      <c r="R30" s="43" t="s">
        <v>406</v>
      </c>
      <c r="S30" s="43">
        <v>3</v>
      </c>
      <c r="T30" s="43">
        <v>10</v>
      </c>
      <c r="U30" s="43" t="s">
        <v>407</v>
      </c>
      <c r="V30" s="43" t="s">
        <v>408</v>
      </c>
      <c r="W30" s="43" t="s">
        <v>408</v>
      </c>
      <c r="X30" s="45">
        <v>7.8337940000000001</v>
      </c>
      <c r="Y30" s="45">
        <v>0.6</v>
      </c>
      <c r="Z30" s="45">
        <v>0.10885981620719641</v>
      </c>
    </row>
    <row r="31" spans="1:26" x14ac:dyDescent="0.2">
      <c r="A31" s="43">
        <v>63</v>
      </c>
      <c r="B31" s="43">
        <v>71</v>
      </c>
      <c r="C31" s="43">
        <v>5</v>
      </c>
      <c r="D31" s="43" t="s">
        <v>562</v>
      </c>
      <c r="E31" s="43" t="s">
        <v>556</v>
      </c>
      <c r="F31" s="43" t="s">
        <v>563</v>
      </c>
      <c r="G31" s="43" t="s">
        <v>464</v>
      </c>
      <c r="H31" s="43">
        <v>4724</v>
      </c>
      <c r="I31" s="43">
        <v>4725</v>
      </c>
      <c r="J31" s="43">
        <v>4693</v>
      </c>
      <c r="K31" s="43">
        <v>1411</v>
      </c>
      <c r="L31" s="43">
        <v>1411</v>
      </c>
      <c r="M31" s="43" t="s">
        <v>372</v>
      </c>
      <c r="N31" s="43" t="s">
        <v>426</v>
      </c>
      <c r="O31" s="44">
        <v>0.48964708336500001</v>
      </c>
      <c r="P31" s="44">
        <v>0.198153</v>
      </c>
      <c r="Q31" s="43" t="s">
        <v>405</v>
      </c>
      <c r="R31" s="43" t="s">
        <v>406</v>
      </c>
      <c r="S31" s="43">
        <v>3</v>
      </c>
      <c r="T31" s="43">
        <v>10</v>
      </c>
      <c r="U31" s="43" t="s">
        <v>407</v>
      </c>
      <c r="V31" s="43" t="s">
        <v>409</v>
      </c>
      <c r="W31" s="43" t="s">
        <v>408</v>
      </c>
      <c r="X31" s="45">
        <v>7.8337940000000001</v>
      </c>
      <c r="Y31" s="45">
        <v>0.6</v>
      </c>
      <c r="Z31" s="45">
        <v>0.436193428877442</v>
      </c>
    </row>
    <row r="32" spans="1:26" x14ac:dyDescent="0.2">
      <c r="A32" s="43">
        <v>63</v>
      </c>
      <c r="B32" s="43">
        <v>71</v>
      </c>
      <c r="C32" s="43">
        <v>5</v>
      </c>
      <c r="D32" s="43" t="s">
        <v>562</v>
      </c>
      <c r="E32" s="43" t="s">
        <v>556</v>
      </c>
      <c r="F32" s="43" t="s">
        <v>563</v>
      </c>
      <c r="G32" s="43" t="s">
        <v>464</v>
      </c>
      <c r="H32" s="43">
        <v>6209</v>
      </c>
      <c r="I32" s="43">
        <v>6210</v>
      </c>
      <c r="J32" s="43">
        <v>6166</v>
      </c>
      <c r="K32" s="43">
        <v>1900</v>
      </c>
      <c r="L32" s="43">
        <v>1900</v>
      </c>
      <c r="M32" s="43" t="s">
        <v>372</v>
      </c>
      <c r="N32" s="43" t="s">
        <v>426</v>
      </c>
      <c r="O32" s="44">
        <v>9.2160049264999998E-3</v>
      </c>
      <c r="P32" s="44">
        <v>3.7295800000000001E-3</v>
      </c>
      <c r="Q32" s="43" t="s">
        <v>405</v>
      </c>
      <c r="R32" s="43" t="s">
        <v>406</v>
      </c>
      <c r="S32" s="43">
        <v>70</v>
      </c>
      <c r="T32" s="43">
        <v>10</v>
      </c>
      <c r="U32" s="43" t="s">
        <v>407</v>
      </c>
      <c r="V32" s="43" t="s">
        <v>410</v>
      </c>
      <c r="W32" s="43" t="s">
        <v>411</v>
      </c>
      <c r="X32" s="45">
        <v>1.1817740000000001</v>
      </c>
      <c r="Y32" s="45">
        <v>0.6</v>
      </c>
      <c r="Z32" s="45">
        <v>1.2385133096525203E-3</v>
      </c>
    </row>
    <row r="33" spans="1:26" x14ac:dyDescent="0.2">
      <c r="A33" s="43">
        <v>63</v>
      </c>
      <c r="B33" s="43">
        <v>71</v>
      </c>
      <c r="C33" s="43">
        <v>5</v>
      </c>
      <c r="D33" s="43" t="s">
        <v>562</v>
      </c>
      <c r="E33" s="43" t="s">
        <v>556</v>
      </c>
      <c r="F33" s="43" t="s">
        <v>563</v>
      </c>
      <c r="G33" s="43" t="s">
        <v>464</v>
      </c>
      <c r="H33" s="43">
        <v>6211</v>
      </c>
      <c r="I33" s="43">
        <v>6212</v>
      </c>
      <c r="J33" s="43">
        <v>6168</v>
      </c>
      <c r="K33" s="43">
        <v>1900</v>
      </c>
      <c r="L33" s="43">
        <v>1900</v>
      </c>
      <c r="M33" s="43" t="s">
        <v>372</v>
      </c>
      <c r="N33" s="43" t="s">
        <v>426</v>
      </c>
      <c r="O33" s="44">
        <v>0.22606415399099999</v>
      </c>
      <c r="P33" s="44">
        <v>9.1484899999999994E-2</v>
      </c>
      <c r="Q33" s="43" t="s">
        <v>405</v>
      </c>
      <c r="R33" s="43" t="s">
        <v>406</v>
      </c>
      <c r="S33" s="43">
        <v>70</v>
      </c>
      <c r="T33" s="43">
        <v>10</v>
      </c>
      <c r="U33" s="43" t="s">
        <v>407</v>
      </c>
      <c r="V33" s="43" t="s">
        <v>410</v>
      </c>
      <c r="W33" s="43" t="s">
        <v>411</v>
      </c>
      <c r="X33" s="45">
        <v>1.1817740000000001</v>
      </c>
      <c r="Y33" s="45">
        <v>0.6</v>
      </c>
      <c r="Z33" s="45">
        <v>3.0380167815740607E-2</v>
      </c>
    </row>
    <row r="34" spans="1:26" x14ac:dyDescent="0.2">
      <c r="A34" s="43">
        <v>63</v>
      </c>
      <c r="B34" s="43">
        <v>71</v>
      </c>
      <c r="C34" s="43">
        <v>5</v>
      </c>
      <c r="D34" s="43" t="s">
        <v>562</v>
      </c>
      <c r="E34" s="43" t="s">
        <v>556</v>
      </c>
      <c r="F34" s="43" t="s">
        <v>563</v>
      </c>
      <c r="G34" s="43" t="s">
        <v>464</v>
      </c>
      <c r="H34" s="43">
        <v>15306</v>
      </c>
      <c r="I34" s="43">
        <v>15307</v>
      </c>
      <c r="J34" s="43">
        <v>15239</v>
      </c>
      <c r="K34" s="43">
        <v>3200</v>
      </c>
      <c r="L34" s="43">
        <v>3200</v>
      </c>
      <c r="M34" s="43" t="s">
        <v>372</v>
      </c>
      <c r="N34" s="43" t="s">
        <v>426</v>
      </c>
      <c r="O34" s="44">
        <v>4.2552053607599997E-4</v>
      </c>
      <c r="P34" s="44">
        <v>1.7220199999999999E-4</v>
      </c>
      <c r="Q34" s="43" t="s">
        <v>405</v>
      </c>
      <c r="R34" s="43" t="s">
        <v>406</v>
      </c>
      <c r="S34" s="43">
        <v>5</v>
      </c>
      <c r="T34" s="43">
        <v>30</v>
      </c>
      <c r="U34" s="43" t="s">
        <v>455</v>
      </c>
      <c r="V34" s="43" t="s">
        <v>456</v>
      </c>
      <c r="W34" s="43" t="s">
        <v>414</v>
      </c>
      <c r="X34" s="45">
        <v>8.1290569999999995</v>
      </c>
      <c r="Y34" s="45">
        <v>0.6</v>
      </c>
      <c r="Z34" s="45">
        <v>3.9335500445743401E-4</v>
      </c>
    </row>
    <row r="35" spans="1:26" x14ac:dyDescent="0.2">
      <c r="A35" s="43">
        <v>63</v>
      </c>
      <c r="B35" s="43">
        <v>71</v>
      </c>
      <c r="C35" s="43">
        <v>5</v>
      </c>
      <c r="D35" s="43" t="s">
        <v>562</v>
      </c>
      <c r="E35" s="43" t="s">
        <v>556</v>
      </c>
      <c r="F35" s="43" t="s">
        <v>563</v>
      </c>
      <c r="G35" s="43" t="s">
        <v>464</v>
      </c>
      <c r="H35" s="43">
        <v>19680</v>
      </c>
      <c r="I35" s="43">
        <v>19682</v>
      </c>
      <c r="J35" s="43">
        <v>19621</v>
      </c>
      <c r="K35" s="43">
        <v>4410</v>
      </c>
      <c r="L35" s="43">
        <v>4410</v>
      </c>
      <c r="M35" s="43" t="s">
        <v>372</v>
      </c>
      <c r="N35" s="43" t="s">
        <v>426</v>
      </c>
      <c r="O35" s="44">
        <v>4.3911427762700003E-2</v>
      </c>
      <c r="P35" s="44">
        <v>1.7770299999999999E-2</v>
      </c>
      <c r="Q35" s="43" t="s">
        <v>405</v>
      </c>
      <c r="R35" s="43" t="s">
        <v>406</v>
      </c>
      <c r="S35" s="43">
        <v>8</v>
      </c>
      <c r="T35" s="43">
        <v>40</v>
      </c>
      <c r="U35" s="43" t="s">
        <v>412</v>
      </c>
      <c r="V35" s="43" t="s">
        <v>553</v>
      </c>
      <c r="W35" s="43" t="s">
        <v>553</v>
      </c>
      <c r="X35" s="45">
        <v>14.620869000000001</v>
      </c>
      <c r="Y35" s="45">
        <v>0.6</v>
      </c>
      <c r="Z35" s="45">
        <v>7.3008641177786701E-2</v>
      </c>
    </row>
    <row r="36" spans="1:26" x14ac:dyDescent="0.2">
      <c r="A36" s="43">
        <v>63</v>
      </c>
      <c r="B36" s="43">
        <v>71</v>
      </c>
      <c r="C36" s="43">
        <v>5</v>
      </c>
      <c r="D36" s="43" t="s">
        <v>562</v>
      </c>
      <c r="E36" s="43" t="s">
        <v>556</v>
      </c>
      <c r="F36" s="43" t="s">
        <v>563</v>
      </c>
      <c r="G36" s="43" t="s">
        <v>464</v>
      </c>
      <c r="H36" s="43">
        <v>23463</v>
      </c>
      <c r="I36" s="43">
        <v>23464</v>
      </c>
      <c r="J36" s="43">
        <v>23453</v>
      </c>
      <c r="K36" s="43">
        <v>5300</v>
      </c>
      <c r="L36" s="43">
        <v>5300</v>
      </c>
      <c r="M36" s="43" t="s">
        <v>372</v>
      </c>
      <c r="N36" s="43" t="s">
        <v>426</v>
      </c>
      <c r="O36" s="44">
        <v>0.54150737806000004</v>
      </c>
      <c r="P36" s="44">
        <v>0.21914</v>
      </c>
      <c r="Q36" s="43" t="s">
        <v>405</v>
      </c>
      <c r="R36" s="43" t="s">
        <v>406</v>
      </c>
      <c r="S36" s="43">
        <v>9</v>
      </c>
      <c r="T36" s="43">
        <v>50</v>
      </c>
      <c r="U36" s="43" t="s">
        <v>438</v>
      </c>
      <c r="V36" s="43" t="s">
        <v>439</v>
      </c>
      <c r="W36" s="43" t="s">
        <v>440</v>
      </c>
      <c r="X36" s="45">
        <v>2.201031</v>
      </c>
      <c r="Y36" s="45">
        <v>0.6</v>
      </c>
      <c r="Z36" s="45">
        <v>0.13553583526854002</v>
      </c>
    </row>
    <row r="37" spans="1:26" x14ac:dyDescent="0.2">
      <c r="A37" s="43">
        <v>63</v>
      </c>
      <c r="B37" s="43">
        <v>71</v>
      </c>
      <c r="C37" s="43">
        <v>5</v>
      </c>
      <c r="D37" s="43" t="s">
        <v>562</v>
      </c>
      <c r="E37" s="43" t="s">
        <v>556</v>
      </c>
      <c r="F37" s="43" t="s">
        <v>563</v>
      </c>
      <c r="G37" s="43" t="s">
        <v>464</v>
      </c>
      <c r="H37" s="43">
        <v>52697</v>
      </c>
      <c r="I37" s="43">
        <v>52702</v>
      </c>
      <c r="J37" s="43">
        <v>52668</v>
      </c>
      <c r="K37" s="43">
        <v>8140</v>
      </c>
      <c r="L37" s="43">
        <v>8140</v>
      </c>
      <c r="M37" s="43" t="s">
        <v>372</v>
      </c>
      <c r="N37" s="43" t="s">
        <v>478</v>
      </c>
      <c r="O37" s="44">
        <v>0.263074421063</v>
      </c>
      <c r="P37" s="44">
        <v>0.106462</v>
      </c>
      <c r="Q37" s="43" t="s">
        <v>405</v>
      </c>
      <c r="R37" s="43" t="s">
        <v>406</v>
      </c>
      <c r="S37" s="43">
        <v>18</v>
      </c>
      <c r="T37" s="43">
        <v>10</v>
      </c>
      <c r="U37" s="43" t="s">
        <v>407</v>
      </c>
      <c r="V37" s="43" t="s">
        <v>420</v>
      </c>
      <c r="W37" s="43" t="s">
        <v>421</v>
      </c>
      <c r="X37" s="45">
        <v>3.4929570000000001</v>
      </c>
      <c r="Y37" s="45">
        <v>0.6</v>
      </c>
      <c r="Z37" s="45">
        <v>0.10449467986565401</v>
      </c>
    </row>
    <row r="38" spans="1:26" x14ac:dyDescent="0.2">
      <c r="A38" s="43">
        <v>63</v>
      </c>
      <c r="B38" s="43">
        <v>71</v>
      </c>
      <c r="C38" s="43">
        <v>5</v>
      </c>
      <c r="D38" s="43" t="s">
        <v>562</v>
      </c>
      <c r="E38" s="43" t="s">
        <v>556</v>
      </c>
      <c r="F38" s="43" t="s">
        <v>563</v>
      </c>
      <c r="G38" s="43" t="s">
        <v>464</v>
      </c>
      <c r="H38" s="43">
        <v>52766</v>
      </c>
      <c r="I38" s="43">
        <v>52771</v>
      </c>
      <c r="J38" s="43">
        <v>52737</v>
      </c>
      <c r="K38" s="43">
        <v>8140</v>
      </c>
      <c r="L38" s="43">
        <v>8140</v>
      </c>
      <c r="M38" s="43" t="s">
        <v>372</v>
      </c>
      <c r="N38" s="43" t="s">
        <v>404</v>
      </c>
      <c r="O38" s="44">
        <v>6.8893996177600005E-4</v>
      </c>
      <c r="P38" s="44">
        <v>2.7880400000000001E-4</v>
      </c>
      <c r="Q38" s="43" t="s">
        <v>405</v>
      </c>
      <c r="R38" s="43" t="s">
        <v>406</v>
      </c>
      <c r="S38" s="43">
        <v>18</v>
      </c>
      <c r="T38" s="43">
        <v>10</v>
      </c>
      <c r="U38" s="43" t="s">
        <v>407</v>
      </c>
      <c r="V38" s="43" t="s">
        <v>420</v>
      </c>
      <c r="W38" s="43" t="s">
        <v>421</v>
      </c>
      <c r="X38" s="45">
        <v>3.4929570000000001</v>
      </c>
      <c r="Y38" s="45">
        <v>0.6</v>
      </c>
      <c r="Z38" s="45">
        <v>2.7365195774326802E-4</v>
      </c>
    </row>
    <row r="39" spans="1:26" x14ac:dyDescent="0.2">
      <c r="A39" s="43">
        <v>63</v>
      </c>
      <c r="B39" s="43">
        <v>71</v>
      </c>
      <c r="C39" s="43">
        <v>5</v>
      </c>
      <c r="D39" s="43" t="s">
        <v>562</v>
      </c>
      <c r="E39" s="43" t="s">
        <v>556</v>
      </c>
      <c r="F39" s="43" t="s">
        <v>563</v>
      </c>
      <c r="G39" s="43" t="s">
        <v>464</v>
      </c>
      <c r="H39" s="43">
        <v>52779</v>
      </c>
      <c r="I39" s="43">
        <v>52784</v>
      </c>
      <c r="J39" s="43">
        <v>52750</v>
      </c>
      <c r="K39" s="43">
        <v>8140</v>
      </c>
      <c r="L39" s="43">
        <v>8140</v>
      </c>
      <c r="M39" s="43" t="s">
        <v>372</v>
      </c>
      <c r="N39" s="43" t="s">
        <v>426</v>
      </c>
      <c r="O39" s="44">
        <v>31.714183002599999</v>
      </c>
      <c r="P39" s="44">
        <v>12.834300000000001</v>
      </c>
      <c r="Q39" s="43" t="s">
        <v>405</v>
      </c>
      <c r="R39" s="43" t="s">
        <v>406</v>
      </c>
      <c r="S39" s="43">
        <v>18</v>
      </c>
      <c r="T39" s="43">
        <v>10</v>
      </c>
      <c r="U39" s="43" t="s">
        <v>407</v>
      </c>
      <c r="V39" s="43" t="s">
        <v>420</v>
      </c>
      <c r="W39" s="43" t="s">
        <v>421</v>
      </c>
      <c r="X39" s="45">
        <v>3.4929570000000001</v>
      </c>
      <c r="Y39" s="45">
        <v>0.6</v>
      </c>
      <c r="Z39" s="45">
        <v>12.597133905053102</v>
      </c>
    </row>
    <row r="40" spans="1:26" x14ac:dyDescent="0.2">
      <c r="Z40" s="45">
        <f>SUM(Z23:Z39)</f>
        <v>19.60498396592094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opLeftCell="Q1" workbookViewId="0">
      <selection activeCell="Y15" sqref="Y15:Y22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64</v>
      </c>
      <c r="B2" s="43">
        <v>72</v>
      </c>
      <c r="C2" s="43">
        <v>5</v>
      </c>
      <c r="D2" s="43" t="s">
        <v>432</v>
      </c>
      <c r="E2" s="43" t="s">
        <v>556</v>
      </c>
      <c r="F2" s="43" t="s">
        <v>564</v>
      </c>
      <c r="G2" s="43" t="s">
        <v>464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9.9455140547299994E-2</v>
      </c>
      <c r="P2" s="44">
        <v>4.0248100000000002E-2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9" si="0">P2*X2*(1-Y2)</f>
        <v>1.5502771529604796E-2</v>
      </c>
    </row>
    <row r="3" spans="1:26" x14ac:dyDescent="0.2">
      <c r="A3" s="43">
        <v>64</v>
      </c>
      <c r="B3" s="43">
        <v>72</v>
      </c>
      <c r="C3" s="43">
        <v>5</v>
      </c>
      <c r="D3" s="43" t="s">
        <v>432</v>
      </c>
      <c r="E3" s="43" t="s">
        <v>556</v>
      </c>
      <c r="F3" s="43" t="s">
        <v>564</v>
      </c>
      <c r="G3" s="43" t="s">
        <v>464</v>
      </c>
      <c r="H3" s="43">
        <v>4449</v>
      </c>
      <c r="I3" s="43">
        <v>4450</v>
      </c>
      <c r="J3" s="43">
        <v>4418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2.2537416167300002</v>
      </c>
      <c r="P3" s="44">
        <v>0.91205700000000001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0.35130630496785592</v>
      </c>
    </row>
    <row r="4" spans="1:26" x14ac:dyDescent="0.2">
      <c r="A4" s="43">
        <v>64</v>
      </c>
      <c r="B4" s="43">
        <v>72</v>
      </c>
      <c r="C4" s="43">
        <v>5</v>
      </c>
      <c r="D4" s="43" t="s">
        <v>432</v>
      </c>
      <c r="E4" s="43" t="s">
        <v>556</v>
      </c>
      <c r="F4" s="43" t="s">
        <v>564</v>
      </c>
      <c r="G4" s="43" t="s">
        <v>464</v>
      </c>
      <c r="H4" s="43">
        <v>4452</v>
      </c>
      <c r="I4" s="43">
        <v>4453</v>
      </c>
      <c r="J4" s="43">
        <v>4421</v>
      </c>
      <c r="K4" s="43">
        <v>1400</v>
      </c>
      <c r="L4" s="43">
        <v>1400</v>
      </c>
      <c r="M4" s="43" t="s">
        <v>372</v>
      </c>
      <c r="N4" s="43" t="s">
        <v>404</v>
      </c>
      <c r="O4" s="44">
        <v>0.117188982513</v>
      </c>
      <c r="P4" s="44">
        <v>4.74247E-2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0.78300000000000003</v>
      </c>
      <c r="Z4" s="45">
        <f t="shared" si="0"/>
        <v>1.8267055810337596E-2</v>
      </c>
    </row>
    <row r="5" spans="1:26" x14ac:dyDescent="0.2">
      <c r="A5" s="43">
        <v>64</v>
      </c>
      <c r="B5" s="43">
        <v>72</v>
      </c>
      <c r="C5" s="43">
        <v>5</v>
      </c>
      <c r="D5" s="43" t="s">
        <v>432</v>
      </c>
      <c r="E5" s="43" t="s">
        <v>556</v>
      </c>
      <c r="F5" s="43" t="s">
        <v>564</v>
      </c>
      <c r="G5" s="43" t="s">
        <v>464</v>
      </c>
      <c r="H5" s="43">
        <v>4594</v>
      </c>
      <c r="I5" s="43">
        <v>4595</v>
      </c>
      <c r="J5" s="43">
        <v>4563</v>
      </c>
      <c r="K5" s="43">
        <v>1400</v>
      </c>
      <c r="L5" s="43">
        <v>1400</v>
      </c>
      <c r="M5" s="43" t="s">
        <v>372</v>
      </c>
      <c r="N5" s="43" t="s">
        <v>426</v>
      </c>
      <c r="O5" s="44">
        <v>2.2497182408099999E-5</v>
      </c>
      <c r="P5" s="44">
        <v>9.1042899999999995E-6</v>
      </c>
      <c r="Q5" s="43" t="s">
        <v>405</v>
      </c>
      <c r="R5" s="43" t="s">
        <v>406</v>
      </c>
      <c r="S5" s="43">
        <v>3</v>
      </c>
      <c r="T5" s="43">
        <v>10</v>
      </c>
      <c r="U5" s="43" t="s">
        <v>407</v>
      </c>
      <c r="V5" s="43" t="s">
        <v>408</v>
      </c>
      <c r="W5" s="43" t="s">
        <v>408</v>
      </c>
      <c r="X5" s="45">
        <v>1.7750239999999999</v>
      </c>
      <c r="Y5" s="45">
        <v>0.78300000000000003</v>
      </c>
      <c r="Z5" s="45">
        <f t="shared" si="0"/>
        <v>3.5067923158923194E-6</v>
      </c>
    </row>
    <row r="6" spans="1:26" x14ac:dyDescent="0.2">
      <c r="A6" s="43">
        <v>64</v>
      </c>
      <c r="B6" s="43">
        <v>72</v>
      </c>
      <c r="C6" s="43">
        <v>5</v>
      </c>
      <c r="D6" s="43" t="s">
        <v>432</v>
      </c>
      <c r="E6" s="43" t="s">
        <v>556</v>
      </c>
      <c r="F6" s="43" t="s">
        <v>564</v>
      </c>
      <c r="G6" s="43" t="s">
        <v>464</v>
      </c>
      <c r="H6" s="43">
        <v>5054</v>
      </c>
      <c r="I6" s="43">
        <v>5084</v>
      </c>
      <c r="J6" s="43">
        <v>5084</v>
      </c>
      <c r="K6" s="43">
        <v>1700</v>
      </c>
      <c r="L6" s="43">
        <v>1700</v>
      </c>
      <c r="M6" s="43" t="s">
        <v>372</v>
      </c>
      <c r="N6" s="43" t="s">
        <v>404</v>
      </c>
      <c r="O6" s="44">
        <v>0.189984846672</v>
      </c>
      <c r="P6" s="44">
        <v>7.6884099999999997E-2</v>
      </c>
      <c r="Q6" s="43" t="s">
        <v>405</v>
      </c>
      <c r="R6" s="43" t="s">
        <v>406</v>
      </c>
      <c r="S6" s="43">
        <v>3</v>
      </c>
      <c r="T6" s="43">
        <v>10</v>
      </c>
      <c r="U6" s="43" t="s">
        <v>407</v>
      </c>
      <c r="V6" s="43" t="s">
        <v>450</v>
      </c>
      <c r="W6" s="43" t="s">
        <v>408</v>
      </c>
      <c r="X6" s="45">
        <v>1.7750239999999999</v>
      </c>
      <c r="Y6" s="45">
        <v>0.78300000000000003</v>
      </c>
      <c r="Z6" s="45">
        <f t="shared" si="0"/>
        <v>2.9614233629892791E-2</v>
      </c>
    </row>
    <row r="7" spans="1:26" x14ac:dyDescent="0.2">
      <c r="A7" s="43">
        <v>64</v>
      </c>
      <c r="B7" s="43">
        <v>72</v>
      </c>
      <c r="C7" s="43">
        <v>5</v>
      </c>
      <c r="D7" s="43" t="s">
        <v>432</v>
      </c>
      <c r="E7" s="43" t="s">
        <v>556</v>
      </c>
      <c r="F7" s="43" t="s">
        <v>564</v>
      </c>
      <c r="G7" s="43" t="s">
        <v>464</v>
      </c>
      <c r="H7" s="43">
        <v>30231</v>
      </c>
      <c r="I7" s="43">
        <v>30232</v>
      </c>
      <c r="J7" s="43">
        <v>30232</v>
      </c>
      <c r="K7" s="43">
        <v>6210</v>
      </c>
      <c r="L7" s="43">
        <v>6210</v>
      </c>
      <c r="M7" s="43" t="s">
        <v>372</v>
      </c>
      <c r="N7" s="43" t="s">
        <v>404</v>
      </c>
      <c r="O7" s="44">
        <v>5.02011553943E-2</v>
      </c>
      <c r="P7" s="44">
        <v>2.0315699999999999E-2</v>
      </c>
      <c r="Q7" s="43" t="s">
        <v>405</v>
      </c>
      <c r="R7" s="43" t="s">
        <v>406</v>
      </c>
      <c r="S7" s="43">
        <v>14</v>
      </c>
      <c r="T7" s="43">
        <v>60</v>
      </c>
      <c r="U7" s="43" t="s">
        <v>417</v>
      </c>
      <c r="V7" s="43" t="s">
        <v>418</v>
      </c>
      <c r="W7" s="43" t="s">
        <v>418</v>
      </c>
      <c r="X7" s="45">
        <v>0.44770799999999999</v>
      </c>
      <c r="Y7" s="45">
        <v>0.78300000000000003</v>
      </c>
      <c r="Z7" s="45">
        <f t="shared" si="0"/>
        <v>1.9737238071851995E-3</v>
      </c>
    </row>
    <row r="8" spans="1:26" x14ac:dyDescent="0.2">
      <c r="A8" s="43">
        <v>64</v>
      </c>
      <c r="B8" s="43">
        <v>72</v>
      </c>
      <c r="C8" s="43">
        <v>5</v>
      </c>
      <c r="D8" s="43" t="s">
        <v>432</v>
      </c>
      <c r="E8" s="43" t="s">
        <v>556</v>
      </c>
      <c r="F8" s="43" t="s">
        <v>564</v>
      </c>
      <c r="G8" s="43" t="s">
        <v>464</v>
      </c>
      <c r="H8" s="43">
        <v>52766</v>
      </c>
      <c r="I8" s="43">
        <v>52771</v>
      </c>
      <c r="J8" s="43">
        <v>52737</v>
      </c>
      <c r="K8" s="43">
        <v>8140</v>
      </c>
      <c r="L8" s="43">
        <v>8140</v>
      </c>
      <c r="M8" s="43" t="s">
        <v>372</v>
      </c>
      <c r="N8" s="43" t="s">
        <v>404</v>
      </c>
      <c r="O8" s="44">
        <v>13.6287407893</v>
      </c>
      <c r="P8" s="44">
        <v>5.5153600000000003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420</v>
      </c>
      <c r="W8" s="43" t="s">
        <v>421</v>
      </c>
      <c r="X8" s="45">
        <v>0.717032</v>
      </c>
      <c r="Y8" s="45">
        <v>0.78300000000000003</v>
      </c>
      <c r="Z8" s="45">
        <f t="shared" si="0"/>
        <v>0.85816764569983994</v>
      </c>
    </row>
    <row r="9" spans="1:26" x14ac:dyDescent="0.2">
      <c r="A9" s="43">
        <v>64</v>
      </c>
      <c r="B9" s="43">
        <v>72</v>
      </c>
      <c r="C9" s="43">
        <v>5</v>
      </c>
      <c r="D9" s="43" t="s">
        <v>432</v>
      </c>
      <c r="E9" s="43" t="s">
        <v>556</v>
      </c>
      <c r="F9" s="43" t="s">
        <v>564</v>
      </c>
      <c r="G9" s="43" t="s">
        <v>464</v>
      </c>
      <c r="H9" s="43">
        <v>52779</v>
      </c>
      <c r="I9" s="43">
        <v>52784</v>
      </c>
      <c r="J9" s="43">
        <v>52750</v>
      </c>
      <c r="K9" s="43">
        <v>8140</v>
      </c>
      <c r="L9" s="43">
        <v>8140</v>
      </c>
      <c r="M9" s="43" t="s">
        <v>372</v>
      </c>
      <c r="N9" s="43" t="s">
        <v>426</v>
      </c>
      <c r="O9" s="44">
        <v>0.34769556984299999</v>
      </c>
      <c r="P9" s="44">
        <v>0.140707</v>
      </c>
      <c r="Q9" s="43" t="s">
        <v>405</v>
      </c>
      <c r="R9" s="43" t="s">
        <v>406</v>
      </c>
      <c r="S9" s="43">
        <v>18</v>
      </c>
      <c r="T9" s="43">
        <v>10</v>
      </c>
      <c r="U9" s="43" t="s">
        <v>407</v>
      </c>
      <c r="V9" s="43" t="s">
        <v>420</v>
      </c>
      <c r="W9" s="43" t="s">
        <v>421</v>
      </c>
      <c r="X9" s="45">
        <v>0.717032</v>
      </c>
      <c r="Y9" s="45">
        <v>0.78300000000000003</v>
      </c>
      <c r="Z9" s="45">
        <f t="shared" si="0"/>
        <v>2.1893438492407997E-2</v>
      </c>
    </row>
    <row r="10" spans="1:26" x14ac:dyDescent="0.2">
      <c r="O10" s="44">
        <f>SUM(O2:O9)</f>
        <v>16.687030598182009</v>
      </c>
      <c r="Z10" s="45">
        <f>SUM(Z2:Z9)</f>
        <v>1.2967286807294403</v>
      </c>
    </row>
    <row r="11" spans="1:26" x14ac:dyDescent="0.2">
      <c r="Z11" s="45"/>
    </row>
    <row r="14" spans="1:26" x14ac:dyDescent="0.2">
      <c r="A14" s="43" t="s">
        <v>377</v>
      </c>
      <c r="B14" s="43" t="s">
        <v>378</v>
      </c>
      <c r="C14" s="43" t="s">
        <v>527</v>
      </c>
      <c r="D14" s="43" t="s">
        <v>528</v>
      </c>
      <c r="E14" s="43" t="s">
        <v>380</v>
      </c>
      <c r="F14" s="43" t="s">
        <v>529</v>
      </c>
      <c r="G14" s="43" t="s">
        <v>379</v>
      </c>
      <c r="H14" s="43" t="s">
        <v>383</v>
      </c>
      <c r="I14" s="43" t="s">
        <v>384</v>
      </c>
      <c r="J14" s="43" t="s">
        <v>385</v>
      </c>
      <c r="K14" s="43" t="s">
        <v>386</v>
      </c>
      <c r="L14" s="43" t="s">
        <v>387</v>
      </c>
      <c r="M14" s="43" t="s">
        <v>388</v>
      </c>
      <c r="N14" s="43" t="s">
        <v>389</v>
      </c>
      <c r="O14" s="44" t="s">
        <v>390</v>
      </c>
      <c r="P14" s="44" t="s">
        <v>391</v>
      </c>
      <c r="Q14" s="43" t="s">
        <v>392</v>
      </c>
      <c r="R14" s="43" t="s">
        <v>393</v>
      </c>
      <c r="S14" s="43" t="s">
        <v>394</v>
      </c>
      <c r="T14" s="43" t="s">
        <v>395</v>
      </c>
      <c r="U14" s="43" t="s">
        <v>396</v>
      </c>
      <c r="V14" s="43" t="s">
        <v>397</v>
      </c>
      <c r="W14" s="43" t="s">
        <v>398</v>
      </c>
      <c r="X14" s="45" t="s">
        <v>589</v>
      </c>
      <c r="Y14" s="45" t="s">
        <v>590</v>
      </c>
      <c r="Z14" s="45" t="s">
        <v>591</v>
      </c>
    </row>
    <row r="15" spans="1:26" x14ac:dyDescent="0.2">
      <c r="A15" s="43">
        <v>64</v>
      </c>
      <c r="B15" s="43">
        <v>72</v>
      </c>
      <c r="C15" s="43">
        <v>5</v>
      </c>
      <c r="D15" s="43" t="s">
        <v>432</v>
      </c>
      <c r="E15" s="43" t="s">
        <v>556</v>
      </c>
      <c r="F15" s="43" t="s">
        <v>564</v>
      </c>
      <c r="G15" s="43" t="s">
        <v>464</v>
      </c>
      <c r="H15" s="43">
        <v>4429</v>
      </c>
      <c r="I15" s="43">
        <v>4430</v>
      </c>
      <c r="J15" s="43">
        <v>4398</v>
      </c>
      <c r="K15" s="43">
        <v>1400</v>
      </c>
      <c r="L15" s="43">
        <v>1400</v>
      </c>
      <c r="M15" s="43" t="s">
        <v>372</v>
      </c>
      <c r="N15" s="43" t="s">
        <v>404</v>
      </c>
      <c r="O15" s="44">
        <v>9.9455140547299994E-2</v>
      </c>
      <c r="P15" s="44">
        <v>4.0248100000000002E-2</v>
      </c>
      <c r="Q15" s="43" t="s">
        <v>405</v>
      </c>
      <c r="R15" s="43" t="s">
        <v>406</v>
      </c>
      <c r="S15" s="43">
        <v>3</v>
      </c>
      <c r="T15" s="43">
        <v>10</v>
      </c>
      <c r="U15" s="43" t="s">
        <v>407</v>
      </c>
      <c r="V15" s="43" t="s">
        <v>408</v>
      </c>
      <c r="W15" s="43" t="s">
        <v>408</v>
      </c>
      <c r="X15" s="45">
        <v>7.8337940000000001</v>
      </c>
      <c r="Y15" s="45">
        <v>0.6</v>
      </c>
      <c r="Z15" s="45">
        <v>8.8597986125883404E-2</v>
      </c>
    </row>
    <row r="16" spans="1:26" x14ac:dyDescent="0.2">
      <c r="A16" s="43">
        <v>64</v>
      </c>
      <c r="B16" s="43">
        <v>72</v>
      </c>
      <c r="C16" s="43">
        <v>5</v>
      </c>
      <c r="D16" s="43" t="s">
        <v>432</v>
      </c>
      <c r="E16" s="43" t="s">
        <v>556</v>
      </c>
      <c r="F16" s="43" t="s">
        <v>564</v>
      </c>
      <c r="G16" s="43" t="s">
        <v>464</v>
      </c>
      <c r="H16" s="43">
        <v>4449</v>
      </c>
      <c r="I16" s="43">
        <v>4450</v>
      </c>
      <c r="J16" s="43">
        <v>4418</v>
      </c>
      <c r="K16" s="43">
        <v>1400</v>
      </c>
      <c r="L16" s="43">
        <v>1400</v>
      </c>
      <c r="M16" s="43" t="s">
        <v>372</v>
      </c>
      <c r="N16" s="43" t="s">
        <v>404</v>
      </c>
      <c r="O16" s="44">
        <v>2.2537416167300002</v>
      </c>
      <c r="P16" s="44">
        <v>0.91205700000000001</v>
      </c>
      <c r="Q16" s="43" t="s">
        <v>405</v>
      </c>
      <c r="R16" s="43" t="s">
        <v>406</v>
      </c>
      <c r="S16" s="43">
        <v>3</v>
      </c>
      <c r="T16" s="43">
        <v>10</v>
      </c>
      <c r="U16" s="43" t="s">
        <v>407</v>
      </c>
      <c r="V16" s="43" t="s">
        <v>408</v>
      </c>
      <c r="W16" s="43" t="s">
        <v>408</v>
      </c>
      <c r="X16" s="45">
        <v>7.8337940000000001</v>
      </c>
      <c r="Y16" s="45">
        <v>0.6</v>
      </c>
      <c r="Z16" s="45">
        <v>2.0077075298464981</v>
      </c>
    </row>
    <row r="17" spans="1:26" x14ac:dyDescent="0.2">
      <c r="A17" s="43">
        <v>64</v>
      </c>
      <c r="B17" s="43">
        <v>72</v>
      </c>
      <c r="C17" s="43">
        <v>5</v>
      </c>
      <c r="D17" s="43" t="s">
        <v>432</v>
      </c>
      <c r="E17" s="43" t="s">
        <v>556</v>
      </c>
      <c r="F17" s="43" t="s">
        <v>564</v>
      </c>
      <c r="G17" s="43" t="s">
        <v>464</v>
      </c>
      <c r="H17" s="43">
        <v>4452</v>
      </c>
      <c r="I17" s="43">
        <v>4453</v>
      </c>
      <c r="J17" s="43">
        <v>4421</v>
      </c>
      <c r="K17" s="43">
        <v>1400</v>
      </c>
      <c r="L17" s="43">
        <v>1400</v>
      </c>
      <c r="M17" s="43" t="s">
        <v>372</v>
      </c>
      <c r="N17" s="43" t="s">
        <v>404</v>
      </c>
      <c r="O17" s="44">
        <v>0.117188982513</v>
      </c>
      <c r="P17" s="44">
        <v>4.74247E-2</v>
      </c>
      <c r="Q17" s="43" t="s">
        <v>405</v>
      </c>
      <c r="R17" s="43" t="s">
        <v>406</v>
      </c>
      <c r="S17" s="43">
        <v>3</v>
      </c>
      <c r="T17" s="43">
        <v>10</v>
      </c>
      <c r="U17" s="43" t="s">
        <v>407</v>
      </c>
      <c r="V17" s="43" t="s">
        <v>408</v>
      </c>
      <c r="W17" s="43" t="s">
        <v>408</v>
      </c>
      <c r="X17" s="45">
        <v>7.8337940000000001</v>
      </c>
      <c r="Y17" s="45">
        <v>0.6</v>
      </c>
      <c r="Z17" s="45">
        <v>0.10439580781761582</v>
      </c>
    </row>
    <row r="18" spans="1:26" x14ac:dyDescent="0.2">
      <c r="A18" s="43">
        <v>64</v>
      </c>
      <c r="B18" s="43">
        <v>72</v>
      </c>
      <c r="C18" s="43">
        <v>5</v>
      </c>
      <c r="D18" s="43" t="s">
        <v>432</v>
      </c>
      <c r="E18" s="43" t="s">
        <v>556</v>
      </c>
      <c r="F18" s="43" t="s">
        <v>564</v>
      </c>
      <c r="G18" s="43" t="s">
        <v>464</v>
      </c>
      <c r="H18" s="43">
        <v>4594</v>
      </c>
      <c r="I18" s="43">
        <v>4595</v>
      </c>
      <c r="J18" s="43">
        <v>4563</v>
      </c>
      <c r="K18" s="43">
        <v>1400</v>
      </c>
      <c r="L18" s="43">
        <v>1400</v>
      </c>
      <c r="M18" s="43" t="s">
        <v>372</v>
      </c>
      <c r="N18" s="43" t="s">
        <v>426</v>
      </c>
      <c r="O18" s="44">
        <v>2.2497182408099999E-5</v>
      </c>
      <c r="P18" s="44">
        <v>9.1042899999999995E-6</v>
      </c>
      <c r="Q18" s="43" t="s">
        <v>405</v>
      </c>
      <c r="R18" s="43" t="s">
        <v>406</v>
      </c>
      <c r="S18" s="43">
        <v>3</v>
      </c>
      <c r="T18" s="43">
        <v>10</v>
      </c>
      <c r="U18" s="43" t="s">
        <v>407</v>
      </c>
      <c r="V18" s="43" t="s">
        <v>408</v>
      </c>
      <c r="W18" s="43" t="s">
        <v>408</v>
      </c>
      <c r="X18" s="45">
        <v>7.8337940000000001</v>
      </c>
      <c r="Y18" s="45">
        <v>0.6</v>
      </c>
      <c r="Z18" s="45">
        <v>2.0041238197729062E-5</v>
      </c>
    </row>
    <row r="19" spans="1:26" x14ac:dyDescent="0.2">
      <c r="A19" s="43">
        <v>64</v>
      </c>
      <c r="B19" s="43">
        <v>72</v>
      </c>
      <c r="C19" s="43">
        <v>5</v>
      </c>
      <c r="D19" s="43" t="s">
        <v>432</v>
      </c>
      <c r="E19" s="43" t="s">
        <v>556</v>
      </c>
      <c r="F19" s="43" t="s">
        <v>564</v>
      </c>
      <c r="G19" s="43" t="s">
        <v>464</v>
      </c>
      <c r="H19" s="43">
        <v>5054</v>
      </c>
      <c r="I19" s="43">
        <v>5084</v>
      </c>
      <c r="J19" s="43">
        <v>5084</v>
      </c>
      <c r="K19" s="43">
        <v>1700</v>
      </c>
      <c r="L19" s="43">
        <v>1700</v>
      </c>
      <c r="M19" s="43" t="s">
        <v>372</v>
      </c>
      <c r="N19" s="43" t="s">
        <v>404</v>
      </c>
      <c r="O19" s="44">
        <v>0.189984846672</v>
      </c>
      <c r="P19" s="44">
        <v>7.6884099999999997E-2</v>
      </c>
      <c r="Q19" s="43" t="s">
        <v>405</v>
      </c>
      <c r="R19" s="43" t="s">
        <v>406</v>
      </c>
      <c r="S19" s="43">
        <v>3</v>
      </c>
      <c r="T19" s="43">
        <v>10</v>
      </c>
      <c r="U19" s="43" t="s">
        <v>407</v>
      </c>
      <c r="V19" s="43" t="s">
        <v>450</v>
      </c>
      <c r="W19" s="43" t="s">
        <v>408</v>
      </c>
      <c r="X19" s="45">
        <v>7.8337940000000001</v>
      </c>
      <c r="Y19" s="45">
        <v>0.6</v>
      </c>
      <c r="Z19" s="45">
        <v>0.16924467055838741</v>
      </c>
    </row>
    <row r="20" spans="1:26" x14ac:dyDescent="0.2">
      <c r="A20" s="43">
        <v>64</v>
      </c>
      <c r="B20" s="43">
        <v>72</v>
      </c>
      <c r="C20" s="43">
        <v>5</v>
      </c>
      <c r="D20" s="43" t="s">
        <v>432</v>
      </c>
      <c r="E20" s="43" t="s">
        <v>556</v>
      </c>
      <c r="F20" s="43" t="s">
        <v>564</v>
      </c>
      <c r="G20" s="43" t="s">
        <v>464</v>
      </c>
      <c r="H20" s="43">
        <v>30231</v>
      </c>
      <c r="I20" s="43">
        <v>30232</v>
      </c>
      <c r="J20" s="43">
        <v>30232</v>
      </c>
      <c r="K20" s="43">
        <v>6210</v>
      </c>
      <c r="L20" s="43">
        <v>6210</v>
      </c>
      <c r="M20" s="43" t="s">
        <v>372</v>
      </c>
      <c r="N20" s="43" t="s">
        <v>404</v>
      </c>
      <c r="O20" s="44">
        <v>5.02011553943E-2</v>
      </c>
      <c r="P20" s="44">
        <v>2.0315699999999999E-2</v>
      </c>
      <c r="Q20" s="43" t="s">
        <v>405</v>
      </c>
      <c r="R20" s="43" t="s">
        <v>406</v>
      </c>
      <c r="S20" s="43">
        <v>14</v>
      </c>
      <c r="T20" s="43">
        <v>60</v>
      </c>
      <c r="U20" s="43" t="s">
        <v>417</v>
      </c>
      <c r="V20" s="43" t="s">
        <v>418</v>
      </c>
      <c r="W20" s="43" t="s">
        <v>418</v>
      </c>
      <c r="X20" s="45">
        <v>6.3260019999999999</v>
      </c>
      <c r="Y20" s="45">
        <v>0.6</v>
      </c>
      <c r="Z20" s="45">
        <v>3.6113321631623403E-2</v>
      </c>
    </row>
    <row r="21" spans="1:26" x14ac:dyDescent="0.2">
      <c r="A21" s="43">
        <v>64</v>
      </c>
      <c r="B21" s="43">
        <v>72</v>
      </c>
      <c r="C21" s="43">
        <v>5</v>
      </c>
      <c r="D21" s="43" t="s">
        <v>432</v>
      </c>
      <c r="E21" s="43" t="s">
        <v>556</v>
      </c>
      <c r="F21" s="43" t="s">
        <v>564</v>
      </c>
      <c r="G21" s="43" t="s">
        <v>464</v>
      </c>
      <c r="H21" s="43">
        <v>52766</v>
      </c>
      <c r="I21" s="43">
        <v>52771</v>
      </c>
      <c r="J21" s="43">
        <v>52737</v>
      </c>
      <c r="K21" s="43">
        <v>8140</v>
      </c>
      <c r="L21" s="43">
        <v>8140</v>
      </c>
      <c r="M21" s="43" t="s">
        <v>372</v>
      </c>
      <c r="N21" s="43" t="s">
        <v>404</v>
      </c>
      <c r="O21" s="44">
        <v>13.6287407893</v>
      </c>
      <c r="P21" s="44">
        <v>5.5153600000000003</v>
      </c>
      <c r="Q21" s="43" t="s">
        <v>405</v>
      </c>
      <c r="R21" s="43" t="s">
        <v>406</v>
      </c>
      <c r="S21" s="43">
        <v>18</v>
      </c>
      <c r="T21" s="43">
        <v>10</v>
      </c>
      <c r="U21" s="43" t="s">
        <v>407</v>
      </c>
      <c r="V21" s="43" t="s">
        <v>420</v>
      </c>
      <c r="W21" s="43" t="s">
        <v>421</v>
      </c>
      <c r="X21" s="45">
        <v>3.4929570000000001</v>
      </c>
      <c r="Y21" s="45">
        <v>0.6</v>
      </c>
      <c r="Z21" s="45">
        <v>5.4134412047851201</v>
      </c>
    </row>
    <row r="22" spans="1:26" x14ac:dyDescent="0.2">
      <c r="A22" s="43">
        <v>64</v>
      </c>
      <c r="B22" s="43">
        <v>72</v>
      </c>
      <c r="C22" s="43">
        <v>5</v>
      </c>
      <c r="D22" s="43" t="s">
        <v>432</v>
      </c>
      <c r="E22" s="43" t="s">
        <v>556</v>
      </c>
      <c r="F22" s="43" t="s">
        <v>564</v>
      </c>
      <c r="G22" s="43" t="s">
        <v>464</v>
      </c>
      <c r="H22" s="43">
        <v>52779</v>
      </c>
      <c r="I22" s="43">
        <v>52784</v>
      </c>
      <c r="J22" s="43">
        <v>52750</v>
      </c>
      <c r="K22" s="43">
        <v>8140</v>
      </c>
      <c r="L22" s="43">
        <v>8140</v>
      </c>
      <c r="M22" s="43" t="s">
        <v>372</v>
      </c>
      <c r="N22" s="43" t="s">
        <v>426</v>
      </c>
      <c r="O22" s="44">
        <v>0.34769556984299999</v>
      </c>
      <c r="P22" s="44">
        <v>0.140707</v>
      </c>
      <c r="Q22" s="43" t="s">
        <v>405</v>
      </c>
      <c r="R22" s="43" t="s">
        <v>406</v>
      </c>
      <c r="S22" s="43">
        <v>18</v>
      </c>
      <c r="T22" s="43">
        <v>10</v>
      </c>
      <c r="U22" s="43" t="s">
        <v>407</v>
      </c>
      <c r="V22" s="43" t="s">
        <v>420</v>
      </c>
      <c r="W22" s="43" t="s">
        <v>421</v>
      </c>
      <c r="X22" s="45">
        <v>3.4929570000000001</v>
      </c>
      <c r="Y22" s="45">
        <v>0.6</v>
      </c>
      <c r="Z22" s="45">
        <v>0.13810686366831904</v>
      </c>
    </row>
    <row r="23" spans="1:26" x14ac:dyDescent="0.2">
      <c r="Z23" s="45">
        <f>SUM(Z15:Z22)</f>
        <v>7.957627425671645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O1" workbookViewId="0">
      <selection activeCell="Y12" sqref="Y12:Y1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65</v>
      </c>
      <c r="B2" s="43">
        <v>73</v>
      </c>
      <c r="C2" s="43">
        <v>5</v>
      </c>
      <c r="D2" s="43" t="s">
        <v>444</v>
      </c>
      <c r="E2" s="43" t="s">
        <v>556</v>
      </c>
      <c r="F2" s="43" t="s">
        <v>565</v>
      </c>
      <c r="G2" s="43" t="s">
        <v>464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0.28025108070999999</v>
      </c>
      <c r="P2" s="44">
        <v>0.113414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7" si="0">P2*X2*(1-Y2)</f>
        <v>4.3684828110111991E-2</v>
      </c>
    </row>
    <row r="3" spans="1:26" x14ac:dyDescent="0.2">
      <c r="A3" s="43">
        <v>65</v>
      </c>
      <c r="B3" s="43">
        <v>73</v>
      </c>
      <c r="C3" s="43">
        <v>5</v>
      </c>
      <c r="D3" s="43" t="s">
        <v>444</v>
      </c>
      <c r="E3" s="43" t="s">
        <v>556</v>
      </c>
      <c r="F3" s="43" t="s">
        <v>565</v>
      </c>
      <c r="G3" s="43" t="s">
        <v>464</v>
      </c>
      <c r="H3" s="43">
        <v>4444</v>
      </c>
      <c r="I3" s="43">
        <v>4445</v>
      </c>
      <c r="J3" s="43">
        <v>4413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9.3955076871899995E-2</v>
      </c>
      <c r="P3" s="44">
        <v>3.8022300000000002E-2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1.4645437422638399E-2</v>
      </c>
    </row>
    <row r="4" spans="1:26" x14ac:dyDescent="0.2">
      <c r="A4" s="43">
        <v>65</v>
      </c>
      <c r="B4" s="43">
        <v>73</v>
      </c>
      <c r="C4" s="43">
        <v>5</v>
      </c>
      <c r="D4" s="43" t="s">
        <v>444</v>
      </c>
      <c r="E4" s="43" t="s">
        <v>556</v>
      </c>
      <c r="F4" s="43" t="s">
        <v>565</v>
      </c>
      <c r="G4" s="43" t="s">
        <v>464</v>
      </c>
      <c r="H4" s="43">
        <v>4699</v>
      </c>
      <c r="I4" s="43">
        <v>4700</v>
      </c>
      <c r="J4" s="43">
        <v>4668</v>
      </c>
      <c r="K4" s="43">
        <v>1411</v>
      </c>
      <c r="L4" s="43">
        <v>1411</v>
      </c>
      <c r="M4" s="43" t="s">
        <v>372</v>
      </c>
      <c r="N4" s="43" t="s">
        <v>404</v>
      </c>
      <c r="O4" s="44">
        <v>9.9662677546600006E-2</v>
      </c>
      <c r="P4" s="44">
        <v>4.0332100000000003E-2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409</v>
      </c>
      <c r="W4" s="43" t="s">
        <v>408</v>
      </c>
      <c r="X4" s="45">
        <v>1.7750239999999999</v>
      </c>
      <c r="Y4" s="45">
        <v>0.78300000000000003</v>
      </c>
      <c r="Z4" s="45">
        <f t="shared" si="0"/>
        <v>1.5535126667076798E-2</v>
      </c>
    </row>
    <row r="5" spans="1:26" x14ac:dyDescent="0.2">
      <c r="A5" s="43">
        <v>65</v>
      </c>
      <c r="B5" s="43">
        <v>73</v>
      </c>
      <c r="C5" s="43">
        <v>5</v>
      </c>
      <c r="D5" s="43" t="s">
        <v>444</v>
      </c>
      <c r="E5" s="43" t="s">
        <v>556</v>
      </c>
      <c r="F5" s="43" t="s">
        <v>565</v>
      </c>
      <c r="G5" s="43" t="s">
        <v>464</v>
      </c>
      <c r="H5" s="43">
        <v>6110</v>
      </c>
      <c r="I5" s="43">
        <v>6111</v>
      </c>
      <c r="J5" s="43">
        <v>6056</v>
      </c>
      <c r="K5" s="43">
        <v>1900</v>
      </c>
      <c r="L5" s="43">
        <v>1900</v>
      </c>
      <c r="M5" s="43" t="s">
        <v>372</v>
      </c>
      <c r="N5" s="43" t="s">
        <v>404</v>
      </c>
      <c r="O5" s="44">
        <v>0.65199176630400002</v>
      </c>
      <c r="P5" s="44">
        <v>0.26385199999999998</v>
      </c>
      <c r="Q5" s="43" t="s">
        <v>405</v>
      </c>
      <c r="R5" s="43" t="s">
        <v>406</v>
      </c>
      <c r="S5" s="43">
        <v>70</v>
      </c>
      <c r="T5" s="43">
        <v>10</v>
      </c>
      <c r="U5" s="43" t="s">
        <v>407</v>
      </c>
      <c r="V5" s="43" t="s">
        <v>410</v>
      </c>
      <c r="W5" s="43" t="s">
        <v>411</v>
      </c>
      <c r="X5" s="45">
        <v>0.19295699999999999</v>
      </c>
      <c r="Y5" s="45">
        <v>0.78300000000000003</v>
      </c>
      <c r="Z5" s="45">
        <f t="shared" si="0"/>
        <v>1.1047923608987997E-2</v>
      </c>
    </row>
    <row r="6" spans="1:26" x14ac:dyDescent="0.2">
      <c r="A6" s="43">
        <v>65</v>
      </c>
      <c r="B6" s="43">
        <v>73</v>
      </c>
      <c r="C6" s="43">
        <v>5</v>
      </c>
      <c r="D6" s="43" t="s">
        <v>444</v>
      </c>
      <c r="E6" s="43" t="s">
        <v>556</v>
      </c>
      <c r="F6" s="43" t="s">
        <v>565</v>
      </c>
      <c r="G6" s="43" t="s">
        <v>464</v>
      </c>
      <c r="H6" s="43">
        <v>22993</v>
      </c>
      <c r="I6" s="43">
        <v>22994</v>
      </c>
      <c r="J6" s="43">
        <v>22959</v>
      </c>
      <c r="K6" s="43">
        <v>5300</v>
      </c>
      <c r="L6" s="43">
        <v>5300</v>
      </c>
      <c r="M6" s="43" t="s">
        <v>372</v>
      </c>
      <c r="N6" s="43" t="s">
        <v>404</v>
      </c>
      <c r="O6" s="44">
        <v>0.581957495223</v>
      </c>
      <c r="P6" s="44">
        <v>0.23551</v>
      </c>
      <c r="Q6" s="43" t="s">
        <v>405</v>
      </c>
      <c r="R6" s="43" t="s">
        <v>406</v>
      </c>
      <c r="S6" s="43">
        <v>9</v>
      </c>
      <c r="T6" s="43">
        <v>50</v>
      </c>
      <c r="U6" s="43" t="s">
        <v>438</v>
      </c>
      <c r="V6" s="43" t="s">
        <v>439</v>
      </c>
      <c r="W6" s="43" t="s">
        <v>440</v>
      </c>
      <c r="X6" s="45">
        <v>0.128413</v>
      </c>
      <c r="Y6" s="45">
        <v>0.78300000000000003</v>
      </c>
      <c r="Z6" s="45">
        <f t="shared" si="0"/>
        <v>6.5626324017099991E-3</v>
      </c>
    </row>
    <row r="7" spans="1:26" x14ac:dyDescent="0.2">
      <c r="A7" s="43">
        <v>65</v>
      </c>
      <c r="B7" s="43">
        <v>73</v>
      </c>
      <c r="C7" s="43">
        <v>5</v>
      </c>
      <c r="D7" s="43" t="s">
        <v>444</v>
      </c>
      <c r="E7" s="43" t="s">
        <v>556</v>
      </c>
      <c r="F7" s="43" t="s">
        <v>565</v>
      </c>
      <c r="G7" s="43" t="s">
        <v>464</v>
      </c>
      <c r="H7" s="43">
        <v>52766</v>
      </c>
      <c r="I7" s="43">
        <v>52771</v>
      </c>
      <c r="J7" s="43">
        <v>52737</v>
      </c>
      <c r="K7" s="43">
        <v>8140</v>
      </c>
      <c r="L7" s="43">
        <v>8140</v>
      </c>
      <c r="M7" s="43" t="s">
        <v>372</v>
      </c>
      <c r="N7" s="43" t="s">
        <v>404</v>
      </c>
      <c r="O7" s="44">
        <v>4.9367403167999999</v>
      </c>
      <c r="P7" s="44">
        <v>1.99783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420</v>
      </c>
      <c r="W7" s="43" t="s">
        <v>421</v>
      </c>
      <c r="X7" s="45">
        <v>0.717032</v>
      </c>
      <c r="Y7" s="45">
        <v>0.78300000000000003</v>
      </c>
      <c r="Z7" s="45">
        <f t="shared" si="0"/>
        <v>0.31085424480151996</v>
      </c>
    </row>
    <row r="8" spans="1:26" x14ac:dyDescent="0.2">
      <c r="O8" s="44">
        <f>SUM(O2:O7)</f>
        <v>6.6445584134555</v>
      </c>
      <c r="Z8" s="45">
        <f>SUM(Z2:Z7)</f>
        <v>0.40233019301204515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65</v>
      </c>
      <c r="B12" s="43">
        <v>73</v>
      </c>
      <c r="C12" s="43">
        <v>5</v>
      </c>
      <c r="D12" s="43" t="s">
        <v>444</v>
      </c>
      <c r="E12" s="43" t="s">
        <v>556</v>
      </c>
      <c r="F12" s="43" t="s">
        <v>565</v>
      </c>
      <c r="G12" s="43" t="s">
        <v>464</v>
      </c>
      <c r="H12" s="43">
        <v>4429</v>
      </c>
      <c r="I12" s="43">
        <v>4430</v>
      </c>
      <c r="J12" s="43">
        <v>4398</v>
      </c>
      <c r="K12" s="43">
        <v>1400</v>
      </c>
      <c r="L12" s="43">
        <v>1400</v>
      </c>
      <c r="M12" s="43" t="s">
        <v>372</v>
      </c>
      <c r="N12" s="43" t="s">
        <v>404</v>
      </c>
      <c r="O12" s="44">
        <v>0.28025108070999999</v>
      </c>
      <c r="P12" s="44">
        <v>0.113414</v>
      </c>
      <c r="Q12" s="43" t="s">
        <v>405</v>
      </c>
      <c r="R12" s="43" t="s">
        <v>406</v>
      </c>
      <c r="S12" s="43">
        <v>3</v>
      </c>
      <c r="T12" s="43">
        <v>10</v>
      </c>
      <c r="U12" s="43" t="s">
        <v>407</v>
      </c>
      <c r="V12" s="43" t="s">
        <v>408</v>
      </c>
      <c r="W12" s="43" t="s">
        <v>408</v>
      </c>
      <c r="X12" s="45">
        <v>7.8337940000000001</v>
      </c>
      <c r="Y12" s="45">
        <v>0.6</v>
      </c>
      <c r="Z12" s="45">
        <v>0.24965779747319605</v>
      </c>
    </row>
    <row r="13" spans="1:26" x14ac:dyDescent="0.2">
      <c r="A13" s="43">
        <v>65</v>
      </c>
      <c r="B13" s="43">
        <v>73</v>
      </c>
      <c r="C13" s="43">
        <v>5</v>
      </c>
      <c r="D13" s="43" t="s">
        <v>444</v>
      </c>
      <c r="E13" s="43" t="s">
        <v>556</v>
      </c>
      <c r="F13" s="43" t="s">
        <v>565</v>
      </c>
      <c r="G13" s="43" t="s">
        <v>464</v>
      </c>
      <c r="H13" s="43">
        <v>4444</v>
      </c>
      <c r="I13" s="43">
        <v>4445</v>
      </c>
      <c r="J13" s="43">
        <v>4413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9.3955076871899995E-2</v>
      </c>
      <c r="P13" s="44">
        <v>3.8022300000000002E-2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8.3698341235342213E-2</v>
      </c>
    </row>
    <row r="14" spans="1:26" x14ac:dyDescent="0.2">
      <c r="A14" s="43">
        <v>65</v>
      </c>
      <c r="B14" s="43">
        <v>73</v>
      </c>
      <c r="C14" s="43">
        <v>5</v>
      </c>
      <c r="D14" s="43" t="s">
        <v>444</v>
      </c>
      <c r="E14" s="43" t="s">
        <v>556</v>
      </c>
      <c r="F14" s="43" t="s">
        <v>565</v>
      </c>
      <c r="G14" s="43" t="s">
        <v>464</v>
      </c>
      <c r="H14" s="43">
        <v>4699</v>
      </c>
      <c r="I14" s="43">
        <v>4700</v>
      </c>
      <c r="J14" s="43">
        <v>4668</v>
      </c>
      <c r="K14" s="43">
        <v>1411</v>
      </c>
      <c r="L14" s="43">
        <v>1411</v>
      </c>
      <c r="M14" s="43" t="s">
        <v>372</v>
      </c>
      <c r="N14" s="43" t="s">
        <v>404</v>
      </c>
      <c r="O14" s="44">
        <v>9.9662677546600006E-2</v>
      </c>
      <c r="P14" s="44">
        <v>4.0332100000000003E-2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409</v>
      </c>
      <c r="W14" s="43" t="s">
        <v>408</v>
      </c>
      <c r="X14" s="45">
        <v>7.8337940000000001</v>
      </c>
      <c r="Y14" s="45">
        <v>0.6</v>
      </c>
      <c r="Z14" s="45">
        <v>8.8782894999459405E-2</v>
      </c>
    </row>
    <row r="15" spans="1:26" x14ac:dyDescent="0.2">
      <c r="A15" s="43">
        <v>65</v>
      </c>
      <c r="B15" s="43">
        <v>73</v>
      </c>
      <c r="C15" s="43">
        <v>5</v>
      </c>
      <c r="D15" s="43" t="s">
        <v>444</v>
      </c>
      <c r="E15" s="43" t="s">
        <v>556</v>
      </c>
      <c r="F15" s="43" t="s">
        <v>565</v>
      </c>
      <c r="G15" s="43" t="s">
        <v>464</v>
      </c>
      <c r="H15" s="43">
        <v>6110</v>
      </c>
      <c r="I15" s="43">
        <v>6111</v>
      </c>
      <c r="J15" s="43">
        <v>6056</v>
      </c>
      <c r="K15" s="43">
        <v>1900</v>
      </c>
      <c r="L15" s="43">
        <v>1900</v>
      </c>
      <c r="M15" s="43" t="s">
        <v>372</v>
      </c>
      <c r="N15" s="43" t="s">
        <v>404</v>
      </c>
      <c r="O15" s="44">
        <v>0.65199176630400002</v>
      </c>
      <c r="P15" s="44">
        <v>0.26385199999999998</v>
      </c>
      <c r="Q15" s="43" t="s">
        <v>405</v>
      </c>
      <c r="R15" s="43" t="s">
        <v>406</v>
      </c>
      <c r="S15" s="43">
        <v>70</v>
      </c>
      <c r="T15" s="43">
        <v>10</v>
      </c>
      <c r="U15" s="43" t="s">
        <v>407</v>
      </c>
      <c r="V15" s="43" t="s">
        <v>410</v>
      </c>
      <c r="W15" s="43" t="s">
        <v>411</v>
      </c>
      <c r="X15" s="45">
        <v>1.1817740000000001</v>
      </c>
      <c r="Y15" s="45">
        <v>0.6</v>
      </c>
      <c r="Z15" s="45">
        <v>8.7619574798888003E-2</v>
      </c>
    </row>
    <row r="16" spans="1:26" x14ac:dyDescent="0.2">
      <c r="A16" s="43">
        <v>65</v>
      </c>
      <c r="B16" s="43">
        <v>73</v>
      </c>
      <c r="C16" s="43">
        <v>5</v>
      </c>
      <c r="D16" s="43" t="s">
        <v>444</v>
      </c>
      <c r="E16" s="43" t="s">
        <v>556</v>
      </c>
      <c r="F16" s="43" t="s">
        <v>565</v>
      </c>
      <c r="G16" s="43" t="s">
        <v>464</v>
      </c>
      <c r="H16" s="43">
        <v>22993</v>
      </c>
      <c r="I16" s="43">
        <v>22994</v>
      </c>
      <c r="J16" s="43">
        <v>22959</v>
      </c>
      <c r="K16" s="43">
        <v>5300</v>
      </c>
      <c r="L16" s="43">
        <v>5300</v>
      </c>
      <c r="M16" s="43" t="s">
        <v>372</v>
      </c>
      <c r="N16" s="43" t="s">
        <v>404</v>
      </c>
      <c r="O16" s="44">
        <v>0.581957495223</v>
      </c>
      <c r="P16" s="44">
        <v>0.23551</v>
      </c>
      <c r="Q16" s="43" t="s">
        <v>405</v>
      </c>
      <c r="R16" s="43" t="s">
        <v>406</v>
      </c>
      <c r="S16" s="43">
        <v>9</v>
      </c>
      <c r="T16" s="43">
        <v>50</v>
      </c>
      <c r="U16" s="43" t="s">
        <v>438</v>
      </c>
      <c r="V16" s="43" t="s">
        <v>439</v>
      </c>
      <c r="W16" s="43" t="s">
        <v>440</v>
      </c>
      <c r="X16" s="45">
        <v>2.201031</v>
      </c>
      <c r="Y16" s="45">
        <v>0.6</v>
      </c>
      <c r="Z16" s="45">
        <v>0.14566051183761</v>
      </c>
    </row>
    <row r="17" spans="1:26" x14ac:dyDescent="0.2">
      <c r="A17" s="43">
        <v>65</v>
      </c>
      <c r="B17" s="43">
        <v>73</v>
      </c>
      <c r="C17" s="43">
        <v>5</v>
      </c>
      <c r="D17" s="43" t="s">
        <v>444</v>
      </c>
      <c r="E17" s="43" t="s">
        <v>556</v>
      </c>
      <c r="F17" s="43" t="s">
        <v>565</v>
      </c>
      <c r="G17" s="43" t="s">
        <v>464</v>
      </c>
      <c r="H17" s="43">
        <v>52766</v>
      </c>
      <c r="I17" s="43">
        <v>52771</v>
      </c>
      <c r="J17" s="43">
        <v>52737</v>
      </c>
      <c r="K17" s="43">
        <v>8140</v>
      </c>
      <c r="L17" s="43">
        <v>8140</v>
      </c>
      <c r="M17" s="43" t="s">
        <v>372</v>
      </c>
      <c r="N17" s="43" t="s">
        <v>404</v>
      </c>
      <c r="O17" s="44">
        <v>4.9367403167999999</v>
      </c>
      <c r="P17" s="44">
        <v>1.99783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3.4929570000000001</v>
      </c>
      <c r="Y17" s="45">
        <v>0.6</v>
      </c>
      <c r="Z17" s="45">
        <v>1.9609119336101102</v>
      </c>
    </row>
    <row r="18" spans="1:26" x14ac:dyDescent="0.2">
      <c r="Z18" s="45">
        <f>SUM(Z12:Z17)</f>
        <v>2.6163310539546059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opLeftCell="R1" workbookViewId="0">
      <selection activeCell="Y22" sqref="Y22:Y3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8.57031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6" width="14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7.7109375" bestFit="1" customWidth="1"/>
    <col min="23" max="23" width="24.5703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99</v>
      </c>
      <c r="B2" s="43">
        <v>110</v>
      </c>
      <c r="C2" s="43">
        <v>5</v>
      </c>
      <c r="D2" s="43" t="s">
        <v>554</v>
      </c>
      <c r="E2" s="43" t="s">
        <v>566</v>
      </c>
      <c r="F2" s="43" t="s">
        <v>567</v>
      </c>
      <c r="G2" s="43" t="s">
        <v>464</v>
      </c>
      <c r="H2" s="43">
        <v>3060</v>
      </c>
      <c r="I2" s="43">
        <v>3061</v>
      </c>
      <c r="J2" s="43">
        <v>2989</v>
      </c>
      <c r="K2" s="43">
        <v>1210</v>
      </c>
      <c r="L2" s="43">
        <v>1210</v>
      </c>
      <c r="M2" s="43" t="s">
        <v>372</v>
      </c>
      <c r="N2" s="43" t="s">
        <v>426</v>
      </c>
      <c r="O2" s="44">
        <v>3.1845976369200002E-3</v>
      </c>
      <c r="P2" s="44">
        <v>1.2887599999999999E-3</v>
      </c>
      <c r="Q2" s="43" t="s">
        <v>405</v>
      </c>
      <c r="R2" s="43" t="s">
        <v>406</v>
      </c>
      <c r="S2" s="43">
        <v>19</v>
      </c>
      <c r="T2" s="43">
        <v>10</v>
      </c>
      <c r="U2" s="43" t="s">
        <v>407</v>
      </c>
      <c r="V2" s="43" t="s">
        <v>436</v>
      </c>
      <c r="W2" s="43" t="s">
        <v>437</v>
      </c>
      <c r="X2" s="45">
        <v>0.60924900000000004</v>
      </c>
      <c r="Y2" s="45">
        <v>0.78300000000000003</v>
      </c>
      <c r="Z2" s="45">
        <f t="shared" ref="Z2:Z17" si="0">P2*X2*(1-Y2)</f>
        <v>1.7038313584907998E-4</v>
      </c>
    </row>
    <row r="3" spans="1:26" x14ac:dyDescent="0.2">
      <c r="A3" s="43">
        <v>99</v>
      </c>
      <c r="B3" s="43">
        <v>110</v>
      </c>
      <c r="C3" s="43">
        <v>5</v>
      </c>
      <c r="D3" s="43" t="s">
        <v>554</v>
      </c>
      <c r="E3" s="43" t="s">
        <v>566</v>
      </c>
      <c r="F3" s="43" t="s">
        <v>567</v>
      </c>
      <c r="G3" s="43" t="s">
        <v>464</v>
      </c>
      <c r="H3" s="43">
        <v>3811</v>
      </c>
      <c r="I3" s="43">
        <v>3812</v>
      </c>
      <c r="J3" s="43">
        <v>3759</v>
      </c>
      <c r="K3" s="43">
        <v>1330</v>
      </c>
      <c r="L3" s="43">
        <v>1330</v>
      </c>
      <c r="M3" s="43" t="s">
        <v>372</v>
      </c>
      <c r="N3" s="43" t="s">
        <v>426</v>
      </c>
      <c r="O3" s="44">
        <v>2.6264195780399999E-2</v>
      </c>
      <c r="P3" s="44">
        <v>1.06287E-2</v>
      </c>
      <c r="Q3" s="43" t="s">
        <v>405</v>
      </c>
      <c r="R3" s="43" t="s">
        <v>406</v>
      </c>
      <c r="S3" s="43">
        <v>21</v>
      </c>
      <c r="T3" s="43">
        <v>10</v>
      </c>
      <c r="U3" s="43" t="s">
        <v>407</v>
      </c>
      <c r="V3" s="43" t="s">
        <v>539</v>
      </c>
      <c r="W3" s="43" t="s">
        <v>540</v>
      </c>
      <c r="X3" s="45">
        <v>1.2503169999999999</v>
      </c>
      <c r="Y3" s="45">
        <v>0.78300000000000003</v>
      </c>
      <c r="Z3" s="45">
        <f t="shared" si="0"/>
        <v>2.8837660126442991E-3</v>
      </c>
    </row>
    <row r="4" spans="1:26" x14ac:dyDescent="0.2">
      <c r="A4" s="43">
        <v>99</v>
      </c>
      <c r="B4" s="43">
        <v>110</v>
      </c>
      <c r="C4" s="43">
        <v>5</v>
      </c>
      <c r="D4" s="43" t="s">
        <v>554</v>
      </c>
      <c r="E4" s="43" t="s">
        <v>566</v>
      </c>
      <c r="F4" s="43" t="s">
        <v>567</v>
      </c>
      <c r="G4" s="43" t="s">
        <v>464</v>
      </c>
      <c r="H4" s="43">
        <v>4525</v>
      </c>
      <c r="I4" s="43">
        <v>4526</v>
      </c>
      <c r="J4" s="43">
        <v>4494</v>
      </c>
      <c r="K4" s="43">
        <v>1400</v>
      </c>
      <c r="L4" s="43">
        <v>1400</v>
      </c>
      <c r="M4" s="43" t="s">
        <v>372</v>
      </c>
      <c r="N4" s="43" t="s">
        <v>426</v>
      </c>
      <c r="O4" s="44">
        <v>0.19045879990699999</v>
      </c>
      <c r="P4" s="44">
        <v>7.7075900000000003E-2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0.78300000000000003</v>
      </c>
      <c r="Z4" s="45">
        <f t="shared" si="0"/>
        <v>2.9688111193787194E-2</v>
      </c>
    </row>
    <row r="5" spans="1:26" x14ac:dyDescent="0.2">
      <c r="A5" s="43">
        <v>99</v>
      </c>
      <c r="B5" s="43">
        <v>110</v>
      </c>
      <c r="C5" s="43">
        <v>5</v>
      </c>
      <c r="D5" s="43" t="s">
        <v>554</v>
      </c>
      <c r="E5" s="43" t="s">
        <v>566</v>
      </c>
      <c r="F5" s="43" t="s">
        <v>567</v>
      </c>
      <c r="G5" s="43" t="s">
        <v>464</v>
      </c>
      <c r="H5" s="43">
        <v>4527</v>
      </c>
      <c r="I5" s="43">
        <v>4528</v>
      </c>
      <c r="J5" s="43">
        <v>4496</v>
      </c>
      <c r="K5" s="43">
        <v>1400</v>
      </c>
      <c r="L5" s="43">
        <v>1400</v>
      </c>
      <c r="M5" s="43" t="s">
        <v>372</v>
      </c>
      <c r="N5" s="43" t="s">
        <v>426</v>
      </c>
      <c r="O5" s="44">
        <v>0.16972320412700001</v>
      </c>
      <c r="P5" s="44">
        <v>6.8684499999999996E-2</v>
      </c>
      <c r="Q5" s="43" t="s">
        <v>405</v>
      </c>
      <c r="R5" s="43" t="s">
        <v>406</v>
      </c>
      <c r="S5" s="43">
        <v>3</v>
      </c>
      <c r="T5" s="43">
        <v>10</v>
      </c>
      <c r="U5" s="43" t="s">
        <v>407</v>
      </c>
      <c r="V5" s="43" t="s">
        <v>408</v>
      </c>
      <c r="W5" s="43" t="s">
        <v>408</v>
      </c>
      <c r="X5" s="45">
        <v>1.7750239999999999</v>
      </c>
      <c r="Y5" s="45">
        <v>0.78300000000000003</v>
      </c>
      <c r="Z5" s="45">
        <f t="shared" si="0"/>
        <v>2.6455909996375995E-2</v>
      </c>
    </row>
    <row r="6" spans="1:26" x14ac:dyDescent="0.2">
      <c r="A6" s="43">
        <v>99</v>
      </c>
      <c r="B6" s="43">
        <v>110</v>
      </c>
      <c r="C6" s="43">
        <v>5</v>
      </c>
      <c r="D6" s="43" t="s">
        <v>554</v>
      </c>
      <c r="E6" s="43" t="s">
        <v>566</v>
      </c>
      <c r="F6" s="43" t="s">
        <v>567</v>
      </c>
      <c r="G6" s="43" t="s">
        <v>464</v>
      </c>
      <c r="H6" s="43">
        <v>4530</v>
      </c>
      <c r="I6" s="43">
        <v>4531</v>
      </c>
      <c r="J6" s="43">
        <v>4499</v>
      </c>
      <c r="K6" s="43">
        <v>1400</v>
      </c>
      <c r="L6" s="43">
        <v>1400</v>
      </c>
      <c r="M6" s="43" t="s">
        <v>372</v>
      </c>
      <c r="N6" s="43" t="s">
        <v>426</v>
      </c>
      <c r="O6" s="44">
        <v>0.181016255174</v>
      </c>
      <c r="P6" s="44">
        <v>7.3254700000000006E-2</v>
      </c>
      <c r="Q6" s="43" t="s">
        <v>405</v>
      </c>
      <c r="R6" s="43" t="s">
        <v>406</v>
      </c>
      <c r="S6" s="43">
        <v>3</v>
      </c>
      <c r="T6" s="43">
        <v>10</v>
      </c>
      <c r="U6" s="43" t="s">
        <v>407</v>
      </c>
      <c r="V6" s="43" t="s">
        <v>408</v>
      </c>
      <c r="W6" s="43" t="s">
        <v>408</v>
      </c>
      <c r="X6" s="45">
        <v>1.7750239999999999</v>
      </c>
      <c r="Y6" s="45">
        <v>0.78300000000000003</v>
      </c>
      <c r="Z6" s="45">
        <f t="shared" si="0"/>
        <v>2.8216260582977597E-2</v>
      </c>
    </row>
    <row r="7" spans="1:26" x14ac:dyDescent="0.2">
      <c r="A7" s="43">
        <v>99</v>
      </c>
      <c r="B7" s="43">
        <v>110</v>
      </c>
      <c r="C7" s="43">
        <v>5</v>
      </c>
      <c r="D7" s="43" t="s">
        <v>554</v>
      </c>
      <c r="E7" s="43" t="s">
        <v>566</v>
      </c>
      <c r="F7" s="43" t="s">
        <v>567</v>
      </c>
      <c r="G7" s="43" t="s">
        <v>464</v>
      </c>
      <c r="H7" s="43">
        <v>4535</v>
      </c>
      <c r="I7" s="43">
        <v>4536</v>
      </c>
      <c r="J7" s="43">
        <v>4504</v>
      </c>
      <c r="K7" s="43">
        <v>1400</v>
      </c>
      <c r="L7" s="43">
        <v>1400</v>
      </c>
      <c r="M7" s="43" t="s">
        <v>372</v>
      </c>
      <c r="N7" s="43" t="s">
        <v>426</v>
      </c>
      <c r="O7" s="44">
        <v>1.42886283606</v>
      </c>
      <c r="P7" s="44">
        <v>0.57823999999999998</v>
      </c>
      <c r="Q7" s="43" t="s">
        <v>405</v>
      </c>
      <c r="R7" s="43" t="s">
        <v>406</v>
      </c>
      <c r="S7" s="43">
        <v>3</v>
      </c>
      <c r="T7" s="43">
        <v>10</v>
      </c>
      <c r="U7" s="43" t="s">
        <v>407</v>
      </c>
      <c r="V7" s="43" t="s">
        <v>408</v>
      </c>
      <c r="W7" s="43" t="s">
        <v>408</v>
      </c>
      <c r="X7" s="45">
        <v>1.7750239999999999</v>
      </c>
      <c r="Y7" s="45">
        <v>0.78300000000000003</v>
      </c>
      <c r="Z7" s="45">
        <f t="shared" si="0"/>
        <v>0.22272660347391998</v>
      </c>
    </row>
    <row r="8" spans="1:26" x14ac:dyDescent="0.2">
      <c r="A8" s="43">
        <v>99</v>
      </c>
      <c r="B8" s="43">
        <v>110</v>
      </c>
      <c r="C8" s="43">
        <v>5</v>
      </c>
      <c r="D8" s="43" t="s">
        <v>554</v>
      </c>
      <c r="E8" s="43" t="s">
        <v>566</v>
      </c>
      <c r="F8" s="43" t="s">
        <v>567</v>
      </c>
      <c r="G8" s="43" t="s">
        <v>464</v>
      </c>
      <c r="H8" s="43">
        <v>6161</v>
      </c>
      <c r="I8" s="43">
        <v>6162</v>
      </c>
      <c r="J8" s="43">
        <v>6118</v>
      </c>
      <c r="K8" s="43">
        <v>1900</v>
      </c>
      <c r="L8" s="43">
        <v>1900</v>
      </c>
      <c r="M8" s="43" t="s">
        <v>372</v>
      </c>
      <c r="N8" s="43" t="s">
        <v>426</v>
      </c>
      <c r="O8" s="44">
        <v>2.06670422399</v>
      </c>
      <c r="P8" s="44">
        <v>0.83636600000000005</v>
      </c>
      <c r="Q8" s="43" t="s">
        <v>405</v>
      </c>
      <c r="R8" s="43" t="s">
        <v>406</v>
      </c>
      <c r="S8" s="43">
        <v>70</v>
      </c>
      <c r="T8" s="43">
        <v>10</v>
      </c>
      <c r="U8" s="43" t="s">
        <v>407</v>
      </c>
      <c r="V8" s="43" t="s">
        <v>410</v>
      </c>
      <c r="W8" s="43" t="s">
        <v>411</v>
      </c>
      <c r="X8" s="45">
        <v>0.19295699999999999</v>
      </c>
      <c r="Y8" s="45">
        <v>0.78300000000000003</v>
      </c>
      <c r="Z8" s="45">
        <f t="shared" si="0"/>
        <v>3.5020040314853999E-2</v>
      </c>
    </row>
    <row r="9" spans="1:26" x14ac:dyDescent="0.2">
      <c r="A9" s="43">
        <v>99</v>
      </c>
      <c r="B9" s="43">
        <v>110</v>
      </c>
      <c r="C9" s="43">
        <v>5</v>
      </c>
      <c r="D9" s="43" t="s">
        <v>554</v>
      </c>
      <c r="E9" s="43" t="s">
        <v>566</v>
      </c>
      <c r="F9" s="43" t="s">
        <v>567</v>
      </c>
      <c r="G9" s="43" t="s">
        <v>464</v>
      </c>
      <c r="H9" s="43">
        <v>17241</v>
      </c>
      <c r="I9" s="43">
        <v>17242</v>
      </c>
      <c r="J9" s="43">
        <v>17231</v>
      </c>
      <c r="K9" s="43">
        <v>4110</v>
      </c>
      <c r="L9" s="43">
        <v>4110</v>
      </c>
      <c r="M9" s="43" t="s">
        <v>372</v>
      </c>
      <c r="N9" s="43" t="s">
        <v>426</v>
      </c>
      <c r="O9" s="44">
        <v>0.277585676068</v>
      </c>
      <c r="P9" s="44">
        <v>0.112335</v>
      </c>
      <c r="Q9" s="43" t="s">
        <v>405</v>
      </c>
      <c r="R9" s="43" t="s">
        <v>406</v>
      </c>
      <c r="S9" s="43">
        <v>5</v>
      </c>
      <c r="T9" s="43">
        <v>40</v>
      </c>
      <c r="U9" s="43" t="s">
        <v>412</v>
      </c>
      <c r="V9" s="43" t="s">
        <v>413</v>
      </c>
      <c r="W9" s="43" t="s">
        <v>414</v>
      </c>
      <c r="X9" s="45">
        <v>9.3119999999999994E-2</v>
      </c>
      <c r="Y9" s="45">
        <v>0.78300000000000003</v>
      </c>
      <c r="Z9" s="45">
        <f t="shared" si="0"/>
        <v>2.2699578383999996E-3</v>
      </c>
    </row>
    <row r="10" spans="1:26" x14ac:dyDescent="0.2">
      <c r="A10" s="43">
        <v>99</v>
      </c>
      <c r="B10" s="43">
        <v>110</v>
      </c>
      <c r="C10" s="43">
        <v>5</v>
      </c>
      <c r="D10" s="43" t="s">
        <v>554</v>
      </c>
      <c r="E10" s="43" t="s">
        <v>566</v>
      </c>
      <c r="F10" s="43" t="s">
        <v>567</v>
      </c>
      <c r="G10" s="43" t="s">
        <v>464</v>
      </c>
      <c r="H10" s="43">
        <v>21279</v>
      </c>
      <c r="I10" s="43">
        <v>21280</v>
      </c>
      <c r="J10" s="43">
        <v>23208</v>
      </c>
      <c r="K10" s="43">
        <v>5300</v>
      </c>
      <c r="L10" s="43">
        <v>5300</v>
      </c>
      <c r="M10" s="43" t="s">
        <v>372</v>
      </c>
      <c r="N10" s="43" t="s">
        <v>426</v>
      </c>
      <c r="O10" s="44">
        <v>0.52639275489500004</v>
      </c>
      <c r="P10" s="44">
        <v>0.21302399999999999</v>
      </c>
      <c r="Q10" s="43" t="s">
        <v>405</v>
      </c>
      <c r="R10" s="43" t="s">
        <v>406</v>
      </c>
      <c r="S10" s="43">
        <v>9</v>
      </c>
      <c r="T10" s="43">
        <v>50</v>
      </c>
      <c r="U10" s="43" t="s">
        <v>438</v>
      </c>
      <c r="V10" s="43" t="s">
        <v>439</v>
      </c>
      <c r="W10" s="43" t="s">
        <v>440</v>
      </c>
      <c r="X10" s="45">
        <v>0.128413</v>
      </c>
      <c r="Y10" s="45">
        <v>0.78300000000000003</v>
      </c>
      <c r="Z10" s="45">
        <f t="shared" si="0"/>
        <v>5.9360460479039989E-3</v>
      </c>
    </row>
    <row r="11" spans="1:26" x14ac:dyDescent="0.2">
      <c r="A11" s="43">
        <v>99</v>
      </c>
      <c r="B11" s="43">
        <v>110</v>
      </c>
      <c r="C11" s="43">
        <v>5</v>
      </c>
      <c r="D11" s="43" t="s">
        <v>554</v>
      </c>
      <c r="E11" s="43" t="s">
        <v>566</v>
      </c>
      <c r="F11" s="43" t="s">
        <v>567</v>
      </c>
      <c r="G11" s="43" t="s">
        <v>464</v>
      </c>
      <c r="H11" s="43">
        <v>25257</v>
      </c>
      <c r="I11" s="43">
        <v>25258</v>
      </c>
      <c r="J11" s="43">
        <v>25198</v>
      </c>
      <c r="K11" s="43">
        <v>6170</v>
      </c>
      <c r="L11" s="43">
        <v>6170</v>
      </c>
      <c r="M11" s="43" t="s">
        <v>372</v>
      </c>
      <c r="N11" s="43" t="s">
        <v>426</v>
      </c>
      <c r="O11" s="44">
        <v>7.4807643676200006E-2</v>
      </c>
      <c r="P11" s="44">
        <v>3.0273600000000001E-2</v>
      </c>
      <c r="Q11" s="43" t="s">
        <v>405</v>
      </c>
      <c r="R11" s="43" t="s">
        <v>406</v>
      </c>
      <c r="S11" s="43">
        <v>12</v>
      </c>
      <c r="T11" s="43">
        <v>60</v>
      </c>
      <c r="U11" s="43" t="s">
        <v>417</v>
      </c>
      <c r="V11" s="43" t="s">
        <v>480</v>
      </c>
      <c r="W11" s="43" t="s">
        <v>480</v>
      </c>
      <c r="X11" s="45">
        <v>0.596611</v>
      </c>
      <c r="Y11" s="45">
        <v>0.78300000000000003</v>
      </c>
      <c r="Z11" s="45">
        <f t="shared" si="0"/>
        <v>3.9193591210031995E-3</v>
      </c>
    </row>
    <row r="12" spans="1:26" x14ac:dyDescent="0.2">
      <c r="A12" s="43">
        <v>99</v>
      </c>
      <c r="B12" s="43">
        <v>110</v>
      </c>
      <c r="C12" s="43">
        <v>5</v>
      </c>
      <c r="D12" s="43" t="s">
        <v>554</v>
      </c>
      <c r="E12" s="43" t="s">
        <v>566</v>
      </c>
      <c r="F12" s="43" t="s">
        <v>567</v>
      </c>
      <c r="G12" s="43" t="s">
        <v>464</v>
      </c>
      <c r="H12" s="43">
        <v>25260</v>
      </c>
      <c r="I12" s="43">
        <v>25261</v>
      </c>
      <c r="J12" s="43">
        <v>25201</v>
      </c>
      <c r="K12" s="43">
        <v>6170</v>
      </c>
      <c r="L12" s="43">
        <v>6170</v>
      </c>
      <c r="M12" s="43" t="s">
        <v>372</v>
      </c>
      <c r="N12" s="43" t="s">
        <v>426</v>
      </c>
      <c r="O12" s="44">
        <v>8.8630956092100005E-2</v>
      </c>
      <c r="P12" s="44">
        <v>3.5867700000000002E-2</v>
      </c>
      <c r="Q12" s="43" t="s">
        <v>405</v>
      </c>
      <c r="R12" s="43" t="s">
        <v>406</v>
      </c>
      <c r="S12" s="43">
        <v>12</v>
      </c>
      <c r="T12" s="43">
        <v>60</v>
      </c>
      <c r="U12" s="43" t="s">
        <v>417</v>
      </c>
      <c r="V12" s="43" t="s">
        <v>480</v>
      </c>
      <c r="W12" s="43" t="s">
        <v>480</v>
      </c>
      <c r="X12" s="45">
        <v>0.596611</v>
      </c>
      <c r="Y12" s="45">
        <v>0.78300000000000003</v>
      </c>
      <c r="Z12" s="45">
        <f t="shared" si="0"/>
        <v>4.6435969671399001E-3</v>
      </c>
    </row>
    <row r="13" spans="1:26" x14ac:dyDescent="0.2">
      <c r="A13" s="43">
        <v>99</v>
      </c>
      <c r="B13" s="43">
        <v>110</v>
      </c>
      <c r="C13" s="43">
        <v>5</v>
      </c>
      <c r="D13" s="43" t="s">
        <v>554</v>
      </c>
      <c r="E13" s="43" t="s">
        <v>566</v>
      </c>
      <c r="F13" s="43" t="s">
        <v>567</v>
      </c>
      <c r="G13" s="43" t="s">
        <v>464</v>
      </c>
      <c r="H13" s="43">
        <v>33959</v>
      </c>
      <c r="I13" s="43">
        <v>33960</v>
      </c>
      <c r="J13" s="43">
        <v>33899</v>
      </c>
      <c r="K13" s="43">
        <v>6300</v>
      </c>
      <c r="L13" s="43">
        <v>6300</v>
      </c>
      <c r="M13" s="43" t="s">
        <v>372</v>
      </c>
      <c r="N13" s="43" t="s">
        <v>426</v>
      </c>
      <c r="O13" s="44">
        <v>0.68199876310899998</v>
      </c>
      <c r="P13" s="44">
        <v>0.27599499999999999</v>
      </c>
      <c r="Q13" s="43" t="s">
        <v>405</v>
      </c>
      <c r="R13" s="43" t="s">
        <v>406</v>
      </c>
      <c r="S13" s="43">
        <v>15</v>
      </c>
      <c r="T13" s="43">
        <v>60</v>
      </c>
      <c r="U13" s="43" t="s">
        <v>417</v>
      </c>
      <c r="V13" s="43" t="s">
        <v>419</v>
      </c>
      <c r="W13" s="43" t="s">
        <v>419</v>
      </c>
      <c r="X13" s="45">
        <v>0.75712800000000002</v>
      </c>
      <c r="Y13" s="45">
        <v>0.78300000000000003</v>
      </c>
      <c r="Z13" s="45">
        <f t="shared" si="0"/>
        <v>4.5345088692119992E-2</v>
      </c>
    </row>
    <row r="14" spans="1:26" x14ac:dyDescent="0.2">
      <c r="A14" s="43">
        <v>99</v>
      </c>
      <c r="B14" s="43">
        <v>110</v>
      </c>
      <c r="C14" s="43">
        <v>5</v>
      </c>
      <c r="D14" s="43" t="s">
        <v>554</v>
      </c>
      <c r="E14" s="43" t="s">
        <v>566</v>
      </c>
      <c r="F14" s="43" t="s">
        <v>567</v>
      </c>
      <c r="G14" s="43" t="s">
        <v>464</v>
      </c>
      <c r="H14" s="43">
        <v>52779</v>
      </c>
      <c r="I14" s="43">
        <v>52784</v>
      </c>
      <c r="J14" s="43">
        <v>52750</v>
      </c>
      <c r="K14" s="43">
        <v>8140</v>
      </c>
      <c r="L14" s="43">
        <v>8140</v>
      </c>
      <c r="M14" s="43" t="s">
        <v>372</v>
      </c>
      <c r="N14" s="43" t="s">
        <v>426</v>
      </c>
      <c r="O14" s="44">
        <v>32.9902894588</v>
      </c>
      <c r="P14" s="44">
        <v>13.3507</v>
      </c>
      <c r="Q14" s="43" t="s">
        <v>405</v>
      </c>
      <c r="R14" s="43" t="s">
        <v>406</v>
      </c>
      <c r="S14" s="43">
        <v>18</v>
      </c>
      <c r="T14" s="43">
        <v>10</v>
      </c>
      <c r="U14" s="43" t="s">
        <v>407</v>
      </c>
      <c r="V14" s="43" t="s">
        <v>420</v>
      </c>
      <c r="W14" s="43" t="s">
        <v>421</v>
      </c>
      <c r="X14" s="45">
        <v>0.717032</v>
      </c>
      <c r="Y14" s="45">
        <v>0.78300000000000003</v>
      </c>
      <c r="Z14" s="45">
        <f t="shared" si="0"/>
        <v>2.0773147695607999</v>
      </c>
    </row>
    <row r="15" spans="1:26" x14ac:dyDescent="0.2">
      <c r="A15" s="43">
        <v>99</v>
      </c>
      <c r="B15" s="43">
        <v>110</v>
      </c>
      <c r="C15" s="43">
        <v>5</v>
      </c>
      <c r="D15" s="43" t="s">
        <v>554</v>
      </c>
      <c r="E15" s="43" t="s">
        <v>566</v>
      </c>
      <c r="F15" s="43" t="s">
        <v>567</v>
      </c>
      <c r="G15" s="43" t="s">
        <v>464</v>
      </c>
      <c r="H15" s="43">
        <v>55511</v>
      </c>
      <c r="I15" s="43">
        <v>55512</v>
      </c>
      <c r="J15" s="43">
        <v>55447</v>
      </c>
      <c r="K15" s="43">
        <v>1200</v>
      </c>
      <c r="L15" s="43">
        <v>1200</v>
      </c>
      <c r="M15" s="43" t="s">
        <v>372</v>
      </c>
      <c r="N15" s="43" t="s">
        <v>426</v>
      </c>
      <c r="O15" s="44">
        <v>8.1826865752699998E-3</v>
      </c>
      <c r="P15" s="44">
        <v>3.3114199999999998E-3</v>
      </c>
      <c r="Q15" s="43" t="s">
        <v>405</v>
      </c>
      <c r="R15" s="43" t="s">
        <v>406</v>
      </c>
      <c r="S15" s="43">
        <v>19</v>
      </c>
      <c r="T15" s="43">
        <v>10</v>
      </c>
      <c r="U15" s="43" t="s">
        <v>407</v>
      </c>
      <c r="V15" s="43" t="s">
        <v>441</v>
      </c>
      <c r="W15" s="43" t="s">
        <v>437</v>
      </c>
      <c r="X15" s="45">
        <v>0.60924900000000004</v>
      </c>
      <c r="Y15" s="45">
        <v>0.78300000000000003</v>
      </c>
      <c r="Z15" s="45">
        <f t="shared" si="0"/>
        <v>4.3779301321685997E-4</v>
      </c>
    </row>
    <row r="16" spans="1:26" x14ac:dyDescent="0.2">
      <c r="A16" s="43">
        <v>99</v>
      </c>
      <c r="B16" s="43">
        <v>110</v>
      </c>
      <c r="C16" s="43">
        <v>5</v>
      </c>
      <c r="D16" s="43" t="s">
        <v>554</v>
      </c>
      <c r="E16" s="43" t="s">
        <v>566</v>
      </c>
      <c r="F16" s="43" t="s">
        <v>567</v>
      </c>
      <c r="G16" s="43" t="s">
        <v>464</v>
      </c>
      <c r="H16" s="43">
        <v>55599</v>
      </c>
      <c r="I16" s="43">
        <v>55600</v>
      </c>
      <c r="J16" s="43">
        <v>55535</v>
      </c>
      <c r="K16" s="43">
        <v>1400</v>
      </c>
      <c r="L16" s="43">
        <v>1400</v>
      </c>
      <c r="M16" s="43" t="s">
        <v>372</v>
      </c>
      <c r="N16" s="43" t="s">
        <v>426</v>
      </c>
      <c r="O16" s="44">
        <v>1.0718715745200001E-2</v>
      </c>
      <c r="P16" s="44">
        <v>4.3377099999999998E-3</v>
      </c>
      <c r="Q16" s="43" t="s">
        <v>405</v>
      </c>
      <c r="R16" s="43" t="s">
        <v>406</v>
      </c>
      <c r="S16" s="43">
        <v>3</v>
      </c>
      <c r="T16" s="43">
        <v>10</v>
      </c>
      <c r="U16" s="43" t="s">
        <v>407</v>
      </c>
      <c r="V16" s="43" t="s">
        <v>408</v>
      </c>
      <c r="W16" s="43" t="s">
        <v>408</v>
      </c>
      <c r="X16" s="45">
        <v>1.7750239999999999</v>
      </c>
      <c r="Y16" s="45">
        <v>0.78300000000000003</v>
      </c>
      <c r="Z16" s="45">
        <f t="shared" si="0"/>
        <v>1.6708000400436796E-3</v>
      </c>
    </row>
    <row r="17" spans="1:26" x14ac:dyDescent="0.2">
      <c r="A17" s="43">
        <v>99</v>
      </c>
      <c r="B17" s="43">
        <v>110</v>
      </c>
      <c r="C17" s="43">
        <v>5</v>
      </c>
      <c r="D17" s="43" t="s">
        <v>554</v>
      </c>
      <c r="E17" s="43" t="s">
        <v>566</v>
      </c>
      <c r="F17" s="43" t="s">
        <v>567</v>
      </c>
      <c r="G17" s="43" t="s">
        <v>464</v>
      </c>
      <c r="H17" s="43">
        <v>56349</v>
      </c>
      <c r="I17" s="43">
        <v>56350</v>
      </c>
      <c r="J17" s="43">
        <v>56285</v>
      </c>
      <c r="K17" s="43">
        <v>8140</v>
      </c>
      <c r="L17" s="43">
        <v>8140</v>
      </c>
      <c r="M17" s="43" t="s">
        <v>372</v>
      </c>
      <c r="N17" s="43" t="s">
        <v>426</v>
      </c>
      <c r="O17" s="44">
        <v>6.10024679768E-2</v>
      </c>
      <c r="P17" s="44">
        <v>2.4686799999999998E-2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0.717032</v>
      </c>
      <c r="Y17" s="45">
        <v>0.78300000000000003</v>
      </c>
      <c r="Z17" s="45">
        <f t="shared" si="0"/>
        <v>3.8411659503391994E-3</v>
      </c>
    </row>
    <row r="18" spans="1:26" x14ac:dyDescent="0.2">
      <c r="O18" s="44">
        <f>SUM(O2:O17)</f>
        <v>38.785823235612888</v>
      </c>
      <c r="Z18" s="45">
        <f>SUM(Z2:Z17)</f>
        <v>2.4905396519413747</v>
      </c>
    </row>
    <row r="21" spans="1:26" x14ac:dyDescent="0.2">
      <c r="A21" s="43" t="s">
        <v>377</v>
      </c>
      <c r="B21" s="43" t="s">
        <v>378</v>
      </c>
      <c r="C21" s="43" t="s">
        <v>527</v>
      </c>
      <c r="D21" s="43" t="s">
        <v>528</v>
      </c>
      <c r="E21" s="43" t="s">
        <v>380</v>
      </c>
      <c r="F21" s="43" t="s">
        <v>529</v>
      </c>
      <c r="G21" s="43" t="s">
        <v>379</v>
      </c>
      <c r="H21" s="43" t="s">
        <v>383</v>
      </c>
      <c r="I21" s="43" t="s">
        <v>384</v>
      </c>
      <c r="J21" s="43" t="s">
        <v>385</v>
      </c>
      <c r="K21" s="43" t="s">
        <v>386</v>
      </c>
      <c r="L21" s="43" t="s">
        <v>387</v>
      </c>
      <c r="M21" s="43" t="s">
        <v>388</v>
      </c>
      <c r="N21" s="43" t="s">
        <v>389</v>
      </c>
      <c r="O21" s="44" t="s">
        <v>390</v>
      </c>
      <c r="P21" s="44" t="s">
        <v>391</v>
      </c>
      <c r="Q21" s="43" t="s">
        <v>392</v>
      </c>
      <c r="R21" s="43" t="s">
        <v>393</v>
      </c>
      <c r="S21" s="43" t="s">
        <v>394</v>
      </c>
      <c r="T21" s="43" t="s">
        <v>395</v>
      </c>
      <c r="U21" s="43" t="s">
        <v>396</v>
      </c>
      <c r="V21" s="43" t="s">
        <v>397</v>
      </c>
      <c r="W21" s="43" t="s">
        <v>398</v>
      </c>
      <c r="X21" s="45" t="s">
        <v>589</v>
      </c>
      <c r="Y21" s="45" t="s">
        <v>590</v>
      </c>
      <c r="Z21" s="45" t="s">
        <v>591</v>
      </c>
    </row>
    <row r="22" spans="1:26" x14ac:dyDescent="0.2">
      <c r="A22" s="43">
        <v>99</v>
      </c>
      <c r="B22" s="43">
        <v>110</v>
      </c>
      <c r="C22" s="43">
        <v>5</v>
      </c>
      <c r="D22" s="43" t="s">
        <v>554</v>
      </c>
      <c r="E22" s="43" t="s">
        <v>566</v>
      </c>
      <c r="F22" s="43" t="s">
        <v>567</v>
      </c>
      <c r="G22" s="43" t="s">
        <v>464</v>
      </c>
      <c r="H22" s="43">
        <v>3060</v>
      </c>
      <c r="I22" s="43">
        <v>3061</v>
      </c>
      <c r="J22" s="43">
        <v>2989</v>
      </c>
      <c r="K22" s="43">
        <v>1210</v>
      </c>
      <c r="L22" s="43">
        <v>1210</v>
      </c>
      <c r="M22" s="43" t="s">
        <v>372</v>
      </c>
      <c r="N22" s="43" t="s">
        <v>426</v>
      </c>
      <c r="O22" s="44">
        <v>3.1845976369200002E-3</v>
      </c>
      <c r="P22" s="44">
        <v>1.2887599999999999E-3</v>
      </c>
      <c r="Q22" s="43" t="s">
        <v>405</v>
      </c>
      <c r="R22" s="43" t="s">
        <v>406</v>
      </c>
      <c r="S22" s="43">
        <v>19</v>
      </c>
      <c r="T22" s="43">
        <v>10</v>
      </c>
      <c r="U22" s="43" t="s">
        <v>407</v>
      </c>
      <c r="V22" s="43" t="s">
        <v>436</v>
      </c>
      <c r="W22" s="43" t="s">
        <v>437</v>
      </c>
      <c r="X22" s="45">
        <v>23.305396999999999</v>
      </c>
      <c r="Y22" s="45">
        <v>0.6</v>
      </c>
      <c r="Z22" s="45">
        <v>8.4398528259993204E-3</v>
      </c>
    </row>
    <row r="23" spans="1:26" x14ac:dyDescent="0.2">
      <c r="A23" s="43">
        <v>99</v>
      </c>
      <c r="B23" s="43">
        <v>110</v>
      </c>
      <c r="C23" s="43">
        <v>5</v>
      </c>
      <c r="D23" s="43" t="s">
        <v>554</v>
      </c>
      <c r="E23" s="43" t="s">
        <v>566</v>
      </c>
      <c r="F23" s="43" t="s">
        <v>567</v>
      </c>
      <c r="G23" s="43" t="s">
        <v>464</v>
      </c>
      <c r="H23" s="43">
        <v>3811</v>
      </c>
      <c r="I23" s="43">
        <v>3812</v>
      </c>
      <c r="J23" s="43">
        <v>3759</v>
      </c>
      <c r="K23" s="43">
        <v>1330</v>
      </c>
      <c r="L23" s="43">
        <v>1330</v>
      </c>
      <c r="M23" s="43" t="s">
        <v>372</v>
      </c>
      <c r="N23" s="43" t="s">
        <v>426</v>
      </c>
      <c r="O23" s="44">
        <v>2.6264195780399999E-2</v>
      </c>
      <c r="P23" s="44">
        <v>1.06287E-2</v>
      </c>
      <c r="Q23" s="43" t="s">
        <v>405</v>
      </c>
      <c r="R23" s="43" t="s">
        <v>406</v>
      </c>
      <c r="S23" s="43">
        <v>21</v>
      </c>
      <c r="T23" s="43">
        <v>10</v>
      </c>
      <c r="U23" s="43" t="s">
        <v>407</v>
      </c>
      <c r="V23" s="43" t="s">
        <v>539</v>
      </c>
      <c r="W23" s="43" t="s">
        <v>540</v>
      </c>
      <c r="X23" s="45">
        <v>6.4719680000000004</v>
      </c>
      <c r="Y23" s="45">
        <v>0.6</v>
      </c>
      <c r="Z23" s="45">
        <v>1.93295983651296E-2</v>
      </c>
    </row>
    <row r="24" spans="1:26" x14ac:dyDescent="0.2">
      <c r="A24" s="43">
        <v>99</v>
      </c>
      <c r="B24" s="43">
        <v>110</v>
      </c>
      <c r="C24" s="43">
        <v>5</v>
      </c>
      <c r="D24" s="43" t="s">
        <v>554</v>
      </c>
      <c r="E24" s="43" t="s">
        <v>566</v>
      </c>
      <c r="F24" s="43" t="s">
        <v>567</v>
      </c>
      <c r="G24" s="43" t="s">
        <v>464</v>
      </c>
      <c r="H24" s="43">
        <v>4525</v>
      </c>
      <c r="I24" s="43">
        <v>4526</v>
      </c>
      <c r="J24" s="43">
        <v>4494</v>
      </c>
      <c r="K24" s="43">
        <v>1400</v>
      </c>
      <c r="L24" s="43">
        <v>1400</v>
      </c>
      <c r="M24" s="43" t="s">
        <v>372</v>
      </c>
      <c r="N24" s="43" t="s">
        <v>426</v>
      </c>
      <c r="O24" s="44">
        <v>0.19045879990699999</v>
      </c>
      <c r="P24" s="44">
        <v>7.7075900000000003E-2</v>
      </c>
      <c r="Q24" s="43" t="s">
        <v>405</v>
      </c>
      <c r="R24" s="43" t="s">
        <v>406</v>
      </c>
      <c r="S24" s="43">
        <v>3</v>
      </c>
      <c r="T24" s="43">
        <v>10</v>
      </c>
      <c r="U24" s="43" t="s">
        <v>407</v>
      </c>
      <c r="V24" s="43" t="s">
        <v>408</v>
      </c>
      <c r="W24" s="43" t="s">
        <v>408</v>
      </c>
      <c r="X24" s="45">
        <v>7.8337940000000001</v>
      </c>
      <c r="Y24" s="45">
        <v>0.6</v>
      </c>
      <c r="Z24" s="45">
        <v>0.16966687915305265</v>
      </c>
    </row>
    <row r="25" spans="1:26" x14ac:dyDescent="0.2">
      <c r="A25" s="43">
        <v>99</v>
      </c>
      <c r="B25" s="43">
        <v>110</v>
      </c>
      <c r="C25" s="43">
        <v>5</v>
      </c>
      <c r="D25" s="43" t="s">
        <v>554</v>
      </c>
      <c r="E25" s="43" t="s">
        <v>566</v>
      </c>
      <c r="F25" s="43" t="s">
        <v>567</v>
      </c>
      <c r="G25" s="43" t="s">
        <v>464</v>
      </c>
      <c r="H25" s="43">
        <v>4527</v>
      </c>
      <c r="I25" s="43">
        <v>4528</v>
      </c>
      <c r="J25" s="43">
        <v>4496</v>
      </c>
      <c r="K25" s="43">
        <v>1400</v>
      </c>
      <c r="L25" s="43">
        <v>1400</v>
      </c>
      <c r="M25" s="43" t="s">
        <v>372</v>
      </c>
      <c r="N25" s="43" t="s">
        <v>426</v>
      </c>
      <c r="O25" s="44">
        <v>0.16972320412700001</v>
      </c>
      <c r="P25" s="44">
        <v>6.8684499999999996E-2</v>
      </c>
      <c r="Q25" s="43" t="s">
        <v>405</v>
      </c>
      <c r="R25" s="43" t="s">
        <v>406</v>
      </c>
      <c r="S25" s="43">
        <v>3</v>
      </c>
      <c r="T25" s="43">
        <v>10</v>
      </c>
      <c r="U25" s="43" t="s">
        <v>407</v>
      </c>
      <c r="V25" s="43" t="s">
        <v>408</v>
      </c>
      <c r="W25" s="43" t="s">
        <v>408</v>
      </c>
      <c r="X25" s="45">
        <v>7.8337940000000001</v>
      </c>
      <c r="Y25" s="45">
        <v>0.6</v>
      </c>
      <c r="Z25" s="45">
        <v>0.15119492294203302</v>
      </c>
    </row>
    <row r="26" spans="1:26" x14ac:dyDescent="0.2">
      <c r="A26" s="43">
        <v>99</v>
      </c>
      <c r="B26" s="43">
        <v>110</v>
      </c>
      <c r="C26" s="43">
        <v>5</v>
      </c>
      <c r="D26" s="43" t="s">
        <v>554</v>
      </c>
      <c r="E26" s="43" t="s">
        <v>566</v>
      </c>
      <c r="F26" s="43" t="s">
        <v>567</v>
      </c>
      <c r="G26" s="43" t="s">
        <v>464</v>
      </c>
      <c r="H26" s="43">
        <v>4530</v>
      </c>
      <c r="I26" s="43">
        <v>4531</v>
      </c>
      <c r="J26" s="43">
        <v>4499</v>
      </c>
      <c r="K26" s="43">
        <v>1400</v>
      </c>
      <c r="L26" s="43">
        <v>1400</v>
      </c>
      <c r="M26" s="43" t="s">
        <v>372</v>
      </c>
      <c r="N26" s="43" t="s">
        <v>426</v>
      </c>
      <c r="O26" s="44">
        <v>0.181016255174</v>
      </c>
      <c r="P26" s="44">
        <v>7.3254700000000006E-2</v>
      </c>
      <c r="Q26" s="43" t="s">
        <v>405</v>
      </c>
      <c r="R26" s="43" t="s">
        <v>406</v>
      </c>
      <c r="S26" s="43">
        <v>3</v>
      </c>
      <c r="T26" s="43">
        <v>10</v>
      </c>
      <c r="U26" s="43" t="s">
        <v>407</v>
      </c>
      <c r="V26" s="43" t="s">
        <v>408</v>
      </c>
      <c r="W26" s="43" t="s">
        <v>408</v>
      </c>
      <c r="X26" s="45">
        <v>7.8337940000000001</v>
      </c>
      <c r="Y26" s="45">
        <v>0.6</v>
      </c>
      <c r="Z26" s="45">
        <v>0.16125528644223583</v>
      </c>
    </row>
    <row r="27" spans="1:26" x14ac:dyDescent="0.2">
      <c r="A27" s="43">
        <v>99</v>
      </c>
      <c r="B27" s="43">
        <v>110</v>
      </c>
      <c r="C27" s="43">
        <v>5</v>
      </c>
      <c r="D27" s="43" t="s">
        <v>554</v>
      </c>
      <c r="E27" s="43" t="s">
        <v>566</v>
      </c>
      <c r="F27" s="43" t="s">
        <v>567</v>
      </c>
      <c r="G27" s="43" t="s">
        <v>464</v>
      </c>
      <c r="H27" s="43">
        <v>4535</v>
      </c>
      <c r="I27" s="43">
        <v>4536</v>
      </c>
      <c r="J27" s="43">
        <v>4504</v>
      </c>
      <c r="K27" s="43">
        <v>1400</v>
      </c>
      <c r="L27" s="43">
        <v>1400</v>
      </c>
      <c r="M27" s="43" t="s">
        <v>372</v>
      </c>
      <c r="N27" s="43" t="s">
        <v>426</v>
      </c>
      <c r="O27" s="44">
        <v>1.42886283606</v>
      </c>
      <c r="P27" s="44">
        <v>0.57823999999999998</v>
      </c>
      <c r="Q27" s="43" t="s">
        <v>405</v>
      </c>
      <c r="R27" s="43" t="s">
        <v>406</v>
      </c>
      <c r="S27" s="43">
        <v>3</v>
      </c>
      <c r="T27" s="43">
        <v>10</v>
      </c>
      <c r="U27" s="43" t="s">
        <v>407</v>
      </c>
      <c r="V27" s="43" t="s">
        <v>408</v>
      </c>
      <c r="W27" s="43" t="s">
        <v>408</v>
      </c>
      <c r="X27" s="45">
        <v>7.8337940000000001</v>
      </c>
      <c r="Y27" s="45">
        <v>0.6</v>
      </c>
      <c r="Z27" s="45">
        <v>1.2728774649593602</v>
      </c>
    </row>
    <row r="28" spans="1:26" x14ac:dyDescent="0.2">
      <c r="A28" s="43">
        <v>99</v>
      </c>
      <c r="B28" s="43">
        <v>110</v>
      </c>
      <c r="C28" s="43">
        <v>5</v>
      </c>
      <c r="D28" s="43" t="s">
        <v>554</v>
      </c>
      <c r="E28" s="43" t="s">
        <v>566</v>
      </c>
      <c r="F28" s="43" t="s">
        <v>567</v>
      </c>
      <c r="G28" s="43" t="s">
        <v>464</v>
      </c>
      <c r="H28" s="43">
        <v>6161</v>
      </c>
      <c r="I28" s="43">
        <v>6162</v>
      </c>
      <c r="J28" s="43">
        <v>6118</v>
      </c>
      <c r="K28" s="43">
        <v>1900</v>
      </c>
      <c r="L28" s="43">
        <v>1900</v>
      </c>
      <c r="M28" s="43" t="s">
        <v>372</v>
      </c>
      <c r="N28" s="43" t="s">
        <v>426</v>
      </c>
      <c r="O28" s="44">
        <v>2.06670422399</v>
      </c>
      <c r="P28" s="44">
        <v>0.83636600000000005</v>
      </c>
      <c r="Q28" s="43" t="s">
        <v>405</v>
      </c>
      <c r="R28" s="43" t="s">
        <v>406</v>
      </c>
      <c r="S28" s="43">
        <v>70</v>
      </c>
      <c r="T28" s="43">
        <v>10</v>
      </c>
      <c r="U28" s="43" t="s">
        <v>407</v>
      </c>
      <c r="V28" s="43" t="s">
        <v>410</v>
      </c>
      <c r="W28" s="43" t="s">
        <v>411</v>
      </c>
      <c r="X28" s="45">
        <v>1.1817740000000001</v>
      </c>
      <c r="Y28" s="45">
        <v>0.6</v>
      </c>
      <c r="Z28" s="45">
        <v>0.27773916171280405</v>
      </c>
    </row>
    <row r="29" spans="1:26" x14ac:dyDescent="0.2">
      <c r="A29" s="43">
        <v>99</v>
      </c>
      <c r="B29" s="43">
        <v>110</v>
      </c>
      <c r="C29" s="43">
        <v>5</v>
      </c>
      <c r="D29" s="43" t="s">
        <v>554</v>
      </c>
      <c r="E29" s="43" t="s">
        <v>566</v>
      </c>
      <c r="F29" s="43" t="s">
        <v>567</v>
      </c>
      <c r="G29" s="43" t="s">
        <v>464</v>
      </c>
      <c r="H29" s="43">
        <v>17241</v>
      </c>
      <c r="I29" s="43">
        <v>17242</v>
      </c>
      <c r="J29" s="43">
        <v>17231</v>
      </c>
      <c r="K29" s="43">
        <v>4110</v>
      </c>
      <c r="L29" s="43">
        <v>4110</v>
      </c>
      <c r="M29" s="43" t="s">
        <v>372</v>
      </c>
      <c r="N29" s="43" t="s">
        <v>426</v>
      </c>
      <c r="O29" s="44">
        <v>0.277585676068</v>
      </c>
      <c r="P29" s="44">
        <v>0.112335</v>
      </c>
      <c r="Q29" s="43" t="s">
        <v>405</v>
      </c>
      <c r="R29" s="43" t="s">
        <v>406</v>
      </c>
      <c r="S29" s="43">
        <v>5</v>
      </c>
      <c r="T29" s="43">
        <v>40</v>
      </c>
      <c r="U29" s="43" t="s">
        <v>412</v>
      </c>
      <c r="V29" s="43" t="s">
        <v>413</v>
      </c>
      <c r="W29" s="43" t="s">
        <v>414</v>
      </c>
      <c r="X29" s="45">
        <v>8.1290569999999995</v>
      </c>
      <c r="Y29" s="45">
        <v>0.6</v>
      </c>
      <c r="Z29" s="45">
        <v>0.25660291068469504</v>
      </c>
    </row>
    <row r="30" spans="1:26" x14ac:dyDescent="0.2">
      <c r="A30" s="43">
        <v>99</v>
      </c>
      <c r="B30" s="43">
        <v>110</v>
      </c>
      <c r="C30" s="43">
        <v>5</v>
      </c>
      <c r="D30" s="43" t="s">
        <v>554</v>
      </c>
      <c r="E30" s="43" t="s">
        <v>566</v>
      </c>
      <c r="F30" s="43" t="s">
        <v>567</v>
      </c>
      <c r="G30" s="43" t="s">
        <v>464</v>
      </c>
      <c r="H30" s="43">
        <v>21279</v>
      </c>
      <c r="I30" s="43">
        <v>21280</v>
      </c>
      <c r="J30" s="43">
        <v>23208</v>
      </c>
      <c r="K30" s="43">
        <v>5300</v>
      </c>
      <c r="L30" s="43">
        <v>5300</v>
      </c>
      <c r="M30" s="43" t="s">
        <v>372</v>
      </c>
      <c r="N30" s="43" t="s">
        <v>426</v>
      </c>
      <c r="O30" s="44">
        <v>0.52639275489500004</v>
      </c>
      <c r="P30" s="44">
        <v>0.21302399999999999</v>
      </c>
      <c r="Q30" s="43" t="s">
        <v>405</v>
      </c>
      <c r="R30" s="43" t="s">
        <v>406</v>
      </c>
      <c r="S30" s="43">
        <v>9</v>
      </c>
      <c r="T30" s="43">
        <v>50</v>
      </c>
      <c r="U30" s="43" t="s">
        <v>438</v>
      </c>
      <c r="V30" s="43" t="s">
        <v>439</v>
      </c>
      <c r="W30" s="43" t="s">
        <v>440</v>
      </c>
      <c r="X30" s="45">
        <v>2.201031</v>
      </c>
      <c r="Y30" s="45">
        <v>0.6</v>
      </c>
      <c r="Z30" s="45">
        <v>0.13175315219606401</v>
      </c>
    </row>
    <row r="31" spans="1:26" x14ac:dyDescent="0.2">
      <c r="A31" s="43">
        <v>99</v>
      </c>
      <c r="B31" s="43">
        <v>110</v>
      </c>
      <c r="C31" s="43">
        <v>5</v>
      </c>
      <c r="D31" s="43" t="s">
        <v>554</v>
      </c>
      <c r="E31" s="43" t="s">
        <v>566</v>
      </c>
      <c r="F31" s="43" t="s">
        <v>567</v>
      </c>
      <c r="G31" s="43" t="s">
        <v>464</v>
      </c>
      <c r="H31" s="43">
        <v>25257</v>
      </c>
      <c r="I31" s="43">
        <v>25258</v>
      </c>
      <c r="J31" s="43">
        <v>25198</v>
      </c>
      <c r="K31" s="43">
        <v>6170</v>
      </c>
      <c r="L31" s="43">
        <v>6170</v>
      </c>
      <c r="M31" s="43" t="s">
        <v>372</v>
      </c>
      <c r="N31" s="43" t="s">
        <v>426</v>
      </c>
      <c r="O31" s="44">
        <v>7.4807643676200006E-2</v>
      </c>
      <c r="P31" s="44">
        <v>3.0273600000000001E-2</v>
      </c>
      <c r="Q31" s="43" t="s">
        <v>405</v>
      </c>
      <c r="R31" s="43" t="s">
        <v>406</v>
      </c>
      <c r="S31" s="43">
        <v>12</v>
      </c>
      <c r="T31" s="43">
        <v>60</v>
      </c>
      <c r="U31" s="43" t="s">
        <v>417</v>
      </c>
      <c r="V31" s="43" t="s">
        <v>480</v>
      </c>
      <c r="W31" s="43" t="s">
        <v>480</v>
      </c>
      <c r="X31" s="45">
        <v>6.1431250000000004</v>
      </c>
      <c r="Y31" s="45">
        <v>0.6</v>
      </c>
      <c r="Z31" s="45">
        <v>5.2258837029000006E-2</v>
      </c>
    </row>
    <row r="32" spans="1:26" x14ac:dyDescent="0.2">
      <c r="A32" s="43">
        <v>99</v>
      </c>
      <c r="B32" s="43">
        <v>110</v>
      </c>
      <c r="C32" s="43">
        <v>5</v>
      </c>
      <c r="D32" s="43" t="s">
        <v>554</v>
      </c>
      <c r="E32" s="43" t="s">
        <v>566</v>
      </c>
      <c r="F32" s="43" t="s">
        <v>567</v>
      </c>
      <c r="G32" s="43" t="s">
        <v>464</v>
      </c>
      <c r="H32" s="43">
        <v>25260</v>
      </c>
      <c r="I32" s="43">
        <v>25261</v>
      </c>
      <c r="J32" s="43">
        <v>25201</v>
      </c>
      <c r="K32" s="43">
        <v>6170</v>
      </c>
      <c r="L32" s="43">
        <v>6170</v>
      </c>
      <c r="M32" s="43" t="s">
        <v>372</v>
      </c>
      <c r="N32" s="43" t="s">
        <v>426</v>
      </c>
      <c r="O32" s="44">
        <v>8.8630956092100005E-2</v>
      </c>
      <c r="P32" s="44">
        <v>3.5867700000000002E-2</v>
      </c>
      <c r="Q32" s="43" t="s">
        <v>405</v>
      </c>
      <c r="R32" s="43" t="s">
        <v>406</v>
      </c>
      <c r="S32" s="43">
        <v>12</v>
      </c>
      <c r="T32" s="43">
        <v>60</v>
      </c>
      <c r="U32" s="43" t="s">
        <v>417</v>
      </c>
      <c r="V32" s="43" t="s">
        <v>480</v>
      </c>
      <c r="W32" s="43" t="s">
        <v>480</v>
      </c>
      <c r="X32" s="45">
        <v>6.1431250000000004</v>
      </c>
      <c r="Y32" s="45">
        <v>0.6</v>
      </c>
      <c r="Z32" s="45">
        <v>6.1915473842062516E-2</v>
      </c>
    </row>
    <row r="33" spans="1:26" x14ac:dyDescent="0.2">
      <c r="A33" s="43">
        <v>99</v>
      </c>
      <c r="B33" s="43">
        <v>110</v>
      </c>
      <c r="C33" s="43">
        <v>5</v>
      </c>
      <c r="D33" s="43" t="s">
        <v>554</v>
      </c>
      <c r="E33" s="43" t="s">
        <v>566</v>
      </c>
      <c r="F33" s="43" t="s">
        <v>567</v>
      </c>
      <c r="G33" s="43" t="s">
        <v>464</v>
      </c>
      <c r="H33" s="43">
        <v>33959</v>
      </c>
      <c r="I33" s="43">
        <v>33960</v>
      </c>
      <c r="J33" s="43">
        <v>33899</v>
      </c>
      <c r="K33" s="43">
        <v>6300</v>
      </c>
      <c r="L33" s="43">
        <v>6300</v>
      </c>
      <c r="M33" s="43" t="s">
        <v>372</v>
      </c>
      <c r="N33" s="43" t="s">
        <v>426</v>
      </c>
      <c r="O33" s="44">
        <v>0.68199876310899998</v>
      </c>
      <c r="P33" s="44">
        <v>0.27599499999999999</v>
      </c>
      <c r="Q33" s="43" t="s">
        <v>405</v>
      </c>
      <c r="R33" s="43" t="s">
        <v>406</v>
      </c>
      <c r="S33" s="43">
        <v>15</v>
      </c>
      <c r="T33" s="43">
        <v>60</v>
      </c>
      <c r="U33" s="43" t="s">
        <v>417</v>
      </c>
      <c r="V33" s="43" t="s">
        <v>419</v>
      </c>
      <c r="W33" s="43" t="s">
        <v>419</v>
      </c>
      <c r="X33" s="45">
        <v>6.8155330000000003</v>
      </c>
      <c r="Y33" s="45">
        <v>0.6</v>
      </c>
      <c r="Z33" s="45">
        <v>0.52857590152413503</v>
      </c>
    </row>
    <row r="34" spans="1:26" x14ac:dyDescent="0.2">
      <c r="A34" s="43">
        <v>99</v>
      </c>
      <c r="B34" s="43">
        <v>110</v>
      </c>
      <c r="C34" s="43">
        <v>5</v>
      </c>
      <c r="D34" s="43" t="s">
        <v>554</v>
      </c>
      <c r="E34" s="43" t="s">
        <v>566</v>
      </c>
      <c r="F34" s="43" t="s">
        <v>567</v>
      </c>
      <c r="G34" s="43" t="s">
        <v>464</v>
      </c>
      <c r="H34" s="43">
        <v>52779</v>
      </c>
      <c r="I34" s="43">
        <v>52784</v>
      </c>
      <c r="J34" s="43">
        <v>52750</v>
      </c>
      <c r="K34" s="43">
        <v>8140</v>
      </c>
      <c r="L34" s="43">
        <v>8140</v>
      </c>
      <c r="M34" s="43" t="s">
        <v>372</v>
      </c>
      <c r="N34" s="43" t="s">
        <v>426</v>
      </c>
      <c r="O34" s="44">
        <v>32.9902894588</v>
      </c>
      <c r="P34" s="44">
        <v>13.3507</v>
      </c>
      <c r="Q34" s="43" t="s">
        <v>405</v>
      </c>
      <c r="R34" s="43" t="s">
        <v>406</v>
      </c>
      <c r="S34" s="43">
        <v>18</v>
      </c>
      <c r="T34" s="43">
        <v>10</v>
      </c>
      <c r="U34" s="43" t="s">
        <v>407</v>
      </c>
      <c r="V34" s="43" t="s">
        <v>420</v>
      </c>
      <c r="W34" s="43" t="s">
        <v>421</v>
      </c>
      <c r="X34" s="45">
        <v>3.4929570000000001</v>
      </c>
      <c r="Y34" s="45">
        <v>0.6</v>
      </c>
      <c r="Z34" s="45">
        <v>13.103991306591901</v>
      </c>
    </row>
    <row r="35" spans="1:26" x14ac:dyDescent="0.2">
      <c r="A35" s="43">
        <v>99</v>
      </c>
      <c r="B35" s="43">
        <v>110</v>
      </c>
      <c r="C35" s="43">
        <v>5</v>
      </c>
      <c r="D35" s="43" t="s">
        <v>554</v>
      </c>
      <c r="E35" s="43" t="s">
        <v>566</v>
      </c>
      <c r="F35" s="43" t="s">
        <v>567</v>
      </c>
      <c r="G35" s="43" t="s">
        <v>464</v>
      </c>
      <c r="H35" s="43">
        <v>55511</v>
      </c>
      <c r="I35" s="43">
        <v>55512</v>
      </c>
      <c r="J35" s="43">
        <v>55447</v>
      </c>
      <c r="K35" s="43">
        <v>1200</v>
      </c>
      <c r="L35" s="43">
        <v>1200</v>
      </c>
      <c r="M35" s="43" t="s">
        <v>372</v>
      </c>
      <c r="N35" s="43" t="s">
        <v>426</v>
      </c>
      <c r="O35" s="44">
        <v>8.1826865752699998E-3</v>
      </c>
      <c r="P35" s="44">
        <v>3.3114199999999998E-3</v>
      </c>
      <c r="Q35" s="43" t="s">
        <v>405</v>
      </c>
      <c r="R35" s="43" t="s">
        <v>406</v>
      </c>
      <c r="S35" s="43">
        <v>19</v>
      </c>
      <c r="T35" s="43">
        <v>10</v>
      </c>
      <c r="U35" s="43" t="s">
        <v>407</v>
      </c>
      <c r="V35" s="43" t="s">
        <v>441</v>
      </c>
      <c r="W35" s="43" t="s">
        <v>437</v>
      </c>
      <c r="X35" s="45">
        <v>23.305396999999999</v>
      </c>
      <c r="Y35" s="45">
        <v>0.6</v>
      </c>
      <c r="Z35" s="45">
        <v>2.1685882123180938E-2</v>
      </c>
    </row>
    <row r="36" spans="1:26" x14ac:dyDescent="0.2">
      <c r="A36" s="43">
        <v>99</v>
      </c>
      <c r="B36" s="43">
        <v>110</v>
      </c>
      <c r="C36" s="43">
        <v>5</v>
      </c>
      <c r="D36" s="43" t="s">
        <v>554</v>
      </c>
      <c r="E36" s="43" t="s">
        <v>566</v>
      </c>
      <c r="F36" s="43" t="s">
        <v>567</v>
      </c>
      <c r="G36" s="43" t="s">
        <v>464</v>
      </c>
      <c r="H36" s="43">
        <v>55599</v>
      </c>
      <c r="I36" s="43">
        <v>55600</v>
      </c>
      <c r="J36" s="43">
        <v>55535</v>
      </c>
      <c r="K36" s="43">
        <v>1400</v>
      </c>
      <c r="L36" s="43">
        <v>1400</v>
      </c>
      <c r="M36" s="43" t="s">
        <v>372</v>
      </c>
      <c r="N36" s="43" t="s">
        <v>426</v>
      </c>
      <c r="O36" s="44">
        <v>1.0718715745200001E-2</v>
      </c>
      <c r="P36" s="44">
        <v>4.3377099999999998E-3</v>
      </c>
      <c r="Q36" s="43" t="s">
        <v>405</v>
      </c>
      <c r="R36" s="43" t="s">
        <v>406</v>
      </c>
      <c r="S36" s="43">
        <v>3</v>
      </c>
      <c r="T36" s="43">
        <v>10</v>
      </c>
      <c r="U36" s="43" t="s">
        <v>407</v>
      </c>
      <c r="V36" s="43" t="s">
        <v>408</v>
      </c>
      <c r="W36" s="43" t="s">
        <v>408</v>
      </c>
      <c r="X36" s="45">
        <v>7.8337940000000001</v>
      </c>
      <c r="Y36" s="45">
        <v>0.6</v>
      </c>
      <c r="Z36" s="45">
        <v>9.5485841666589407E-3</v>
      </c>
    </row>
    <row r="37" spans="1:26" x14ac:dyDescent="0.2">
      <c r="A37" s="43">
        <v>99</v>
      </c>
      <c r="B37" s="43">
        <v>110</v>
      </c>
      <c r="C37" s="43">
        <v>5</v>
      </c>
      <c r="D37" s="43" t="s">
        <v>554</v>
      </c>
      <c r="E37" s="43" t="s">
        <v>566</v>
      </c>
      <c r="F37" s="43" t="s">
        <v>567</v>
      </c>
      <c r="G37" s="43" t="s">
        <v>464</v>
      </c>
      <c r="H37" s="43">
        <v>56349</v>
      </c>
      <c r="I37" s="43">
        <v>56350</v>
      </c>
      <c r="J37" s="43">
        <v>56285</v>
      </c>
      <c r="K37" s="43">
        <v>8140</v>
      </c>
      <c r="L37" s="43">
        <v>8140</v>
      </c>
      <c r="M37" s="43" t="s">
        <v>372</v>
      </c>
      <c r="N37" s="43" t="s">
        <v>426</v>
      </c>
      <c r="O37" s="44">
        <v>6.10024679768E-2</v>
      </c>
      <c r="P37" s="44">
        <v>2.4686799999999998E-2</v>
      </c>
      <c r="Q37" s="43" t="s">
        <v>405</v>
      </c>
      <c r="R37" s="43" t="s">
        <v>406</v>
      </c>
      <c r="S37" s="43">
        <v>18</v>
      </c>
      <c r="T37" s="43">
        <v>10</v>
      </c>
      <c r="U37" s="43" t="s">
        <v>407</v>
      </c>
      <c r="V37" s="43" t="s">
        <v>420</v>
      </c>
      <c r="W37" s="43" t="s">
        <v>421</v>
      </c>
      <c r="X37" s="45">
        <v>3.4929570000000001</v>
      </c>
      <c r="Y37" s="45">
        <v>0.6</v>
      </c>
      <c r="Z37" s="45">
        <v>2.4230610573795604E-2</v>
      </c>
    </row>
    <row r="38" spans="1:26" x14ac:dyDescent="0.2">
      <c r="Z38" s="45">
        <f>SUM(Z22:Z37)</f>
        <v>16.251065825132105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workbookViewId="0">
      <selection activeCell="A3" sqref="A3"/>
    </sheetView>
  </sheetViews>
  <sheetFormatPr defaultRowHeight="12.75" x14ac:dyDescent="0.2"/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22" t="s">
        <v>581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opLeftCell="T1" workbookViewId="0">
      <selection activeCell="Y12" sqref="Y12:Y1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7.42578125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2.28515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4.42578125" bestFit="1" customWidth="1"/>
    <col min="23" max="23" width="21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102</v>
      </c>
      <c r="B2" s="43">
        <v>113</v>
      </c>
      <c r="C2" s="43">
        <v>5</v>
      </c>
      <c r="D2" s="43" t="s">
        <v>457</v>
      </c>
      <c r="E2" s="43" t="s">
        <v>568</v>
      </c>
      <c r="F2" s="43" t="s">
        <v>569</v>
      </c>
      <c r="G2" s="43" t="s">
        <v>461</v>
      </c>
      <c r="H2" s="43">
        <v>657</v>
      </c>
      <c r="I2" s="43">
        <v>659</v>
      </c>
      <c r="J2" s="43">
        <v>1454</v>
      </c>
      <c r="K2" s="43">
        <v>1110</v>
      </c>
      <c r="L2" s="43">
        <v>1110</v>
      </c>
      <c r="M2" s="43" t="s">
        <v>372</v>
      </c>
      <c r="N2" s="43" t="s">
        <v>555</v>
      </c>
      <c r="O2" s="44">
        <v>2.0892300326700002</v>
      </c>
      <c r="P2" s="44">
        <v>0.84548100000000004</v>
      </c>
      <c r="Q2" s="43" t="s">
        <v>405</v>
      </c>
      <c r="R2" s="43" t="s">
        <v>406</v>
      </c>
      <c r="S2" s="43">
        <v>2</v>
      </c>
      <c r="T2" s="43">
        <v>10</v>
      </c>
      <c r="U2" s="43" t="s">
        <v>407</v>
      </c>
      <c r="V2" s="43" t="s">
        <v>434</v>
      </c>
      <c r="W2" s="43" t="s">
        <v>435</v>
      </c>
      <c r="X2" s="45">
        <v>0.48648799999999998</v>
      </c>
      <c r="Y2" s="45">
        <v>0.78300000000000003</v>
      </c>
      <c r="Z2" s="45">
        <f t="shared" ref="Z2:Z8" si="0">P2*X2*(1-Y2)</f>
        <v>8.9255650277975981E-2</v>
      </c>
    </row>
    <row r="3" spans="1:26" x14ac:dyDescent="0.2">
      <c r="A3" s="43">
        <v>102</v>
      </c>
      <c r="B3" s="43">
        <v>113</v>
      </c>
      <c r="C3" s="43">
        <v>5</v>
      </c>
      <c r="D3" s="43" t="s">
        <v>457</v>
      </c>
      <c r="E3" s="43" t="s">
        <v>568</v>
      </c>
      <c r="F3" s="43" t="s">
        <v>569</v>
      </c>
      <c r="G3" s="43" t="s">
        <v>461</v>
      </c>
      <c r="H3" s="43">
        <v>1467</v>
      </c>
      <c r="I3" s="43">
        <v>1468</v>
      </c>
      <c r="J3" s="43">
        <v>1418</v>
      </c>
      <c r="K3" s="43">
        <v>1110</v>
      </c>
      <c r="L3" s="43">
        <v>1110</v>
      </c>
      <c r="M3" s="43" t="s">
        <v>372</v>
      </c>
      <c r="N3" s="43" t="s">
        <v>472</v>
      </c>
      <c r="O3" s="44">
        <v>0.21552832800800001</v>
      </c>
      <c r="P3" s="44">
        <v>8.7221199999999999E-2</v>
      </c>
      <c r="Q3" s="43" t="s">
        <v>405</v>
      </c>
      <c r="R3" s="43" t="s">
        <v>406</v>
      </c>
      <c r="S3" s="43">
        <v>2</v>
      </c>
      <c r="T3" s="43">
        <v>10</v>
      </c>
      <c r="U3" s="43" t="s">
        <v>407</v>
      </c>
      <c r="V3" s="43" t="s">
        <v>434</v>
      </c>
      <c r="W3" s="43" t="s">
        <v>435</v>
      </c>
      <c r="X3" s="45">
        <v>0.48648799999999998</v>
      </c>
      <c r="Y3" s="45">
        <v>0.78300000000000003</v>
      </c>
      <c r="Z3" s="45">
        <f t="shared" si="0"/>
        <v>9.2077585705951977E-3</v>
      </c>
    </row>
    <row r="4" spans="1:26" x14ac:dyDescent="0.2">
      <c r="A4" s="43">
        <v>102</v>
      </c>
      <c r="B4" s="43">
        <v>113</v>
      </c>
      <c r="C4" s="43">
        <v>5</v>
      </c>
      <c r="D4" s="43" t="s">
        <v>457</v>
      </c>
      <c r="E4" s="43" t="s">
        <v>568</v>
      </c>
      <c r="F4" s="43" t="s">
        <v>569</v>
      </c>
      <c r="G4" s="43" t="s">
        <v>461</v>
      </c>
      <c r="H4" s="43">
        <v>17779</v>
      </c>
      <c r="I4" s="43">
        <v>17780</v>
      </c>
      <c r="J4" s="43">
        <v>17780</v>
      </c>
      <c r="K4" s="43">
        <v>4200</v>
      </c>
      <c r="L4" s="43">
        <v>4200</v>
      </c>
      <c r="M4" s="43" t="s">
        <v>372</v>
      </c>
      <c r="N4" s="43" t="s">
        <v>555</v>
      </c>
      <c r="O4" s="44">
        <v>0.26920281989599998</v>
      </c>
      <c r="P4" s="44">
        <v>0.108943</v>
      </c>
      <c r="Q4" s="43" t="s">
        <v>405</v>
      </c>
      <c r="R4" s="43" t="s">
        <v>406</v>
      </c>
      <c r="S4" s="43">
        <v>7</v>
      </c>
      <c r="T4" s="43">
        <v>40</v>
      </c>
      <c r="U4" s="43" t="s">
        <v>412</v>
      </c>
      <c r="V4" s="43" t="s">
        <v>545</v>
      </c>
      <c r="W4" s="43" t="s">
        <v>416</v>
      </c>
      <c r="X4" s="45">
        <v>0.115981</v>
      </c>
      <c r="Y4" s="45">
        <v>0.78300000000000003</v>
      </c>
      <c r="Z4" s="45">
        <f t="shared" si="0"/>
        <v>2.7418640240109999E-3</v>
      </c>
    </row>
    <row r="5" spans="1:26" x14ac:dyDescent="0.2">
      <c r="A5" s="43">
        <v>102</v>
      </c>
      <c r="B5" s="43">
        <v>113</v>
      </c>
      <c r="C5" s="43">
        <v>5</v>
      </c>
      <c r="D5" s="43" t="s">
        <v>457</v>
      </c>
      <c r="E5" s="43" t="s">
        <v>568</v>
      </c>
      <c r="F5" s="43" t="s">
        <v>569</v>
      </c>
      <c r="G5" s="43" t="s">
        <v>461</v>
      </c>
      <c r="H5" s="43">
        <v>29714</v>
      </c>
      <c r="I5" s="43">
        <v>29715</v>
      </c>
      <c r="J5" s="43">
        <v>29690</v>
      </c>
      <c r="K5" s="43">
        <v>6210</v>
      </c>
      <c r="L5" s="43">
        <v>6210</v>
      </c>
      <c r="M5" s="43" t="s">
        <v>372</v>
      </c>
      <c r="N5" s="43" t="s">
        <v>472</v>
      </c>
      <c r="O5" s="44">
        <v>0.23151038521100001</v>
      </c>
      <c r="P5" s="44">
        <v>9.3688900000000006E-2</v>
      </c>
      <c r="Q5" s="43" t="s">
        <v>405</v>
      </c>
      <c r="R5" s="43" t="s">
        <v>406</v>
      </c>
      <c r="S5" s="43">
        <v>14</v>
      </c>
      <c r="T5" s="43">
        <v>60</v>
      </c>
      <c r="U5" s="43" t="s">
        <v>417</v>
      </c>
      <c r="V5" s="43" t="s">
        <v>418</v>
      </c>
      <c r="W5" s="43" t="s">
        <v>418</v>
      </c>
      <c r="X5" s="45">
        <v>0.44770799999999999</v>
      </c>
      <c r="Y5" s="45">
        <v>0.78300000000000003</v>
      </c>
      <c r="Z5" s="45">
        <f t="shared" si="0"/>
        <v>9.1021235989403992E-3</v>
      </c>
    </row>
    <row r="6" spans="1:26" x14ac:dyDescent="0.2">
      <c r="A6" s="43">
        <v>102</v>
      </c>
      <c r="B6" s="43">
        <v>113</v>
      </c>
      <c r="C6" s="43">
        <v>5</v>
      </c>
      <c r="D6" s="43" t="s">
        <v>457</v>
      </c>
      <c r="E6" s="43" t="s">
        <v>568</v>
      </c>
      <c r="F6" s="43" t="s">
        <v>569</v>
      </c>
      <c r="G6" s="43" t="s">
        <v>461</v>
      </c>
      <c r="H6" s="43">
        <v>29849</v>
      </c>
      <c r="I6" s="43">
        <v>29850</v>
      </c>
      <c r="J6" s="43">
        <v>29825</v>
      </c>
      <c r="K6" s="43">
        <v>6210</v>
      </c>
      <c r="L6" s="43">
        <v>6210</v>
      </c>
      <c r="M6" s="43" t="s">
        <v>372</v>
      </c>
      <c r="N6" s="43" t="s">
        <v>555</v>
      </c>
      <c r="O6" s="44">
        <v>8.9113388609899993E-2</v>
      </c>
      <c r="P6" s="44">
        <v>3.6062900000000002E-2</v>
      </c>
      <c r="Q6" s="43" t="s">
        <v>405</v>
      </c>
      <c r="R6" s="43" t="s">
        <v>406</v>
      </c>
      <c r="S6" s="43">
        <v>14</v>
      </c>
      <c r="T6" s="43">
        <v>60</v>
      </c>
      <c r="U6" s="43" t="s">
        <v>417</v>
      </c>
      <c r="V6" s="43" t="s">
        <v>418</v>
      </c>
      <c r="W6" s="43" t="s">
        <v>418</v>
      </c>
      <c r="X6" s="45">
        <v>0.44770799999999999</v>
      </c>
      <c r="Y6" s="45">
        <v>0.78300000000000003</v>
      </c>
      <c r="Z6" s="45">
        <f t="shared" si="0"/>
        <v>3.5036057968043997E-3</v>
      </c>
    </row>
    <row r="7" spans="1:26" x14ac:dyDescent="0.2">
      <c r="A7" s="43">
        <v>102</v>
      </c>
      <c r="B7" s="43">
        <v>113</v>
      </c>
      <c r="C7" s="43">
        <v>5</v>
      </c>
      <c r="D7" s="43" t="s">
        <v>457</v>
      </c>
      <c r="E7" s="43" t="s">
        <v>568</v>
      </c>
      <c r="F7" s="43" t="s">
        <v>569</v>
      </c>
      <c r="G7" s="43" t="s">
        <v>461</v>
      </c>
      <c r="H7" s="43">
        <v>30384</v>
      </c>
      <c r="I7" s="43">
        <v>30385</v>
      </c>
      <c r="J7" s="43">
        <v>32097</v>
      </c>
      <c r="K7" s="43">
        <v>6216</v>
      </c>
      <c r="L7" s="43">
        <v>6216</v>
      </c>
      <c r="M7" s="43" t="s">
        <v>372</v>
      </c>
      <c r="N7" s="43" t="s">
        <v>555</v>
      </c>
      <c r="O7" s="44">
        <v>0.22309418853900001</v>
      </c>
      <c r="P7" s="44">
        <v>9.0283000000000002E-2</v>
      </c>
      <c r="Q7" s="43" t="s">
        <v>405</v>
      </c>
      <c r="R7" s="43" t="s">
        <v>406</v>
      </c>
      <c r="S7" s="43">
        <v>16</v>
      </c>
      <c r="T7" s="43">
        <v>60</v>
      </c>
      <c r="U7" s="43" t="s">
        <v>417</v>
      </c>
      <c r="V7" s="43" t="s">
        <v>546</v>
      </c>
      <c r="W7" s="43" t="s">
        <v>443</v>
      </c>
      <c r="X7" s="45">
        <v>0.78656000000000004</v>
      </c>
      <c r="Y7" s="45">
        <v>0.78300000000000003</v>
      </c>
      <c r="Z7" s="45">
        <f t="shared" si="0"/>
        <v>1.5409820236159999E-2</v>
      </c>
    </row>
    <row r="8" spans="1:26" x14ac:dyDescent="0.2">
      <c r="A8" s="43">
        <v>102</v>
      </c>
      <c r="B8" s="43">
        <v>113</v>
      </c>
      <c r="C8" s="43">
        <v>5</v>
      </c>
      <c r="D8" s="43" t="s">
        <v>457</v>
      </c>
      <c r="E8" s="43" t="s">
        <v>568</v>
      </c>
      <c r="F8" s="43" t="s">
        <v>569</v>
      </c>
      <c r="G8" s="43" t="s">
        <v>461</v>
      </c>
      <c r="H8" s="43">
        <v>52641</v>
      </c>
      <c r="I8" s="43">
        <v>52645</v>
      </c>
      <c r="J8" s="43">
        <v>52611</v>
      </c>
      <c r="K8" s="43">
        <v>8100</v>
      </c>
      <c r="L8" s="43">
        <v>8100</v>
      </c>
      <c r="M8" s="43" t="s">
        <v>372</v>
      </c>
      <c r="N8" s="43" t="s">
        <v>472</v>
      </c>
      <c r="O8" s="44">
        <v>0.95101913173300001</v>
      </c>
      <c r="P8" s="44">
        <v>0.38486399999999998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570</v>
      </c>
      <c r="W8" s="43" t="s">
        <v>421</v>
      </c>
      <c r="X8" s="45">
        <v>0.717032</v>
      </c>
      <c r="Y8" s="45">
        <v>0.78300000000000003</v>
      </c>
      <c r="Z8" s="45">
        <f t="shared" si="0"/>
        <v>5.9883277391615988E-2</v>
      </c>
    </row>
    <row r="9" spans="1:26" x14ac:dyDescent="0.2">
      <c r="O9" s="44">
        <f>SUM(O2:O8)</f>
        <v>4.0686982746669003</v>
      </c>
      <c r="Z9" s="45">
        <f>SUM(Z2:Z8)</f>
        <v>0.18910409989610294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102</v>
      </c>
      <c r="B12" s="43">
        <v>113</v>
      </c>
      <c r="C12" s="43">
        <v>5</v>
      </c>
      <c r="D12" s="43" t="s">
        <v>457</v>
      </c>
      <c r="E12" s="43" t="s">
        <v>568</v>
      </c>
      <c r="F12" s="43" t="s">
        <v>569</v>
      </c>
      <c r="G12" s="43" t="s">
        <v>461</v>
      </c>
      <c r="H12" s="43">
        <v>657</v>
      </c>
      <c r="I12" s="43">
        <v>659</v>
      </c>
      <c r="J12" s="43">
        <v>1454</v>
      </c>
      <c r="K12" s="43">
        <v>1110</v>
      </c>
      <c r="L12" s="43">
        <v>1110</v>
      </c>
      <c r="M12" s="43" t="s">
        <v>372</v>
      </c>
      <c r="N12" s="43" t="s">
        <v>555</v>
      </c>
      <c r="O12" s="44">
        <v>2.0892300326700002</v>
      </c>
      <c r="P12" s="44">
        <v>0.84548100000000004</v>
      </c>
      <c r="Q12" s="43" t="s">
        <v>405</v>
      </c>
      <c r="R12" s="43" t="s">
        <v>406</v>
      </c>
      <c r="S12" s="43">
        <v>2</v>
      </c>
      <c r="T12" s="43">
        <v>10</v>
      </c>
      <c r="U12" s="43" t="s">
        <v>407</v>
      </c>
      <c r="V12" s="43" t="s">
        <v>434</v>
      </c>
      <c r="W12" s="43" t="s">
        <v>435</v>
      </c>
      <c r="X12" s="45">
        <v>11.234235</v>
      </c>
      <c r="Y12" s="45">
        <v>0.6</v>
      </c>
      <c r="Z12" s="45">
        <v>2.6690313600118349</v>
      </c>
    </row>
    <row r="13" spans="1:26" x14ac:dyDescent="0.2">
      <c r="A13" s="43">
        <v>102</v>
      </c>
      <c r="B13" s="43">
        <v>113</v>
      </c>
      <c r="C13" s="43">
        <v>5</v>
      </c>
      <c r="D13" s="43" t="s">
        <v>457</v>
      </c>
      <c r="E13" s="43" t="s">
        <v>568</v>
      </c>
      <c r="F13" s="43" t="s">
        <v>569</v>
      </c>
      <c r="G13" s="43" t="s">
        <v>461</v>
      </c>
      <c r="H13" s="43">
        <v>1467</v>
      </c>
      <c r="I13" s="43">
        <v>1468</v>
      </c>
      <c r="J13" s="43">
        <v>1418</v>
      </c>
      <c r="K13" s="43">
        <v>1110</v>
      </c>
      <c r="L13" s="43">
        <v>1110</v>
      </c>
      <c r="M13" s="43" t="s">
        <v>372</v>
      </c>
      <c r="N13" s="43" t="s">
        <v>472</v>
      </c>
      <c r="O13" s="44">
        <v>0.21552832800800001</v>
      </c>
      <c r="P13" s="44">
        <v>8.7221199999999999E-2</v>
      </c>
      <c r="Q13" s="43" t="s">
        <v>405</v>
      </c>
      <c r="R13" s="43" t="s">
        <v>406</v>
      </c>
      <c r="S13" s="43">
        <v>2</v>
      </c>
      <c r="T13" s="43">
        <v>10</v>
      </c>
      <c r="U13" s="43" t="s">
        <v>407</v>
      </c>
      <c r="V13" s="43" t="s">
        <v>434</v>
      </c>
      <c r="W13" s="43" t="s">
        <v>435</v>
      </c>
      <c r="X13" s="45">
        <v>11.234235</v>
      </c>
      <c r="Y13" s="45">
        <v>0.6</v>
      </c>
      <c r="Z13" s="45">
        <v>0.27534163163674202</v>
      </c>
    </row>
    <row r="14" spans="1:26" x14ac:dyDescent="0.2">
      <c r="A14" s="43">
        <v>102</v>
      </c>
      <c r="B14" s="43">
        <v>113</v>
      </c>
      <c r="C14" s="43">
        <v>5</v>
      </c>
      <c r="D14" s="43" t="s">
        <v>457</v>
      </c>
      <c r="E14" s="43" t="s">
        <v>568</v>
      </c>
      <c r="F14" s="43" t="s">
        <v>569</v>
      </c>
      <c r="G14" s="43" t="s">
        <v>461</v>
      </c>
      <c r="H14" s="43">
        <v>17779</v>
      </c>
      <c r="I14" s="43">
        <v>17780</v>
      </c>
      <c r="J14" s="43">
        <v>17780</v>
      </c>
      <c r="K14" s="43">
        <v>4200</v>
      </c>
      <c r="L14" s="43">
        <v>4200</v>
      </c>
      <c r="M14" s="43" t="s">
        <v>372</v>
      </c>
      <c r="N14" s="43" t="s">
        <v>555</v>
      </c>
      <c r="O14" s="44">
        <v>0.26920281989599998</v>
      </c>
      <c r="P14" s="44">
        <v>0.108943</v>
      </c>
      <c r="Q14" s="43" t="s">
        <v>405</v>
      </c>
      <c r="R14" s="43" t="s">
        <v>406</v>
      </c>
      <c r="S14" s="43">
        <v>7</v>
      </c>
      <c r="T14" s="43">
        <v>40</v>
      </c>
      <c r="U14" s="43" t="s">
        <v>412</v>
      </c>
      <c r="V14" s="43" t="s">
        <v>545</v>
      </c>
      <c r="W14" s="43" t="s">
        <v>416</v>
      </c>
      <c r="X14" s="45">
        <v>7.558414</v>
      </c>
      <c r="Y14" s="45">
        <v>0.6</v>
      </c>
      <c r="Z14" s="45">
        <v>0.23138559928896202</v>
      </c>
    </row>
    <row r="15" spans="1:26" x14ac:dyDescent="0.2">
      <c r="A15" s="43">
        <v>102</v>
      </c>
      <c r="B15" s="43">
        <v>113</v>
      </c>
      <c r="C15" s="43">
        <v>5</v>
      </c>
      <c r="D15" s="43" t="s">
        <v>457</v>
      </c>
      <c r="E15" s="43" t="s">
        <v>568</v>
      </c>
      <c r="F15" s="43" t="s">
        <v>569</v>
      </c>
      <c r="G15" s="43" t="s">
        <v>461</v>
      </c>
      <c r="H15" s="43">
        <v>29714</v>
      </c>
      <c r="I15" s="43">
        <v>29715</v>
      </c>
      <c r="J15" s="43">
        <v>29690</v>
      </c>
      <c r="K15" s="43">
        <v>6210</v>
      </c>
      <c r="L15" s="43">
        <v>6210</v>
      </c>
      <c r="M15" s="43" t="s">
        <v>372</v>
      </c>
      <c r="N15" s="43" t="s">
        <v>472</v>
      </c>
      <c r="O15" s="44">
        <v>0.23151038521100001</v>
      </c>
      <c r="P15" s="44">
        <v>9.3688900000000006E-2</v>
      </c>
      <c r="Q15" s="43" t="s">
        <v>405</v>
      </c>
      <c r="R15" s="43" t="s">
        <v>406</v>
      </c>
      <c r="S15" s="43">
        <v>14</v>
      </c>
      <c r="T15" s="43">
        <v>60</v>
      </c>
      <c r="U15" s="43" t="s">
        <v>417</v>
      </c>
      <c r="V15" s="43" t="s">
        <v>418</v>
      </c>
      <c r="W15" s="43" t="s">
        <v>418</v>
      </c>
      <c r="X15" s="45">
        <v>6.3260019999999999</v>
      </c>
      <c r="Y15" s="45">
        <v>0.6</v>
      </c>
      <c r="Z15" s="45">
        <v>0.16654200342656184</v>
      </c>
    </row>
    <row r="16" spans="1:26" x14ac:dyDescent="0.2">
      <c r="A16" s="43">
        <v>102</v>
      </c>
      <c r="B16" s="43">
        <v>113</v>
      </c>
      <c r="C16" s="43">
        <v>5</v>
      </c>
      <c r="D16" s="43" t="s">
        <v>457</v>
      </c>
      <c r="E16" s="43" t="s">
        <v>568</v>
      </c>
      <c r="F16" s="43" t="s">
        <v>569</v>
      </c>
      <c r="G16" s="43" t="s">
        <v>461</v>
      </c>
      <c r="H16" s="43">
        <v>29849</v>
      </c>
      <c r="I16" s="43">
        <v>29850</v>
      </c>
      <c r="J16" s="43">
        <v>29825</v>
      </c>
      <c r="K16" s="43">
        <v>6210</v>
      </c>
      <c r="L16" s="43">
        <v>6210</v>
      </c>
      <c r="M16" s="43" t="s">
        <v>372</v>
      </c>
      <c r="N16" s="43" t="s">
        <v>555</v>
      </c>
      <c r="O16" s="44">
        <v>8.9113388609899993E-2</v>
      </c>
      <c r="P16" s="44">
        <v>3.6062900000000002E-2</v>
      </c>
      <c r="Q16" s="43" t="s">
        <v>405</v>
      </c>
      <c r="R16" s="43" t="s">
        <v>406</v>
      </c>
      <c r="S16" s="43">
        <v>14</v>
      </c>
      <c r="T16" s="43">
        <v>60</v>
      </c>
      <c r="U16" s="43" t="s">
        <v>417</v>
      </c>
      <c r="V16" s="43" t="s">
        <v>418</v>
      </c>
      <c r="W16" s="43" t="s">
        <v>418</v>
      </c>
      <c r="X16" s="45">
        <v>6.3260019999999999</v>
      </c>
      <c r="Y16" s="45">
        <v>0.6</v>
      </c>
      <c r="Z16" s="45">
        <v>6.41056476847498E-2</v>
      </c>
    </row>
    <row r="17" spans="1:26" x14ac:dyDescent="0.2">
      <c r="A17" s="43">
        <v>102</v>
      </c>
      <c r="B17" s="43">
        <v>113</v>
      </c>
      <c r="C17" s="43">
        <v>5</v>
      </c>
      <c r="D17" s="43" t="s">
        <v>457</v>
      </c>
      <c r="E17" s="43" t="s">
        <v>568</v>
      </c>
      <c r="F17" s="43" t="s">
        <v>569</v>
      </c>
      <c r="G17" s="43" t="s">
        <v>461</v>
      </c>
      <c r="H17" s="43">
        <v>30384</v>
      </c>
      <c r="I17" s="43">
        <v>30385</v>
      </c>
      <c r="J17" s="43">
        <v>32097</v>
      </c>
      <c r="K17" s="43">
        <v>6216</v>
      </c>
      <c r="L17" s="43">
        <v>6216</v>
      </c>
      <c r="M17" s="43" t="s">
        <v>372</v>
      </c>
      <c r="N17" s="43" t="s">
        <v>555</v>
      </c>
      <c r="O17" s="44">
        <v>0.22309418853900001</v>
      </c>
      <c r="P17" s="44">
        <v>9.0283000000000002E-2</v>
      </c>
      <c r="Q17" s="43" t="s">
        <v>405</v>
      </c>
      <c r="R17" s="43" t="s">
        <v>406</v>
      </c>
      <c r="S17" s="43">
        <v>16</v>
      </c>
      <c r="T17" s="43">
        <v>60</v>
      </c>
      <c r="U17" s="43" t="s">
        <v>417</v>
      </c>
      <c r="V17" s="43" t="s">
        <v>546</v>
      </c>
      <c r="W17" s="43" t="s">
        <v>443</v>
      </c>
      <c r="X17" s="45">
        <v>7.079313</v>
      </c>
      <c r="Y17" s="45">
        <v>0.6</v>
      </c>
      <c r="Z17" s="45">
        <v>0.17959879397769904</v>
      </c>
    </row>
    <row r="18" spans="1:26" x14ac:dyDescent="0.2">
      <c r="A18" s="43">
        <v>102</v>
      </c>
      <c r="B18" s="43">
        <v>113</v>
      </c>
      <c r="C18" s="43">
        <v>5</v>
      </c>
      <c r="D18" s="43" t="s">
        <v>457</v>
      </c>
      <c r="E18" s="43" t="s">
        <v>568</v>
      </c>
      <c r="F18" s="43" t="s">
        <v>569</v>
      </c>
      <c r="G18" s="43" t="s">
        <v>461</v>
      </c>
      <c r="H18" s="43">
        <v>52641</v>
      </c>
      <c r="I18" s="43">
        <v>52645</v>
      </c>
      <c r="J18" s="43">
        <v>52611</v>
      </c>
      <c r="K18" s="43">
        <v>8100</v>
      </c>
      <c r="L18" s="43">
        <v>8100</v>
      </c>
      <c r="M18" s="43" t="s">
        <v>372</v>
      </c>
      <c r="N18" s="43" t="s">
        <v>472</v>
      </c>
      <c r="O18" s="44">
        <v>0.95101913173300001</v>
      </c>
      <c r="P18" s="44">
        <v>0.38486399999999998</v>
      </c>
      <c r="Q18" s="43" t="s">
        <v>405</v>
      </c>
      <c r="R18" s="43" t="s">
        <v>406</v>
      </c>
      <c r="S18" s="43">
        <v>18</v>
      </c>
      <c r="T18" s="43">
        <v>10</v>
      </c>
      <c r="U18" s="43" t="s">
        <v>407</v>
      </c>
      <c r="V18" s="43" t="s">
        <v>570</v>
      </c>
      <c r="W18" s="43" t="s">
        <v>421</v>
      </c>
      <c r="X18" s="45">
        <v>3.4929570000000001</v>
      </c>
      <c r="Y18" s="45">
        <v>0.6</v>
      </c>
      <c r="Z18" s="45">
        <v>0.37775206620028801</v>
      </c>
    </row>
    <row r="19" spans="1:26" x14ac:dyDescent="0.2">
      <c r="Z19" s="45">
        <f>SUM(Z12:Z18)</f>
        <v>3.9637571022268379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5"/>
  <sheetViews>
    <sheetView topLeftCell="A234" workbookViewId="0">
      <selection activeCell="B238" sqref="B238"/>
    </sheetView>
  </sheetViews>
  <sheetFormatPr defaultRowHeight="12.75" x14ac:dyDescent="0.2"/>
  <cols>
    <col min="1" max="1" width="14.85546875" customWidth="1"/>
  </cols>
  <sheetData>
    <row r="1" spans="1:6" x14ac:dyDescent="0.2">
      <c r="A1" s="19" t="s">
        <v>4</v>
      </c>
    </row>
    <row r="2" spans="1:6" x14ac:dyDescent="0.2">
      <c r="B2" t="s">
        <v>158</v>
      </c>
      <c r="D2" t="s">
        <v>159</v>
      </c>
      <c r="F2" t="s">
        <v>160</v>
      </c>
    </row>
    <row r="3" spans="1:6" x14ac:dyDescent="0.2">
      <c r="A3" t="s">
        <v>161</v>
      </c>
      <c r="B3">
        <v>104</v>
      </c>
      <c r="C3" t="s">
        <v>162</v>
      </c>
      <c r="D3">
        <v>21</v>
      </c>
      <c r="E3" t="s">
        <v>162</v>
      </c>
    </row>
    <row r="4" spans="1:6" x14ac:dyDescent="0.2">
      <c r="A4" t="s">
        <v>163</v>
      </c>
      <c r="B4" s="20">
        <f>(ROUND((43.75*B3)/(4.38+B3),1))/100</f>
        <v>0.42</v>
      </c>
      <c r="C4" s="20"/>
      <c r="D4" s="20">
        <f>(ROUND((43.75*D3)/(4.38+D3),1))/100</f>
        <v>0.36200000000000004</v>
      </c>
      <c r="E4" s="20"/>
      <c r="F4" s="20">
        <f>B4-D4</f>
        <v>5.799999999999994E-2</v>
      </c>
    </row>
    <row r="5" spans="1:6" x14ac:dyDescent="0.2">
      <c r="A5" t="s">
        <v>164</v>
      </c>
      <c r="B5" s="20">
        <f>(ROUND(44.53+6.146*LN(B3)+0.145*(LN(B3)^2),1))/100</f>
        <v>0.76200000000000001</v>
      </c>
      <c r="C5" s="20"/>
      <c r="D5" s="20">
        <f>(ROUND(44.53+6.146*LN(D3)+0.145*(LN(D3)^2),1))/100</f>
        <v>0.64599999999999991</v>
      </c>
      <c r="E5" s="20"/>
      <c r="F5" s="20">
        <f>B5-D5</f>
        <v>0.1160000000000001</v>
      </c>
    </row>
    <row r="7" spans="1:6" x14ac:dyDescent="0.2">
      <c r="A7" s="19" t="s">
        <v>188</v>
      </c>
    </row>
    <row r="8" spans="1:6" x14ac:dyDescent="0.2">
      <c r="B8" t="s">
        <v>158</v>
      </c>
      <c r="D8" t="s">
        <v>159</v>
      </c>
      <c r="F8" t="s">
        <v>160</v>
      </c>
    </row>
    <row r="9" spans="1:6" x14ac:dyDescent="0.2">
      <c r="A9" t="s">
        <v>161</v>
      </c>
      <c r="B9">
        <v>81</v>
      </c>
      <c r="C9" t="s">
        <v>162</v>
      </c>
      <c r="D9">
        <v>21</v>
      </c>
      <c r="E9" t="s">
        <v>162</v>
      </c>
    </row>
    <row r="10" spans="1:6" x14ac:dyDescent="0.2">
      <c r="A10" t="s">
        <v>163</v>
      </c>
      <c r="B10" s="20">
        <f>(ROUND((43.75*B9)/(4.38+B9),1))/100</f>
        <v>0.41499999999999998</v>
      </c>
      <c r="C10" s="20"/>
      <c r="D10" s="20">
        <f>(ROUND((43.75*D9)/(4.38+D9),1))/100</f>
        <v>0.36200000000000004</v>
      </c>
      <c r="E10" s="20"/>
      <c r="F10" s="20">
        <f>B10-D10</f>
        <v>5.2999999999999936E-2</v>
      </c>
    </row>
    <row r="11" spans="1:6" x14ac:dyDescent="0.2">
      <c r="A11" t="s">
        <v>164</v>
      </c>
      <c r="B11" s="20">
        <f>(ROUND(44.53+6.146*LN(B9)+0.145*(LN(B9)^2),1))/100</f>
        <v>0.74299999999999999</v>
      </c>
      <c r="C11" s="20"/>
      <c r="D11" s="20">
        <f>(ROUND(44.53+6.146*LN(D9)+0.145*(LN(D9)^2),1))/100</f>
        <v>0.64599999999999991</v>
      </c>
      <c r="E11" s="20"/>
      <c r="F11" s="20">
        <f>B11-D11</f>
        <v>9.7000000000000086E-2</v>
      </c>
    </row>
    <row r="13" spans="1:6" x14ac:dyDescent="0.2">
      <c r="A13" s="19" t="s">
        <v>190</v>
      </c>
    </row>
    <row r="14" spans="1:6" x14ac:dyDescent="0.2">
      <c r="B14" t="s">
        <v>158</v>
      </c>
      <c r="D14" t="s">
        <v>159</v>
      </c>
      <c r="F14" t="s">
        <v>160</v>
      </c>
    </row>
    <row r="15" spans="1:6" x14ac:dyDescent="0.2">
      <c r="A15" t="s">
        <v>161</v>
      </c>
      <c r="B15">
        <v>75</v>
      </c>
      <c r="C15" t="s">
        <v>162</v>
      </c>
      <c r="D15">
        <v>21</v>
      </c>
      <c r="E15" t="s">
        <v>162</v>
      </c>
    </row>
    <row r="16" spans="1:6" x14ac:dyDescent="0.2">
      <c r="A16" t="s">
        <v>163</v>
      </c>
      <c r="B16" s="20">
        <f>(ROUND((43.75*B15)/(4.38+B15),1))/100</f>
        <v>0.41299999999999998</v>
      </c>
      <c r="C16" s="20"/>
      <c r="D16" s="20">
        <f>(ROUND((43.75*D15)/(4.38+D15),1))/100</f>
        <v>0.36200000000000004</v>
      </c>
      <c r="E16" s="20"/>
      <c r="F16" s="20">
        <f>B16-D16</f>
        <v>5.0999999999999934E-2</v>
      </c>
    </row>
    <row r="17" spans="1:11" x14ac:dyDescent="0.2">
      <c r="A17" t="s">
        <v>164</v>
      </c>
      <c r="B17" s="20">
        <f>(ROUND(44.53+6.146*LN(B15)+0.145*(LN(B15)^2),1))/100</f>
        <v>0.73799999999999999</v>
      </c>
      <c r="C17" s="20"/>
      <c r="D17" s="20">
        <f>(ROUND(44.53+6.146*LN(D15)+0.145*(LN(D15)^2),1))/100</f>
        <v>0.64599999999999991</v>
      </c>
      <c r="E17" s="20"/>
      <c r="F17" s="20">
        <f>B17-D17</f>
        <v>9.2000000000000082E-2</v>
      </c>
    </row>
    <row r="19" spans="1:11" x14ac:dyDescent="0.2">
      <c r="A19" s="19" t="s">
        <v>195</v>
      </c>
    </row>
    <row r="20" spans="1:11" x14ac:dyDescent="0.2">
      <c r="B20" t="s">
        <v>158</v>
      </c>
      <c r="D20" t="s">
        <v>159</v>
      </c>
      <c r="F20" t="s">
        <v>160</v>
      </c>
    </row>
    <row r="21" spans="1:11" x14ac:dyDescent="0.2">
      <c r="A21" t="s">
        <v>161</v>
      </c>
      <c r="B21">
        <v>114</v>
      </c>
      <c r="C21" t="s">
        <v>162</v>
      </c>
      <c r="D21">
        <v>21</v>
      </c>
      <c r="E21" t="s">
        <v>162</v>
      </c>
    </row>
    <row r="22" spans="1:11" x14ac:dyDescent="0.2">
      <c r="A22" t="s">
        <v>163</v>
      </c>
      <c r="B22" s="20">
        <f>(ROUND((43.75*B21)/(4.38+B21),1))/100</f>
        <v>0.42100000000000004</v>
      </c>
      <c r="C22" s="20"/>
      <c r="D22" s="20">
        <f>(ROUND((43.75*D21)/(4.38+D21),1))/100</f>
        <v>0.36200000000000004</v>
      </c>
      <c r="E22" s="20"/>
      <c r="F22" s="20">
        <f>B22-D22</f>
        <v>5.8999999999999997E-2</v>
      </c>
    </row>
    <row r="23" spans="1:11" x14ac:dyDescent="0.2">
      <c r="A23" t="s">
        <v>164</v>
      </c>
      <c r="B23" s="20">
        <f>(ROUND(44.53+6.146*LN(B21)+0.145*(LN(B21)^2),1))/100</f>
        <v>0.76900000000000002</v>
      </c>
      <c r="C23" s="20"/>
      <c r="D23" s="20">
        <f>(ROUND(44.53+6.146*LN(D21)+0.145*(LN(D21)^2),1))/100</f>
        <v>0.64599999999999991</v>
      </c>
      <c r="E23" s="20"/>
      <c r="F23" s="20">
        <f>B23-D23</f>
        <v>0.12300000000000011</v>
      </c>
    </row>
    <row r="25" spans="1:11" x14ac:dyDescent="0.2">
      <c r="A25" s="19" t="s">
        <v>310</v>
      </c>
      <c r="J25" s="22" t="s">
        <v>314</v>
      </c>
    </row>
    <row r="26" spans="1:11" x14ac:dyDescent="0.2">
      <c r="B26" t="s">
        <v>158</v>
      </c>
      <c r="D26" t="s">
        <v>159</v>
      </c>
      <c r="F26" t="s">
        <v>160</v>
      </c>
      <c r="J26">
        <v>19.23</v>
      </c>
      <c r="K26">
        <v>3.54</v>
      </c>
    </row>
    <row r="27" spans="1:11" x14ac:dyDescent="0.2">
      <c r="A27" s="22" t="s">
        <v>311</v>
      </c>
      <c r="B27">
        <v>16.86</v>
      </c>
      <c r="C27" s="22" t="s">
        <v>313</v>
      </c>
      <c r="D27">
        <v>3.66</v>
      </c>
      <c r="E27" s="22" t="s">
        <v>313</v>
      </c>
    </row>
    <row r="28" spans="1:11" x14ac:dyDescent="0.2">
      <c r="A28" s="22" t="s">
        <v>312</v>
      </c>
      <c r="B28">
        <v>23.24</v>
      </c>
      <c r="C28" s="22" t="s">
        <v>313</v>
      </c>
      <c r="D28">
        <v>23.24</v>
      </c>
      <c r="E28" s="22" t="s">
        <v>313</v>
      </c>
    </row>
    <row r="29" spans="1:11" x14ac:dyDescent="0.2">
      <c r="A29" t="s">
        <v>161</v>
      </c>
      <c r="B29">
        <f>(B27/B28)*365</f>
        <v>264.79776247848537</v>
      </c>
      <c r="C29" t="s">
        <v>162</v>
      </c>
      <c r="D29">
        <f>(D27/D28)*365</f>
        <v>57.482788296041313</v>
      </c>
      <c r="E29" t="s">
        <v>162</v>
      </c>
    </row>
    <row r="30" spans="1:11" x14ac:dyDescent="0.2">
      <c r="A30" t="s">
        <v>163</v>
      </c>
      <c r="B30" s="20">
        <f>(ROUND((43.75*B29)/(4.38+B29),1))/100</f>
        <v>0.43</v>
      </c>
      <c r="C30" s="20"/>
      <c r="D30" s="20">
        <f>(ROUND((43.75*D29)/(4.38+D29),1))/100</f>
        <v>0.40700000000000003</v>
      </c>
      <c r="E30" s="20"/>
      <c r="F30" s="20">
        <f>B30-D30</f>
        <v>2.2999999999999965E-2</v>
      </c>
    </row>
    <row r="31" spans="1:11" x14ac:dyDescent="0.2">
      <c r="A31" t="s">
        <v>164</v>
      </c>
      <c r="B31" s="20">
        <f>(ROUND(44.53+6.146*LN(B29)+0.145*(LN(B29)^2),1))/100</f>
        <v>0.83299999999999996</v>
      </c>
      <c r="C31" s="20"/>
      <c r="D31" s="20">
        <f>(ROUND(44.53+6.146*LN(D29)+0.145*(LN(D29)^2),1))/100</f>
        <v>0.71799999999999997</v>
      </c>
      <c r="E31" s="20"/>
      <c r="F31" s="20">
        <f>B31-D31</f>
        <v>0.11499999999999999</v>
      </c>
    </row>
    <row r="32" spans="1:11" x14ac:dyDescent="0.2">
      <c r="B32" s="20"/>
      <c r="C32" s="20"/>
      <c r="D32" s="20"/>
      <c r="E32" s="20"/>
      <c r="F32" s="20"/>
    </row>
    <row r="33" spans="1:6" x14ac:dyDescent="0.2">
      <c r="A33" s="19" t="s">
        <v>320</v>
      </c>
    </row>
    <row r="34" spans="1:6" x14ac:dyDescent="0.2">
      <c r="B34" t="s">
        <v>158</v>
      </c>
      <c r="D34" t="s">
        <v>159</v>
      </c>
      <c r="F34" t="s">
        <v>160</v>
      </c>
    </row>
    <row r="35" spans="1:6" x14ac:dyDescent="0.2">
      <c r="A35" t="s">
        <v>161</v>
      </c>
      <c r="B35">
        <v>22</v>
      </c>
      <c r="C35" t="s">
        <v>162</v>
      </c>
      <c r="D35">
        <v>21</v>
      </c>
      <c r="E35" t="s">
        <v>162</v>
      </c>
    </row>
    <row r="36" spans="1:6" x14ac:dyDescent="0.2">
      <c r="A36" t="s">
        <v>163</v>
      </c>
      <c r="B36" s="20">
        <f>(ROUND((43.75*B35)/(4.38+B35),1))/100</f>
        <v>0.36499999999999999</v>
      </c>
      <c r="C36" s="20"/>
      <c r="D36" s="20">
        <f>(ROUND((43.75*D35)/(4.38+D35),1))/100</f>
        <v>0.36200000000000004</v>
      </c>
      <c r="E36" s="20"/>
      <c r="F36" s="20">
        <f>B36-D36</f>
        <v>2.9999999999999472E-3</v>
      </c>
    </row>
    <row r="37" spans="1:6" x14ac:dyDescent="0.2">
      <c r="A37" t="s">
        <v>164</v>
      </c>
      <c r="B37" s="20">
        <f>(ROUND(44.53+6.146*LN(B35)+0.145*(LN(B35)^2),1))/100</f>
        <v>0.64900000000000002</v>
      </c>
      <c r="C37" s="20"/>
      <c r="D37" s="20">
        <f>(ROUND(44.53+6.146*LN(D35)+0.145*(LN(D35)^2),1))/100</f>
        <v>0.64599999999999991</v>
      </c>
      <c r="E37" s="20"/>
      <c r="F37" s="20">
        <f>B37-D37</f>
        <v>3.0000000000001137E-3</v>
      </c>
    </row>
    <row r="38" spans="1:6" x14ac:dyDescent="0.2">
      <c r="B38" s="20"/>
      <c r="C38" s="20"/>
      <c r="D38" s="20"/>
      <c r="E38" s="20"/>
      <c r="F38" s="20"/>
    </row>
    <row r="39" spans="1:6" x14ac:dyDescent="0.2">
      <c r="A39" s="19" t="s">
        <v>316</v>
      </c>
    </row>
    <row r="40" spans="1:6" x14ac:dyDescent="0.2">
      <c r="B40" t="s">
        <v>158</v>
      </c>
      <c r="D40" t="s">
        <v>159</v>
      </c>
      <c r="F40" t="s">
        <v>160</v>
      </c>
    </row>
    <row r="41" spans="1:6" x14ac:dyDescent="0.2">
      <c r="A41" s="22" t="s">
        <v>311</v>
      </c>
      <c r="B41">
        <v>52.98</v>
      </c>
      <c r="C41" s="22" t="s">
        <v>313</v>
      </c>
      <c r="D41">
        <v>4.2699999999999996</v>
      </c>
      <c r="E41" s="22" t="s">
        <v>313</v>
      </c>
    </row>
    <row r="42" spans="1:6" x14ac:dyDescent="0.2">
      <c r="A42" s="22" t="s">
        <v>312</v>
      </c>
      <c r="B42">
        <v>26.59</v>
      </c>
      <c r="C42" s="22" t="s">
        <v>313</v>
      </c>
      <c r="D42">
        <v>26.59</v>
      </c>
      <c r="E42" s="22" t="s">
        <v>313</v>
      </c>
    </row>
    <row r="43" spans="1:6" x14ac:dyDescent="0.2">
      <c r="A43" t="s">
        <v>161</v>
      </c>
      <c r="B43">
        <f>(B41/B42)*365</f>
        <v>727.25460699511086</v>
      </c>
      <c r="C43" t="s">
        <v>162</v>
      </c>
      <c r="D43">
        <f>(D41/D42)*365</f>
        <v>58.614140654381337</v>
      </c>
      <c r="E43" t="s">
        <v>162</v>
      </c>
    </row>
    <row r="44" spans="1:6" x14ac:dyDescent="0.2">
      <c r="A44" t="s">
        <v>163</v>
      </c>
      <c r="B44" s="20">
        <f>(ROUND((43.75*B43)/(4.38+B43),1))/100</f>
        <v>0.435</v>
      </c>
      <c r="C44" s="20"/>
      <c r="D44" s="20">
        <f>(ROUND((43.75*D43)/(4.38+D43),1))/100</f>
        <v>0.40700000000000003</v>
      </c>
      <c r="E44" s="20"/>
      <c r="F44" s="20">
        <f>B44-D44</f>
        <v>2.7999999999999969E-2</v>
      </c>
    </row>
    <row r="45" spans="1:6" x14ac:dyDescent="0.2">
      <c r="A45" t="s">
        <v>164</v>
      </c>
      <c r="B45" s="20">
        <f>(ROUND(44.53+6.146*LN(B43)+0.145*(LN(B43)^2),1))/100</f>
        <v>0.91299999999999992</v>
      </c>
      <c r="C45" s="20"/>
      <c r="D45" s="20">
        <f>(ROUND(44.53+6.146*LN(D43)+0.145*(LN(D43)^2),1))/100</f>
        <v>0.72</v>
      </c>
      <c r="E45" s="20"/>
      <c r="F45" s="20">
        <f>B45-D45</f>
        <v>0.19299999999999995</v>
      </c>
    </row>
    <row r="47" spans="1:6" x14ac:dyDescent="0.2">
      <c r="A47" s="19" t="s">
        <v>317</v>
      </c>
    </row>
    <row r="48" spans="1:6" x14ac:dyDescent="0.2">
      <c r="B48" t="s">
        <v>158</v>
      </c>
      <c r="D48" t="s">
        <v>159</v>
      </c>
      <c r="F48" t="s">
        <v>160</v>
      </c>
    </row>
    <row r="49" spans="1:6" x14ac:dyDescent="0.2">
      <c r="A49" s="22" t="s">
        <v>311</v>
      </c>
      <c r="B49">
        <v>23.87</v>
      </c>
      <c r="C49" s="22" t="s">
        <v>313</v>
      </c>
      <c r="D49">
        <v>3.98</v>
      </c>
      <c r="E49" s="22" t="s">
        <v>313</v>
      </c>
    </row>
    <row r="50" spans="1:6" x14ac:dyDescent="0.2">
      <c r="A50" s="22" t="s">
        <v>312</v>
      </c>
      <c r="B50">
        <v>25.07</v>
      </c>
      <c r="C50" s="22" t="s">
        <v>313</v>
      </c>
      <c r="D50">
        <v>25.07</v>
      </c>
      <c r="E50" s="22" t="s">
        <v>313</v>
      </c>
    </row>
    <row r="51" spans="1:6" x14ac:dyDescent="0.2">
      <c r="A51" t="s">
        <v>161</v>
      </c>
      <c r="B51">
        <f>(B49/B50)*365</f>
        <v>347.52891902672519</v>
      </c>
      <c r="C51" t="s">
        <v>162</v>
      </c>
      <c r="D51">
        <f>(D49/D50)*365</f>
        <v>57.945751894694851</v>
      </c>
      <c r="E51" t="s">
        <v>162</v>
      </c>
    </row>
    <row r="52" spans="1:6" x14ac:dyDescent="0.2">
      <c r="A52" t="s">
        <v>163</v>
      </c>
      <c r="B52" s="20">
        <f>(ROUND((43.75*B51)/(4.38+B51),1))/100</f>
        <v>0.43200000000000005</v>
      </c>
      <c r="C52" s="20"/>
      <c r="D52" s="20">
        <f>(ROUND((43.75*D51)/(4.38+D51),1))/100</f>
        <v>0.40700000000000003</v>
      </c>
      <c r="E52" s="20"/>
      <c r="F52" s="20">
        <f>B52-D52</f>
        <v>2.5000000000000022E-2</v>
      </c>
    </row>
    <row r="53" spans="1:6" x14ac:dyDescent="0.2">
      <c r="A53" t="s">
        <v>164</v>
      </c>
      <c r="B53" s="20">
        <f>(ROUND(44.53+6.146*LN(B51)+0.145*(LN(B51)^2),1))/100</f>
        <v>0.85499999999999998</v>
      </c>
      <c r="C53" s="20"/>
      <c r="D53" s="20">
        <f>(ROUND(44.53+6.146*LN(D51)+0.145*(LN(D51)^2),1))/100</f>
        <v>0.71900000000000008</v>
      </c>
      <c r="E53" s="20"/>
      <c r="F53" s="20">
        <f>B53-D53</f>
        <v>0.1359999999999999</v>
      </c>
    </row>
    <row r="55" spans="1:6" x14ac:dyDescent="0.2">
      <c r="A55" s="19" t="s">
        <v>318</v>
      </c>
    </row>
    <row r="56" spans="1:6" x14ac:dyDescent="0.2">
      <c r="B56" t="s">
        <v>158</v>
      </c>
      <c r="D56" t="s">
        <v>159</v>
      </c>
      <c r="F56" t="s">
        <v>160</v>
      </c>
    </row>
    <row r="57" spans="1:6" x14ac:dyDescent="0.2">
      <c r="A57" s="22" t="s">
        <v>311</v>
      </c>
      <c r="B57">
        <v>8.33</v>
      </c>
      <c r="C57" s="22" t="s">
        <v>313</v>
      </c>
      <c r="D57">
        <v>1.85</v>
      </c>
      <c r="E57" s="22" t="s">
        <v>313</v>
      </c>
    </row>
    <row r="58" spans="1:6" x14ac:dyDescent="0.2">
      <c r="A58" s="22" t="s">
        <v>312</v>
      </c>
      <c r="B58">
        <v>15.68</v>
      </c>
      <c r="C58" s="22" t="s">
        <v>313</v>
      </c>
      <c r="D58">
        <v>15.68</v>
      </c>
      <c r="E58" s="22" t="s">
        <v>313</v>
      </c>
    </row>
    <row r="59" spans="1:6" x14ac:dyDescent="0.2">
      <c r="A59" t="s">
        <v>161</v>
      </c>
      <c r="B59">
        <f>(B57/B58)*365</f>
        <v>193.90625</v>
      </c>
      <c r="C59" t="s">
        <v>162</v>
      </c>
      <c r="D59">
        <f>(D57/D58)*365</f>
        <v>43.064413265306129</v>
      </c>
      <c r="E59" t="s">
        <v>162</v>
      </c>
    </row>
    <row r="60" spans="1:6" x14ac:dyDescent="0.2">
      <c r="A60" t="s">
        <v>163</v>
      </c>
      <c r="B60" s="20">
        <f>(ROUND((43.75*B59)/(4.38+B59),1))/100</f>
        <v>0.42799999999999999</v>
      </c>
      <c r="C60" s="20"/>
      <c r="D60" s="20">
        <f>(ROUND((43.75*D59)/(4.38+D59),1))/100</f>
        <v>0.39700000000000002</v>
      </c>
      <c r="E60" s="20"/>
      <c r="F60" s="20">
        <f>B60-D60</f>
        <v>3.0999999999999972E-2</v>
      </c>
    </row>
    <row r="61" spans="1:6" x14ac:dyDescent="0.2">
      <c r="A61" t="s">
        <v>164</v>
      </c>
      <c r="B61" s="20">
        <f>(ROUND(44.53+6.146*LN(B59)+0.145*(LN(B59)^2),1))/100</f>
        <v>0.80900000000000005</v>
      </c>
      <c r="C61" s="20"/>
      <c r="D61" s="20">
        <f>(ROUND(44.53+6.146*LN(D59)+0.145*(LN(D59)^2),1))/100</f>
        <v>0.69700000000000006</v>
      </c>
      <c r="E61" s="20"/>
      <c r="F61" s="20">
        <f>B61-D61</f>
        <v>0.11199999999999999</v>
      </c>
    </row>
    <row r="63" spans="1:6" x14ac:dyDescent="0.2">
      <c r="A63" s="19" t="s">
        <v>319</v>
      </c>
    </row>
    <row r="64" spans="1:6" x14ac:dyDescent="0.2">
      <c r="B64" t="s">
        <v>158</v>
      </c>
      <c r="D64" t="s">
        <v>159</v>
      </c>
      <c r="F64" t="s">
        <v>160</v>
      </c>
    </row>
    <row r="65" spans="1:6" x14ac:dyDescent="0.2">
      <c r="A65" s="22" t="s">
        <v>311</v>
      </c>
      <c r="B65">
        <v>34.200000000000003</v>
      </c>
      <c r="C65" s="22" t="s">
        <v>313</v>
      </c>
      <c r="D65">
        <v>6.51</v>
      </c>
      <c r="E65" s="22" t="s">
        <v>313</v>
      </c>
    </row>
    <row r="66" spans="1:6" x14ac:dyDescent="0.2">
      <c r="A66" s="22" t="s">
        <v>312</v>
      </c>
      <c r="B66">
        <v>41.8</v>
      </c>
      <c r="C66" s="22" t="s">
        <v>313</v>
      </c>
      <c r="D66">
        <v>41.8</v>
      </c>
      <c r="E66" s="22" t="s">
        <v>313</v>
      </c>
    </row>
    <row r="67" spans="1:6" x14ac:dyDescent="0.2">
      <c r="A67" t="s">
        <v>161</v>
      </c>
      <c r="B67">
        <f>(B65/B66)*365</f>
        <v>298.63636363636368</v>
      </c>
      <c r="C67" t="s">
        <v>162</v>
      </c>
      <c r="D67">
        <f>(D65/D66)*365</f>
        <v>56.845693779904309</v>
      </c>
      <c r="E67" t="s">
        <v>162</v>
      </c>
    </row>
    <row r="68" spans="1:6" x14ac:dyDescent="0.2">
      <c r="A68" t="s">
        <v>163</v>
      </c>
      <c r="B68" s="20">
        <f>(ROUND((43.75*B67)/(4.38+B67),1))/100</f>
        <v>0.43099999999999999</v>
      </c>
      <c r="C68" s="20"/>
      <c r="D68" s="20">
        <f>(ROUND((43.75*D67)/(4.38+D67),1))/100</f>
        <v>0.40600000000000003</v>
      </c>
      <c r="E68" s="20"/>
      <c r="F68" s="20">
        <f>B68-D68</f>
        <v>2.4999999999999967E-2</v>
      </c>
    </row>
    <row r="69" spans="1:6" x14ac:dyDescent="0.2">
      <c r="A69" t="s">
        <v>164</v>
      </c>
      <c r="B69" s="20">
        <f>(ROUND(44.53+6.146*LN(B67)+0.145*(LN(B67)^2),1))/100</f>
        <v>0.84299999999999997</v>
      </c>
      <c r="C69" s="20"/>
      <c r="D69" s="20">
        <f>(ROUND(44.53+6.146*LN(D67)+0.145*(LN(D67)^2),1))/100</f>
        <v>0.71700000000000008</v>
      </c>
      <c r="E69" s="20"/>
      <c r="F69" s="20">
        <f>B69-D69</f>
        <v>0.12599999999999989</v>
      </c>
    </row>
    <row r="71" spans="1:6" x14ac:dyDescent="0.2">
      <c r="A71" s="19" t="s">
        <v>217</v>
      </c>
    </row>
    <row r="72" spans="1:6" x14ac:dyDescent="0.2">
      <c r="B72" t="s">
        <v>158</v>
      </c>
      <c r="D72" t="s">
        <v>159</v>
      </c>
      <c r="F72" t="s">
        <v>160</v>
      </c>
    </row>
    <row r="73" spans="1:6" x14ac:dyDescent="0.2">
      <c r="A73" t="s">
        <v>161</v>
      </c>
      <c r="B73">
        <v>63</v>
      </c>
      <c r="C73" t="s">
        <v>162</v>
      </c>
      <c r="D73">
        <v>21</v>
      </c>
      <c r="E73" t="s">
        <v>162</v>
      </c>
    </row>
    <row r="74" spans="1:6" x14ac:dyDescent="0.2">
      <c r="A74" t="s">
        <v>163</v>
      </c>
      <c r="B74" s="20">
        <f>(ROUND((43.75*B73)/(4.38+B73),1))/100</f>
        <v>0.40899999999999997</v>
      </c>
      <c r="C74" s="20"/>
      <c r="D74" s="20">
        <f>(ROUND((43.75*D73)/(4.38+D73),1))/100</f>
        <v>0.36200000000000004</v>
      </c>
      <c r="E74" s="20"/>
      <c r="F74" s="20">
        <f>B74-D74</f>
        <v>4.6999999999999931E-2</v>
      </c>
    </row>
    <row r="75" spans="1:6" x14ac:dyDescent="0.2">
      <c r="A75" t="s">
        <v>164</v>
      </c>
      <c r="B75" s="20">
        <f>(ROUND(44.53+6.146*LN(B73)+0.145*(LN(B73)^2),1))/100</f>
        <v>0.72499999999999998</v>
      </c>
      <c r="C75" s="20"/>
      <c r="D75" s="20">
        <f>(ROUND(44.53+6.146*LN(D73)+0.145*(LN(D73)^2),1))/100</f>
        <v>0.64599999999999991</v>
      </c>
      <c r="E75" s="20"/>
      <c r="F75" s="20">
        <f>B75-D75</f>
        <v>7.900000000000007E-2</v>
      </c>
    </row>
    <row r="77" spans="1:6" x14ac:dyDescent="0.2">
      <c r="A77" s="19" t="s">
        <v>326</v>
      </c>
    </row>
    <row r="78" spans="1:6" x14ac:dyDescent="0.2">
      <c r="B78" t="s">
        <v>158</v>
      </c>
      <c r="D78" t="s">
        <v>159</v>
      </c>
      <c r="F78" t="s">
        <v>160</v>
      </c>
    </row>
    <row r="79" spans="1:6" x14ac:dyDescent="0.2">
      <c r="A79" t="s">
        <v>161</v>
      </c>
      <c r="B79">
        <v>83</v>
      </c>
      <c r="C79" t="s">
        <v>162</v>
      </c>
      <c r="D79">
        <v>21</v>
      </c>
      <c r="E79" t="s">
        <v>162</v>
      </c>
    </row>
    <row r="80" spans="1:6" x14ac:dyDescent="0.2">
      <c r="A80" t="s">
        <v>163</v>
      </c>
      <c r="B80" s="20">
        <f>(ROUND((43.75*B79)/(4.38+B79),1))/100</f>
        <v>0.41600000000000004</v>
      </c>
      <c r="C80" s="20"/>
      <c r="D80" s="20">
        <f>(ROUND((43.75*D79)/(4.38+D79),1))/100</f>
        <v>0.36200000000000004</v>
      </c>
      <c r="E80" s="20"/>
      <c r="F80" s="20">
        <f>B80-D80</f>
        <v>5.3999999999999992E-2</v>
      </c>
    </row>
    <row r="81" spans="1:6" x14ac:dyDescent="0.2">
      <c r="A81" t="s">
        <v>164</v>
      </c>
      <c r="B81" s="20">
        <f>(ROUND(44.53+6.146*LN(B79)+0.145*(LN(B79)^2),1))/100</f>
        <v>0.745</v>
      </c>
      <c r="C81" s="20"/>
      <c r="D81" s="20">
        <f>(ROUND(44.53+6.146*LN(D79)+0.145*(LN(D79)^2),1))/100</f>
        <v>0.64599999999999991</v>
      </c>
      <c r="E81" s="20"/>
      <c r="F81" s="20">
        <f>B81-D81</f>
        <v>9.9000000000000088E-2</v>
      </c>
    </row>
    <row r="83" spans="1:6" x14ac:dyDescent="0.2">
      <c r="A83" s="19" t="s">
        <v>236</v>
      </c>
    </row>
    <row r="84" spans="1:6" x14ac:dyDescent="0.2">
      <c r="B84" t="s">
        <v>158</v>
      </c>
      <c r="D84" t="s">
        <v>159</v>
      </c>
      <c r="F84" t="s">
        <v>160</v>
      </c>
    </row>
    <row r="85" spans="1:6" x14ac:dyDescent="0.2">
      <c r="A85" t="s">
        <v>161</v>
      </c>
      <c r="B85">
        <v>91</v>
      </c>
      <c r="C85" t="s">
        <v>162</v>
      </c>
      <c r="D85">
        <v>21</v>
      </c>
      <c r="E85" t="s">
        <v>162</v>
      </c>
    </row>
    <row r="86" spans="1:6" x14ac:dyDescent="0.2">
      <c r="A86" t="s">
        <v>163</v>
      </c>
      <c r="B86" s="20">
        <f>(ROUND((43.75*B85)/(4.38+B85),1))/100</f>
        <v>0.41700000000000004</v>
      </c>
      <c r="C86" s="20"/>
      <c r="D86" s="20">
        <f>(ROUND((43.75*D85)/(4.38+D85),1))/100</f>
        <v>0.36200000000000004</v>
      </c>
      <c r="E86" s="20"/>
      <c r="F86" s="20">
        <f>B86-D86</f>
        <v>5.4999999999999993E-2</v>
      </c>
    </row>
    <row r="87" spans="1:6" x14ac:dyDescent="0.2">
      <c r="A87" t="s">
        <v>164</v>
      </c>
      <c r="B87" s="20">
        <f>(ROUND(44.53+6.146*LN(B85)+0.145*(LN(B85)^2),1))/100</f>
        <v>0.752</v>
      </c>
      <c r="C87" s="20"/>
      <c r="D87" s="20">
        <f>(ROUND(44.53+6.146*LN(D85)+0.145*(LN(D85)^2),1))/100</f>
        <v>0.64599999999999991</v>
      </c>
      <c r="E87" s="20"/>
      <c r="F87" s="20">
        <f>B87-D87</f>
        <v>0.10600000000000009</v>
      </c>
    </row>
    <row r="89" spans="1:6" x14ac:dyDescent="0.2">
      <c r="A89" s="19" t="s">
        <v>327</v>
      </c>
    </row>
    <row r="90" spans="1:6" x14ac:dyDescent="0.2">
      <c r="B90" t="s">
        <v>158</v>
      </c>
      <c r="D90" t="s">
        <v>159</v>
      </c>
      <c r="F90" t="s">
        <v>160</v>
      </c>
    </row>
    <row r="91" spans="1:6" x14ac:dyDescent="0.2">
      <c r="A91" t="s">
        <v>161</v>
      </c>
      <c r="B91">
        <v>78</v>
      </c>
      <c r="C91" t="s">
        <v>162</v>
      </c>
      <c r="D91">
        <v>21</v>
      </c>
      <c r="E91" t="s">
        <v>162</v>
      </c>
    </row>
    <row r="92" spans="1:6" x14ac:dyDescent="0.2">
      <c r="A92" t="s">
        <v>163</v>
      </c>
      <c r="B92" s="20">
        <f>(ROUND((43.75*B91)/(4.38+B91),1))/100</f>
        <v>0.41399999999999998</v>
      </c>
      <c r="C92" s="20"/>
      <c r="D92" s="20">
        <f>(ROUND((43.75*D91)/(4.38+D91),1))/100</f>
        <v>0.36200000000000004</v>
      </c>
      <c r="E92" s="20"/>
      <c r="F92" s="20">
        <f>B92-D92</f>
        <v>5.1999999999999935E-2</v>
      </c>
    </row>
    <row r="93" spans="1:6" x14ac:dyDescent="0.2">
      <c r="A93" t="s">
        <v>164</v>
      </c>
      <c r="B93" s="20">
        <f>(ROUND(44.53+6.146*LN(B91)+0.145*(LN(B91)^2),1))/100</f>
        <v>0.74099999999999999</v>
      </c>
      <c r="C93" s="20"/>
      <c r="D93" s="20">
        <f>(ROUND(44.53+6.146*LN(D91)+0.145*(LN(D91)^2),1))/100</f>
        <v>0.64599999999999991</v>
      </c>
      <c r="E93" s="20"/>
      <c r="F93" s="20">
        <f>B93-D93</f>
        <v>9.5000000000000084E-2</v>
      </c>
    </row>
    <row r="95" spans="1:6" x14ac:dyDescent="0.2">
      <c r="A95" s="19" t="s">
        <v>274</v>
      </c>
    </row>
    <row r="96" spans="1:6" x14ac:dyDescent="0.2">
      <c r="B96" t="s">
        <v>158</v>
      </c>
      <c r="D96" t="s">
        <v>159</v>
      </c>
      <c r="F96" t="s">
        <v>160</v>
      </c>
    </row>
    <row r="97" spans="1:6" x14ac:dyDescent="0.2">
      <c r="A97" t="s">
        <v>161</v>
      </c>
      <c r="B97">
        <v>135.69999999999999</v>
      </c>
      <c r="C97" t="s">
        <v>162</v>
      </c>
      <c r="D97">
        <v>21</v>
      </c>
      <c r="E97" t="s">
        <v>162</v>
      </c>
    </row>
    <row r="98" spans="1:6" x14ac:dyDescent="0.2">
      <c r="A98" t="s">
        <v>163</v>
      </c>
      <c r="B98" s="20">
        <f>(ROUND((43.75*B97)/(4.38+B97),1))/100</f>
        <v>0.42399999999999999</v>
      </c>
      <c r="C98" s="20"/>
      <c r="D98" s="20">
        <f>(ROUND((43.75*D97)/(4.38+D97),1))/100</f>
        <v>0.36200000000000004</v>
      </c>
      <c r="E98" s="20"/>
      <c r="F98" s="20">
        <f>B98-D98</f>
        <v>6.1999999999999944E-2</v>
      </c>
    </row>
    <row r="99" spans="1:6" x14ac:dyDescent="0.2">
      <c r="A99" t="s">
        <v>164</v>
      </c>
      <c r="B99" s="20">
        <f>(ROUND(44.53+6.146*LN(B97)+0.145*(LN(B97)^2),1))/100</f>
        <v>0.78200000000000003</v>
      </c>
      <c r="C99" s="20"/>
      <c r="D99" s="20">
        <f>(ROUND(44.53+6.146*LN(D97)+0.145*(LN(D97)^2),1))/100</f>
        <v>0.64599999999999991</v>
      </c>
      <c r="E99" s="20"/>
      <c r="F99" s="20">
        <f>B99-D99</f>
        <v>0.13600000000000012</v>
      </c>
    </row>
    <row r="101" spans="1:6" x14ac:dyDescent="0.2">
      <c r="A101" s="19" t="s">
        <v>284</v>
      </c>
    </row>
    <row r="102" spans="1:6" x14ac:dyDescent="0.2">
      <c r="B102" t="s">
        <v>158</v>
      </c>
      <c r="D102" t="s">
        <v>159</v>
      </c>
      <c r="F102" t="s">
        <v>160</v>
      </c>
    </row>
    <row r="103" spans="1:6" x14ac:dyDescent="0.2">
      <c r="A103" t="s">
        <v>161</v>
      </c>
      <c r="B103">
        <v>27</v>
      </c>
      <c r="C103" t="s">
        <v>162</v>
      </c>
      <c r="D103">
        <v>21</v>
      </c>
      <c r="E103" t="s">
        <v>162</v>
      </c>
    </row>
    <row r="104" spans="1:6" x14ac:dyDescent="0.2">
      <c r="A104" t="s">
        <v>163</v>
      </c>
      <c r="B104" s="20">
        <f>(ROUND((43.75*B103)/(4.38+B103),1))/100</f>
        <v>0.376</v>
      </c>
      <c r="C104" s="20"/>
      <c r="D104" s="20">
        <f>(ROUND((43.75*D103)/(4.38+D103),1))/100</f>
        <v>0.36200000000000004</v>
      </c>
      <c r="E104" s="20"/>
      <c r="F104" s="20">
        <f>B104-D104</f>
        <v>1.3999999999999957E-2</v>
      </c>
    </row>
    <row r="105" spans="1:6" x14ac:dyDescent="0.2">
      <c r="A105" t="s">
        <v>164</v>
      </c>
      <c r="B105" s="20">
        <f>(ROUND(44.53+6.146*LN(B103)+0.145*(LN(B103)^2),1))/100</f>
        <v>0.66400000000000003</v>
      </c>
      <c r="C105" s="20"/>
      <c r="D105" s="20">
        <f>(ROUND(44.53+6.146*LN(D103)+0.145*(LN(D103)^2),1))/100</f>
        <v>0.64599999999999991</v>
      </c>
      <c r="E105" s="20"/>
      <c r="F105" s="20">
        <f>B105-D105</f>
        <v>1.8000000000000127E-2</v>
      </c>
    </row>
    <row r="107" spans="1:6" x14ac:dyDescent="0.2">
      <c r="A107" s="19" t="s">
        <v>336</v>
      </c>
    </row>
    <row r="108" spans="1:6" x14ac:dyDescent="0.2">
      <c r="B108" t="s">
        <v>158</v>
      </c>
      <c r="D108" t="s">
        <v>159</v>
      </c>
      <c r="F108" t="s">
        <v>160</v>
      </c>
    </row>
    <row r="109" spans="1:6" x14ac:dyDescent="0.2">
      <c r="A109" s="22" t="s">
        <v>311</v>
      </c>
      <c r="B109">
        <v>1.65</v>
      </c>
      <c r="C109" s="22" t="s">
        <v>313</v>
      </c>
      <c r="D109">
        <v>1.55</v>
      </c>
      <c r="E109" s="22" t="s">
        <v>313</v>
      </c>
    </row>
    <row r="110" spans="1:6" x14ac:dyDescent="0.2">
      <c r="A110" s="22" t="s">
        <v>312</v>
      </c>
      <c r="B110">
        <v>30.92</v>
      </c>
      <c r="C110" s="22" t="s">
        <v>313</v>
      </c>
      <c r="D110">
        <v>30.92</v>
      </c>
      <c r="E110" s="22" t="s">
        <v>313</v>
      </c>
    </row>
    <row r="111" spans="1:6" x14ac:dyDescent="0.2">
      <c r="A111" t="s">
        <v>161</v>
      </c>
      <c r="B111">
        <f>(B109/B110)*365</f>
        <v>19.477684346701164</v>
      </c>
      <c r="C111" t="s">
        <v>162</v>
      </c>
      <c r="D111">
        <f>(D109/D110)*365</f>
        <v>18.297218628719275</v>
      </c>
      <c r="E111" t="s">
        <v>162</v>
      </c>
    </row>
    <row r="112" spans="1:6" x14ac:dyDescent="0.2">
      <c r="A112" t="s">
        <v>163</v>
      </c>
      <c r="B112" s="20">
        <f>(ROUND((43.75*B111)/(4.38+B111),1))/100</f>
        <v>0.35700000000000004</v>
      </c>
      <c r="C112" s="20"/>
      <c r="D112" s="20">
        <f>(ROUND((43.75*D111)/(4.38+D111),1))/100</f>
        <v>0.35299999999999998</v>
      </c>
      <c r="E112" s="20"/>
      <c r="F112" s="20">
        <f>B112-D112</f>
        <v>4.0000000000000591E-3</v>
      </c>
    </row>
    <row r="113" spans="1:6" x14ac:dyDescent="0.2">
      <c r="A113" t="s">
        <v>164</v>
      </c>
      <c r="B113" s="20">
        <f>(ROUND(44.53+6.146*LN(B111)+0.145*(LN(B111)^2),1))/100</f>
        <v>0.6409999999999999</v>
      </c>
      <c r="C113" s="20"/>
      <c r="D113" s="20">
        <f>(ROUND(44.53+6.146*LN(D111)+0.145*(LN(D111)^2),1))/100</f>
        <v>0.63600000000000001</v>
      </c>
      <c r="E113" s="20"/>
      <c r="F113" s="20">
        <f>B113-D113</f>
        <v>4.9999999999998934E-3</v>
      </c>
    </row>
    <row r="115" spans="1:6" x14ac:dyDescent="0.2">
      <c r="A115" s="19" t="s">
        <v>338</v>
      </c>
    </row>
    <row r="116" spans="1:6" x14ac:dyDescent="0.2">
      <c r="B116" t="s">
        <v>158</v>
      </c>
      <c r="D116" t="s">
        <v>159</v>
      </c>
      <c r="F116" t="s">
        <v>160</v>
      </c>
    </row>
    <row r="117" spans="1:6" x14ac:dyDescent="0.2">
      <c r="A117" s="22" t="s">
        <v>311</v>
      </c>
      <c r="B117">
        <v>0.93</v>
      </c>
      <c r="C117" s="22" t="s">
        <v>313</v>
      </c>
      <c r="D117">
        <v>0.85</v>
      </c>
      <c r="E117" s="22" t="s">
        <v>313</v>
      </c>
    </row>
    <row r="118" spans="1:6" x14ac:dyDescent="0.2">
      <c r="A118" s="22" t="s">
        <v>312</v>
      </c>
      <c r="B118">
        <v>17.04</v>
      </c>
      <c r="C118" s="22" t="s">
        <v>313</v>
      </c>
      <c r="D118">
        <v>17.04</v>
      </c>
      <c r="E118" s="22" t="s">
        <v>313</v>
      </c>
    </row>
    <row r="119" spans="1:6" x14ac:dyDescent="0.2">
      <c r="A119" t="s">
        <v>161</v>
      </c>
      <c r="B119">
        <f>(B117/B118)*365</f>
        <v>19.920774647887324</v>
      </c>
      <c r="C119" t="s">
        <v>162</v>
      </c>
      <c r="D119">
        <f>(D117/D118)*365</f>
        <v>18.207159624413144</v>
      </c>
      <c r="E119" t="s">
        <v>162</v>
      </c>
    </row>
    <row r="120" spans="1:6" x14ac:dyDescent="0.2">
      <c r="A120" t="s">
        <v>163</v>
      </c>
      <c r="B120" s="20">
        <f>(ROUND((43.75*B119)/(4.38+B119),1))/100</f>
        <v>0.35899999999999999</v>
      </c>
      <c r="C120" s="20"/>
      <c r="D120" s="20">
        <f>(ROUND((43.75*D119)/(4.38+D119),1))/100</f>
        <v>0.35299999999999998</v>
      </c>
      <c r="E120" s="20"/>
      <c r="F120" s="20">
        <f>B120-D120</f>
        <v>6.0000000000000053E-3</v>
      </c>
    </row>
    <row r="121" spans="1:6" x14ac:dyDescent="0.2">
      <c r="A121" t="s">
        <v>164</v>
      </c>
      <c r="B121" s="20">
        <f>(ROUND(44.53+6.146*LN(B119)+0.145*(LN(B119)^2),1))/100</f>
        <v>0.64200000000000002</v>
      </c>
      <c r="C121" s="20"/>
      <c r="D121" s="20">
        <f>(ROUND(44.53+6.146*LN(D119)+0.145*(LN(D119)^2),1))/100</f>
        <v>0.63600000000000001</v>
      </c>
      <c r="E121" s="20"/>
      <c r="F121" s="20">
        <f>B121-D121</f>
        <v>6.0000000000000053E-3</v>
      </c>
    </row>
    <row r="123" spans="1:6" x14ac:dyDescent="0.2">
      <c r="A123" s="19" t="s">
        <v>339</v>
      </c>
    </row>
    <row r="124" spans="1:6" x14ac:dyDescent="0.2">
      <c r="B124" t="s">
        <v>158</v>
      </c>
      <c r="D124" t="s">
        <v>159</v>
      </c>
      <c r="F124" t="s">
        <v>160</v>
      </c>
    </row>
    <row r="125" spans="1:6" x14ac:dyDescent="0.2">
      <c r="A125" s="22" t="s">
        <v>311</v>
      </c>
      <c r="B125">
        <v>1.73</v>
      </c>
      <c r="C125" s="22" t="s">
        <v>313</v>
      </c>
      <c r="D125">
        <v>1.69</v>
      </c>
      <c r="E125" s="22" t="s">
        <v>313</v>
      </c>
    </row>
    <row r="126" spans="1:6" x14ac:dyDescent="0.2">
      <c r="A126" s="22" t="s">
        <v>312</v>
      </c>
      <c r="B126">
        <v>33.79</v>
      </c>
      <c r="C126" s="22" t="s">
        <v>313</v>
      </c>
      <c r="D126">
        <v>33.79</v>
      </c>
      <c r="E126" s="22" t="s">
        <v>313</v>
      </c>
    </row>
    <row r="127" spans="1:6" x14ac:dyDescent="0.2">
      <c r="A127" t="s">
        <v>161</v>
      </c>
      <c r="B127">
        <f>(B125/B126)*365</f>
        <v>18.687481503403376</v>
      </c>
      <c r="C127" t="s">
        <v>162</v>
      </c>
      <c r="D127">
        <f>(D125/D126)*365</f>
        <v>18.255401006214857</v>
      </c>
      <c r="E127" t="s">
        <v>162</v>
      </c>
    </row>
    <row r="128" spans="1:6" x14ac:dyDescent="0.2">
      <c r="A128" t="s">
        <v>163</v>
      </c>
      <c r="B128" s="20">
        <f>(ROUND((43.75*B127)/(4.38+B127),1))/100</f>
        <v>0.35399999999999998</v>
      </c>
      <c r="C128" s="20"/>
      <c r="D128" s="20">
        <f>(ROUND((43.75*D127)/(4.38+D127),1))/100</f>
        <v>0.35299999999999998</v>
      </c>
      <c r="E128" s="20"/>
      <c r="F128" s="20">
        <f>B128-D128</f>
        <v>1.0000000000000009E-3</v>
      </c>
    </row>
    <row r="129" spans="1:6" x14ac:dyDescent="0.2">
      <c r="A129" t="s">
        <v>164</v>
      </c>
      <c r="B129" s="20">
        <f>(ROUND(44.53+6.146*LN(B127)+0.145*(LN(B127)^2),1))/100</f>
        <v>0.63800000000000001</v>
      </c>
      <c r="C129" s="20"/>
      <c r="D129" s="20">
        <f>(ROUND(44.53+6.146*LN(D127)+0.145*(LN(D127)^2),1))/100</f>
        <v>0.63600000000000001</v>
      </c>
      <c r="E129" s="20"/>
      <c r="F129" s="20">
        <f>B129-D129</f>
        <v>2.0000000000000018E-3</v>
      </c>
    </row>
    <row r="131" spans="1:6" x14ac:dyDescent="0.2">
      <c r="A131" s="19" t="s">
        <v>211</v>
      </c>
    </row>
    <row r="132" spans="1:6" x14ac:dyDescent="0.2">
      <c r="B132" t="s">
        <v>158</v>
      </c>
      <c r="D132" t="s">
        <v>159</v>
      </c>
      <c r="F132" t="s">
        <v>160</v>
      </c>
    </row>
    <row r="133" spans="1:6" x14ac:dyDescent="0.2">
      <c r="A133" s="22" t="s">
        <v>311</v>
      </c>
      <c r="B133">
        <v>11.49</v>
      </c>
      <c r="C133" s="22" t="s">
        <v>313</v>
      </c>
      <c r="D133">
        <v>2.23</v>
      </c>
      <c r="E133" s="22" t="s">
        <v>313</v>
      </c>
    </row>
    <row r="134" spans="1:6" x14ac:dyDescent="0.2">
      <c r="A134" s="22" t="s">
        <v>312</v>
      </c>
      <c r="B134">
        <v>38.826999999999998</v>
      </c>
      <c r="C134" s="22" t="s">
        <v>313</v>
      </c>
      <c r="D134">
        <v>38.826999999999998</v>
      </c>
      <c r="E134" s="22" t="s">
        <v>313</v>
      </c>
    </row>
    <row r="135" spans="1:6" x14ac:dyDescent="0.2">
      <c r="A135" t="s">
        <v>161</v>
      </c>
      <c r="B135">
        <f>(B133/B134)*365</f>
        <v>108.01375331599145</v>
      </c>
      <c r="C135" t="s">
        <v>162</v>
      </c>
      <c r="D135">
        <f>(D133/D134)*365</f>
        <v>20.963504777603216</v>
      </c>
      <c r="E135" t="s">
        <v>162</v>
      </c>
    </row>
    <row r="136" spans="1:6" x14ac:dyDescent="0.2">
      <c r="A136" t="s">
        <v>163</v>
      </c>
      <c r="B136" s="20">
        <f>(ROUND((43.75*B135)/(4.38+B135),1))/100</f>
        <v>0.42</v>
      </c>
      <c r="C136" s="20"/>
      <c r="D136" s="20">
        <f>(ROUND((43.75*D135)/(4.38+D135),1))/100</f>
        <v>0.36200000000000004</v>
      </c>
      <c r="E136" s="20"/>
      <c r="F136" s="20">
        <f>B136-D136</f>
        <v>5.799999999999994E-2</v>
      </c>
    </row>
    <row r="137" spans="1:6" x14ac:dyDescent="0.2">
      <c r="A137" t="s">
        <v>164</v>
      </c>
      <c r="B137" s="20">
        <f>(ROUND(44.53+6.146*LN(B135)+0.145*(LN(B135)^2),1))/100</f>
        <v>0.76500000000000001</v>
      </c>
      <c r="C137" s="20"/>
      <c r="D137" s="20">
        <f>(ROUND(44.53+6.146*LN(D135)+0.145*(LN(D135)^2),1))/100</f>
        <v>0.64599999999999991</v>
      </c>
      <c r="E137" s="20"/>
      <c r="F137" s="20">
        <f>B137-D137</f>
        <v>0.11900000000000011</v>
      </c>
    </row>
    <row r="139" spans="1:6" x14ac:dyDescent="0.2">
      <c r="A139" s="19" t="s">
        <v>341</v>
      </c>
    </row>
    <row r="140" spans="1:6" x14ac:dyDescent="0.2">
      <c r="B140" t="s">
        <v>158</v>
      </c>
      <c r="D140" t="s">
        <v>159</v>
      </c>
      <c r="F140" t="s">
        <v>160</v>
      </c>
    </row>
    <row r="141" spans="1:6" x14ac:dyDescent="0.2">
      <c r="A141" s="22" t="s">
        <v>311</v>
      </c>
      <c r="B141">
        <v>13.03</v>
      </c>
      <c r="C141" s="22" t="s">
        <v>313</v>
      </c>
      <c r="D141">
        <v>2.68</v>
      </c>
      <c r="E141" s="22" t="s">
        <v>313</v>
      </c>
    </row>
    <row r="142" spans="1:6" x14ac:dyDescent="0.2">
      <c r="A142" s="22" t="s">
        <v>312</v>
      </c>
      <c r="B142">
        <v>46.585999999999999</v>
      </c>
      <c r="C142" s="22" t="s">
        <v>313</v>
      </c>
      <c r="D142">
        <v>46.585999999999999</v>
      </c>
      <c r="E142" s="22" t="s">
        <v>313</v>
      </c>
    </row>
    <row r="143" spans="1:6" x14ac:dyDescent="0.2">
      <c r="A143" t="s">
        <v>161</v>
      </c>
      <c r="B143">
        <f>(B141/B142)*365</f>
        <v>102.08968359593011</v>
      </c>
      <c r="C143" t="s">
        <v>162</v>
      </c>
      <c r="D143">
        <f>(D141/D142)*365</f>
        <v>20.997724638303357</v>
      </c>
      <c r="E143" t="s">
        <v>162</v>
      </c>
    </row>
    <row r="144" spans="1:6" x14ac:dyDescent="0.2">
      <c r="A144" t="s">
        <v>163</v>
      </c>
      <c r="B144" s="20">
        <f>(ROUND((43.75*B143)/(4.38+B143),1))/100</f>
        <v>0.42</v>
      </c>
      <c r="C144" s="20"/>
      <c r="D144" s="20">
        <f>(ROUND((43.75*D143)/(4.38+D143),1))/100</f>
        <v>0.36200000000000004</v>
      </c>
      <c r="E144" s="20"/>
      <c r="F144" s="20">
        <f>B144-D144</f>
        <v>5.799999999999994E-2</v>
      </c>
    </row>
    <row r="145" spans="1:6" x14ac:dyDescent="0.2">
      <c r="A145" t="s">
        <v>164</v>
      </c>
      <c r="B145" s="20">
        <f>(ROUND(44.53+6.146*LN(B143)+0.145*(LN(B143)^2),1))/100</f>
        <v>0.7609999999999999</v>
      </c>
      <c r="C145" s="20"/>
      <c r="D145" s="20">
        <f>(ROUND(44.53+6.146*LN(D143)+0.145*(LN(D143)^2),1))/100</f>
        <v>0.64599999999999991</v>
      </c>
      <c r="E145" s="20"/>
      <c r="F145" s="20">
        <f>B145-D145</f>
        <v>0.11499999999999999</v>
      </c>
    </row>
    <row r="147" spans="1:6" x14ac:dyDescent="0.2">
      <c r="A147" s="19" t="s">
        <v>342</v>
      </c>
    </row>
    <row r="148" spans="1:6" x14ac:dyDescent="0.2">
      <c r="B148" t="s">
        <v>158</v>
      </c>
      <c r="D148" t="s">
        <v>159</v>
      </c>
      <c r="F148" t="s">
        <v>160</v>
      </c>
    </row>
    <row r="149" spans="1:6" x14ac:dyDescent="0.2">
      <c r="A149" s="22" t="s">
        <v>311</v>
      </c>
      <c r="B149">
        <v>8.39</v>
      </c>
      <c r="C149" s="22" t="s">
        <v>313</v>
      </c>
      <c r="D149">
        <v>2.4700000000000002</v>
      </c>
      <c r="E149" s="22" t="s">
        <v>313</v>
      </c>
    </row>
    <row r="150" spans="1:6" x14ac:dyDescent="0.2">
      <c r="A150" s="22" t="s">
        <v>312</v>
      </c>
      <c r="B150">
        <v>42.874000000000002</v>
      </c>
      <c r="C150" s="22" t="s">
        <v>313</v>
      </c>
      <c r="D150">
        <v>42.874000000000002</v>
      </c>
      <c r="E150" s="22" t="s">
        <v>313</v>
      </c>
    </row>
    <row r="151" spans="1:6" x14ac:dyDescent="0.2">
      <c r="A151" t="s">
        <v>161</v>
      </c>
      <c r="B151">
        <f>(B149/B150)*365</f>
        <v>71.426738816065679</v>
      </c>
      <c r="C151" t="s">
        <v>162</v>
      </c>
      <c r="D151">
        <f>(D149/D150)*365</f>
        <v>21.027895694360218</v>
      </c>
      <c r="E151" t="s">
        <v>162</v>
      </c>
    </row>
    <row r="152" spans="1:6" x14ac:dyDescent="0.2">
      <c r="A152" t="s">
        <v>163</v>
      </c>
      <c r="B152" s="20">
        <f>(ROUND((43.75*B151)/(4.38+B151),1))/100</f>
        <v>0.41200000000000003</v>
      </c>
      <c r="C152" s="20"/>
      <c r="D152" s="20">
        <f>(ROUND((43.75*D151)/(4.38+D151),1))/100</f>
        <v>0.36200000000000004</v>
      </c>
      <c r="E152" s="20"/>
      <c r="F152" s="20">
        <f>B152-D152</f>
        <v>4.9999999999999989E-2</v>
      </c>
    </row>
    <row r="153" spans="1:6" x14ac:dyDescent="0.2">
      <c r="A153" t="s">
        <v>164</v>
      </c>
      <c r="B153" s="20">
        <f>(ROUND(44.53+6.146*LN(B151)+0.145*(LN(B151)^2),1))/100</f>
        <v>0.7340000000000001</v>
      </c>
      <c r="C153" s="20"/>
      <c r="D153" s="20">
        <f>(ROUND(44.53+6.146*LN(D151)+0.145*(LN(D151)^2),1))/100</f>
        <v>0.64599999999999991</v>
      </c>
      <c r="E153" s="20"/>
      <c r="F153" s="20">
        <f>B153-D153</f>
        <v>8.8000000000000189E-2</v>
      </c>
    </row>
    <row r="155" spans="1:6" x14ac:dyDescent="0.2">
      <c r="A155" s="19" t="s">
        <v>343</v>
      </c>
    </row>
    <row r="156" spans="1:6" x14ac:dyDescent="0.2">
      <c r="B156" t="s">
        <v>158</v>
      </c>
      <c r="D156" t="s">
        <v>159</v>
      </c>
      <c r="F156" t="s">
        <v>160</v>
      </c>
    </row>
    <row r="157" spans="1:6" x14ac:dyDescent="0.2">
      <c r="A157" s="22" t="s">
        <v>311</v>
      </c>
      <c r="B157">
        <v>16.05</v>
      </c>
      <c r="C157" s="22" t="s">
        <v>313</v>
      </c>
      <c r="D157">
        <v>5.05</v>
      </c>
      <c r="E157" s="22" t="s">
        <v>313</v>
      </c>
    </row>
    <row r="158" spans="1:6" x14ac:dyDescent="0.2">
      <c r="A158" s="22" t="s">
        <v>312</v>
      </c>
      <c r="B158">
        <v>87.706999999999994</v>
      </c>
      <c r="C158" s="22" t="s">
        <v>313</v>
      </c>
      <c r="D158">
        <v>87.706999999999994</v>
      </c>
      <c r="E158" s="22" t="s">
        <v>313</v>
      </c>
    </row>
    <row r="159" spans="1:6" x14ac:dyDescent="0.2">
      <c r="A159" t="s">
        <v>161</v>
      </c>
      <c r="B159">
        <f>(B157/B158)*365</f>
        <v>66.793414436704026</v>
      </c>
      <c r="C159" t="s">
        <v>162</v>
      </c>
      <c r="D159">
        <f>(D157/D158)*365</f>
        <v>21.015996442701269</v>
      </c>
      <c r="E159" t="s">
        <v>162</v>
      </c>
    </row>
    <row r="160" spans="1:6" x14ac:dyDescent="0.2">
      <c r="A160" t="s">
        <v>163</v>
      </c>
      <c r="B160" s="20">
        <f>(ROUND((43.75*B159)/(4.38+B159),1))/100</f>
        <v>0.41100000000000003</v>
      </c>
      <c r="C160" s="20"/>
      <c r="D160" s="20">
        <f>(ROUND((43.75*D159)/(4.38+D159),1))/100</f>
        <v>0.36200000000000004</v>
      </c>
      <c r="E160" s="20"/>
      <c r="F160" s="20">
        <f>B160-D160</f>
        <v>4.8999999999999988E-2</v>
      </c>
    </row>
    <row r="161" spans="1:8" x14ac:dyDescent="0.2">
      <c r="A161" t="s">
        <v>164</v>
      </c>
      <c r="B161" s="20">
        <f>(ROUND(44.53+6.146*LN(B159)+0.145*(LN(B159)^2),1))/100</f>
        <v>0.72900000000000009</v>
      </c>
      <c r="C161" s="20"/>
      <c r="D161" s="20">
        <f>(ROUND(44.53+6.146*LN(D159)+0.145*(LN(D159)^2),1))/100</f>
        <v>0.64599999999999991</v>
      </c>
      <c r="E161" s="20"/>
      <c r="F161" s="20">
        <f>B161-D161</f>
        <v>8.3000000000000185E-2</v>
      </c>
    </row>
    <row r="163" spans="1:8" x14ac:dyDescent="0.2">
      <c r="A163" s="19" t="s">
        <v>344</v>
      </c>
    </row>
    <row r="164" spans="1:8" x14ac:dyDescent="0.2">
      <c r="B164" t="s">
        <v>158</v>
      </c>
      <c r="D164" t="s">
        <v>159</v>
      </c>
      <c r="F164" t="s">
        <v>160</v>
      </c>
    </row>
    <row r="165" spans="1:8" x14ac:dyDescent="0.2">
      <c r="A165" s="22" t="s">
        <v>311</v>
      </c>
      <c r="B165">
        <v>3.57</v>
      </c>
      <c r="C165" s="22" t="s">
        <v>313</v>
      </c>
      <c r="D165">
        <v>3.15</v>
      </c>
      <c r="E165" s="22" t="s">
        <v>313</v>
      </c>
    </row>
    <row r="166" spans="1:8" x14ac:dyDescent="0.2">
      <c r="A166" s="22" t="s">
        <v>312</v>
      </c>
      <c r="B166">
        <v>41.106999999999999</v>
      </c>
      <c r="C166" s="22" t="s">
        <v>313</v>
      </c>
      <c r="D166">
        <v>41.106999999999999</v>
      </c>
      <c r="E166" s="22" t="s">
        <v>313</v>
      </c>
    </row>
    <row r="167" spans="1:8" x14ac:dyDescent="0.2">
      <c r="A167" t="s">
        <v>161</v>
      </c>
      <c r="B167">
        <f>(B165/B166)*365</f>
        <v>31.698980708881699</v>
      </c>
      <c r="C167" t="s">
        <v>162</v>
      </c>
      <c r="D167">
        <f>(D165/D166)*365</f>
        <v>27.969688860777971</v>
      </c>
      <c r="E167" t="s">
        <v>162</v>
      </c>
    </row>
    <row r="168" spans="1:8" x14ac:dyDescent="0.2">
      <c r="A168" t="s">
        <v>163</v>
      </c>
      <c r="B168" s="20">
        <f>(ROUND((43.75*B167)/(4.38+B167),1))/100</f>
        <v>0.38400000000000001</v>
      </c>
      <c r="C168" s="20"/>
      <c r="D168" s="20">
        <f>(ROUND((43.75*D167)/(4.38+D167),1))/100</f>
        <v>0.37799999999999995</v>
      </c>
      <c r="E168" s="20"/>
      <c r="F168" s="20">
        <f>B168-D168</f>
        <v>6.0000000000000608E-3</v>
      </c>
    </row>
    <row r="169" spans="1:8" x14ac:dyDescent="0.2">
      <c r="A169" t="s">
        <v>164</v>
      </c>
      <c r="B169" s="20">
        <f>(ROUND(44.53+6.146*LN(B167)+0.145*(LN(B167)^2),1))/100</f>
        <v>0.67500000000000004</v>
      </c>
      <c r="C169" s="20"/>
      <c r="D169" s="20">
        <f>(ROUND(44.53+6.146*LN(D167)+0.145*(LN(D167)^2),1))/100</f>
        <v>0.66599999999999993</v>
      </c>
      <c r="E169" s="20"/>
      <c r="F169" s="20">
        <f>B169-D169</f>
        <v>9.000000000000119E-3</v>
      </c>
    </row>
    <row r="171" spans="1:8" x14ac:dyDescent="0.2">
      <c r="A171" s="19" t="s">
        <v>232</v>
      </c>
    </row>
    <row r="172" spans="1:8" x14ac:dyDescent="0.2">
      <c r="B172" t="s">
        <v>158</v>
      </c>
      <c r="D172" t="s">
        <v>159</v>
      </c>
      <c r="F172" t="s">
        <v>160</v>
      </c>
    </row>
    <row r="173" spans="1:8" x14ac:dyDescent="0.2">
      <c r="A173" s="22" t="s">
        <v>311</v>
      </c>
      <c r="B173">
        <v>1.4</v>
      </c>
      <c r="C173" s="22" t="s">
        <v>313</v>
      </c>
      <c r="D173">
        <v>1.34</v>
      </c>
      <c r="E173" s="22" t="s">
        <v>313</v>
      </c>
      <c r="H173" s="22" t="s">
        <v>521</v>
      </c>
    </row>
    <row r="174" spans="1:8" x14ac:dyDescent="0.2">
      <c r="A174" s="22" t="s">
        <v>312</v>
      </c>
      <c r="C174" s="22" t="s">
        <v>313</v>
      </c>
      <c r="E174" s="22" t="s">
        <v>313</v>
      </c>
    </row>
    <row r="175" spans="1:8" x14ac:dyDescent="0.2">
      <c r="A175" t="s">
        <v>161</v>
      </c>
      <c r="B175" t="e">
        <f>(B173/B174)*365</f>
        <v>#DIV/0!</v>
      </c>
      <c r="C175" t="s">
        <v>162</v>
      </c>
      <c r="D175" t="e">
        <f>(D173/D174)*365</f>
        <v>#DIV/0!</v>
      </c>
      <c r="E175" t="s">
        <v>162</v>
      </c>
    </row>
    <row r="176" spans="1:8" x14ac:dyDescent="0.2">
      <c r="A176" t="s">
        <v>163</v>
      </c>
      <c r="B176" s="20" t="e">
        <f>(ROUND((43.75*B175)/(4.38+B175),1))/100</f>
        <v>#DIV/0!</v>
      </c>
      <c r="C176" s="20"/>
      <c r="D176" s="20" t="e">
        <f>(ROUND((43.75*D175)/(4.38+D175),1))/100</f>
        <v>#DIV/0!</v>
      </c>
      <c r="E176" s="20"/>
      <c r="F176" s="20" t="e">
        <f>B176-D176</f>
        <v>#DIV/0!</v>
      </c>
    </row>
    <row r="177" spans="1:8" x14ac:dyDescent="0.2">
      <c r="A177" t="s">
        <v>164</v>
      </c>
      <c r="B177" s="20" t="e">
        <f>(ROUND(44.53+6.146*LN(B175)+0.145*(LN(B175)^2),1))/100</f>
        <v>#DIV/0!</v>
      </c>
      <c r="C177" s="20"/>
      <c r="D177" s="20" t="e">
        <f>(ROUND(44.53+6.146*LN(D175)+0.145*(LN(D175)^2),1))/100</f>
        <v>#DIV/0!</v>
      </c>
      <c r="E177" s="20"/>
      <c r="F177" s="20" t="e">
        <f>B177-D177</f>
        <v>#DIV/0!</v>
      </c>
    </row>
    <row r="179" spans="1:8" x14ac:dyDescent="0.2">
      <c r="A179" s="19" t="s">
        <v>358</v>
      </c>
    </row>
    <row r="180" spans="1:8" x14ac:dyDescent="0.2">
      <c r="B180" t="s">
        <v>158</v>
      </c>
      <c r="D180" t="s">
        <v>159</v>
      </c>
      <c r="F180" t="s">
        <v>160</v>
      </c>
    </row>
    <row r="181" spans="1:8" x14ac:dyDescent="0.2">
      <c r="A181" s="22" t="s">
        <v>311</v>
      </c>
      <c r="B181">
        <v>2.64</v>
      </c>
      <c r="C181" s="22" t="s">
        <v>313</v>
      </c>
      <c r="D181">
        <v>2.64</v>
      </c>
      <c r="E181" s="22" t="s">
        <v>313</v>
      </c>
      <c r="H181" s="22" t="s">
        <v>522</v>
      </c>
    </row>
    <row r="182" spans="1:8" x14ac:dyDescent="0.2">
      <c r="A182" s="22" t="s">
        <v>312</v>
      </c>
      <c r="C182" s="22" t="s">
        <v>313</v>
      </c>
      <c r="E182" s="22" t="s">
        <v>313</v>
      </c>
    </row>
    <row r="183" spans="1:8" x14ac:dyDescent="0.2">
      <c r="A183" t="s">
        <v>161</v>
      </c>
      <c r="B183" t="e">
        <f>(B181/B182)*365</f>
        <v>#DIV/0!</v>
      </c>
      <c r="C183" t="s">
        <v>162</v>
      </c>
      <c r="D183" t="e">
        <f>(D181/D182)*365</f>
        <v>#DIV/0!</v>
      </c>
      <c r="E183" t="s">
        <v>162</v>
      </c>
    </row>
    <row r="184" spans="1:8" x14ac:dyDescent="0.2">
      <c r="A184" t="s">
        <v>163</v>
      </c>
      <c r="B184" s="20" t="e">
        <f>(ROUND((43.75*B183)/(4.38+B183),1))/100</f>
        <v>#DIV/0!</v>
      </c>
      <c r="C184" s="20"/>
      <c r="D184" s="20" t="e">
        <f>(ROUND((43.75*D183)/(4.38+D183),1))/100</f>
        <v>#DIV/0!</v>
      </c>
      <c r="E184" s="20"/>
      <c r="F184" s="20" t="e">
        <f>B184-D184</f>
        <v>#DIV/0!</v>
      </c>
    </row>
    <row r="185" spans="1:8" x14ac:dyDescent="0.2">
      <c r="A185" t="s">
        <v>164</v>
      </c>
      <c r="B185" s="20" t="e">
        <f>(ROUND(44.53+6.146*LN(B183)+0.145*(LN(B183)^2),1))/100</f>
        <v>#DIV/0!</v>
      </c>
      <c r="C185" s="20"/>
      <c r="D185" s="20" t="e">
        <f>(ROUND(44.53+6.146*LN(D183)+0.145*(LN(D183)^2),1))/100</f>
        <v>#DIV/0!</v>
      </c>
      <c r="E185" s="20"/>
      <c r="F185" s="20" t="e">
        <f>B185-D185</f>
        <v>#DIV/0!</v>
      </c>
    </row>
    <row r="187" spans="1:8" x14ac:dyDescent="0.2">
      <c r="A187" s="19" t="s">
        <v>360</v>
      </c>
    </row>
    <row r="188" spans="1:8" x14ac:dyDescent="0.2">
      <c r="B188" t="s">
        <v>158</v>
      </c>
      <c r="D188" t="s">
        <v>159</v>
      </c>
      <c r="F188" t="s">
        <v>160</v>
      </c>
    </row>
    <row r="189" spans="1:8" x14ac:dyDescent="0.2">
      <c r="A189" s="22" t="s">
        <v>311</v>
      </c>
      <c r="B189">
        <v>10.64</v>
      </c>
      <c r="C189" s="22" t="s">
        <v>313</v>
      </c>
      <c r="D189">
        <v>7.74</v>
      </c>
      <c r="E189" s="22" t="s">
        <v>313</v>
      </c>
    </row>
    <row r="190" spans="1:8" x14ac:dyDescent="0.2">
      <c r="A190" s="22" t="s">
        <v>312</v>
      </c>
      <c r="C190" s="22" t="s">
        <v>313</v>
      </c>
      <c r="E190" s="22" t="s">
        <v>313</v>
      </c>
      <c r="G190" s="22" t="s">
        <v>525</v>
      </c>
    </row>
    <row r="191" spans="1:8" x14ac:dyDescent="0.2">
      <c r="A191" t="s">
        <v>161</v>
      </c>
      <c r="B191" t="e">
        <f>(B189/B190)*365</f>
        <v>#DIV/0!</v>
      </c>
      <c r="C191" t="s">
        <v>162</v>
      </c>
      <c r="D191" t="e">
        <f>(D189/D190)*365</f>
        <v>#DIV/0!</v>
      </c>
      <c r="E191" t="s">
        <v>162</v>
      </c>
    </row>
    <row r="192" spans="1:8" x14ac:dyDescent="0.2">
      <c r="A192" t="s">
        <v>163</v>
      </c>
      <c r="B192" s="20" t="e">
        <f>(ROUND((43.75*B191)/(4.38+B191),1))/100</f>
        <v>#DIV/0!</v>
      </c>
      <c r="C192" s="20"/>
      <c r="D192" s="20" t="e">
        <f>(ROUND((43.75*D191)/(4.38+D191),1))/100</f>
        <v>#DIV/0!</v>
      </c>
      <c r="E192" s="20"/>
      <c r="F192" s="20" t="e">
        <f>B192-D192</f>
        <v>#DIV/0!</v>
      </c>
    </row>
    <row r="193" spans="1:7" x14ac:dyDescent="0.2">
      <c r="A193" t="s">
        <v>164</v>
      </c>
      <c r="B193" s="20" t="e">
        <f>(ROUND(44.53+6.146*LN(B191)+0.145*(LN(B191)^2),1))/100</f>
        <v>#DIV/0!</v>
      </c>
      <c r="C193" s="20"/>
      <c r="D193" s="20" t="e">
        <f>(ROUND(44.53+6.146*LN(D191)+0.145*(LN(D191)^2),1))/100</f>
        <v>#DIV/0!</v>
      </c>
      <c r="E193" s="20"/>
      <c r="F193" s="20" t="e">
        <f>B193-D193</f>
        <v>#DIV/0!</v>
      </c>
    </row>
    <row r="195" spans="1:7" x14ac:dyDescent="0.2">
      <c r="A195" s="19" t="s">
        <v>361</v>
      </c>
    </row>
    <row r="196" spans="1:7" x14ac:dyDescent="0.2">
      <c r="B196" t="s">
        <v>158</v>
      </c>
      <c r="D196" t="s">
        <v>159</v>
      </c>
      <c r="F196" t="s">
        <v>160</v>
      </c>
    </row>
    <row r="197" spans="1:7" x14ac:dyDescent="0.2">
      <c r="A197" s="22" t="s">
        <v>311</v>
      </c>
      <c r="B197">
        <v>3.24</v>
      </c>
      <c r="C197" s="22" t="s">
        <v>313</v>
      </c>
      <c r="D197">
        <v>3.12</v>
      </c>
      <c r="E197" s="22" t="s">
        <v>313</v>
      </c>
    </row>
    <row r="198" spans="1:7" x14ac:dyDescent="0.2">
      <c r="A198" s="22" t="s">
        <v>312</v>
      </c>
      <c r="C198" s="22" t="s">
        <v>313</v>
      </c>
      <c r="E198" s="22" t="s">
        <v>313</v>
      </c>
      <c r="G198" s="22" t="s">
        <v>523</v>
      </c>
    </row>
    <row r="199" spans="1:7" x14ac:dyDescent="0.2">
      <c r="A199" t="s">
        <v>161</v>
      </c>
      <c r="B199" t="e">
        <f>(B197/B198)*365</f>
        <v>#DIV/0!</v>
      </c>
      <c r="C199" t="s">
        <v>162</v>
      </c>
      <c r="D199" t="e">
        <f>(D197/D198)*365</f>
        <v>#DIV/0!</v>
      </c>
      <c r="E199" t="s">
        <v>162</v>
      </c>
    </row>
    <row r="200" spans="1:7" x14ac:dyDescent="0.2">
      <c r="A200" t="s">
        <v>163</v>
      </c>
      <c r="B200" s="20" t="e">
        <f>(ROUND((43.75*B199)/(4.38+B199),1))/100</f>
        <v>#DIV/0!</v>
      </c>
      <c r="C200" s="20"/>
      <c r="D200" s="20" t="e">
        <f>(ROUND((43.75*D199)/(4.38+D199),1))/100</f>
        <v>#DIV/0!</v>
      </c>
      <c r="E200" s="20"/>
      <c r="F200" s="20" t="e">
        <f>B200-D200</f>
        <v>#DIV/0!</v>
      </c>
    </row>
    <row r="201" spans="1:7" x14ac:dyDescent="0.2">
      <c r="A201" t="s">
        <v>164</v>
      </c>
      <c r="B201" s="20" t="e">
        <f>(ROUND(44.53+6.146*LN(B199)+0.145*(LN(B199)^2),1))/100</f>
        <v>#DIV/0!</v>
      </c>
      <c r="C201" s="20"/>
      <c r="D201" s="20" t="e">
        <f>(ROUND(44.53+6.146*LN(D199)+0.145*(LN(D199)^2),1))/100</f>
        <v>#DIV/0!</v>
      </c>
      <c r="E201" s="20"/>
      <c r="F201" s="20" t="e">
        <f>B201-D201</f>
        <v>#DIV/0!</v>
      </c>
    </row>
    <row r="203" spans="1:7" x14ac:dyDescent="0.2">
      <c r="A203" s="19" t="s">
        <v>362</v>
      </c>
    </row>
    <row r="204" spans="1:7" x14ac:dyDescent="0.2">
      <c r="B204" t="s">
        <v>158</v>
      </c>
      <c r="D204" t="s">
        <v>159</v>
      </c>
      <c r="F204" t="s">
        <v>160</v>
      </c>
    </row>
    <row r="205" spans="1:7" x14ac:dyDescent="0.2">
      <c r="A205" s="22" t="s">
        <v>311</v>
      </c>
      <c r="B205">
        <v>3.71</v>
      </c>
      <c r="C205" s="22" t="s">
        <v>313</v>
      </c>
      <c r="D205">
        <v>3.5</v>
      </c>
      <c r="E205" s="22" t="s">
        <v>313</v>
      </c>
    </row>
    <row r="206" spans="1:7" x14ac:dyDescent="0.2">
      <c r="A206" s="22" t="s">
        <v>312</v>
      </c>
      <c r="C206" s="22" t="s">
        <v>313</v>
      </c>
      <c r="E206" s="22" t="s">
        <v>313</v>
      </c>
      <c r="G206" s="22" t="s">
        <v>524</v>
      </c>
    </row>
    <row r="207" spans="1:7" x14ac:dyDescent="0.2">
      <c r="A207" t="s">
        <v>161</v>
      </c>
      <c r="B207" t="e">
        <f>(B205/B206)*365</f>
        <v>#DIV/0!</v>
      </c>
      <c r="C207" t="s">
        <v>162</v>
      </c>
      <c r="D207" t="e">
        <f>(D205/D206)*365</f>
        <v>#DIV/0!</v>
      </c>
      <c r="E207" t="s">
        <v>162</v>
      </c>
    </row>
    <row r="208" spans="1:7" x14ac:dyDescent="0.2">
      <c r="A208" t="s">
        <v>163</v>
      </c>
      <c r="B208" s="20" t="e">
        <f>(ROUND((43.75*B207)/(4.38+B207),1))/100</f>
        <v>#DIV/0!</v>
      </c>
      <c r="C208" s="20"/>
      <c r="D208" s="20" t="e">
        <f>(ROUND((43.75*D207)/(4.38+D207),1))/100</f>
        <v>#DIV/0!</v>
      </c>
      <c r="E208" s="20"/>
      <c r="F208" s="20" t="e">
        <f>B208-D208</f>
        <v>#DIV/0!</v>
      </c>
    </row>
    <row r="209" spans="1:6" x14ac:dyDescent="0.2">
      <c r="A209" t="s">
        <v>164</v>
      </c>
      <c r="B209" s="20" t="e">
        <f>(ROUND(44.53+6.146*LN(B207)+0.145*(LN(B207)^2),1))/100</f>
        <v>#DIV/0!</v>
      </c>
      <c r="C209" s="20"/>
      <c r="D209" s="20" t="e">
        <f>(ROUND(44.53+6.146*LN(D207)+0.145*(LN(D207)^2),1))/100</f>
        <v>#DIV/0!</v>
      </c>
      <c r="E209" s="20"/>
      <c r="F209" s="20" t="e">
        <f>B209-D209</f>
        <v>#DIV/0!</v>
      </c>
    </row>
    <row r="211" spans="1:6" x14ac:dyDescent="0.2">
      <c r="A211" s="19" t="s">
        <v>240</v>
      </c>
    </row>
    <row r="212" spans="1:6" x14ac:dyDescent="0.2">
      <c r="B212" t="s">
        <v>158</v>
      </c>
      <c r="D212" t="s">
        <v>159</v>
      </c>
      <c r="F212" t="s">
        <v>160</v>
      </c>
    </row>
    <row r="213" spans="1:6" x14ac:dyDescent="0.2">
      <c r="A213" s="22" t="s">
        <v>311</v>
      </c>
      <c r="B213">
        <v>69.040000000000006</v>
      </c>
      <c r="C213" s="22" t="s">
        <v>313</v>
      </c>
      <c r="D213">
        <v>5.16</v>
      </c>
      <c r="E213" s="22" t="s">
        <v>313</v>
      </c>
    </row>
    <row r="214" spans="1:6" x14ac:dyDescent="0.2">
      <c r="A214" s="22" t="s">
        <v>312</v>
      </c>
      <c r="B214">
        <v>103.2</v>
      </c>
      <c r="C214" s="22" t="s">
        <v>313</v>
      </c>
      <c r="D214">
        <v>103.2</v>
      </c>
      <c r="E214" s="22" t="s">
        <v>313</v>
      </c>
    </row>
    <row r="215" spans="1:6" x14ac:dyDescent="0.2">
      <c r="A215" t="s">
        <v>161</v>
      </c>
      <c r="B215">
        <f>(B213/B214)*365</f>
        <v>244.18217054263567</v>
      </c>
      <c r="C215" t="s">
        <v>162</v>
      </c>
      <c r="D215">
        <f>(D213/D214)*365</f>
        <v>18.25</v>
      </c>
      <c r="E215" t="s">
        <v>162</v>
      </c>
    </row>
    <row r="216" spans="1:6" x14ac:dyDescent="0.2">
      <c r="A216" t="s">
        <v>163</v>
      </c>
      <c r="B216" s="20">
        <f>(ROUND((43.75*B215)/(4.38+B215),1))/100</f>
        <v>0.43</v>
      </c>
      <c r="C216" s="20"/>
      <c r="D216" s="20">
        <f>(ROUND((43.75*D215)/(4.38+D215),1))/100</f>
        <v>0.35299999999999998</v>
      </c>
      <c r="E216" s="20"/>
      <c r="F216" s="20">
        <f>B216-D216</f>
        <v>7.7000000000000013E-2</v>
      </c>
    </row>
    <row r="217" spans="1:6" x14ac:dyDescent="0.2">
      <c r="A217" t="s">
        <v>164</v>
      </c>
      <c r="B217" s="20">
        <f>(ROUND(44.53+6.146*LN(B215)+0.145*(LN(B215)^2),1))/100</f>
        <v>0.82700000000000007</v>
      </c>
      <c r="C217" s="20"/>
      <c r="D217" s="20">
        <f>(ROUND(44.53+6.146*LN(D215)+0.145*(LN(D215)^2),1))/100</f>
        <v>0.63600000000000001</v>
      </c>
      <c r="E217" s="20"/>
      <c r="F217" s="20">
        <f>B217-D217</f>
        <v>0.19100000000000006</v>
      </c>
    </row>
    <row r="219" spans="1:6" x14ac:dyDescent="0.2">
      <c r="A219" s="19" t="s">
        <v>241</v>
      </c>
    </row>
    <row r="220" spans="1:6" x14ac:dyDescent="0.2">
      <c r="B220" t="s">
        <v>158</v>
      </c>
      <c r="D220" t="s">
        <v>159</v>
      </c>
      <c r="F220" t="s">
        <v>160</v>
      </c>
    </row>
    <row r="221" spans="1:6" x14ac:dyDescent="0.2">
      <c r="A221" s="22" t="s">
        <v>311</v>
      </c>
      <c r="B221">
        <v>17.61</v>
      </c>
      <c r="C221" s="22" t="s">
        <v>313</v>
      </c>
      <c r="D221">
        <v>1.55</v>
      </c>
      <c r="E221" s="22" t="s">
        <v>313</v>
      </c>
    </row>
    <row r="222" spans="1:6" x14ac:dyDescent="0.2">
      <c r="A222" s="22" t="s">
        <v>312</v>
      </c>
      <c r="B222">
        <v>77.7</v>
      </c>
      <c r="C222" s="22" t="s">
        <v>313</v>
      </c>
      <c r="D222">
        <v>77.7</v>
      </c>
      <c r="E222" s="22" t="s">
        <v>313</v>
      </c>
    </row>
    <row r="223" spans="1:6" x14ac:dyDescent="0.2">
      <c r="A223" t="s">
        <v>161</v>
      </c>
      <c r="B223">
        <f>(B221/B222)*365</f>
        <v>82.723938223938219</v>
      </c>
      <c r="C223" t="s">
        <v>162</v>
      </c>
      <c r="D223">
        <f>(D221/D222)*365</f>
        <v>7.2812097812097809</v>
      </c>
      <c r="E223" t="s">
        <v>162</v>
      </c>
    </row>
    <row r="224" spans="1:6" x14ac:dyDescent="0.2">
      <c r="A224" t="s">
        <v>163</v>
      </c>
      <c r="B224" s="20">
        <f>(ROUND((43.75*B223)/(4.38+B223),1))/100</f>
        <v>0.41600000000000004</v>
      </c>
      <c r="C224" s="20"/>
      <c r="D224" s="20">
        <f>(ROUND((43.75*D223)/(4.38+D223),1))/100</f>
        <v>0.27300000000000002</v>
      </c>
      <c r="E224" s="20"/>
      <c r="F224" s="20">
        <f>B224-D224</f>
        <v>0.14300000000000002</v>
      </c>
    </row>
    <row r="225" spans="1:6" x14ac:dyDescent="0.2">
      <c r="A225" t="s">
        <v>164</v>
      </c>
      <c r="B225" s="20">
        <f>(ROUND(44.53+6.146*LN(B223)+0.145*(LN(B223)^2),1))/100</f>
        <v>0.745</v>
      </c>
      <c r="C225" s="20"/>
      <c r="D225" s="20">
        <f>(ROUND(44.53+6.146*LN(D223)+0.145*(LN(D223)^2),1))/100</f>
        <v>0.57299999999999995</v>
      </c>
      <c r="E225" s="20"/>
      <c r="F225" s="20">
        <f>B225-D225</f>
        <v>0.17200000000000004</v>
      </c>
    </row>
    <row r="227" spans="1:6" x14ac:dyDescent="0.2">
      <c r="A227" s="19" t="s">
        <v>242</v>
      </c>
    </row>
    <row r="228" spans="1:6" x14ac:dyDescent="0.2">
      <c r="B228" t="s">
        <v>158</v>
      </c>
      <c r="D228" t="s">
        <v>159</v>
      </c>
      <c r="F228" t="s">
        <v>160</v>
      </c>
    </row>
    <row r="229" spans="1:6" x14ac:dyDescent="0.2">
      <c r="A229" s="22" t="s">
        <v>311</v>
      </c>
      <c r="B229">
        <v>6.51</v>
      </c>
      <c r="C229" s="22" t="s">
        <v>313</v>
      </c>
      <c r="D229">
        <v>0.61</v>
      </c>
      <c r="E229" s="22" t="s">
        <v>313</v>
      </c>
    </row>
    <row r="230" spans="1:6" x14ac:dyDescent="0.2">
      <c r="A230" s="22" t="s">
        <v>312</v>
      </c>
      <c r="B230">
        <v>12.2</v>
      </c>
      <c r="C230" s="22" t="s">
        <v>313</v>
      </c>
      <c r="D230">
        <v>12.2</v>
      </c>
      <c r="E230" s="22" t="s">
        <v>313</v>
      </c>
    </row>
    <row r="231" spans="1:6" x14ac:dyDescent="0.2">
      <c r="A231" t="s">
        <v>161</v>
      </c>
      <c r="B231">
        <f>(B229/B230)*365</f>
        <v>194.76639344262296</v>
      </c>
      <c r="C231" t="s">
        <v>162</v>
      </c>
      <c r="D231">
        <f>(D229/D230)*365</f>
        <v>18.25</v>
      </c>
      <c r="E231" t="s">
        <v>162</v>
      </c>
    </row>
    <row r="232" spans="1:6" x14ac:dyDescent="0.2">
      <c r="A232" t="s">
        <v>163</v>
      </c>
      <c r="B232" s="20">
        <f>(ROUND((43.75*B231)/(4.38+B231),1))/100</f>
        <v>0.42799999999999999</v>
      </c>
      <c r="C232" s="20"/>
      <c r="D232" s="20">
        <f>(ROUND((43.75*D231)/(4.38+D231),1))/100</f>
        <v>0.35299999999999998</v>
      </c>
      <c r="E232" s="20"/>
      <c r="F232" s="20">
        <f>B232-D232</f>
        <v>7.5000000000000011E-2</v>
      </c>
    </row>
    <row r="233" spans="1:6" x14ac:dyDescent="0.2">
      <c r="A233" t="s">
        <v>164</v>
      </c>
      <c r="B233" s="20">
        <f>(ROUND(44.53+6.146*LN(B231)+0.145*(LN(B231)^2),1))/100</f>
        <v>0.81</v>
      </c>
      <c r="C233" s="20"/>
      <c r="D233" s="20">
        <f>(ROUND(44.53+6.146*LN(D231)+0.145*(LN(D231)^2),1))/100</f>
        <v>0.63600000000000001</v>
      </c>
      <c r="E233" s="20"/>
      <c r="F233" s="20">
        <f>B233-D233</f>
        <v>0.17400000000000004</v>
      </c>
    </row>
    <row r="235" spans="1:6" x14ac:dyDescent="0.2">
      <c r="A235" s="19" t="s">
        <v>243</v>
      </c>
    </row>
    <row r="236" spans="1:6" x14ac:dyDescent="0.2">
      <c r="B236" t="s">
        <v>158</v>
      </c>
      <c r="D236" t="s">
        <v>159</v>
      </c>
      <c r="F236" t="s">
        <v>160</v>
      </c>
    </row>
    <row r="237" spans="1:6" x14ac:dyDescent="0.2">
      <c r="A237" s="22" t="s">
        <v>311</v>
      </c>
      <c r="B237">
        <v>2.13</v>
      </c>
      <c r="C237" s="22" t="s">
        <v>313</v>
      </c>
      <c r="D237">
        <v>1.1000000000000001</v>
      </c>
      <c r="E237" s="22" t="s">
        <v>313</v>
      </c>
    </row>
    <row r="238" spans="1:6" x14ac:dyDescent="0.2">
      <c r="A238" s="22" t="s">
        <v>312</v>
      </c>
      <c r="B238">
        <v>21.9</v>
      </c>
      <c r="C238" s="22" t="s">
        <v>313</v>
      </c>
      <c r="D238">
        <v>21.9</v>
      </c>
      <c r="E238" s="22" t="s">
        <v>313</v>
      </c>
    </row>
    <row r="239" spans="1:6" x14ac:dyDescent="0.2">
      <c r="A239" t="s">
        <v>161</v>
      </c>
      <c r="B239">
        <f>(B237/B238)*365</f>
        <v>35.5</v>
      </c>
      <c r="C239" t="s">
        <v>162</v>
      </c>
      <c r="D239">
        <f>(D237/D238)*365</f>
        <v>18.333333333333336</v>
      </c>
      <c r="E239" t="s">
        <v>162</v>
      </c>
    </row>
    <row r="240" spans="1:6" x14ac:dyDescent="0.2">
      <c r="A240" t="s">
        <v>163</v>
      </c>
      <c r="B240" s="20">
        <f>(ROUND((43.75*B239)/(4.38+B239),1))/100</f>
        <v>0.38900000000000001</v>
      </c>
      <c r="C240" s="20"/>
      <c r="D240" s="20">
        <f>(ROUND((43.75*D239)/(4.38+D239),1))/100</f>
        <v>0.35299999999999998</v>
      </c>
      <c r="E240" s="20"/>
      <c r="F240" s="20">
        <f>B240-D240</f>
        <v>3.6000000000000032E-2</v>
      </c>
    </row>
    <row r="241" spans="1:6" x14ac:dyDescent="0.2">
      <c r="A241" t="s">
        <v>164</v>
      </c>
      <c r="B241" s="20">
        <f>(ROUND(44.53+6.146*LN(B239)+0.145*(LN(B239)^2),1))/100</f>
        <v>0.68299999999999994</v>
      </c>
      <c r="C241" s="20"/>
      <c r="D241" s="20">
        <f>(ROUND(44.53+6.146*LN(D239)+0.145*(LN(D239)^2),1))/100</f>
        <v>0.63600000000000001</v>
      </c>
      <c r="E241" s="20"/>
      <c r="F241" s="20">
        <f>B241-D241</f>
        <v>4.6999999999999931E-2</v>
      </c>
    </row>
    <row r="243" spans="1:6" x14ac:dyDescent="0.2">
      <c r="A243" s="19" t="s">
        <v>261</v>
      </c>
    </row>
    <row r="244" spans="1:6" x14ac:dyDescent="0.2">
      <c r="B244" t="s">
        <v>158</v>
      </c>
      <c r="D244" t="s">
        <v>159</v>
      </c>
      <c r="F244" t="s">
        <v>160</v>
      </c>
    </row>
    <row r="245" spans="1:6" x14ac:dyDescent="0.2">
      <c r="A245" s="22" t="s">
        <v>311</v>
      </c>
      <c r="B245">
        <v>1.2</v>
      </c>
      <c r="C245" s="22" t="s">
        <v>313</v>
      </c>
      <c r="D245">
        <v>0.74</v>
      </c>
      <c r="E245" s="22" t="s">
        <v>313</v>
      </c>
    </row>
    <row r="246" spans="1:6" x14ac:dyDescent="0.2">
      <c r="A246" s="22" t="s">
        <v>312</v>
      </c>
      <c r="C246" s="22" t="s">
        <v>313</v>
      </c>
      <c r="E246" s="22" t="s">
        <v>313</v>
      </c>
    </row>
    <row r="247" spans="1:6" x14ac:dyDescent="0.2">
      <c r="A247" t="s">
        <v>161</v>
      </c>
      <c r="B247" t="e">
        <f>(B245/B246)*365</f>
        <v>#DIV/0!</v>
      </c>
      <c r="C247" t="s">
        <v>162</v>
      </c>
      <c r="D247" t="e">
        <f>(D245/D246)*365</f>
        <v>#DIV/0!</v>
      </c>
      <c r="E247" t="s">
        <v>162</v>
      </c>
    </row>
    <row r="248" spans="1:6" x14ac:dyDescent="0.2">
      <c r="A248" t="s">
        <v>163</v>
      </c>
      <c r="B248" s="20" t="e">
        <f>(ROUND((43.75*B247)/(4.38+B247),1))/100</f>
        <v>#DIV/0!</v>
      </c>
      <c r="C248" s="20"/>
      <c r="D248" s="20" t="e">
        <f>(ROUND((43.75*D247)/(4.38+D247),1))/100</f>
        <v>#DIV/0!</v>
      </c>
      <c r="E248" s="20"/>
      <c r="F248" s="20" t="e">
        <f>B248-D248</f>
        <v>#DIV/0!</v>
      </c>
    </row>
    <row r="249" spans="1:6" x14ac:dyDescent="0.2">
      <c r="A249" t="s">
        <v>164</v>
      </c>
      <c r="B249" s="20" t="e">
        <f>(ROUND(44.53+6.146*LN(B247)+0.145*(LN(B247)^2),1))/100</f>
        <v>#DIV/0!</v>
      </c>
      <c r="C249" s="20"/>
      <c r="D249" s="20" t="e">
        <f>(ROUND(44.53+6.146*LN(D247)+0.145*(LN(D247)^2),1))/100</f>
        <v>#DIV/0!</v>
      </c>
      <c r="E249" s="20"/>
      <c r="F249" s="20" t="e">
        <f>B249-D249</f>
        <v>#DIV/0!</v>
      </c>
    </row>
    <row r="251" spans="1:6" x14ac:dyDescent="0.2">
      <c r="A251" s="19" t="s">
        <v>262</v>
      </c>
    </row>
    <row r="252" spans="1:6" x14ac:dyDescent="0.2">
      <c r="B252" t="s">
        <v>158</v>
      </c>
      <c r="D252" t="s">
        <v>159</v>
      </c>
      <c r="F252" t="s">
        <v>160</v>
      </c>
    </row>
    <row r="253" spans="1:6" x14ac:dyDescent="0.2">
      <c r="A253" s="22" t="s">
        <v>311</v>
      </c>
      <c r="B253">
        <v>2.38</v>
      </c>
      <c r="C253" s="22" t="s">
        <v>313</v>
      </c>
      <c r="D253">
        <v>2.38</v>
      </c>
      <c r="E253" s="22" t="s">
        <v>313</v>
      </c>
    </row>
    <row r="254" spans="1:6" x14ac:dyDescent="0.2">
      <c r="A254" s="22" t="s">
        <v>312</v>
      </c>
      <c r="C254" s="22" t="s">
        <v>313</v>
      </c>
      <c r="E254" s="22" t="s">
        <v>313</v>
      </c>
    </row>
    <row r="255" spans="1:6" x14ac:dyDescent="0.2">
      <c r="A255" t="s">
        <v>161</v>
      </c>
      <c r="B255" t="e">
        <f>(B253/B254)*365</f>
        <v>#DIV/0!</v>
      </c>
      <c r="C255" t="s">
        <v>162</v>
      </c>
      <c r="D255" t="e">
        <f>(D253/D254)*365</f>
        <v>#DIV/0!</v>
      </c>
      <c r="E255" t="s">
        <v>162</v>
      </c>
    </row>
    <row r="256" spans="1:6" x14ac:dyDescent="0.2">
      <c r="A256" t="s">
        <v>163</v>
      </c>
      <c r="B256" s="20" t="e">
        <f>(ROUND((43.75*B255)/(4.38+B255),1))/100</f>
        <v>#DIV/0!</v>
      </c>
      <c r="C256" s="20"/>
      <c r="D256" s="20" t="e">
        <f>(ROUND((43.75*D255)/(4.38+D255),1))/100</f>
        <v>#DIV/0!</v>
      </c>
      <c r="E256" s="20"/>
      <c r="F256" s="20" t="e">
        <f>B256-D256</f>
        <v>#DIV/0!</v>
      </c>
    </row>
    <row r="257" spans="1:6" x14ac:dyDescent="0.2">
      <c r="A257" t="s">
        <v>164</v>
      </c>
      <c r="B257" s="20" t="e">
        <f>(ROUND(44.53+6.146*LN(B255)+0.145*(LN(B255)^2),1))/100</f>
        <v>#DIV/0!</v>
      </c>
      <c r="C257" s="20"/>
      <c r="D257" s="20" t="e">
        <f>(ROUND(44.53+6.146*LN(D255)+0.145*(LN(D255)^2),1))/100</f>
        <v>#DIV/0!</v>
      </c>
      <c r="E257" s="20"/>
      <c r="F257" s="20" t="e">
        <f>B257-D257</f>
        <v>#DIV/0!</v>
      </c>
    </row>
    <row r="259" spans="1:6" x14ac:dyDescent="0.2">
      <c r="A259" s="19" t="s">
        <v>263</v>
      </c>
    </row>
    <row r="260" spans="1:6" x14ac:dyDescent="0.2">
      <c r="B260" t="s">
        <v>158</v>
      </c>
      <c r="D260" t="s">
        <v>159</v>
      </c>
      <c r="F260" t="s">
        <v>160</v>
      </c>
    </row>
    <row r="261" spans="1:6" x14ac:dyDescent="0.2">
      <c r="A261" s="22" t="s">
        <v>311</v>
      </c>
      <c r="B261">
        <v>1.73</v>
      </c>
      <c r="C261" s="22" t="s">
        <v>313</v>
      </c>
      <c r="D261">
        <v>1.73</v>
      </c>
      <c r="E261" s="22" t="s">
        <v>313</v>
      </c>
    </row>
    <row r="262" spans="1:6" x14ac:dyDescent="0.2">
      <c r="A262" s="22" t="s">
        <v>312</v>
      </c>
      <c r="C262" s="22" t="s">
        <v>313</v>
      </c>
      <c r="E262" s="22" t="s">
        <v>313</v>
      </c>
    </row>
    <row r="263" spans="1:6" x14ac:dyDescent="0.2">
      <c r="A263" t="s">
        <v>161</v>
      </c>
      <c r="B263" t="e">
        <f>(B261/B262)*365</f>
        <v>#DIV/0!</v>
      </c>
      <c r="C263" t="s">
        <v>162</v>
      </c>
      <c r="D263" t="e">
        <f>(D261/D262)*365</f>
        <v>#DIV/0!</v>
      </c>
      <c r="E263" t="s">
        <v>162</v>
      </c>
    </row>
    <row r="264" spans="1:6" x14ac:dyDescent="0.2">
      <c r="A264" t="s">
        <v>163</v>
      </c>
      <c r="B264" s="20" t="e">
        <f>(ROUND((43.75*B263)/(4.38+B263),1))/100</f>
        <v>#DIV/0!</v>
      </c>
      <c r="C264" s="20"/>
      <c r="D264" s="20" t="e">
        <f>(ROUND((43.75*D263)/(4.38+D263),1))/100</f>
        <v>#DIV/0!</v>
      </c>
      <c r="E264" s="20"/>
      <c r="F264" s="20" t="e">
        <f>B264-D264</f>
        <v>#DIV/0!</v>
      </c>
    </row>
    <row r="265" spans="1:6" x14ac:dyDescent="0.2">
      <c r="A265" t="s">
        <v>164</v>
      </c>
      <c r="B265" s="20" t="e">
        <f>(ROUND(44.53+6.146*LN(B263)+0.145*(LN(B263)^2),1))/100</f>
        <v>#DIV/0!</v>
      </c>
      <c r="C265" s="20"/>
      <c r="D265" s="20" t="e">
        <f>(ROUND(44.53+6.146*LN(D263)+0.145*(LN(D263)^2),1))/100</f>
        <v>#DIV/0!</v>
      </c>
      <c r="E265" s="20"/>
      <c r="F265" s="20" t="e">
        <f>B265-D265</f>
        <v>#DIV/0!</v>
      </c>
    </row>
    <row r="267" spans="1:6" x14ac:dyDescent="0.2">
      <c r="A267" s="19" t="s">
        <v>264</v>
      </c>
    </row>
    <row r="268" spans="1:6" x14ac:dyDescent="0.2">
      <c r="B268" t="s">
        <v>158</v>
      </c>
      <c r="D268" t="s">
        <v>159</v>
      </c>
      <c r="F268" t="s">
        <v>160</v>
      </c>
    </row>
    <row r="269" spans="1:6" x14ac:dyDescent="0.2">
      <c r="A269" s="22" t="s">
        <v>311</v>
      </c>
      <c r="B269">
        <v>2.2000000000000002</v>
      </c>
      <c r="C269" s="22" t="s">
        <v>313</v>
      </c>
      <c r="D269">
        <v>1</v>
      </c>
      <c r="E269" s="22" t="s">
        <v>313</v>
      </c>
    </row>
    <row r="270" spans="1:6" x14ac:dyDescent="0.2">
      <c r="A270" s="22" t="s">
        <v>312</v>
      </c>
      <c r="C270" s="22" t="s">
        <v>313</v>
      </c>
      <c r="E270" s="22" t="s">
        <v>313</v>
      </c>
    </row>
    <row r="271" spans="1:6" x14ac:dyDescent="0.2">
      <c r="A271" t="s">
        <v>161</v>
      </c>
      <c r="B271" t="e">
        <f>(B269/B270)*365</f>
        <v>#DIV/0!</v>
      </c>
      <c r="C271" t="s">
        <v>162</v>
      </c>
      <c r="D271" t="e">
        <f>(D269/D270)*365</f>
        <v>#DIV/0!</v>
      </c>
      <c r="E271" t="s">
        <v>162</v>
      </c>
    </row>
    <row r="272" spans="1:6" x14ac:dyDescent="0.2">
      <c r="A272" t="s">
        <v>163</v>
      </c>
      <c r="B272" s="20" t="e">
        <f>(ROUND((43.75*B271)/(4.38+B271),1))/100</f>
        <v>#DIV/0!</v>
      </c>
      <c r="C272" s="20"/>
      <c r="D272" s="20" t="e">
        <f>(ROUND((43.75*D271)/(4.38+D271),1))/100</f>
        <v>#DIV/0!</v>
      </c>
      <c r="E272" s="20"/>
      <c r="F272" s="20" t="e">
        <f>B272-D272</f>
        <v>#DIV/0!</v>
      </c>
    </row>
    <row r="273" spans="1:6" x14ac:dyDescent="0.2">
      <c r="A273" t="s">
        <v>164</v>
      </c>
      <c r="B273" s="20" t="e">
        <f>(ROUND(44.53+6.146*LN(B271)+0.145*(LN(B271)^2),1))/100</f>
        <v>#DIV/0!</v>
      </c>
      <c r="C273" s="20"/>
      <c r="D273" s="20" t="e">
        <f>(ROUND(44.53+6.146*LN(D271)+0.145*(LN(D271)^2),1))/100</f>
        <v>#DIV/0!</v>
      </c>
      <c r="E273" s="20"/>
      <c r="F273" s="20" t="e">
        <f>B273-D273</f>
        <v>#DIV/0!</v>
      </c>
    </row>
    <row r="275" spans="1:6" x14ac:dyDescent="0.2">
      <c r="A275" s="19" t="s">
        <v>265</v>
      </c>
    </row>
    <row r="276" spans="1:6" x14ac:dyDescent="0.2">
      <c r="B276" t="s">
        <v>158</v>
      </c>
      <c r="D276" t="s">
        <v>159</v>
      </c>
      <c r="F276" t="s">
        <v>160</v>
      </c>
    </row>
    <row r="277" spans="1:6" x14ac:dyDescent="0.2">
      <c r="A277" s="22" t="s">
        <v>311</v>
      </c>
      <c r="B277">
        <v>0.54</v>
      </c>
      <c r="C277" s="22" t="s">
        <v>313</v>
      </c>
      <c r="D277">
        <v>0.53</v>
      </c>
      <c r="E277" s="22" t="s">
        <v>313</v>
      </c>
    </row>
    <row r="278" spans="1:6" x14ac:dyDescent="0.2">
      <c r="A278" s="22" t="s">
        <v>312</v>
      </c>
      <c r="C278" s="22" t="s">
        <v>313</v>
      </c>
      <c r="E278" s="22" t="s">
        <v>313</v>
      </c>
    </row>
    <row r="279" spans="1:6" x14ac:dyDescent="0.2">
      <c r="A279" t="s">
        <v>161</v>
      </c>
      <c r="B279" t="e">
        <f>(B277/B278)*365</f>
        <v>#DIV/0!</v>
      </c>
      <c r="C279" t="s">
        <v>162</v>
      </c>
      <c r="D279" t="e">
        <f>(D277/D278)*365</f>
        <v>#DIV/0!</v>
      </c>
      <c r="E279" t="s">
        <v>162</v>
      </c>
    </row>
    <row r="280" spans="1:6" x14ac:dyDescent="0.2">
      <c r="A280" t="s">
        <v>163</v>
      </c>
      <c r="B280" s="20" t="e">
        <f>(ROUND((43.75*B279)/(4.38+B279),1))/100</f>
        <v>#DIV/0!</v>
      </c>
      <c r="C280" s="20"/>
      <c r="D280" s="20" t="e">
        <f>(ROUND((43.75*D279)/(4.38+D279),1))/100</f>
        <v>#DIV/0!</v>
      </c>
      <c r="E280" s="20"/>
      <c r="F280" s="20" t="e">
        <f>B280-D280</f>
        <v>#DIV/0!</v>
      </c>
    </row>
    <row r="281" spans="1:6" x14ac:dyDescent="0.2">
      <c r="A281" t="s">
        <v>164</v>
      </c>
      <c r="B281" s="20" t="e">
        <f>(ROUND(44.53+6.146*LN(B279)+0.145*(LN(B279)^2),1))/100</f>
        <v>#DIV/0!</v>
      </c>
      <c r="C281" s="20"/>
      <c r="D281" s="20" t="e">
        <f>(ROUND(44.53+6.146*LN(D279)+0.145*(LN(D279)^2),1))/100</f>
        <v>#DIV/0!</v>
      </c>
      <c r="E281" s="20"/>
      <c r="F281" s="20" t="e">
        <f>B281-D281</f>
        <v>#DIV/0!</v>
      </c>
    </row>
    <row r="283" spans="1:6" x14ac:dyDescent="0.2">
      <c r="A283" s="19" t="s">
        <v>266</v>
      </c>
    </row>
    <row r="284" spans="1:6" x14ac:dyDescent="0.2">
      <c r="B284" t="s">
        <v>158</v>
      </c>
      <c r="D284" t="s">
        <v>159</v>
      </c>
      <c r="F284" t="s">
        <v>160</v>
      </c>
    </row>
    <row r="285" spans="1:6" x14ac:dyDescent="0.2">
      <c r="A285" s="22" t="s">
        <v>311</v>
      </c>
      <c r="B285">
        <v>0.36</v>
      </c>
      <c r="C285" s="22" t="s">
        <v>313</v>
      </c>
      <c r="D285">
        <v>0.32</v>
      </c>
      <c r="E285" s="22" t="s">
        <v>313</v>
      </c>
    </row>
    <row r="286" spans="1:6" x14ac:dyDescent="0.2">
      <c r="A286" s="22" t="s">
        <v>312</v>
      </c>
      <c r="C286" s="22" t="s">
        <v>313</v>
      </c>
      <c r="E286" s="22" t="s">
        <v>313</v>
      </c>
    </row>
    <row r="287" spans="1:6" x14ac:dyDescent="0.2">
      <c r="A287" t="s">
        <v>161</v>
      </c>
      <c r="B287" t="e">
        <f>(B285/B286)*365</f>
        <v>#DIV/0!</v>
      </c>
      <c r="C287" t="s">
        <v>162</v>
      </c>
      <c r="D287" t="e">
        <f>(D285/D286)*365</f>
        <v>#DIV/0!</v>
      </c>
      <c r="E287" t="s">
        <v>162</v>
      </c>
    </row>
    <row r="288" spans="1:6" x14ac:dyDescent="0.2">
      <c r="A288" t="s">
        <v>163</v>
      </c>
      <c r="B288" s="20" t="e">
        <f>(ROUND((43.75*B287)/(4.38+B287),1))/100</f>
        <v>#DIV/0!</v>
      </c>
      <c r="C288" s="20"/>
      <c r="D288" s="20" t="e">
        <f>(ROUND((43.75*D287)/(4.38+D287),1))/100</f>
        <v>#DIV/0!</v>
      </c>
      <c r="E288" s="20"/>
      <c r="F288" s="20" t="e">
        <f>B288-D288</f>
        <v>#DIV/0!</v>
      </c>
    </row>
    <row r="289" spans="1:6" x14ac:dyDescent="0.2">
      <c r="A289" t="s">
        <v>164</v>
      </c>
      <c r="B289" s="20" t="e">
        <f>(ROUND(44.53+6.146*LN(B287)+0.145*(LN(B287)^2),1))/100</f>
        <v>#DIV/0!</v>
      </c>
      <c r="C289" s="20"/>
      <c r="D289" s="20" t="e">
        <f>(ROUND(44.53+6.146*LN(D287)+0.145*(LN(D287)^2),1))/100</f>
        <v>#DIV/0!</v>
      </c>
      <c r="E289" s="20"/>
      <c r="F289" s="20" t="e">
        <f>B289-D289</f>
        <v>#DIV/0!</v>
      </c>
    </row>
    <row r="291" spans="1:6" x14ac:dyDescent="0.2">
      <c r="A291" s="19" t="s">
        <v>365</v>
      </c>
    </row>
    <row r="292" spans="1:6" x14ac:dyDescent="0.2">
      <c r="B292" t="s">
        <v>158</v>
      </c>
      <c r="D292" t="s">
        <v>159</v>
      </c>
      <c r="F292" t="s">
        <v>160</v>
      </c>
    </row>
    <row r="293" spans="1:6" x14ac:dyDescent="0.2">
      <c r="A293" s="22" t="s">
        <v>311</v>
      </c>
      <c r="B293">
        <v>1.44</v>
      </c>
      <c r="C293" s="22" t="s">
        <v>313</v>
      </c>
      <c r="D293">
        <v>0.78</v>
      </c>
      <c r="E293" s="22" t="s">
        <v>313</v>
      </c>
    </row>
    <row r="294" spans="1:6" x14ac:dyDescent="0.2">
      <c r="A294" s="22" t="s">
        <v>312</v>
      </c>
      <c r="B294">
        <v>15.6</v>
      </c>
      <c r="C294" s="22" t="s">
        <v>313</v>
      </c>
      <c r="D294">
        <v>15.6</v>
      </c>
      <c r="E294" s="22" t="s">
        <v>313</v>
      </c>
    </row>
    <row r="295" spans="1:6" x14ac:dyDescent="0.2">
      <c r="A295" t="s">
        <v>161</v>
      </c>
      <c r="B295">
        <f>(B293/B294)*365</f>
        <v>33.692307692307693</v>
      </c>
      <c r="C295" t="s">
        <v>162</v>
      </c>
      <c r="D295">
        <f>(D293/D294)*365</f>
        <v>18.25</v>
      </c>
      <c r="E295" t="s">
        <v>162</v>
      </c>
    </row>
    <row r="296" spans="1:6" x14ac:dyDescent="0.2">
      <c r="A296" t="s">
        <v>163</v>
      </c>
      <c r="B296" s="20">
        <f>(ROUND((43.75*B295)/(4.38+B295),1))/100</f>
        <v>0.38700000000000001</v>
      </c>
      <c r="C296" s="20"/>
      <c r="D296" s="20">
        <f>(ROUND((43.75*D295)/(4.38+D295),1))/100</f>
        <v>0.35299999999999998</v>
      </c>
      <c r="E296" s="20"/>
      <c r="F296" s="20">
        <f>B296-D296</f>
        <v>3.400000000000003E-2</v>
      </c>
    </row>
    <row r="297" spans="1:6" x14ac:dyDescent="0.2">
      <c r="A297" t="s">
        <v>164</v>
      </c>
      <c r="B297" s="20">
        <f>(ROUND(44.53+6.146*LN(B295)+0.145*(LN(B295)^2),1))/100</f>
        <v>0.67900000000000005</v>
      </c>
      <c r="C297" s="20"/>
      <c r="D297" s="20">
        <f>(ROUND(44.53+6.146*LN(D295)+0.145*(LN(D295)^2),1))/100</f>
        <v>0.63600000000000001</v>
      </c>
      <c r="E297" s="20"/>
      <c r="F297" s="20">
        <f>B297-D297</f>
        <v>4.3000000000000038E-2</v>
      </c>
    </row>
    <row r="299" spans="1:6" x14ac:dyDescent="0.2">
      <c r="A299" s="19" t="s">
        <v>239</v>
      </c>
    </row>
    <row r="300" spans="1:6" x14ac:dyDescent="0.2">
      <c r="B300" t="s">
        <v>158</v>
      </c>
      <c r="D300" t="s">
        <v>159</v>
      </c>
      <c r="F300" t="s">
        <v>160</v>
      </c>
    </row>
    <row r="301" spans="1:6" x14ac:dyDescent="0.2">
      <c r="A301" s="22" t="s">
        <v>311</v>
      </c>
      <c r="B301">
        <v>0.63</v>
      </c>
      <c r="C301" s="22" t="s">
        <v>313</v>
      </c>
      <c r="D301">
        <v>0.56999999999999995</v>
      </c>
      <c r="E301" s="22" t="s">
        <v>313</v>
      </c>
    </row>
    <row r="302" spans="1:6" x14ac:dyDescent="0.2">
      <c r="A302" s="22" t="s">
        <v>312</v>
      </c>
      <c r="B302">
        <v>11.475</v>
      </c>
      <c r="C302" s="22" t="s">
        <v>313</v>
      </c>
      <c r="D302">
        <v>11.475</v>
      </c>
      <c r="E302" s="22" t="s">
        <v>313</v>
      </c>
    </row>
    <row r="303" spans="1:6" x14ac:dyDescent="0.2">
      <c r="A303" t="s">
        <v>161</v>
      </c>
      <c r="B303">
        <f>(B301/B302)*365</f>
        <v>20.03921568627451</v>
      </c>
      <c r="C303" t="s">
        <v>162</v>
      </c>
      <c r="D303">
        <f>(D301/D302)*365</f>
        <v>18.130718954248366</v>
      </c>
      <c r="E303" t="s">
        <v>162</v>
      </c>
    </row>
    <row r="304" spans="1:6" x14ac:dyDescent="0.2">
      <c r="A304" t="s">
        <v>163</v>
      </c>
      <c r="B304" s="20">
        <f>(ROUND((43.75*B303)/(4.38+B303),1))/100</f>
        <v>0.35899999999999999</v>
      </c>
      <c r="C304" s="20"/>
      <c r="D304" s="20">
        <f>(ROUND((43.75*D303)/(4.38+D303),1))/100</f>
        <v>0.35200000000000004</v>
      </c>
      <c r="E304" s="20"/>
      <c r="F304" s="20">
        <f>B304-D304</f>
        <v>6.9999999999999507E-3</v>
      </c>
    </row>
    <row r="305" spans="1:6" x14ac:dyDescent="0.2">
      <c r="A305" t="s">
        <v>164</v>
      </c>
      <c r="B305" s="20">
        <f>(ROUND(44.53+6.146*LN(B303)+0.145*(LN(B303)^2),1))/100</f>
        <v>0.64300000000000002</v>
      </c>
      <c r="C305" s="20"/>
      <c r="D305" s="20">
        <f>(ROUND(44.53+6.146*LN(D303)+0.145*(LN(D303)^2),1))/100</f>
        <v>0.63600000000000001</v>
      </c>
      <c r="E305" s="20"/>
      <c r="F305" s="20">
        <f>B305-D305</f>
        <v>7.0000000000000062E-3</v>
      </c>
    </row>
  </sheetData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P1" workbookViewId="0">
      <selection activeCell="Y12" sqref="Y12:Y1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2.28515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4.42578125" bestFit="1" customWidth="1"/>
    <col min="23" max="23" width="21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103</v>
      </c>
      <c r="B2" s="43">
        <v>114</v>
      </c>
      <c r="C2" s="43">
        <v>5</v>
      </c>
      <c r="D2" s="43" t="s">
        <v>424</v>
      </c>
      <c r="E2" s="43" t="s">
        <v>568</v>
      </c>
      <c r="F2" s="43" t="s">
        <v>571</v>
      </c>
      <c r="G2" s="43" t="s">
        <v>464</v>
      </c>
      <c r="H2" s="43">
        <v>657</v>
      </c>
      <c r="I2" s="43">
        <v>659</v>
      </c>
      <c r="J2" s="43">
        <v>1454</v>
      </c>
      <c r="K2" s="43">
        <v>1110</v>
      </c>
      <c r="L2" s="43">
        <v>1110</v>
      </c>
      <c r="M2" s="43" t="s">
        <v>372</v>
      </c>
      <c r="N2" s="43" t="s">
        <v>555</v>
      </c>
      <c r="O2" s="44">
        <v>6.82514519246</v>
      </c>
      <c r="P2" s="44">
        <v>2.7620399999999998</v>
      </c>
      <c r="Q2" s="43" t="s">
        <v>405</v>
      </c>
      <c r="R2" s="43" t="s">
        <v>406</v>
      </c>
      <c r="S2" s="43">
        <v>2</v>
      </c>
      <c r="T2" s="43">
        <v>10</v>
      </c>
      <c r="U2" s="43" t="s">
        <v>407</v>
      </c>
      <c r="V2" s="43" t="s">
        <v>434</v>
      </c>
      <c r="W2" s="43" t="s">
        <v>435</v>
      </c>
      <c r="X2" s="45">
        <v>0.48648799999999998</v>
      </c>
      <c r="Y2" s="45">
        <v>0.78300000000000003</v>
      </c>
      <c r="Z2" s="45">
        <f t="shared" ref="Z2:Z7" si="0">P2*X2*(1-Y2)</f>
        <v>0.29158275146783996</v>
      </c>
    </row>
    <row r="3" spans="1:26" x14ac:dyDescent="0.2">
      <c r="A3" s="43">
        <v>103</v>
      </c>
      <c r="B3" s="43">
        <v>114</v>
      </c>
      <c r="C3" s="43">
        <v>5</v>
      </c>
      <c r="D3" s="43" t="s">
        <v>424</v>
      </c>
      <c r="E3" s="43" t="s">
        <v>568</v>
      </c>
      <c r="F3" s="43" t="s">
        <v>571</v>
      </c>
      <c r="G3" s="43" t="s">
        <v>464</v>
      </c>
      <c r="H3" s="43">
        <v>1467</v>
      </c>
      <c r="I3" s="43">
        <v>1468</v>
      </c>
      <c r="J3" s="43">
        <v>1418</v>
      </c>
      <c r="K3" s="43">
        <v>1110</v>
      </c>
      <c r="L3" s="43">
        <v>1110</v>
      </c>
      <c r="M3" s="43" t="s">
        <v>372</v>
      </c>
      <c r="N3" s="43" t="s">
        <v>472</v>
      </c>
      <c r="O3" s="44">
        <v>0.29190797870099999</v>
      </c>
      <c r="P3" s="44">
        <v>0.118131</v>
      </c>
      <c r="Q3" s="43" t="s">
        <v>405</v>
      </c>
      <c r="R3" s="43" t="s">
        <v>406</v>
      </c>
      <c r="S3" s="43">
        <v>2</v>
      </c>
      <c r="T3" s="43">
        <v>10</v>
      </c>
      <c r="U3" s="43" t="s">
        <v>407</v>
      </c>
      <c r="V3" s="43" t="s">
        <v>434</v>
      </c>
      <c r="W3" s="43" t="s">
        <v>435</v>
      </c>
      <c r="X3" s="45">
        <v>0.48648799999999998</v>
      </c>
      <c r="Y3" s="45">
        <v>0.78300000000000003</v>
      </c>
      <c r="Z3" s="45">
        <f t="shared" si="0"/>
        <v>1.2470841122375998E-2</v>
      </c>
    </row>
    <row r="4" spans="1:26" x14ac:dyDescent="0.2">
      <c r="A4" s="43">
        <v>103</v>
      </c>
      <c r="B4" s="43">
        <v>114</v>
      </c>
      <c r="C4" s="43">
        <v>5</v>
      </c>
      <c r="D4" s="43" t="s">
        <v>424</v>
      </c>
      <c r="E4" s="43" t="s">
        <v>568</v>
      </c>
      <c r="F4" s="43" t="s">
        <v>571</v>
      </c>
      <c r="G4" s="43" t="s">
        <v>464</v>
      </c>
      <c r="H4" s="43">
        <v>17779</v>
      </c>
      <c r="I4" s="43">
        <v>17780</v>
      </c>
      <c r="J4" s="43">
        <v>17780</v>
      </c>
      <c r="K4" s="43">
        <v>4200</v>
      </c>
      <c r="L4" s="43">
        <v>4200</v>
      </c>
      <c r="M4" s="43" t="s">
        <v>372</v>
      </c>
      <c r="N4" s="43" t="s">
        <v>555</v>
      </c>
      <c r="O4" s="44">
        <v>2.2373385074899999E-2</v>
      </c>
      <c r="P4" s="44">
        <v>9.0541900000000002E-3</v>
      </c>
      <c r="Q4" s="43" t="s">
        <v>405</v>
      </c>
      <c r="R4" s="43" t="s">
        <v>406</v>
      </c>
      <c r="S4" s="43">
        <v>7</v>
      </c>
      <c r="T4" s="43">
        <v>40</v>
      </c>
      <c r="U4" s="43" t="s">
        <v>412</v>
      </c>
      <c r="V4" s="43" t="s">
        <v>545</v>
      </c>
      <c r="W4" s="43" t="s">
        <v>416</v>
      </c>
      <c r="X4" s="45">
        <v>0.115981</v>
      </c>
      <c r="Y4" s="45">
        <v>0.78300000000000003</v>
      </c>
      <c r="Z4" s="45">
        <f t="shared" si="0"/>
        <v>2.2787474025462998E-4</v>
      </c>
    </row>
    <row r="5" spans="1:26" x14ac:dyDescent="0.2">
      <c r="A5" s="43">
        <v>103</v>
      </c>
      <c r="B5" s="43">
        <v>114</v>
      </c>
      <c r="C5" s="43">
        <v>5</v>
      </c>
      <c r="D5" s="43" t="s">
        <v>424</v>
      </c>
      <c r="E5" s="43" t="s">
        <v>568</v>
      </c>
      <c r="F5" s="43" t="s">
        <v>571</v>
      </c>
      <c r="G5" s="43" t="s">
        <v>464</v>
      </c>
      <c r="H5" s="43">
        <v>18439</v>
      </c>
      <c r="I5" s="43">
        <v>18440</v>
      </c>
      <c r="J5" s="43">
        <v>18440</v>
      </c>
      <c r="K5" s="43">
        <v>4271</v>
      </c>
      <c r="L5" s="43">
        <v>4271</v>
      </c>
      <c r="M5" s="43" t="s">
        <v>372</v>
      </c>
      <c r="N5" s="43" t="s">
        <v>555</v>
      </c>
      <c r="O5" s="44">
        <v>0.15521278760099999</v>
      </c>
      <c r="P5" s="44">
        <v>6.2812400000000004E-2</v>
      </c>
      <c r="Q5" s="43" t="s">
        <v>405</v>
      </c>
      <c r="R5" s="43" t="s">
        <v>406</v>
      </c>
      <c r="S5" s="43">
        <v>7</v>
      </c>
      <c r="T5" s="43">
        <v>40</v>
      </c>
      <c r="U5" s="43" t="s">
        <v>412</v>
      </c>
      <c r="V5" s="43" t="s">
        <v>572</v>
      </c>
      <c r="W5" s="43" t="s">
        <v>416</v>
      </c>
      <c r="X5" s="45">
        <v>0.115981</v>
      </c>
      <c r="Y5" s="45">
        <v>0.78300000000000003</v>
      </c>
      <c r="Z5" s="45">
        <f t="shared" si="0"/>
        <v>1.5808547572748E-3</v>
      </c>
    </row>
    <row r="6" spans="1:26" x14ac:dyDescent="0.2">
      <c r="A6" s="43">
        <v>103</v>
      </c>
      <c r="B6" s="43">
        <v>114</v>
      </c>
      <c r="C6" s="43">
        <v>5</v>
      </c>
      <c r="D6" s="43" t="s">
        <v>424</v>
      </c>
      <c r="E6" s="43" t="s">
        <v>568</v>
      </c>
      <c r="F6" s="43" t="s">
        <v>571</v>
      </c>
      <c r="G6" s="43" t="s">
        <v>464</v>
      </c>
      <c r="H6" s="43">
        <v>30384</v>
      </c>
      <c r="I6" s="43">
        <v>30385</v>
      </c>
      <c r="J6" s="43">
        <v>32097</v>
      </c>
      <c r="K6" s="43">
        <v>6216</v>
      </c>
      <c r="L6" s="43">
        <v>6216</v>
      </c>
      <c r="M6" s="43" t="s">
        <v>372</v>
      </c>
      <c r="N6" s="43" t="s">
        <v>555</v>
      </c>
      <c r="O6" s="44">
        <v>0.12873986703400001</v>
      </c>
      <c r="P6" s="44">
        <v>5.2099199999999998E-2</v>
      </c>
      <c r="Q6" s="43" t="s">
        <v>405</v>
      </c>
      <c r="R6" s="43" t="s">
        <v>406</v>
      </c>
      <c r="S6" s="43">
        <v>16</v>
      </c>
      <c r="T6" s="43">
        <v>60</v>
      </c>
      <c r="U6" s="43" t="s">
        <v>417</v>
      </c>
      <c r="V6" s="43" t="s">
        <v>546</v>
      </c>
      <c r="W6" s="43" t="s">
        <v>443</v>
      </c>
      <c r="X6" s="45">
        <v>0.78656000000000004</v>
      </c>
      <c r="Y6" s="45">
        <v>0.78300000000000003</v>
      </c>
      <c r="Z6" s="45">
        <f t="shared" si="0"/>
        <v>8.8924748451839983E-3</v>
      </c>
    </row>
    <row r="7" spans="1:26" x14ac:dyDescent="0.2">
      <c r="A7" s="43">
        <v>103</v>
      </c>
      <c r="B7" s="43">
        <v>114</v>
      </c>
      <c r="C7" s="43">
        <v>5</v>
      </c>
      <c r="D7" s="43" t="s">
        <v>424</v>
      </c>
      <c r="E7" s="43" t="s">
        <v>568</v>
      </c>
      <c r="F7" s="43" t="s">
        <v>571</v>
      </c>
      <c r="G7" s="43" t="s">
        <v>464</v>
      </c>
      <c r="H7" s="43">
        <v>52641</v>
      </c>
      <c r="I7" s="43">
        <v>52645</v>
      </c>
      <c r="J7" s="43">
        <v>52611</v>
      </c>
      <c r="K7" s="43">
        <v>8100</v>
      </c>
      <c r="L7" s="43">
        <v>8100</v>
      </c>
      <c r="M7" s="43" t="s">
        <v>372</v>
      </c>
      <c r="N7" s="43" t="s">
        <v>472</v>
      </c>
      <c r="O7" s="44">
        <v>0.14305376193899999</v>
      </c>
      <c r="P7" s="44">
        <v>5.78918E-2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570</v>
      </c>
      <c r="W7" s="43" t="s">
        <v>421</v>
      </c>
      <c r="X7" s="45">
        <v>0.717032</v>
      </c>
      <c r="Y7" s="45">
        <v>0.78300000000000003</v>
      </c>
      <c r="Z7" s="45">
        <f t="shared" si="0"/>
        <v>9.0077292708591987E-3</v>
      </c>
    </row>
    <row r="8" spans="1:26" x14ac:dyDescent="0.2">
      <c r="O8" s="44">
        <f>SUM(O2:O7)</f>
        <v>7.5664329728099</v>
      </c>
      <c r="Z8" s="45">
        <f>SUM(Z2:Z7)</f>
        <v>0.32376252620378865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103</v>
      </c>
      <c r="B12" s="43">
        <v>114</v>
      </c>
      <c r="C12" s="43">
        <v>5</v>
      </c>
      <c r="D12" s="43" t="s">
        <v>424</v>
      </c>
      <c r="E12" s="43" t="s">
        <v>568</v>
      </c>
      <c r="F12" s="43" t="s">
        <v>571</v>
      </c>
      <c r="G12" s="43" t="s">
        <v>464</v>
      </c>
      <c r="H12" s="43">
        <v>657</v>
      </c>
      <c r="I12" s="43">
        <v>659</v>
      </c>
      <c r="J12" s="43">
        <v>1454</v>
      </c>
      <c r="K12" s="43">
        <v>1110</v>
      </c>
      <c r="L12" s="43">
        <v>1110</v>
      </c>
      <c r="M12" s="43" t="s">
        <v>372</v>
      </c>
      <c r="N12" s="43" t="s">
        <v>555</v>
      </c>
      <c r="O12" s="44">
        <v>6.82514519246</v>
      </c>
      <c r="P12" s="44">
        <v>2.7620399999999998</v>
      </c>
      <c r="Q12" s="43" t="s">
        <v>405</v>
      </c>
      <c r="R12" s="43" t="s">
        <v>406</v>
      </c>
      <c r="S12" s="43">
        <v>2</v>
      </c>
      <c r="T12" s="43">
        <v>10</v>
      </c>
      <c r="U12" s="43" t="s">
        <v>407</v>
      </c>
      <c r="V12" s="43" t="s">
        <v>434</v>
      </c>
      <c r="W12" s="43" t="s">
        <v>435</v>
      </c>
      <c r="X12" s="45">
        <v>11.234235</v>
      </c>
      <c r="Y12" s="45">
        <v>0.6</v>
      </c>
      <c r="Z12" s="45">
        <v>8.7192632094714</v>
      </c>
    </row>
    <row r="13" spans="1:26" x14ac:dyDescent="0.2">
      <c r="A13" s="43">
        <v>103</v>
      </c>
      <c r="B13" s="43">
        <v>114</v>
      </c>
      <c r="C13" s="43">
        <v>5</v>
      </c>
      <c r="D13" s="43" t="s">
        <v>424</v>
      </c>
      <c r="E13" s="43" t="s">
        <v>568</v>
      </c>
      <c r="F13" s="43" t="s">
        <v>571</v>
      </c>
      <c r="G13" s="43" t="s">
        <v>464</v>
      </c>
      <c r="H13" s="43">
        <v>1467</v>
      </c>
      <c r="I13" s="43">
        <v>1468</v>
      </c>
      <c r="J13" s="43">
        <v>1418</v>
      </c>
      <c r="K13" s="43">
        <v>1110</v>
      </c>
      <c r="L13" s="43">
        <v>1110</v>
      </c>
      <c r="M13" s="43" t="s">
        <v>372</v>
      </c>
      <c r="N13" s="43" t="s">
        <v>472</v>
      </c>
      <c r="O13" s="44">
        <v>0.29190797870099999</v>
      </c>
      <c r="P13" s="44">
        <v>0.118131</v>
      </c>
      <c r="Q13" s="43" t="s">
        <v>405</v>
      </c>
      <c r="R13" s="43" t="s">
        <v>406</v>
      </c>
      <c r="S13" s="43">
        <v>2</v>
      </c>
      <c r="T13" s="43">
        <v>10</v>
      </c>
      <c r="U13" s="43" t="s">
        <v>407</v>
      </c>
      <c r="V13" s="43" t="s">
        <v>434</v>
      </c>
      <c r="W13" s="43" t="s">
        <v>435</v>
      </c>
      <c r="X13" s="45">
        <v>11.234235</v>
      </c>
      <c r="Y13" s="45">
        <v>0.6</v>
      </c>
      <c r="Z13" s="45">
        <v>0.37291830755458505</v>
      </c>
    </row>
    <row r="14" spans="1:26" x14ac:dyDescent="0.2">
      <c r="A14" s="43">
        <v>103</v>
      </c>
      <c r="B14" s="43">
        <v>114</v>
      </c>
      <c r="C14" s="43">
        <v>5</v>
      </c>
      <c r="D14" s="43" t="s">
        <v>424</v>
      </c>
      <c r="E14" s="43" t="s">
        <v>568</v>
      </c>
      <c r="F14" s="43" t="s">
        <v>571</v>
      </c>
      <c r="G14" s="43" t="s">
        <v>464</v>
      </c>
      <c r="H14" s="43">
        <v>17779</v>
      </c>
      <c r="I14" s="43">
        <v>17780</v>
      </c>
      <c r="J14" s="43">
        <v>17780</v>
      </c>
      <c r="K14" s="43">
        <v>4200</v>
      </c>
      <c r="L14" s="43">
        <v>4200</v>
      </c>
      <c r="M14" s="43" t="s">
        <v>372</v>
      </c>
      <c r="N14" s="43" t="s">
        <v>555</v>
      </c>
      <c r="O14" s="44">
        <v>2.2373385074899999E-2</v>
      </c>
      <c r="P14" s="44">
        <v>9.0541900000000002E-3</v>
      </c>
      <c r="Q14" s="43" t="s">
        <v>405</v>
      </c>
      <c r="R14" s="43" t="s">
        <v>406</v>
      </c>
      <c r="S14" s="43">
        <v>7</v>
      </c>
      <c r="T14" s="43">
        <v>40</v>
      </c>
      <c r="U14" s="43" t="s">
        <v>412</v>
      </c>
      <c r="V14" s="43" t="s">
        <v>545</v>
      </c>
      <c r="W14" s="43" t="s">
        <v>416</v>
      </c>
      <c r="X14" s="45">
        <v>7.558414</v>
      </c>
      <c r="Y14" s="45">
        <v>0.6</v>
      </c>
      <c r="Z14" s="45">
        <v>1.9230323923759462E-2</v>
      </c>
    </row>
    <row r="15" spans="1:26" x14ac:dyDescent="0.2">
      <c r="A15" s="43">
        <v>103</v>
      </c>
      <c r="B15" s="43">
        <v>114</v>
      </c>
      <c r="C15" s="43">
        <v>5</v>
      </c>
      <c r="D15" s="43" t="s">
        <v>424</v>
      </c>
      <c r="E15" s="43" t="s">
        <v>568</v>
      </c>
      <c r="F15" s="43" t="s">
        <v>571</v>
      </c>
      <c r="G15" s="43" t="s">
        <v>464</v>
      </c>
      <c r="H15" s="43">
        <v>18439</v>
      </c>
      <c r="I15" s="43">
        <v>18440</v>
      </c>
      <c r="J15" s="43">
        <v>18440</v>
      </c>
      <c r="K15" s="43">
        <v>4271</v>
      </c>
      <c r="L15" s="43">
        <v>4271</v>
      </c>
      <c r="M15" s="43" t="s">
        <v>372</v>
      </c>
      <c r="N15" s="43" t="s">
        <v>555</v>
      </c>
      <c r="O15" s="44">
        <v>0.15521278760099999</v>
      </c>
      <c r="P15" s="44">
        <v>6.2812400000000004E-2</v>
      </c>
      <c r="Q15" s="43" t="s">
        <v>405</v>
      </c>
      <c r="R15" s="43" t="s">
        <v>406</v>
      </c>
      <c r="S15" s="43">
        <v>7</v>
      </c>
      <c r="T15" s="43">
        <v>40</v>
      </c>
      <c r="U15" s="43" t="s">
        <v>412</v>
      </c>
      <c r="V15" s="43" t="s">
        <v>572</v>
      </c>
      <c r="W15" s="43" t="s">
        <v>416</v>
      </c>
      <c r="X15" s="45">
        <v>7.558414</v>
      </c>
      <c r="Y15" s="45">
        <v>0.6</v>
      </c>
      <c r="Z15" s="45">
        <v>0.13340815671294162</v>
      </c>
    </row>
    <row r="16" spans="1:26" x14ac:dyDescent="0.2">
      <c r="A16" s="43">
        <v>103</v>
      </c>
      <c r="B16" s="43">
        <v>114</v>
      </c>
      <c r="C16" s="43">
        <v>5</v>
      </c>
      <c r="D16" s="43" t="s">
        <v>424</v>
      </c>
      <c r="E16" s="43" t="s">
        <v>568</v>
      </c>
      <c r="F16" s="43" t="s">
        <v>571</v>
      </c>
      <c r="G16" s="43" t="s">
        <v>464</v>
      </c>
      <c r="H16" s="43">
        <v>30384</v>
      </c>
      <c r="I16" s="43">
        <v>30385</v>
      </c>
      <c r="J16" s="43">
        <v>32097</v>
      </c>
      <c r="K16" s="43">
        <v>6216</v>
      </c>
      <c r="L16" s="43">
        <v>6216</v>
      </c>
      <c r="M16" s="43" t="s">
        <v>372</v>
      </c>
      <c r="N16" s="43" t="s">
        <v>555</v>
      </c>
      <c r="O16" s="44">
        <v>0.12873986703400001</v>
      </c>
      <c r="P16" s="44">
        <v>5.2099199999999998E-2</v>
      </c>
      <c r="Q16" s="43" t="s">
        <v>405</v>
      </c>
      <c r="R16" s="43" t="s">
        <v>406</v>
      </c>
      <c r="S16" s="43">
        <v>16</v>
      </c>
      <c r="T16" s="43">
        <v>60</v>
      </c>
      <c r="U16" s="43" t="s">
        <v>417</v>
      </c>
      <c r="V16" s="43" t="s">
        <v>546</v>
      </c>
      <c r="W16" s="43" t="s">
        <v>443</v>
      </c>
      <c r="X16" s="45">
        <v>7.079313</v>
      </c>
      <c r="Y16" s="45">
        <v>0.6</v>
      </c>
      <c r="Z16" s="45">
        <v>0.10364025882173761</v>
      </c>
    </row>
    <row r="17" spans="1:26" x14ac:dyDescent="0.2">
      <c r="A17" s="43">
        <v>103</v>
      </c>
      <c r="B17" s="43">
        <v>114</v>
      </c>
      <c r="C17" s="43">
        <v>5</v>
      </c>
      <c r="D17" s="43" t="s">
        <v>424</v>
      </c>
      <c r="E17" s="43" t="s">
        <v>568</v>
      </c>
      <c r="F17" s="43" t="s">
        <v>571</v>
      </c>
      <c r="G17" s="43" t="s">
        <v>464</v>
      </c>
      <c r="H17" s="43">
        <v>52641</v>
      </c>
      <c r="I17" s="43">
        <v>52645</v>
      </c>
      <c r="J17" s="43">
        <v>52611</v>
      </c>
      <c r="K17" s="43">
        <v>8100</v>
      </c>
      <c r="L17" s="43">
        <v>8100</v>
      </c>
      <c r="M17" s="43" t="s">
        <v>372</v>
      </c>
      <c r="N17" s="43" t="s">
        <v>472</v>
      </c>
      <c r="O17" s="44">
        <v>0.14305376193899999</v>
      </c>
      <c r="P17" s="44">
        <v>5.78918E-2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570</v>
      </c>
      <c r="W17" s="43" t="s">
        <v>421</v>
      </c>
      <c r="X17" s="45">
        <v>3.4929570000000001</v>
      </c>
      <c r="Y17" s="45">
        <v>0.6</v>
      </c>
      <c r="Z17" s="45">
        <v>5.682201262278061E-2</v>
      </c>
    </row>
    <row r="18" spans="1:26" x14ac:dyDescent="0.2">
      <c r="Z18" s="45">
        <f>SUM(Z12:Z17)</f>
        <v>9.4052822691072056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opLeftCell="Q1" workbookViewId="0">
      <selection activeCell="Y13" sqref="Y13:Y2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27.285156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117</v>
      </c>
      <c r="B2" s="43">
        <v>128</v>
      </c>
      <c r="C2" s="43">
        <v>5</v>
      </c>
      <c r="D2" s="43" t="s">
        <v>457</v>
      </c>
      <c r="E2" s="43" t="s">
        <v>548</v>
      </c>
      <c r="F2" s="43" t="s">
        <v>573</v>
      </c>
      <c r="G2" s="43" t="s">
        <v>464</v>
      </c>
      <c r="H2" s="43">
        <v>4476</v>
      </c>
      <c r="I2" s="43">
        <v>4477</v>
      </c>
      <c r="J2" s="43">
        <v>4445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0.223307161359</v>
      </c>
      <c r="P2" s="44">
        <v>9.0369199999999997E-2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9" si="0">P2*X2*(1-Y2)</f>
        <v>3.4808427252793595E-2</v>
      </c>
    </row>
    <row r="3" spans="1:26" x14ac:dyDescent="0.2">
      <c r="A3" s="43">
        <v>117</v>
      </c>
      <c r="B3" s="43">
        <v>128</v>
      </c>
      <c r="C3" s="43">
        <v>5</v>
      </c>
      <c r="D3" s="43" t="s">
        <v>457</v>
      </c>
      <c r="E3" s="43" t="s">
        <v>548</v>
      </c>
      <c r="F3" s="43" t="s">
        <v>573</v>
      </c>
      <c r="G3" s="43" t="s">
        <v>464</v>
      </c>
      <c r="H3" s="43">
        <v>4481</v>
      </c>
      <c r="I3" s="43">
        <v>4482</v>
      </c>
      <c r="J3" s="43">
        <v>4450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0.73733587558400004</v>
      </c>
      <c r="P3" s="44">
        <v>0.29838900000000002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0.11493353708491198</v>
      </c>
    </row>
    <row r="4" spans="1:26" x14ac:dyDescent="0.2">
      <c r="A4" s="43">
        <v>117</v>
      </c>
      <c r="B4" s="43">
        <v>128</v>
      </c>
      <c r="C4" s="43">
        <v>5</v>
      </c>
      <c r="D4" s="43" t="s">
        <v>457</v>
      </c>
      <c r="E4" s="43" t="s">
        <v>548</v>
      </c>
      <c r="F4" s="43" t="s">
        <v>573</v>
      </c>
      <c r="G4" s="43" t="s">
        <v>464</v>
      </c>
      <c r="H4" s="43">
        <v>4486</v>
      </c>
      <c r="I4" s="43">
        <v>4487</v>
      </c>
      <c r="J4" s="43">
        <v>4455</v>
      </c>
      <c r="K4" s="43">
        <v>1400</v>
      </c>
      <c r="L4" s="43">
        <v>1400</v>
      </c>
      <c r="M4" s="43" t="s">
        <v>372</v>
      </c>
      <c r="N4" s="43" t="s">
        <v>404</v>
      </c>
      <c r="O4" s="44">
        <v>1.55502180271E-2</v>
      </c>
      <c r="P4" s="44">
        <v>6.2929500000000003E-3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0.78300000000000003</v>
      </c>
      <c r="Z4" s="45">
        <f t="shared" si="0"/>
        <v>2.4239197899335995E-3</v>
      </c>
    </row>
    <row r="5" spans="1:26" x14ac:dyDescent="0.2">
      <c r="A5" s="43">
        <v>117</v>
      </c>
      <c r="B5" s="43">
        <v>128</v>
      </c>
      <c r="C5" s="43">
        <v>5</v>
      </c>
      <c r="D5" s="43" t="s">
        <v>457</v>
      </c>
      <c r="E5" s="43" t="s">
        <v>548</v>
      </c>
      <c r="F5" s="43" t="s">
        <v>573</v>
      </c>
      <c r="G5" s="43" t="s">
        <v>464</v>
      </c>
      <c r="H5" s="43">
        <v>15245</v>
      </c>
      <c r="I5" s="43">
        <v>15246</v>
      </c>
      <c r="J5" s="43">
        <v>15178</v>
      </c>
      <c r="K5" s="43">
        <v>3200</v>
      </c>
      <c r="L5" s="43">
        <v>3200</v>
      </c>
      <c r="M5" s="43" t="s">
        <v>372</v>
      </c>
      <c r="N5" s="43" t="s">
        <v>404</v>
      </c>
      <c r="O5" s="44">
        <v>0.80771765255799999</v>
      </c>
      <c r="P5" s="44">
        <v>0.326872</v>
      </c>
      <c r="Q5" s="43" t="s">
        <v>405</v>
      </c>
      <c r="R5" s="43" t="s">
        <v>406</v>
      </c>
      <c r="S5" s="43">
        <v>5</v>
      </c>
      <c r="T5" s="43">
        <v>30</v>
      </c>
      <c r="U5" s="43" t="s">
        <v>455</v>
      </c>
      <c r="V5" s="43" t="s">
        <v>456</v>
      </c>
      <c r="W5" s="43" t="s">
        <v>414</v>
      </c>
      <c r="X5" s="45">
        <v>9.3119999999999994E-2</v>
      </c>
      <c r="Y5" s="45">
        <v>0.78300000000000003</v>
      </c>
      <c r="Z5" s="45">
        <f t="shared" si="0"/>
        <v>6.6051155788799986E-3</v>
      </c>
    </row>
    <row r="6" spans="1:26" x14ac:dyDescent="0.2">
      <c r="A6" s="43">
        <v>117</v>
      </c>
      <c r="B6" s="43">
        <v>128</v>
      </c>
      <c r="C6" s="43">
        <v>5</v>
      </c>
      <c r="D6" s="43" t="s">
        <v>457</v>
      </c>
      <c r="E6" s="43" t="s">
        <v>548</v>
      </c>
      <c r="F6" s="43" t="s">
        <v>573</v>
      </c>
      <c r="G6" s="43" t="s">
        <v>464</v>
      </c>
      <c r="H6" s="43">
        <v>19347</v>
      </c>
      <c r="I6" s="43">
        <v>19348</v>
      </c>
      <c r="J6" s="43">
        <v>19357</v>
      </c>
      <c r="K6" s="43">
        <v>4340</v>
      </c>
      <c r="L6" s="43">
        <v>4340</v>
      </c>
      <c r="M6" s="43" t="s">
        <v>372</v>
      </c>
      <c r="N6" s="43" t="s">
        <v>404</v>
      </c>
      <c r="O6" s="44">
        <v>0.122908220715</v>
      </c>
      <c r="P6" s="44">
        <v>4.9739199999999997E-2</v>
      </c>
      <c r="Q6" s="43" t="s">
        <v>405</v>
      </c>
      <c r="R6" s="43" t="s">
        <v>406</v>
      </c>
      <c r="S6" s="43">
        <v>7</v>
      </c>
      <c r="T6" s="43">
        <v>40</v>
      </c>
      <c r="U6" s="43" t="s">
        <v>412</v>
      </c>
      <c r="V6" s="43" t="s">
        <v>415</v>
      </c>
      <c r="W6" s="43" t="s">
        <v>416</v>
      </c>
      <c r="X6" s="45">
        <v>0.115981</v>
      </c>
      <c r="Y6" s="45">
        <v>0.78300000000000003</v>
      </c>
      <c r="Z6" s="45">
        <f t="shared" si="0"/>
        <v>1.2518300676783998E-3</v>
      </c>
    </row>
    <row r="7" spans="1:26" x14ac:dyDescent="0.2">
      <c r="A7" s="43">
        <v>117</v>
      </c>
      <c r="B7" s="43">
        <v>128</v>
      </c>
      <c r="C7" s="43">
        <v>5</v>
      </c>
      <c r="D7" s="43" t="s">
        <v>457</v>
      </c>
      <c r="E7" s="43" t="s">
        <v>548</v>
      </c>
      <c r="F7" s="43" t="s">
        <v>573</v>
      </c>
      <c r="G7" s="43" t="s">
        <v>464</v>
      </c>
      <c r="H7" s="43">
        <v>23135</v>
      </c>
      <c r="I7" s="43">
        <v>23136</v>
      </c>
      <c r="J7" s="43">
        <v>23113</v>
      </c>
      <c r="K7" s="43">
        <v>5300</v>
      </c>
      <c r="L7" s="43">
        <v>5300</v>
      </c>
      <c r="M7" s="43" t="s">
        <v>372</v>
      </c>
      <c r="N7" s="43" t="s">
        <v>404</v>
      </c>
      <c r="O7" s="44">
        <v>1.2402963893200001</v>
      </c>
      <c r="P7" s="44">
        <v>0.50192999999999999</v>
      </c>
      <c r="Q7" s="43" t="s">
        <v>405</v>
      </c>
      <c r="R7" s="43" t="s">
        <v>406</v>
      </c>
      <c r="S7" s="43">
        <v>9</v>
      </c>
      <c r="T7" s="43">
        <v>50</v>
      </c>
      <c r="U7" s="43" t="s">
        <v>438</v>
      </c>
      <c r="V7" s="43" t="s">
        <v>439</v>
      </c>
      <c r="W7" s="43" t="s">
        <v>440</v>
      </c>
      <c r="X7" s="45">
        <v>0.128413</v>
      </c>
      <c r="Y7" s="45">
        <v>0.78300000000000003</v>
      </c>
      <c r="Z7" s="45">
        <f t="shared" si="0"/>
        <v>1.3986591148529997E-2</v>
      </c>
    </row>
    <row r="8" spans="1:26" x14ac:dyDescent="0.2">
      <c r="A8" s="43">
        <v>117</v>
      </c>
      <c r="B8" s="43">
        <v>128</v>
      </c>
      <c r="C8" s="43">
        <v>5</v>
      </c>
      <c r="D8" s="43" t="s">
        <v>457</v>
      </c>
      <c r="E8" s="43" t="s">
        <v>548</v>
      </c>
      <c r="F8" s="43" t="s">
        <v>573</v>
      </c>
      <c r="G8" s="43" t="s">
        <v>464</v>
      </c>
      <c r="H8" s="43">
        <v>52430</v>
      </c>
      <c r="I8" s="43">
        <v>52431</v>
      </c>
      <c r="J8" s="43">
        <v>52373</v>
      </c>
      <c r="K8" s="43">
        <v>7400</v>
      </c>
      <c r="L8" s="43">
        <v>7400</v>
      </c>
      <c r="M8" s="43" t="s">
        <v>372</v>
      </c>
      <c r="N8" s="43" t="s">
        <v>404</v>
      </c>
      <c r="O8" s="44">
        <v>2.2925419393599999E-2</v>
      </c>
      <c r="P8" s="44">
        <v>9.2775900000000005E-3</v>
      </c>
      <c r="Q8" s="43" t="s">
        <v>405</v>
      </c>
      <c r="R8" s="43" t="s">
        <v>406</v>
      </c>
      <c r="S8" s="43">
        <v>17</v>
      </c>
      <c r="T8" s="43">
        <v>70</v>
      </c>
      <c r="U8" s="43" t="s">
        <v>541</v>
      </c>
      <c r="V8" s="43" t="s">
        <v>542</v>
      </c>
      <c r="W8" s="43" t="s">
        <v>541</v>
      </c>
      <c r="X8" s="45">
        <v>0.78678800000000004</v>
      </c>
      <c r="Y8" s="45">
        <v>0.78300000000000003</v>
      </c>
      <c r="Z8" s="45">
        <f t="shared" si="0"/>
        <v>1.5839907363596399E-3</v>
      </c>
    </row>
    <row r="9" spans="1:26" x14ac:dyDescent="0.2">
      <c r="A9" s="43">
        <v>117</v>
      </c>
      <c r="B9" s="43">
        <v>128</v>
      </c>
      <c r="C9" s="43">
        <v>5</v>
      </c>
      <c r="D9" s="43" t="s">
        <v>457</v>
      </c>
      <c r="E9" s="43" t="s">
        <v>548</v>
      </c>
      <c r="F9" s="43" t="s">
        <v>573</v>
      </c>
      <c r="G9" s="43" t="s">
        <v>464</v>
      </c>
      <c r="H9" s="43">
        <v>52770</v>
      </c>
      <c r="I9" s="43">
        <v>52775</v>
      </c>
      <c r="J9" s="43">
        <v>52741</v>
      </c>
      <c r="K9" s="43">
        <v>8140</v>
      </c>
      <c r="L9" s="43">
        <v>8140</v>
      </c>
      <c r="M9" s="43" t="s">
        <v>372</v>
      </c>
      <c r="N9" s="43" t="s">
        <v>404</v>
      </c>
      <c r="O9" s="44">
        <v>11.4778467998</v>
      </c>
      <c r="P9" s="44">
        <v>4.6449199999999999</v>
      </c>
      <c r="Q9" s="43" t="s">
        <v>405</v>
      </c>
      <c r="R9" s="43" t="s">
        <v>406</v>
      </c>
      <c r="S9" s="43">
        <v>18</v>
      </c>
      <c r="T9" s="43">
        <v>10</v>
      </c>
      <c r="U9" s="43" t="s">
        <v>407</v>
      </c>
      <c r="V9" s="43" t="s">
        <v>420</v>
      </c>
      <c r="W9" s="43" t="s">
        <v>421</v>
      </c>
      <c r="X9" s="45">
        <v>0.717032</v>
      </c>
      <c r="Y9" s="45">
        <v>0.78300000000000003</v>
      </c>
      <c r="Z9" s="45">
        <f t="shared" si="0"/>
        <v>0.72273071220447993</v>
      </c>
    </row>
    <row r="10" spans="1:26" x14ac:dyDescent="0.2">
      <c r="O10" s="44">
        <f>SUM(O2:O9)</f>
        <v>14.647887736756701</v>
      </c>
      <c r="Z10" s="45">
        <f>SUM(Z2:Z9)</f>
        <v>0.89832412386356708</v>
      </c>
    </row>
    <row r="12" spans="1:26" x14ac:dyDescent="0.2">
      <c r="A12" s="43" t="s">
        <v>377</v>
      </c>
      <c r="B12" s="43" t="s">
        <v>378</v>
      </c>
      <c r="C12" s="43" t="s">
        <v>527</v>
      </c>
      <c r="D12" s="43" t="s">
        <v>528</v>
      </c>
      <c r="E12" s="43" t="s">
        <v>380</v>
      </c>
      <c r="F12" s="43" t="s">
        <v>529</v>
      </c>
      <c r="G12" s="43" t="s">
        <v>379</v>
      </c>
      <c r="H12" s="43" t="s">
        <v>383</v>
      </c>
      <c r="I12" s="43" t="s">
        <v>384</v>
      </c>
      <c r="J12" s="43" t="s">
        <v>385</v>
      </c>
      <c r="K12" s="43" t="s">
        <v>386</v>
      </c>
      <c r="L12" s="43" t="s">
        <v>387</v>
      </c>
      <c r="M12" s="43" t="s">
        <v>388</v>
      </c>
      <c r="N12" s="43" t="s">
        <v>389</v>
      </c>
      <c r="O12" s="44" t="s">
        <v>390</v>
      </c>
      <c r="P12" s="44" t="s">
        <v>391</v>
      </c>
      <c r="Q12" s="43" t="s">
        <v>392</v>
      </c>
      <c r="R12" s="43" t="s">
        <v>393</v>
      </c>
      <c r="S12" s="43" t="s">
        <v>394</v>
      </c>
      <c r="T12" s="43" t="s">
        <v>395</v>
      </c>
      <c r="U12" s="43" t="s">
        <v>396</v>
      </c>
      <c r="V12" s="43" t="s">
        <v>397</v>
      </c>
      <c r="W12" s="43" t="s">
        <v>398</v>
      </c>
      <c r="X12" s="45" t="s">
        <v>589</v>
      </c>
      <c r="Y12" s="45" t="s">
        <v>590</v>
      </c>
      <c r="Z12" s="45" t="s">
        <v>591</v>
      </c>
    </row>
    <row r="13" spans="1:26" x14ac:dyDescent="0.2">
      <c r="A13" s="43">
        <v>117</v>
      </c>
      <c r="B13" s="43">
        <v>128</v>
      </c>
      <c r="C13" s="43">
        <v>5</v>
      </c>
      <c r="D13" s="43" t="s">
        <v>457</v>
      </c>
      <c r="E13" s="43" t="s">
        <v>548</v>
      </c>
      <c r="F13" s="43" t="s">
        <v>573</v>
      </c>
      <c r="G13" s="43" t="s">
        <v>464</v>
      </c>
      <c r="H13" s="43">
        <v>4476</v>
      </c>
      <c r="I13" s="43">
        <v>4477</v>
      </c>
      <c r="J13" s="43">
        <v>4445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0.223307161359</v>
      </c>
      <c r="P13" s="44">
        <v>9.0369199999999997E-2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0.19892936878528883</v>
      </c>
    </row>
    <row r="14" spans="1:26" x14ac:dyDescent="0.2">
      <c r="A14" s="43">
        <v>117</v>
      </c>
      <c r="B14" s="43">
        <v>128</v>
      </c>
      <c r="C14" s="43">
        <v>5</v>
      </c>
      <c r="D14" s="43" t="s">
        <v>457</v>
      </c>
      <c r="E14" s="43" t="s">
        <v>548</v>
      </c>
      <c r="F14" s="43" t="s">
        <v>573</v>
      </c>
      <c r="G14" s="43" t="s">
        <v>464</v>
      </c>
      <c r="H14" s="43">
        <v>4481</v>
      </c>
      <c r="I14" s="43">
        <v>4482</v>
      </c>
      <c r="J14" s="43">
        <v>4450</v>
      </c>
      <c r="K14" s="43">
        <v>1400</v>
      </c>
      <c r="L14" s="43">
        <v>1400</v>
      </c>
      <c r="M14" s="43" t="s">
        <v>372</v>
      </c>
      <c r="N14" s="43" t="s">
        <v>404</v>
      </c>
      <c r="O14" s="44">
        <v>0.73733587558400004</v>
      </c>
      <c r="P14" s="44">
        <v>0.29838900000000002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408</v>
      </c>
      <c r="W14" s="43" t="s">
        <v>408</v>
      </c>
      <c r="X14" s="45">
        <v>7.8337940000000001</v>
      </c>
      <c r="Y14" s="45">
        <v>0.6</v>
      </c>
      <c r="Z14" s="45">
        <v>0.65684254616034621</v>
      </c>
    </row>
    <row r="15" spans="1:26" x14ac:dyDescent="0.2">
      <c r="A15" s="43">
        <v>117</v>
      </c>
      <c r="B15" s="43">
        <v>128</v>
      </c>
      <c r="C15" s="43">
        <v>5</v>
      </c>
      <c r="D15" s="43" t="s">
        <v>457</v>
      </c>
      <c r="E15" s="43" t="s">
        <v>548</v>
      </c>
      <c r="F15" s="43" t="s">
        <v>573</v>
      </c>
      <c r="G15" s="43" t="s">
        <v>464</v>
      </c>
      <c r="H15" s="43">
        <v>4486</v>
      </c>
      <c r="I15" s="43">
        <v>4487</v>
      </c>
      <c r="J15" s="43">
        <v>4455</v>
      </c>
      <c r="K15" s="43">
        <v>1400</v>
      </c>
      <c r="L15" s="43">
        <v>1400</v>
      </c>
      <c r="M15" s="43" t="s">
        <v>372</v>
      </c>
      <c r="N15" s="43" t="s">
        <v>404</v>
      </c>
      <c r="O15" s="44">
        <v>1.55502180271E-2</v>
      </c>
      <c r="P15" s="44">
        <v>6.2929500000000003E-3</v>
      </c>
      <c r="Q15" s="43" t="s">
        <v>405</v>
      </c>
      <c r="R15" s="43" t="s">
        <v>406</v>
      </c>
      <c r="S15" s="43">
        <v>3</v>
      </c>
      <c r="T15" s="43">
        <v>10</v>
      </c>
      <c r="U15" s="43" t="s">
        <v>407</v>
      </c>
      <c r="V15" s="43" t="s">
        <v>408</v>
      </c>
      <c r="W15" s="43" t="s">
        <v>408</v>
      </c>
      <c r="X15" s="45">
        <v>7.8337940000000001</v>
      </c>
      <c r="Y15" s="45">
        <v>0.6</v>
      </c>
      <c r="Z15" s="45">
        <v>1.3852646380596302E-2</v>
      </c>
    </row>
    <row r="16" spans="1:26" x14ac:dyDescent="0.2">
      <c r="A16" s="43">
        <v>117</v>
      </c>
      <c r="B16" s="43">
        <v>128</v>
      </c>
      <c r="C16" s="43">
        <v>5</v>
      </c>
      <c r="D16" s="43" t="s">
        <v>457</v>
      </c>
      <c r="E16" s="43" t="s">
        <v>548</v>
      </c>
      <c r="F16" s="43" t="s">
        <v>573</v>
      </c>
      <c r="G16" s="43" t="s">
        <v>464</v>
      </c>
      <c r="H16" s="43">
        <v>15245</v>
      </c>
      <c r="I16" s="43">
        <v>15246</v>
      </c>
      <c r="J16" s="43">
        <v>15178</v>
      </c>
      <c r="K16" s="43">
        <v>3200</v>
      </c>
      <c r="L16" s="43">
        <v>3200</v>
      </c>
      <c r="M16" s="43" t="s">
        <v>372</v>
      </c>
      <c r="N16" s="43" t="s">
        <v>404</v>
      </c>
      <c r="O16" s="44">
        <v>0.80771765255799999</v>
      </c>
      <c r="P16" s="44">
        <v>0.326872</v>
      </c>
      <c r="Q16" s="43" t="s">
        <v>405</v>
      </c>
      <c r="R16" s="43" t="s">
        <v>406</v>
      </c>
      <c r="S16" s="43">
        <v>5</v>
      </c>
      <c r="T16" s="43">
        <v>30</v>
      </c>
      <c r="U16" s="43" t="s">
        <v>455</v>
      </c>
      <c r="V16" s="43" t="s">
        <v>456</v>
      </c>
      <c r="W16" s="43" t="s">
        <v>414</v>
      </c>
      <c r="X16" s="45">
        <v>8.1290569999999995</v>
      </c>
      <c r="Y16" s="45">
        <v>0.6</v>
      </c>
      <c r="Z16" s="45">
        <v>0.74666227463682411</v>
      </c>
    </row>
    <row r="17" spans="1:26" x14ac:dyDescent="0.2">
      <c r="A17" s="43">
        <v>117</v>
      </c>
      <c r="B17" s="43">
        <v>128</v>
      </c>
      <c r="C17" s="43">
        <v>5</v>
      </c>
      <c r="D17" s="43" t="s">
        <v>457</v>
      </c>
      <c r="E17" s="43" t="s">
        <v>548</v>
      </c>
      <c r="F17" s="43" t="s">
        <v>573</v>
      </c>
      <c r="G17" s="43" t="s">
        <v>464</v>
      </c>
      <c r="H17" s="43">
        <v>19347</v>
      </c>
      <c r="I17" s="43">
        <v>19348</v>
      </c>
      <c r="J17" s="43">
        <v>19357</v>
      </c>
      <c r="K17" s="43">
        <v>4340</v>
      </c>
      <c r="L17" s="43">
        <v>4340</v>
      </c>
      <c r="M17" s="43" t="s">
        <v>372</v>
      </c>
      <c r="N17" s="43" t="s">
        <v>404</v>
      </c>
      <c r="O17" s="44">
        <v>0.122908220715</v>
      </c>
      <c r="P17" s="44">
        <v>4.9739199999999997E-2</v>
      </c>
      <c r="Q17" s="43" t="s">
        <v>405</v>
      </c>
      <c r="R17" s="43" t="s">
        <v>406</v>
      </c>
      <c r="S17" s="43">
        <v>7</v>
      </c>
      <c r="T17" s="43">
        <v>40</v>
      </c>
      <c r="U17" s="43" t="s">
        <v>412</v>
      </c>
      <c r="V17" s="43" t="s">
        <v>415</v>
      </c>
      <c r="W17" s="43" t="s">
        <v>416</v>
      </c>
      <c r="X17" s="45">
        <v>7.558414</v>
      </c>
      <c r="Y17" s="45">
        <v>0.6</v>
      </c>
      <c r="Z17" s="45">
        <v>0.10564179984169281</v>
      </c>
    </row>
    <row r="18" spans="1:26" x14ac:dyDescent="0.2">
      <c r="A18" s="43">
        <v>117</v>
      </c>
      <c r="B18" s="43">
        <v>128</v>
      </c>
      <c r="C18" s="43">
        <v>5</v>
      </c>
      <c r="D18" s="43" t="s">
        <v>457</v>
      </c>
      <c r="E18" s="43" t="s">
        <v>548</v>
      </c>
      <c r="F18" s="43" t="s">
        <v>573</v>
      </c>
      <c r="G18" s="43" t="s">
        <v>464</v>
      </c>
      <c r="H18" s="43">
        <v>23135</v>
      </c>
      <c r="I18" s="43">
        <v>23136</v>
      </c>
      <c r="J18" s="43">
        <v>23113</v>
      </c>
      <c r="K18" s="43">
        <v>5300</v>
      </c>
      <c r="L18" s="43">
        <v>5300</v>
      </c>
      <c r="M18" s="43" t="s">
        <v>372</v>
      </c>
      <c r="N18" s="43" t="s">
        <v>404</v>
      </c>
      <c r="O18" s="44">
        <v>1.2402963893200001</v>
      </c>
      <c r="P18" s="44">
        <v>0.50192999999999999</v>
      </c>
      <c r="Q18" s="43" t="s">
        <v>405</v>
      </c>
      <c r="R18" s="43" t="s">
        <v>406</v>
      </c>
      <c r="S18" s="43">
        <v>9</v>
      </c>
      <c r="T18" s="43">
        <v>50</v>
      </c>
      <c r="U18" s="43" t="s">
        <v>438</v>
      </c>
      <c r="V18" s="43" t="s">
        <v>439</v>
      </c>
      <c r="W18" s="43" t="s">
        <v>440</v>
      </c>
      <c r="X18" s="45">
        <v>2.201031</v>
      </c>
      <c r="Y18" s="45">
        <v>0.6</v>
      </c>
      <c r="Z18" s="45">
        <v>0.31043854064223003</v>
      </c>
    </row>
    <row r="19" spans="1:26" x14ac:dyDescent="0.2">
      <c r="A19" s="43">
        <v>117</v>
      </c>
      <c r="B19" s="43">
        <v>128</v>
      </c>
      <c r="C19" s="43">
        <v>5</v>
      </c>
      <c r="D19" s="43" t="s">
        <v>457</v>
      </c>
      <c r="E19" s="43" t="s">
        <v>548</v>
      </c>
      <c r="F19" s="43" t="s">
        <v>573</v>
      </c>
      <c r="G19" s="43" t="s">
        <v>464</v>
      </c>
      <c r="H19" s="43">
        <v>52430</v>
      </c>
      <c r="I19" s="43">
        <v>52431</v>
      </c>
      <c r="J19" s="43">
        <v>52373</v>
      </c>
      <c r="K19" s="43">
        <v>7400</v>
      </c>
      <c r="L19" s="43">
        <v>7400</v>
      </c>
      <c r="M19" s="43" t="s">
        <v>372</v>
      </c>
      <c r="N19" s="43" t="s">
        <v>404</v>
      </c>
      <c r="O19" s="44">
        <v>2.2925419393599999E-2</v>
      </c>
      <c r="P19" s="44">
        <v>9.2775900000000005E-3</v>
      </c>
      <c r="Q19" s="43" t="s">
        <v>405</v>
      </c>
      <c r="R19" s="43" t="s">
        <v>406</v>
      </c>
      <c r="S19" s="43">
        <v>17</v>
      </c>
      <c r="T19" s="43">
        <v>70</v>
      </c>
      <c r="U19" s="43" t="s">
        <v>541</v>
      </c>
      <c r="V19" s="43" t="s">
        <v>542</v>
      </c>
      <c r="W19" s="43" t="s">
        <v>541</v>
      </c>
      <c r="X19" s="45">
        <v>7.3482149999999997</v>
      </c>
      <c r="Y19" s="45">
        <v>0.6</v>
      </c>
      <c r="Z19" s="45">
        <v>1.915681700651985E-2</v>
      </c>
    </row>
    <row r="20" spans="1:26" x14ac:dyDescent="0.2">
      <c r="A20" s="43">
        <v>117</v>
      </c>
      <c r="B20" s="43">
        <v>128</v>
      </c>
      <c r="C20" s="43">
        <v>5</v>
      </c>
      <c r="D20" s="43" t="s">
        <v>457</v>
      </c>
      <c r="E20" s="43" t="s">
        <v>548</v>
      </c>
      <c r="F20" s="43" t="s">
        <v>573</v>
      </c>
      <c r="G20" s="43" t="s">
        <v>464</v>
      </c>
      <c r="H20" s="43">
        <v>52770</v>
      </c>
      <c r="I20" s="43">
        <v>52775</v>
      </c>
      <c r="J20" s="43">
        <v>52741</v>
      </c>
      <c r="K20" s="43">
        <v>8140</v>
      </c>
      <c r="L20" s="43">
        <v>8140</v>
      </c>
      <c r="M20" s="43" t="s">
        <v>372</v>
      </c>
      <c r="N20" s="43" t="s">
        <v>404</v>
      </c>
      <c r="O20" s="44">
        <v>11.4778467998</v>
      </c>
      <c r="P20" s="44">
        <v>4.6449199999999999</v>
      </c>
      <c r="Q20" s="43" t="s">
        <v>405</v>
      </c>
      <c r="R20" s="43" t="s">
        <v>406</v>
      </c>
      <c r="S20" s="43">
        <v>18</v>
      </c>
      <c r="T20" s="43">
        <v>10</v>
      </c>
      <c r="U20" s="43" t="s">
        <v>407</v>
      </c>
      <c r="V20" s="43" t="s">
        <v>420</v>
      </c>
      <c r="W20" s="43" t="s">
        <v>421</v>
      </c>
      <c r="X20" s="45">
        <v>3.4929570000000001</v>
      </c>
      <c r="Y20" s="45">
        <v>0.6</v>
      </c>
      <c r="Z20" s="45">
        <v>4.559086137791641</v>
      </c>
    </row>
    <row r="21" spans="1:26" x14ac:dyDescent="0.2">
      <c r="Z21" s="45">
        <f>SUM(Z13:Z20)</f>
        <v>6.6106101312451386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opLeftCell="Q1" workbookViewId="0">
      <selection activeCell="Y13" sqref="Y13:Y1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41.7109375" bestFit="1" customWidth="1"/>
    <col min="23" max="23" width="23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38</v>
      </c>
      <c r="B2" s="43">
        <v>41</v>
      </c>
      <c r="C2" s="43">
        <v>5</v>
      </c>
      <c r="D2" s="43" t="s">
        <v>424</v>
      </c>
      <c r="E2" s="43" t="s">
        <v>548</v>
      </c>
      <c r="F2" s="43" t="s">
        <v>549</v>
      </c>
      <c r="G2" s="43" t="s">
        <v>464</v>
      </c>
      <c r="H2" s="43">
        <v>4486</v>
      </c>
      <c r="I2" s="43">
        <v>4487</v>
      </c>
      <c r="J2" s="43">
        <v>4455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0.60323878165599998</v>
      </c>
      <c r="P2" s="44">
        <v>0.24412200000000001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8" si="0">P2*X2*(1-Y2)</f>
        <v>9.4030962737375989E-2</v>
      </c>
    </row>
    <row r="3" spans="1:26" x14ac:dyDescent="0.2">
      <c r="A3" s="43">
        <v>38</v>
      </c>
      <c r="B3" s="43">
        <v>41</v>
      </c>
      <c r="C3" s="43">
        <v>5</v>
      </c>
      <c r="D3" s="43" t="s">
        <v>424</v>
      </c>
      <c r="E3" s="43" t="s">
        <v>548</v>
      </c>
      <c r="F3" s="43" t="s">
        <v>549</v>
      </c>
      <c r="G3" s="43" t="s">
        <v>464</v>
      </c>
      <c r="H3" s="43">
        <v>4488</v>
      </c>
      <c r="I3" s="43">
        <v>4489</v>
      </c>
      <c r="J3" s="43">
        <v>4457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1.28990994871E-2</v>
      </c>
      <c r="P3" s="44">
        <v>5.2200800000000002E-3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2.01067150017664E-3</v>
      </c>
    </row>
    <row r="4" spans="1:26" x14ac:dyDescent="0.2">
      <c r="A4" s="43">
        <v>38</v>
      </c>
      <c r="B4" s="43">
        <v>41</v>
      </c>
      <c r="C4" s="43">
        <v>5</v>
      </c>
      <c r="D4" s="43" t="s">
        <v>424</v>
      </c>
      <c r="E4" s="43" t="s">
        <v>548</v>
      </c>
      <c r="F4" s="43" t="s">
        <v>549</v>
      </c>
      <c r="G4" s="43" t="s">
        <v>464</v>
      </c>
      <c r="H4" s="43">
        <v>23877</v>
      </c>
      <c r="I4" s="43">
        <v>23878</v>
      </c>
      <c r="J4" s="43">
        <v>23867</v>
      </c>
      <c r="K4" s="43">
        <v>6110</v>
      </c>
      <c r="L4" s="43">
        <v>6110</v>
      </c>
      <c r="M4" s="43" t="s">
        <v>372</v>
      </c>
      <c r="N4" s="43" t="s">
        <v>404</v>
      </c>
      <c r="O4" s="44">
        <v>0.148032141013</v>
      </c>
      <c r="P4" s="44">
        <v>5.9906500000000001E-2</v>
      </c>
      <c r="Q4" s="43" t="s">
        <v>405</v>
      </c>
      <c r="R4" s="43" t="s">
        <v>406</v>
      </c>
      <c r="S4" s="43">
        <v>10</v>
      </c>
      <c r="T4" s="43">
        <v>60</v>
      </c>
      <c r="U4" s="43" t="s">
        <v>417</v>
      </c>
      <c r="V4" s="43" t="s">
        <v>550</v>
      </c>
      <c r="W4" s="43" t="s">
        <v>550</v>
      </c>
      <c r="X4" s="45">
        <v>0.70995399999999997</v>
      </c>
      <c r="Y4" s="45">
        <v>0.78300000000000003</v>
      </c>
      <c r="Z4" s="45">
        <f t="shared" si="0"/>
        <v>9.2291964683169983E-3</v>
      </c>
    </row>
    <row r="5" spans="1:26" x14ac:dyDescent="0.2">
      <c r="A5" s="43">
        <v>38</v>
      </c>
      <c r="B5" s="43">
        <v>41</v>
      </c>
      <c r="C5" s="43">
        <v>5</v>
      </c>
      <c r="D5" s="43" t="s">
        <v>424</v>
      </c>
      <c r="E5" s="43" t="s">
        <v>548</v>
      </c>
      <c r="F5" s="43" t="s">
        <v>549</v>
      </c>
      <c r="G5" s="43" t="s">
        <v>464</v>
      </c>
      <c r="H5" s="43">
        <v>28479</v>
      </c>
      <c r="I5" s="43">
        <v>28480</v>
      </c>
      <c r="J5" s="43">
        <v>28414</v>
      </c>
      <c r="K5" s="43">
        <v>6172</v>
      </c>
      <c r="L5" s="43">
        <v>6172</v>
      </c>
      <c r="M5" s="43" t="s">
        <v>372</v>
      </c>
      <c r="N5" s="43" t="s">
        <v>404</v>
      </c>
      <c r="O5" s="44">
        <v>0.162360388839</v>
      </c>
      <c r="P5" s="44">
        <v>6.5704899999999997E-2</v>
      </c>
      <c r="Q5" s="43" t="s">
        <v>405</v>
      </c>
      <c r="R5" s="43" t="s">
        <v>406</v>
      </c>
      <c r="S5" s="43">
        <v>12</v>
      </c>
      <c r="T5" s="43">
        <v>60</v>
      </c>
      <c r="U5" s="43" t="s">
        <v>417</v>
      </c>
      <c r="V5" s="43" t="s">
        <v>479</v>
      </c>
      <c r="W5" s="43" t="s">
        <v>480</v>
      </c>
      <c r="X5" s="45">
        <v>0.596611</v>
      </c>
      <c r="Y5" s="45">
        <v>0.78300000000000003</v>
      </c>
      <c r="Z5" s="45">
        <f t="shared" si="0"/>
        <v>8.5064577423762978E-3</v>
      </c>
    </row>
    <row r="6" spans="1:26" x14ac:dyDescent="0.2">
      <c r="A6" s="43">
        <v>38</v>
      </c>
      <c r="B6" s="43">
        <v>41</v>
      </c>
      <c r="C6" s="43">
        <v>5</v>
      </c>
      <c r="D6" s="43" t="s">
        <v>424</v>
      </c>
      <c r="E6" s="43" t="s">
        <v>548</v>
      </c>
      <c r="F6" s="43" t="s">
        <v>549</v>
      </c>
      <c r="G6" s="43" t="s">
        <v>464</v>
      </c>
      <c r="H6" s="43">
        <v>33925</v>
      </c>
      <c r="I6" s="43">
        <v>33926</v>
      </c>
      <c r="J6" s="43">
        <v>33865</v>
      </c>
      <c r="K6" s="43">
        <v>6300</v>
      </c>
      <c r="L6" s="43">
        <v>6300</v>
      </c>
      <c r="M6" s="43" t="s">
        <v>372</v>
      </c>
      <c r="N6" s="43" t="s">
        <v>404</v>
      </c>
      <c r="O6" s="44">
        <v>0.57779076487000003</v>
      </c>
      <c r="P6" s="44">
        <v>0.233824</v>
      </c>
      <c r="Q6" s="43" t="s">
        <v>405</v>
      </c>
      <c r="R6" s="43" t="s">
        <v>406</v>
      </c>
      <c r="S6" s="43">
        <v>15</v>
      </c>
      <c r="T6" s="43">
        <v>60</v>
      </c>
      <c r="U6" s="43" t="s">
        <v>417</v>
      </c>
      <c r="V6" s="43" t="s">
        <v>419</v>
      </c>
      <c r="W6" s="43" t="s">
        <v>419</v>
      </c>
      <c r="X6" s="45">
        <v>0.75712800000000002</v>
      </c>
      <c r="Y6" s="45">
        <v>0.78300000000000003</v>
      </c>
      <c r="Z6" s="45">
        <f t="shared" si="0"/>
        <v>3.8416529351423999E-2</v>
      </c>
    </row>
    <row r="7" spans="1:26" x14ac:dyDescent="0.2">
      <c r="A7" s="43">
        <v>38</v>
      </c>
      <c r="B7" s="43">
        <v>41</v>
      </c>
      <c r="C7" s="43">
        <v>5</v>
      </c>
      <c r="D7" s="43" t="s">
        <v>424</v>
      </c>
      <c r="E7" s="43" t="s">
        <v>548</v>
      </c>
      <c r="F7" s="43" t="s">
        <v>549</v>
      </c>
      <c r="G7" s="43" t="s">
        <v>464</v>
      </c>
      <c r="H7" s="43">
        <v>44948</v>
      </c>
      <c r="I7" s="43">
        <v>44949</v>
      </c>
      <c r="J7" s="43">
        <v>44940</v>
      </c>
      <c r="K7" s="43">
        <v>6410</v>
      </c>
      <c r="L7" s="43">
        <v>6410</v>
      </c>
      <c r="M7" s="43" t="s">
        <v>372</v>
      </c>
      <c r="N7" s="43" t="s">
        <v>404</v>
      </c>
      <c r="O7" s="44">
        <v>0.85626071754999999</v>
      </c>
      <c r="P7" s="44">
        <v>0.34651599999999999</v>
      </c>
      <c r="Q7" s="43" t="s">
        <v>405</v>
      </c>
      <c r="R7" s="43" t="s">
        <v>406</v>
      </c>
      <c r="S7" s="43">
        <v>16</v>
      </c>
      <c r="T7" s="43">
        <v>60</v>
      </c>
      <c r="U7" s="43" t="s">
        <v>417</v>
      </c>
      <c r="V7" s="43" t="s">
        <v>482</v>
      </c>
      <c r="W7" s="43" t="s">
        <v>443</v>
      </c>
      <c r="X7" s="45">
        <v>0.78656000000000004</v>
      </c>
      <c r="Y7" s="45">
        <v>0.78300000000000003</v>
      </c>
      <c r="Z7" s="45">
        <f t="shared" si="0"/>
        <v>5.9144570616319996E-2</v>
      </c>
    </row>
    <row r="8" spans="1:26" x14ac:dyDescent="0.2">
      <c r="A8" s="43">
        <v>38</v>
      </c>
      <c r="B8" s="43">
        <v>41</v>
      </c>
      <c r="C8" s="43">
        <v>5</v>
      </c>
      <c r="D8" s="43" t="s">
        <v>424</v>
      </c>
      <c r="E8" s="43" t="s">
        <v>548</v>
      </c>
      <c r="F8" s="43" t="s">
        <v>549</v>
      </c>
      <c r="G8" s="43" t="s">
        <v>464</v>
      </c>
      <c r="H8" s="43">
        <v>52770</v>
      </c>
      <c r="I8" s="43">
        <v>52775</v>
      </c>
      <c r="J8" s="43">
        <v>52741</v>
      </c>
      <c r="K8" s="43">
        <v>8140</v>
      </c>
      <c r="L8" s="43">
        <v>8140</v>
      </c>
      <c r="M8" s="43" t="s">
        <v>372</v>
      </c>
      <c r="N8" s="43" t="s">
        <v>404</v>
      </c>
      <c r="O8" s="44">
        <v>15.569171340500001</v>
      </c>
      <c r="P8" s="44">
        <v>6.3006200000000003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420</v>
      </c>
      <c r="W8" s="43" t="s">
        <v>421</v>
      </c>
      <c r="X8" s="45">
        <v>0.717032</v>
      </c>
      <c r="Y8" s="45">
        <v>0.78300000000000003</v>
      </c>
      <c r="Z8" s="45">
        <f t="shared" si="0"/>
        <v>0.98035091668527996</v>
      </c>
    </row>
    <row r="9" spans="1:26" x14ac:dyDescent="0.2">
      <c r="O9" s="44">
        <f>SUM(O2:O8)</f>
        <v>17.9297532339151</v>
      </c>
      <c r="Z9" s="45">
        <f>SUM(Z2:Z8)</f>
        <v>1.1916893051012698</v>
      </c>
    </row>
    <row r="12" spans="1:26" x14ac:dyDescent="0.2">
      <c r="A12" s="43" t="s">
        <v>377</v>
      </c>
      <c r="B12" s="43" t="s">
        <v>378</v>
      </c>
      <c r="C12" s="43" t="s">
        <v>527</v>
      </c>
      <c r="D12" s="43" t="s">
        <v>528</v>
      </c>
      <c r="E12" s="43" t="s">
        <v>380</v>
      </c>
      <c r="F12" s="43" t="s">
        <v>529</v>
      </c>
      <c r="G12" s="43" t="s">
        <v>379</v>
      </c>
      <c r="H12" s="43" t="s">
        <v>383</v>
      </c>
      <c r="I12" s="43" t="s">
        <v>384</v>
      </c>
      <c r="J12" s="43" t="s">
        <v>385</v>
      </c>
      <c r="K12" s="43" t="s">
        <v>386</v>
      </c>
      <c r="L12" s="43" t="s">
        <v>387</v>
      </c>
      <c r="M12" s="43" t="s">
        <v>388</v>
      </c>
      <c r="N12" s="43" t="s">
        <v>389</v>
      </c>
      <c r="O12" s="44" t="s">
        <v>390</v>
      </c>
      <c r="P12" s="44" t="s">
        <v>391</v>
      </c>
      <c r="Q12" s="43" t="s">
        <v>392</v>
      </c>
      <c r="R12" s="43" t="s">
        <v>393</v>
      </c>
      <c r="S12" s="43" t="s">
        <v>394</v>
      </c>
      <c r="T12" s="43" t="s">
        <v>395</v>
      </c>
      <c r="U12" s="43" t="s">
        <v>396</v>
      </c>
      <c r="V12" s="43" t="s">
        <v>397</v>
      </c>
      <c r="W12" s="43" t="s">
        <v>398</v>
      </c>
      <c r="X12" s="45" t="s">
        <v>589</v>
      </c>
      <c r="Y12" s="45" t="s">
        <v>590</v>
      </c>
      <c r="Z12" s="45" t="s">
        <v>591</v>
      </c>
    </row>
    <row r="13" spans="1:26" x14ac:dyDescent="0.2">
      <c r="A13" s="43">
        <v>38</v>
      </c>
      <c r="B13" s="43">
        <v>41</v>
      </c>
      <c r="C13" s="43">
        <v>5</v>
      </c>
      <c r="D13" s="43" t="s">
        <v>424</v>
      </c>
      <c r="E13" s="43" t="s">
        <v>548</v>
      </c>
      <c r="F13" s="43" t="s">
        <v>549</v>
      </c>
      <c r="G13" s="43" t="s">
        <v>464</v>
      </c>
      <c r="H13" s="43">
        <v>4486</v>
      </c>
      <c r="I13" s="43">
        <v>4487</v>
      </c>
      <c r="J13" s="43">
        <v>4455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0.60323878165599998</v>
      </c>
      <c r="P13" s="44">
        <v>0.24412200000000001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0.53738480994190807</v>
      </c>
    </row>
    <row r="14" spans="1:26" x14ac:dyDescent="0.2">
      <c r="A14" s="43">
        <v>38</v>
      </c>
      <c r="B14" s="43">
        <v>41</v>
      </c>
      <c r="C14" s="43">
        <v>5</v>
      </c>
      <c r="D14" s="43" t="s">
        <v>424</v>
      </c>
      <c r="E14" s="43" t="s">
        <v>548</v>
      </c>
      <c r="F14" s="43" t="s">
        <v>549</v>
      </c>
      <c r="G14" s="43" t="s">
        <v>464</v>
      </c>
      <c r="H14" s="43">
        <v>4488</v>
      </c>
      <c r="I14" s="43">
        <v>4489</v>
      </c>
      <c r="J14" s="43">
        <v>4457</v>
      </c>
      <c r="K14" s="43">
        <v>1400</v>
      </c>
      <c r="L14" s="43">
        <v>1400</v>
      </c>
      <c r="M14" s="43" t="s">
        <v>372</v>
      </c>
      <c r="N14" s="43" t="s">
        <v>404</v>
      </c>
      <c r="O14" s="44">
        <v>1.28990994871E-2</v>
      </c>
      <c r="P14" s="44">
        <v>5.2200800000000002E-3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408</v>
      </c>
      <c r="W14" s="43" t="s">
        <v>408</v>
      </c>
      <c r="X14" s="45">
        <v>7.8337940000000001</v>
      </c>
      <c r="Y14" s="45">
        <v>0.6</v>
      </c>
      <c r="Z14" s="45">
        <v>1.1490941818769123E-2</v>
      </c>
    </row>
    <row r="15" spans="1:26" x14ac:dyDescent="0.2">
      <c r="A15" s="43">
        <v>38</v>
      </c>
      <c r="B15" s="43">
        <v>41</v>
      </c>
      <c r="C15" s="43">
        <v>5</v>
      </c>
      <c r="D15" s="43" t="s">
        <v>424</v>
      </c>
      <c r="E15" s="43" t="s">
        <v>548</v>
      </c>
      <c r="F15" s="43" t="s">
        <v>549</v>
      </c>
      <c r="G15" s="43" t="s">
        <v>464</v>
      </c>
      <c r="H15" s="43">
        <v>23877</v>
      </c>
      <c r="I15" s="43">
        <v>23878</v>
      </c>
      <c r="J15" s="43">
        <v>23867</v>
      </c>
      <c r="K15" s="43">
        <v>6110</v>
      </c>
      <c r="L15" s="43">
        <v>6110</v>
      </c>
      <c r="M15" s="43" t="s">
        <v>372</v>
      </c>
      <c r="N15" s="43" t="s">
        <v>404</v>
      </c>
      <c r="O15" s="44">
        <v>0.148032141013</v>
      </c>
      <c r="P15" s="44">
        <v>5.9906500000000001E-2</v>
      </c>
      <c r="Q15" s="43" t="s">
        <v>405</v>
      </c>
      <c r="R15" s="43" t="s">
        <v>406</v>
      </c>
      <c r="S15" s="43">
        <v>10</v>
      </c>
      <c r="T15" s="43">
        <v>60</v>
      </c>
      <c r="U15" s="43" t="s">
        <v>417</v>
      </c>
      <c r="V15" s="43" t="s">
        <v>550</v>
      </c>
      <c r="W15" s="43" t="s">
        <v>550</v>
      </c>
      <c r="X15" s="45">
        <v>5.9896479999999999</v>
      </c>
      <c r="Y15" s="45">
        <v>0.6</v>
      </c>
      <c r="Z15" s="45">
        <v>0.10082809626327202</v>
      </c>
    </row>
    <row r="16" spans="1:26" x14ac:dyDescent="0.2">
      <c r="A16" s="43">
        <v>38</v>
      </c>
      <c r="B16" s="43">
        <v>41</v>
      </c>
      <c r="C16" s="43">
        <v>5</v>
      </c>
      <c r="D16" s="43" t="s">
        <v>424</v>
      </c>
      <c r="E16" s="43" t="s">
        <v>548</v>
      </c>
      <c r="F16" s="43" t="s">
        <v>549</v>
      </c>
      <c r="G16" s="43" t="s">
        <v>464</v>
      </c>
      <c r="H16" s="43">
        <v>28479</v>
      </c>
      <c r="I16" s="43">
        <v>28480</v>
      </c>
      <c r="J16" s="43">
        <v>28414</v>
      </c>
      <c r="K16" s="43">
        <v>6172</v>
      </c>
      <c r="L16" s="43">
        <v>6172</v>
      </c>
      <c r="M16" s="43" t="s">
        <v>372</v>
      </c>
      <c r="N16" s="43" t="s">
        <v>404</v>
      </c>
      <c r="O16" s="44">
        <v>0.162360388839</v>
      </c>
      <c r="P16" s="44">
        <v>6.5704899999999997E-2</v>
      </c>
      <c r="Q16" s="43" t="s">
        <v>405</v>
      </c>
      <c r="R16" s="43" t="s">
        <v>406</v>
      </c>
      <c r="S16" s="43">
        <v>12</v>
      </c>
      <c r="T16" s="43">
        <v>60</v>
      </c>
      <c r="U16" s="43" t="s">
        <v>417</v>
      </c>
      <c r="V16" s="43" t="s">
        <v>479</v>
      </c>
      <c r="W16" s="43" t="s">
        <v>480</v>
      </c>
      <c r="X16" s="45">
        <v>6.1431250000000004</v>
      </c>
      <c r="Y16" s="45">
        <v>0.6</v>
      </c>
      <c r="Z16" s="45">
        <v>0.11342098928131251</v>
      </c>
    </row>
    <row r="17" spans="1:26" x14ac:dyDescent="0.2">
      <c r="A17" s="43">
        <v>38</v>
      </c>
      <c r="B17" s="43">
        <v>41</v>
      </c>
      <c r="C17" s="43">
        <v>5</v>
      </c>
      <c r="D17" s="43" t="s">
        <v>424</v>
      </c>
      <c r="E17" s="43" t="s">
        <v>548</v>
      </c>
      <c r="F17" s="43" t="s">
        <v>549</v>
      </c>
      <c r="G17" s="43" t="s">
        <v>464</v>
      </c>
      <c r="H17" s="43">
        <v>33925</v>
      </c>
      <c r="I17" s="43">
        <v>33926</v>
      </c>
      <c r="J17" s="43">
        <v>33865</v>
      </c>
      <c r="K17" s="43">
        <v>6300</v>
      </c>
      <c r="L17" s="43">
        <v>6300</v>
      </c>
      <c r="M17" s="43" t="s">
        <v>372</v>
      </c>
      <c r="N17" s="43" t="s">
        <v>404</v>
      </c>
      <c r="O17" s="44">
        <v>0.57779076487000003</v>
      </c>
      <c r="P17" s="44">
        <v>0.233824</v>
      </c>
      <c r="Q17" s="43" t="s">
        <v>405</v>
      </c>
      <c r="R17" s="43" t="s">
        <v>406</v>
      </c>
      <c r="S17" s="43">
        <v>15</v>
      </c>
      <c r="T17" s="43">
        <v>60</v>
      </c>
      <c r="U17" s="43" t="s">
        <v>417</v>
      </c>
      <c r="V17" s="43" t="s">
        <v>419</v>
      </c>
      <c r="W17" s="43" t="s">
        <v>419</v>
      </c>
      <c r="X17" s="45">
        <v>6.8155330000000003</v>
      </c>
      <c r="Y17" s="45">
        <v>0.6</v>
      </c>
      <c r="Z17" s="45">
        <v>0.44781148788195207</v>
      </c>
    </row>
    <row r="18" spans="1:26" x14ac:dyDescent="0.2">
      <c r="A18" s="43">
        <v>38</v>
      </c>
      <c r="B18" s="43">
        <v>41</v>
      </c>
      <c r="C18" s="43">
        <v>5</v>
      </c>
      <c r="D18" s="43" t="s">
        <v>424</v>
      </c>
      <c r="E18" s="43" t="s">
        <v>548</v>
      </c>
      <c r="F18" s="43" t="s">
        <v>549</v>
      </c>
      <c r="G18" s="43" t="s">
        <v>464</v>
      </c>
      <c r="H18" s="43">
        <v>44948</v>
      </c>
      <c r="I18" s="43">
        <v>44949</v>
      </c>
      <c r="J18" s="43">
        <v>44940</v>
      </c>
      <c r="K18" s="43">
        <v>6410</v>
      </c>
      <c r="L18" s="43">
        <v>6410</v>
      </c>
      <c r="M18" s="43" t="s">
        <v>372</v>
      </c>
      <c r="N18" s="43" t="s">
        <v>404</v>
      </c>
      <c r="O18" s="44">
        <v>0.85626071754999999</v>
      </c>
      <c r="P18" s="44">
        <v>0.34651599999999999</v>
      </c>
      <c r="Q18" s="43" t="s">
        <v>405</v>
      </c>
      <c r="R18" s="43" t="s">
        <v>406</v>
      </c>
      <c r="S18" s="43">
        <v>16</v>
      </c>
      <c r="T18" s="43">
        <v>60</v>
      </c>
      <c r="U18" s="43" t="s">
        <v>417</v>
      </c>
      <c r="V18" s="43" t="s">
        <v>482</v>
      </c>
      <c r="W18" s="43" t="s">
        <v>443</v>
      </c>
      <c r="X18" s="45">
        <v>7.079313</v>
      </c>
      <c r="Y18" s="45">
        <v>0.6</v>
      </c>
      <c r="Z18" s="45">
        <v>0.68931975780574806</v>
      </c>
    </row>
    <row r="19" spans="1:26" x14ac:dyDescent="0.2">
      <c r="A19" s="43">
        <v>38</v>
      </c>
      <c r="B19" s="43">
        <v>41</v>
      </c>
      <c r="C19" s="43">
        <v>5</v>
      </c>
      <c r="D19" s="43" t="s">
        <v>424</v>
      </c>
      <c r="E19" s="43" t="s">
        <v>548</v>
      </c>
      <c r="F19" s="43" t="s">
        <v>549</v>
      </c>
      <c r="G19" s="43" t="s">
        <v>464</v>
      </c>
      <c r="H19" s="43">
        <v>52770</v>
      </c>
      <c r="I19" s="43">
        <v>52775</v>
      </c>
      <c r="J19" s="43">
        <v>52741</v>
      </c>
      <c r="K19" s="43">
        <v>8140</v>
      </c>
      <c r="L19" s="43">
        <v>8140</v>
      </c>
      <c r="M19" s="43" t="s">
        <v>372</v>
      </c>
      <c r="N19" s="43" t="s">
        <v>404</v>
      </c>
      <c r="O19" s="44">
        <v>15.569171340500001</v>
      </c>
      <c r="P19" s="44">
        <v>6.3006200000000003</v>
      </c>
      <c r="Q19" s="43" t="s">
        <v>405</v>
      </c>
      <c r="R19" s="43" t="s">
        <v>406</v>
      </c>
      <c r="S19" s="43">
        <v>18</v>
      </c>
      <c r="T19" s="43">
        <v>10</v>
      </c>
      <c r="U19" s="43" t="s">
        <v>407</v>
      </c>
      <c r="V19" s="43" t="s">
        <v>420</v>
      </c>
      <c r="W19" s="43" t="s">
        <v>421</v>
      </c>
      <c r="X19" s="45">
        <v>3.4929570000000001</v>
      </c>
      <c r="Y19" s="45">
        <v>0.6</v>
      </c>
      <c r="Z19" s="45">
        <v>6.1841903200685415</v>
      </c>
    </row>
    <row r="20" spans="1:26" x14ac:dyDescent="0.2">
      <c r="Z20" s="45">
        <f>SUM(Z13:Z19)</f>
        <v>8.084446403061504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Q1" workbookViewId="0">
      <selection activeCell="Y12" sqref="Y12:Y17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41.710937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39</v>
      </c>
      <c r="B2" s="43">
        <v>42</v>
      </c>
      <c r="C2" s="43">
        <v>5</v>
      </c>
      <c r="D2" s="43" t="s">
        <v>444</v>
      </c>
      <c r="E2" s="43" t="s">
        <v>548</v>
      </c>
      <c r="F2" s="43" t="s">
        <v>551</v>
      </c>
      <c r="G2" s="43" t="s">
        <v>464</v>
      </c>
      <c r="H2" s="43">
        <v>4487</v>
      </c>
      <c r="I2" s="43">
        <v>4488</v>
      </c>
      <c r="J2" s="43">
        <v>4456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7.02354903621E-2</v>
      </c>
      <c r="P2" s="44">
        <v>2.8423299999999999E-2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7" si="0">P2*X2*(1-Y2)</f>
        <v>1.0948092606046398E-2</v>
      </c>
    </row>
    <row r="3" spans="1:26" x14ac:dyDescent="0.2">
      <c r="A3" s="43">
        <v>39</v>
      </c>
      <c r="B3" s="43">
        <v>42</v>
      </c>
      <c r="C3" s="43">
        <v>5</v>
      </c>
      <c r="D3" s="43" t="s">
        <v>444</v>
      </c>
      <c r="E3" s="43" t="s">
        <v>548</v>
      </c>
      <c r="F3" s="43" t="s">
        <v>551</v>
      </c>
      <c r="G3" s="43" t="s">
        <v>464</v>
      </c>
      <c r="H3" s="43">
        <v>4488</v>
      </c>
      <c r="I3" s="43">
        <v>4489</v>
      </c>
      <c r="J3" s="43">
        <v>4457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6.0826963030300003E-2</v>
      </c>
      <c r="P3" s="44">
        <v>2.46158E-2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9.4815189640863988E-3</v>
      </c>
    </row>
    <row r="4" spans="1:26" x14ac:dyDescent="0.2">
      <c r="A4" s="43">
        <v>39</v>
      </c>
      <c r="B4" s="43">
        <v>42</v>
      </c>
      <c r="C4" s="43">
        <v>5</v>
      </c>
      <c r="D4" s="43" t="s">
        <v>444</v>
      </c>
      <c r="E4" s="43" t="s">
        <v>548</v>
      </c>
      <c r="F4" s="43" t="s">
        <v>551</v>
      </c>
      <c r="G4" s="43" t="s">
        <v>464</v>
      </c>
      <c r="H4" s="43">
        <v>4489</v>
      </c>
      <c r="I4" s="43">
        <v>4490</v>
      </c>
      <c r="J4" s="43">
        <v>4458</v>
      </c>
      <c r="K4" s="43">
        <v>1400</v>
      </c>
      <c r="L4" s="43">
        <v>1400</v>
      </c>
      <c r="M4" s="43" t="s">
        <v>372</v>
      </c>
      <c r="N4" s="43" t="s">
        <v>404</v>
      </c>
      <c r="O4" s="44">
        <v>0.68858082066699999</v>
      </c>
      <c r="P4" s="44">
        <v>0.27865899999999999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0.78300000000000003</v>
      </c>
      <c r="Z4" s="45">
        <f t="shared" si="0"/>
        <v>0.10733393158107198</v>
      </c>
    </row>
    <row r="5" spans="1:26" x14ac:dyDescent="0.2">
      <c r="A5" s="43">
        <v>39</v>
      </c>
      <c r="B5" s="43">
        <v>42</v>
      </c>
      <c r="C5" s="43">
        <v>5</v>
      </c>
      <c r="D5" s="43" t="s">
        <v>444</v>
      </c>
      <c r="E5" s="43" t="s">
        <v>548</v>
      </c>
      <c r="F5" s="43" t="s">
        <v>551</v>
      </c>
      <c r="G5" s="43" t="s">
        <v>464</v>
      </c>
      <c r="H5" s="43">
        <v>33927</v>
      </c>
      <c r="I5" s="43">
        <v>33928</v>
      </c>
      <c r="J5" s="43">
        <v>33867</v>
      </c>
      <c r="K5" s="43">
        <v>6300</v>
      </c>
      <c r="L5" s="43">
        <v>6300</v>
      </c>
      <c r="M5" s="43" t="s">
        <v>372</v>
      </c>
      <c r="N5" s="43" t="s">
        <v>404</v>
      </c>
      <c r="O5" s="44">
        <v>0.54065198463200004</v>
      </c>
      <c r="P5" s="44">
        <v>0.21879399999999999</v>
      </c>
      <c r="Q5" s="43" t="s">
        <v>405</v>
      </c>
      <c r="R5" s="43" t="s">
        <v>406</v>
      </c>
      <c r="S5" s="43">
        <v>15</v>
      </c>
      <c r="T5" s="43">
        <v>60</v>
      </c>
      <c r="U5" s="43" t="s">
        <v>417</v>
      </c>
      <c r="V5" s="43" t="s">
        <v>419</v>
      </c>
      <c r="W5" s="43" t="s">
        <v>419</v>
      </c>
      <c r="X5" s="45">
        <v>0.75712800000000002</v>
      </c>
      <c r="Y5" s="45">
        <v>0.78300000000000003</v>
      </c>
      <c r="Z5" s="45">
        <f t="shared" si="0"/>
        <v>3.5947148808143994E-2</v>
      </c>
    </row>
    <row r="6" spans="1:26" x14ac:dyDescent="0.2">
      <c r="A6" s="43">
        <v>39</v>
      </c>
      <c r="B6" s="43">
        <v>42</v>
      </c>
      <c r="C6" s="43">
        <v>5</v>
      </c>
      <c r="D6" s="43" t="s">
        <v>444</v>
      </c>
      <c r="E6" s="43" t="s">
        <v>548</v>
      </c>
      <c r="F6" s="43" t="s">
        <v>551</v>
      </c>
      <c r="G6" s="43" t="s">
        <v>464</v>
      </c>
      <c r="H6" s="43">
        <v>44948</v>
      </c>
      <c r="I6" s="43">
        <v>44949</v>
      </c>
      <c r="J6" s="43">
        <v>44940</v>
      </c>
      <c r="K6" s="43">
        <v>6410</v>
      </c>
      <c r="L6" s="43">
        <v>6410</v>
      </c>
      <c r="M6" s="43" t="s">
        <v>372</v>
      </c>
      <c r="N6" s="43" t="s">
        <v>404</v>
      </c>
      <c r="O6" s="44">
        <v>3.7970570331099997E-2</v>
      </c>
      <c r="P6" s="44">
        <v>1.5366100000000001E-2</v>
      </c>
      <c r="Q6" s="43" t="s">
        <v>405</v>
      </c>
      <c r="R6" s="43" t="s">
        <v>406</v>
      </c>
      <c r="S6" s="43">
        <v>16</v>
      </c>
      <c r="T6" s="43">
        <v>60</v>
      </c>
      <c r="U6" s="43" t="s">
        <v>417</v>
      </c>
      <c r="V6" s="43" t="s">
        <v>482</v>
      </c>
      <c r="W6" s="43" t="s">
        <v>443</v>
      </c>
      <c r="X6" s="45">
        <v>0.78656000000000004</v>
      </c>
      <c r="Y6" s="45">
        <v>0.78300000000000003</v>
      </c>
      <c r="Z6" s="45">
        <f t="shared" si="0"/>
        <v>2.6227400366719998E-3</v>
      </c>
    </row>
    <row r="7" spans="1:26" x14ac:dyDescent="0.2">
      <c r="A7" s="43">
        <v>39</v>
      </c>
      <c r="B7" s="43">
        <v>42</v>
      </c>
      <c r="C7" s="43">
        <v>5</v>
      </c>
      <c r="D7" s="43" t="s">
        <v>444</v>
      </c>
      <c r="E7" s="43" t="s">
        <v>548</v>
      </c>
      <c r="F7" s="43" t="s">
        <v>551</v>
      </c>
      <c r="G7" s="43" t="s">
        <v>464</v>
      </c>
      <c r="H7" s="43">
        <v>52770</v>
      </c>
      <c r="I7" s="43">
        <v>52775</v>
      </c>
      <c r="J7" s="43">
        <v>52741</v>
      </c>
      <c r="K7" s="43">
        <v>8140</v>
      </c>
      <c r="L7" s="43">
        <v>8140</v>
      </c>
      <c r="M7" s="43" t="s">
        <v>372</v>
      </c>
      <c r="N7" s="43" t="s">
        <v>404</v>
      </c>
      <c r="O7" s="44">
        <v>15.5330605482</v>
      </c>
      <c r="P7" s="44">
        <v>6.2860100000000001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420</v>
      </c>
      <c r="W7" s="43" t="s">
        <v>421</v>
      </c>
      <c r="X7" s="45">
        <v>0.717032</v>
      </c>
      <c r="Y7" s="45">
        <v>0.78300000000000003</v>
      </c>
      <c r="Z7" s="45">
        <f t="shared" si="0"/>
        <v>0.97807765994343987</v>
      </c>
    </row>
    <row r="8" spans="1:26" x14ac:dyDescent="0.2">
      <c r="O8" s="44">
        <f>SUM(O2:O7)</f>
        <v>16.931326377222501</v>
      </c>
      <c r="Z8" s="45">
        <f>SUM(Z2:Z7)</f>
        <v>1.1444110919394608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39</v>
      </c>
      <c r="B12" s="43">
        <v>42</v>
      </c>
      <c r="C12" s="43">
        <v>5</v>
      </c>
      <c r="D12" s="43" t="s">
        <v>444</v>
      </c>
      <c r="E12" s="43" t="s">
        <v>548</v>
      </c>
      <c r="F12" s="43" t="s">
        <v>551</v>
      </c>
      <c r="G12" s="43" t="s">
        <v>464</v>
      </c>
      <c r="H12" s="43">
        <v>4487</v>
      </c>
      <c r="I12" s="43">
        <v>4488</v>
      </c>
      <c r="J12" s="43">
        <v>4456</v>
      </c>
      <c r="K12" s="43">
        <v>1400</v>
      </c>
      <c r="L12" s="43">
        <v>1400</v>
      </c>
      <c r="M12" s="43" t="s">
        <v>372</v>
      </c>
      <c r="N12" s="43" t="s">
        <v>404</v>
      </c>
      <c r="O12" s="44">
        <v>7.02354903621E-2</v>
      </c>
      <c r="P12" s="44">
        <v>2.8423299999999999E-2</v>
      </c>
      <c r="Q12" s="43" t="s">
        <v>405</v>
      </c>
      <c r="R12" s="43" t="s">
        <v>406</v>
      </c>
      <c r="S12" s="43">
        <v>3</v>
      </c>
      <c r="T12" s="43">
        <v>10</v>
      </c>
      <c r="U12" s="43" t="s">
        <v>407</v>
      </c>
      <c r="V12" s="43" t="s">
        <v>408</v>
      </c>
      <c r="W12" s="43" t="s">
        <v>408</v>
      </c>
      <c r="X12" s="45">
        <v>7.8337940000000001</v>
      </c>
      <c r="Y12" s="45">
        <v>0.6</v>
      </c>
      <c r="Z12" s="45">
        <v>6.2568099837056204E-2</v>
      </c>
    </row>
    <row r="13" spans="1:26" x14ac:dyDescent="0.2">
      <c r="A13" s="43">
        <v>39</v>
      </c>
      <c r="B13" s="43">
        <v>42</v>
      </c>
      <c r="C13" s="43">
        <v>5</v>
      </c>
      <c r="D13" s="43" t="s">
        <v>444</v>
      </c>
      <c r="E13" s="43" t="s">
        <v>548</v>
      </c>
      <c r="F13" s="43" t="s">
        <v>551</v>
      </c>
      <c r="G13" s="43" t="s">
        <v>464</v>
      </c>
      <c r="H13" s="43">
        <v>4488</v>
      </c>
      <c r="I13" s="43">
        <v>4489</v>
      </c>
      <c r="J13" s="43">
        <v>4457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6.0826963030300003E-2</v>
      </c>
      <c r="P13" s="44">
        <v>2.46158E-2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5.4186664883001209E-2</v>
      </c>
    </row>
    <row r="14" spans="1:26" x14ac:dyDescent="0.2">
      <c r="A14" s="43">
        <v>39</v>
      </c>
      <c r="B14" s="43">
        <v>42</v>
      </c>
      <c r="C14" s="43">
        <v>5</v>
      </c>
      <c r="D14" s="43" t="s">
        <v>444</v>
      </c>
      <c r="E14" s="43" t="s">
        <v>548</v>
      </c>
      <c r="F14" s="43" t="s">
        <v>551</v>
      </c>
      <c r="G14" s="43" t="s">
        <v>464</v>
      </c>
      <c r="H14" s="43">
        <v>4489</v>
      </c>
      <c r="I14" s="43">
        <v>4490</v>
      </c>
      <c r="J14" s="43">
        <v>4458</v>
      </c>
      <c r="K14" s="43">
        <v>1400</v>
      </c>
      <c r="L14" s="43">
        <v>1400</v>
      </c>
      <c r="M14" s="43" t="s">
        <v>372</v>
      </c>
      <c r="N14" s="43" t="s">
        <v>404</v>
      </c>
      <c r="O14" s="44">
        <v>0.68858082066699999</v>
      </c>
      <c r="P14" s="44">
        <v>0.27865899999999999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408</v>
      </c>
      <c r="W14" s="43" t="s">
        <v>408</v>
      </c>
      <c r="X14" s="45">
        <v>7.8337940000000001</v>
      </c>
      <c r="Y14" s="45">
        <v>0.6</v>
      </c>
      <c r="Z14" s="45">
        <v>0.61341097383112608</v>
      </c>
    </row>
    <row r="15" spans="1:26" x14ac:dyDescent="0.2">
      <c r="A15" s="43">
        <v>39</v>
      </c>
      <c r="B15" s="43">
        <v>42</v>
      </c>
      <c r="C15" s="43">
        <v>5</v>
      </c>
      <c r="D15" s="43" t="s">
        <v>444</v>
      </c>
      <c r="E15" s="43" t="s">
        <v>548</v>
      </c>
      <c r="F15" s="43" t="s">
        <v>551</v>
      </c>
      <c r="G15" s="43" t="s">
        <v>464</v>
      </c>
      <c r="H15" s="43">
        <v>33927</v>
      </c>
      <c r="I15" s="43">
        <v>33928</v>
      </c>
      <c r="J15" s="43">
        <v>33867</v>
      </c>
      <c r="K15" s="43">
        <v>6300</v>
      </c>
      <c r="L15" s="43">
        <v>6300</v>
      </c>
      <c r="M15" s="43" t="s">
        <v>372</v>
      </c>
      <c r="N15" s="43" t="s">
        <v>404</v>
      </c>
      <c r="O15" s="44">
        <v>0.54065198463200004</v>
      </c>
      <c r="P15" s="44">
        <v>0.21879399999999999</v>
      </c>
      <c r="Q15" s="43" t="s">
        <v>405</v>
      </c>
      <c r="R15" s="43" t="s">
        <v>406</v>
      </c>
      <c r="S15" s="43">
        <v>15</v>
      </c>
      <c r="T15" s="43">
        <v>60</v>
      </c>
      <c r="U15" s="43" t="s">
        <v>417</v>
      </c>
      <c r="V15" s="43" t="s">
        <v>419</v>
      </c>
      <c r="W15" s="43" t="s">
        <v>419</v>
      </c>
      <c r="X15" s="45">
        <v>6.8155330000000003</v>
      </c>
      <c r="Y15" s="45">
        <v>0.6</v>
      </c>
      <c r="Z15" s="45">
        <v>0.41902656134376204</v>
      </c>
    </row>
    <row r="16" spans="1:26" x14ac:dyDescent="0.2">
      <c r="A16" s="43">
        <v>39</v>
      </c>
      <c r="B16" s="43">
        <v>42</v>
      </c>
      <c r="C16" s="43">
        <v>5</v>
      </c>
      <c r="D16" s="43" t="s">
        <v>444</v>
      </c>
      <c r="E16" s="43" t="s">
        <v>548</v>
      </c>
      <c r="F16" s="43" t="s">
        <v>551</v>
      </c>
      <c r="G16" s="43" t="s">
        <v>464</v>
      </c>
      <c r="H16" s="43">
        <v>44948</v>
      </c>
      <c r="I16" s="43">
        <v>44949</v>
      </c>
      <c r="J16" s="43">
        <v>44940</v>
      </c>
      <c r="K16" s="43">
        <v>6410</v>
      </c>
      <c r="L16" s="43">
        <v>6410</v>
      </c>
      <c r="M16" s="43" t="s">
        <v>372</v>
      </c>
      <c r="N16" s="43" t="s">
        <v>404</v>
      </c>
      <c r="O16" s="44">
        <v>3.7970570331099997E-2</v>
      </c>
      <c r="P16" s="44">
        <v>1.5366100000000001E-2</v>
      </c>
      <c r="Q16" s="43" t="s">
        <v>405</v>
      </c>
      <c r="R16" s="43" t="s">
        <v>406</v>
      </c>
      <c r="S16" s="43">
        <v>16</v>
      </c>
      <c r="T16" s="43">
        <v>60</v>
      </c>
      <c r="U16" s="43" t="s">
        <v>417</v>
      </c>
      <c r="V16" s="43" t="s">
        <v>482</v>
      </c>
      <c r="W16" s="43" t="s">
        <v>443</v>
      </c>
      <c r="X16" s="45">
        <v>7.079313</v>
      </c>
      <c r="Y16" s="45">
        <v>0.6</v>
      </c>
      <c r="Z16" s="45">
        <v>3.0567582248493302E-2</v>
      </c>
    </row>
    <row r="17" spans="1:26" x14ac:dyDescent="0.2">
      <c r="A17" s="43">
        <v>39</v>
      </c>
      <c r="B17" s="43">
        <v>42</v>
      </c>
      <c r="C17" s="43">
        <v>5</v>
      </c>
      <c r="D17" s="43" t="s">
        <v>444</v>
      </c>
      <c r="E17" s="43" t="s">
        <v>548</v>
      </c>
      <c r="F17" s="43" t="s">
        <v>551</v>
      </c>
      <c r="G17" s="43" t="s">
        <v>464</v>
      </c>
      <c r="H17" s="43">
        <v>52770</v>
      </c>
      <c r="I17" s="43">
        <v>52775</v>
      </c>
      <c r="J17" s="43">
        <v>52741</v>
      </c>
      <c r="K17" s="43">
        <v>8140</v>
      </c>
      <c r="L17" s="43">
        <v>8140</v>
      </c>
      <c r="M17" s="43" t="s">
        <v>372</v>
      </c>
      <c r="N17" s="43" t="s">
        <v>404</v>
      </c>
      <c r="O17" s="44">
        <v>15.5330605482</v>
      </c>
      <c r="P17" s="44">
        <v>6.2860100000000001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3.4929570000000001</v>
      </c>
      <c r="Y17" s="45">
        <v>0.6</v>
      </c>
      <c r="Z17" s="45">
        <v>6.1698502994711708</v>
      </c>
    </row>
    <row r="18" spans="1:26" x14ac:dyDescent="0.2">
      <c r="Z18" s="45">
        <f>SUM(Z12:Z17)</f>
        <v>7.3496101816146098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opLeftCell="S1" workbookViewId="0">
      <selection activeCell="Y13" sqref="Y13:Y1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5.42578125" bestFit="1" customWidth="1"/>
    <col min="22" max="22" width="27.285156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40</v>
      </c>
      <c r="B2" s="43">
        <v>43</v>
      </c>
      <c r="C2" s="43">
        <v>5</v>
      </c>
      <c r="D2" s="43" t="s">
        <v>432</v>
      </c>
      <c r="E2" s="43" t="s">
        <v>548</v>
      </c>
      <c r="F2" s="43" t="s">
        <v>552</v>
      </c>
      <c r="G2" s="43" t="s">
        <v>464</v>
      </c>
      <c r="H2" s="43">
        <v>4493</v>
      </c>
      <c r="I2" s="43">
        <v>4494</v>
      </c>
      <c r="J2" s="43">
        <v>4462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7.1978988017199999E-2</v>
      </c>
      <c r="P2" s="44">
        <v>2.9128899999999999E-2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8" si="0">P2*X2*(1-Y2)</f>
        <v>1.1219875760811198E-2</v>
      </c>
    </row>
    <row r="3" spans="1:26" x14ac:dyDescent="0.2">
      <c r="A3" s="43">
        <v>40</v>
      </c>
      <c r="B3" s="43">
        <v>43</v>
      </c>
      <c r="C3" s="43">
        <v>5</v>
      </c>
      <c r="D3" s="43" t="s">
        <v>432</v>
      </c>
      <c r="E3" s="43" t="s">
        <v>548</v>
      </c>
      <c r="F3" s="43" t="s">
        <v>552</v>
      </c>
      <c r="G3" s="43" t="s">
        <v>464</v>
      </c>
      <c r="H3" s="43">
        <v>4710</v>
      </c>
      <c r="I3" s="43">
        <v>4711</v>
      </c>
      <c r="J3" s="43">
        <v>4679</v>
      </c>
      <c r="K3" s="43">
        <v>1411</v>
      </c>
      <c r="L3" s="43">
        <v>1411</v>
      </c>
      <c r="M3" s="43" t="s">
        <v>372</v>
      </c>
      <c r="N3" s="43" t="s">
        <v>404</v>
      </c>
      <c r="O3" s="44">
        <v>2.10507008894E-3</v>
      </c>
      <c r="P3" s="44">
        <v>8.5189200000000004E-4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409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3.2813193775353596E-4</v>
      </c>
    </row>
    <row r="4" spans="1:26" x14ac:dyDescent="0.2">
      <c r="A4" s="43">
        <v>40</v>
      </c>
      <c r="B4" s="43">
        <v>43</v>
      </c>
      <c r="C4" s="43">
        <v>5</v>
      </c>
      <c r="D4" s="43" t="s">
        <v>432</v>
      </c>
      <c r="E4" s="43" t="s">
        <v>548</v>
      </c>
      <c r="F4" s="43" t="s">
        <v>552</v>
      </c>
      <c r="G4" s="43" t="s">
        <v>464</v>
      </c>
      <c r="H4" s="43">
        <v>7882</v>
      </c>
      <c r="I4" s="43">
        <v>7883</v>
      </c>
      <c r="J4" s="43">
        <v>7809</v>
      </c>
      <c r="K4" s="43">
        <v>2110</v>
      </c>
      <c r="L4" s="43">
        <v>2110</v>
      </c>
      <c r="M4" s="43" t="s">
        <v>372</v>
      </c>
      <c r="N4" s="43" t="s">
        <v>404</v>
      </c>
      <c r="O4" s="44">
        <v>2.7417647769600002</v>
      </c>
      <c r="P4" s="44">
        <v>1.10955</v>
      </c>
      <c r="Q4" s="43" t="s">
        <v>405</v>
      </c>
      <c r="R4" s="43" t="s">
        <v>406</v>
      </c>
      <c r="S4" s="43">
        <v>26</v>
      </c>
      <c r="T4" s="43">
        <v>21</v>
      </c>
      <c r="U4" s="43" t="s">
        <v>446</v>
      </c>
      <c r="V4" s="43" t="s">
        <v>447</v>
      </c>
      <c r="W4" s="43" t="s">
        <v>446</v>
      </c>
      <c r="X4" s="45">
        <v>1.671602</v>
      </c>
      <c r="Y4" s="45">
        <v>0.78300000000000003</v>
      </c>
      <c r="Z4" s="45">
        <f t="shared" si="0"/>
        <v>0.40247554180469997</v>
      </c>
    </row>
    <row r="5" spans="1:26" x14ac:dyDescent="0.2">
      <c r="A5" s="43">
        <v>40</v>
      </c>
      <c r="B5" s="43">
        <v>43</v>
      </c>
      <c r="C5" s="43">
        <v>5</v>
      </c>
      <c r="D5" s="43" t="s">
        <v>432</v>
      </c>
      <c r="E5" s="43" t="s">
        <v>548</v>
      </c>
      <c r="F5" s="43" t="s">
        <v>552</v>
      </c>
      <c r="G5" s="43" t="s">
        <v>464</v>
      </c>
      <c r="H5" s="43">
        <v>19421</v>
      </c>
      <c r="I5" s="43">
        <v>19422</v>
      </c>
      <c r="J5" s="43">
        <v>19361</v>
      </c>
      <c r="K5" s="43">
        <v>4340</v>
      </c>
      <c r="L5" s="43">
        <v>4340</v>
      </c>
      <c r="M5" s="43" t="s">
        <v>372</v>
      </c>
      <c r="N5" s="43" t="s">
        <v>404</v>
      </c>
      <c r="O5" s="44">
        <v>3.8981331442300003E-2</v>
      </c>
      <c r="P5" s="44">
        <v>1.57752E-2</v>
      </c>
      <c r="Q5" s="43" t="s">
        <v>405</v>
      </c>
      <c r="R5" s="43" t="s">
        <v>406</v>
      </c>
      <c r="S5" s="43">
        <v>7</v>
      </c>
      <c r="T5" s="43">
        <v>40</v>
      </c>
      <c r="U5" s="43" t="s">
        <v>412</v>
      </c>
      <c r="V5" s="43" t="s">
        <v>415</v>
      </c>
      <c r="W5" s="43" t="s">
        <v>416</v>
      </c>
      <c r="X5" s="45">
        <v>0.115981</v>
      </c>
      <c r="Y5" s="45">
        <v>0.78300000000000003</v>
      </c>
      <c r="Z5" s="45">
        <f t="shared" si="0"/>
        <v>3.9702829325039994E-4</v>
      </c>
    </row>
    <row r="6" spans="1:26" x14ac:dyDescent="0.2">
      <c r="A6" s="43">
        <v>40</v>
      </c>
      <c r="B6" s="43">
        <v>43</v>
      </c>
      <c r="C6" s="43">
        <v>5</v>
      </c>
      <c r="D6" s="43" t="s">
        <v>432</v>
      </c>
      <c r="E6" s="43" t="s">
        <v>548</v>
      </c>
      <c r="F6" s="43" t="s">
        <v>552</v>
      </c>
      <c r="G6" s="43" t="s">
        <v>464</v>
      </c>
      <c r="H6" s="43">
        <v>30249</v>
      </c>
      <c r="I6" s="43">
        <v>30250</v>
      </c>
      <c r="J6" s="43">
        <v>30250</v>
      </c>
      <c r="K6" s="43">
        <v>6210</v>
      </c>
      <c r="L6" s="43">
        <v>6210</v>
      </c>
      <c r="M6" s="43" t="s">
        <v>372</v>
      </c>
      <c r="N6" s="43" t="s">
        <v>404</v>
      </c>
      <c r="O6" s="44">
        <v>1.4518116689400001E-3</v>
      </c>
      <c r="P6" s="44">
        <v>5.8752700000000001E-4</v>
      </c>
      <c r="Q6" s="43" t="s">
        <v>405</v>
      </c>
      <c r="R6" s="43" t="s">
        <v>406</v>
      </c>
      <c r="S6" s="43">
        <v>14</v>
      </c>
      <c r="T6" s="43">
        <v>60</v>
      </c>
      <c r="U6" s="43" t="s">
        <v>417</v>
      </c>
      <c r="V6" s="43" t="s">
        <v>418</v>
      </c>
      <c r="W6" s="43" t="s">
        <v>418</v>
      </c>
      <c r="X6" s="45">
        <v>0.44770799999999999</v>
      </c>
      <c r="Y6" s="45">
        <v>0.78300000000000003</v>
      </c>
      <c r="Z6" s="45">
        <f t="shared" si="0"/>
        <v>5.707979677117199E-5</v>
      </c>
    </row>
    <row r="7" spans="1:26" x14ac:dyDescent="0.2">
      <c r="A7" s="43">
        <v>40</v>
      </c>
      <c r="B7" s="43">
        <v>43</v>
      </c>
      <c r="C7" s="43">
        <v>5</v>
      </c>
      <c r="D7" s="43" t="s">
        <v>432</v>
      </c>
      <c r="E7" s="43" t="s">
        <v>548</v>
      </c>
      <c r="F7" s="43" t="s">
        <v>552</v>
      </c>
      <c r="G7" s="43" t="s">
        <v>464</v>
      </c>
      <c r="H7" s="43">
        <v>30253</v>
      </c>
      <c r="I7" s="43">
        <v>30254</v>
      </c>
      <c r="J7" s="43">
        <v>30254</v>
      </c>
      <c r="K7" s="43">
        <v>6210</v>
      </c>
      <c r="L7" s="43">
        <v>6210</v>
      </c>
      <c r="M7" s="43" t="s">
        <v>372</v>
      </c>
      <c r="N7" s="43" t="s">
        <v>404</v>
      </c>
      <c r="O7" s="44">
        <v>4.4066384658699997E-2</v>
      </c>
      <c r="P7" s="44">
        <v>1.7833000000000002E-2</v>
      </c>
      <c r="Q7" s="43" t="s">
        <v>405</v>
      </c>
      <c r="R7" s="43" t="s">
        <v>406</v>
      </c>
      <c r="S7" s="43">
        <v>14</v>
      </c>
      <c r="T7" s="43">
        <v>60</v>
      </c>
      <c r="U7" s="43" t="s">
        <v>417</v>
      </c>
      <c r="V7" s="43" t="s">
        <v>418</v>
      </c>
      <c r="W7" s="43" t="s">
        <v>418</v>
      </c>
      <c r="X7" s="45">
        <v>0.44770799999999999</v>
      </c>
      <c r="Y7" s="45">
        <v>0.78300000000000003</v>
      </c>
      <c r="Z7" s="45">
        <f t="shared" si="0"/>
        <v>1.732522957788E-3</v>
      </c>
    </row>
    <row r="8" spans="1:26" x14ac:dyDescent="0.2">
      <c r="A8" s="43">
        <v>40</v>
      </c>
      <c r="B8" s="43">
        <v>43</v>
      </c>
      <c r="C8" s="43">
        <v>5</v>
      </c>
      <c r="D8" s="43" t="s">
        <v>432</v>
      </c>
      <c r="E8" s="43" t="s">
        <v>548</v>
      </c>
      <c r="F8" s="43" t="s">
        <v>552</v>
      </c>
      <c r="G8" s="43" t="s">
        <v>464</v>
      </c>
      <c r="H8" s="43">
        <v>52770</v>
      </c>
      <c r="I8" s="43">
        <v>52775</v>
      </c>
      <c r="J8" s="43">
        <v>52741</v>
      </c>
      <c r="K8" s="43">
        <v>8140</v>
      </c>
      <c r="L8" s="43">
        <v>8140</v>
      </c>
      <c r="M8" s="43" t="s">
        <v>372</v>
      </c>
      <c r="N8" s="43" t="s">
        <v>404</v>
      </c>
      <c r="O8" s="44">
        <v>9.7004839888200003</v>
      </c>
      <c r="P8" s="44">
        <v>3.9256500000000001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420</v>
      </c>
      <c r="W8" s="43" t="s">
        <v>421</v>
      </c>
      <c r="X8" s="45">
        <v>0.717032</v>
      </c>
      <c r="Y8" s="45">
        <v>0.78300000000000003</v>
      </c>
      <c r="Z8" s="45">
        <f t="shared" si="0"/>
        <v>0.61081521756359991</v>
      </c>
    </row>
    <row r="9" spans="1:26" x14ac:dyDescent="0.2">
      <c r="O9" s="44">
        <f>SUM(O2:O8)</f>
        <v>12.600832351656081</v>
      </c>
      <c r="Z9" s="45">
        <f>SUM(Z2:Z8)</f>
        <v>1.0270253981146742</v>
      </c>
    </row>
    <row r="12" spans="1:26" x14ac:dyDescent="0.2">
      <c r="A12" s="43" t="s">
        <v>377</v>
      </c>
      <c r="B12" s="43" t="s">
        <v>378</v>
      </c>
      <c r="C12" s="43" t="s">
        <v>527</v>
      </c>
      <c r="D12" s="43" t="s">
        <v>528</v>
      </c>
      <c r="E12" s="43" t="s">
        <v>380</v>
      </c>
      <c r="F12" s="43" t="s">
        <v>529</v>
      </c>
      <c r="G12" s="43" t="s">
        <v>379</v>
      </c>
      <c r="H12" s="43" t="s">
        <v>383</v>
      </c>
      <c r="I12" s="43" t="s">
        <v>384</v>
      </c>
      <c r="J12" s="43" t="s">
        <v>385</v>
      </c>
      <c r="K12" s="43" t="s">
        <v>386</v>
      </c>
      <c r="L12" s="43" t="s">
        <v>387</v>
      </c>
      <c r="M12" s="43" t="s">
        <v>388</v>
      </c>
      <c r="N12" s="43" t="s">
        <v>389</v>
      </c>
      <c r="O12" s="44" t="s">
        <v>390</v>
      </c>
      <c r="P12" s="44" t="s">
        <v>391</v>
      </c>
      <c r="Q12" s="43" t="s">
        <v>392</v>
      </c>
      <c r="R12" s="43" t="s">
        <v>393</v>
      </c>
      <c r="S12" s="43" t="s">
        <v>394</v>
      </c>
      <c r="T12" s="43" t="s">
        <v>395</v>
      </c>
      <c r="U12" s="43" t="s">
        <v>396</v>
      </c>
      <c r="V12" s="43" t="s">
        <v>397</v>
      </c>
      <c r="W12" s="43" t="s">
        <v>398</v>
      </c>
      <c r="X12" s="45" t="s">
        <v>589</v>
      </c>
      <c r="Y12" s="45" t="s">
        <v>590</v>
      </c>
      <c r="Z12" s="45" t="s">
        <v>591</v>
      </c>
    </row>
    <row r="13" spans="1:26" x14ac:dyDescent="0.2">
      <c r="A13" s="43">
        <v>40</v>
      </c>
      <c r="B13" s="43">
        <v>43</v>
      </c>
      <c r="C13" s="43">
        <v>5</v>
      </c>
      <c r="D13" s="43" t="s">
        <v>432</v>
      </c>
      <c r="E13" s="43" t="s">
        <v>548</v>
      </c>
      <c r="F13" s="43" t="s">
        <v>552</v>
      </c>
      <c r="G13" s="43" t="s">
        <v>464</v>
      </c>
      <c r="H13" s="43">
        <v>4493</v>
      </c>
      <c r="I13" s="43">
        <v>4494</v>
      </c>
      <c r="J13" s="43">
        <v>4462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7.1978988017199999E-2</v>
      </c>
      <c r="P13" s="44">
        <v>2.9128899999999999E-2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6.412133437509461E-2</v>
      </c>
    </row>
    <row r="14" spans="1:26" x14ac:dyDescent="0.2">
      <c r="A14" s="43">
        <v>40</v>
      </c>
      <c r="B14" s="43">
        <v>43</v>
      </c>
      <c r="C14" s="43">
        <v>5</v>
      </c>
      <c r="D14" s="43" t="s">
        <v>432</v>
      </c>
      <c r="E14" s="43" t="s">
        <v>548</v>
      </c>
      <c r="F14" s="43" t="s">
        <v>552</v>
      </c>
      <c r="G14" s="43" t="s">
        <v>464</v>
      </c>
      <c r="H14" s="43">
        <v>4710</v>
      </c>
      <c r="I14" s="43">
        <v>4711</v>
      </c>
      <c r="J14" s="43">
        <v>4679</v>
      </c>
      <c r="K14" s="43">
        <v>1411</v>
      </c>
      <c r="L14" s="43">
        <v>1411</v>
      </c>
      <c r="M14" s="43" t="s">
        <v>372</v>
      </c>
      <c r="N14" s="43" t="s">
        <v>404</v>
      </c>
      <c r="O14" s="44">
        <v>2.10507008894E-3</v>
      </c>
      <c r="P14" s="44">
        <v>8.5189200000000004E-4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409</v>
      </c>
      <c r="W14" s="43" t="s">
        <v>408</v>
      </c>
      <c r="X14" s="45">
        <v>7.8337940000000001</v>
      </c>
      <c r="Y14" s="45">
        <v>0.6</v>
      </c>
      <c r="Z14" s="45">
        <v>1.8752665491476883E-3</v>
      </c>
    </row>
    <row r="15" spans="1:26" x14ac:dyDescent="0.2">
      <c r="A15" s="43">
        <v>40</v>
      </c>
      <c r="B15" s="43">
        <v>43</v>
      </c>
      <c r="C15" s="43">
        <v>5</v>
      </c>
      <c r="D15" s="43" t="s">
        <v>432</v>
      </c>
      <c r="E15" s="43" t="s">
        <v>548</v>
      </c>
      <c r="F15" s="43" t="s">
        <v>552</v>
      </c>
      <c r="G15" s="43" t="s">
        <v>464</v>
      </c>
      <c r="H15" s="43">
        <v>7882</v>
      </c>
      <c r="I15" s="43">
        <v>7883</v>
      </c>
      <c r="J15" s="43">
        <v>7809</v>
      </c>
      <c r="K15" s="43">
        <v>2110</v>
      </c>
      <c r="L15" s="43">
        <v>2110</v>
      </c>
      <c r="M15" s="43" t="s">
        <v>372</v>
      </c>
      <c r="N15" s="43" t="s">
        <v>404</v>
      </c>
      <c r="O15" s="44">
        <v>2.7417647769600002</v>
      </c>
      <c r="P15" s="44">
        <v>1.10955</v>
      </c>
      <c r="Q15" s="43" t="s">
        <v>405</v>
      </c>
      <c r="R15" s="43" t="s">
        <v>406</v>
      </c>
      <c r="S15" s="43">
        <v>26</v>
      </c>
      <c r="T15" s="43">
        <v>21</v>
      </c>
      <c r="U15" s="43" t="s">
        <v>446</v>
      </c>
      <c r="V15" s="43" t="s">
        <v>447</v>
      </c>
      <c r="W15" s="43" t="s">
        <v>446</v>
      </c>
      <c r="X15" s="45">
        <v>12.944876000000001</v>
      </c>
      <c r="Y15" s="45">
        <v>0.6</v>
      </c>
      <c r="Z15" s="45">
        <v>4.0359993935898011</v>
      </c>
    </row>
    <row r="16" spans="1:26" x14ac:dyDescent="0.2">
      <c r="A16" s="43">
        <v>40</v>
      </c>
      <c r="B16" s="43">
        <v>43</v>
      </c>
      <c r="C16" s="43">
        <v>5</v>
      </c>
      <c r="D16" s="43" t="s">
        <v>432</v>
      </c>
      <c r="E16" s="43" t="s">
        <v>548</v>
      </c>
      <c r="F16" s="43" t="s">
        <v>552</v>
      </c>
      <c r="G16" s="43" t="s">
        <v>464</v>
      </c>
      <c r="H16" s="43">
        <v>19421</v>
      </c>
      <c r="I16" s="43">
        <v>19422</v>
      </c>
      <c r="J16" s="43">
        <v>19361</v>
      </c>
      <c r="K16" s="43">
        <v>4340</v>
      </c>
      <c r="L16" s="43">
        <v>4340</v>
      </c>
      <c r="M16" s="43" t="s">
        <v>372</v>
      </c>
      <c r="N16" s="43" t="s">
        <v>404</v>
      </c>
      <c r="O16" s="44">
        <v>3.8981331442300003E-2</v>
      </c>
      <c r="P16" s="44">
        <v>1.57752E-2</v>
      </c>
      <c r="Q16" s="43" t="s">
        <v>405</v>
      </c>
      <c r="R16" s="43" t="s">
        <v>406</v>
      </c>
      <c r="S16" s="43">
        <v>7</v>
      </c>
      <c r="T16" s="43">
        <v>40</v>
      </c>
      <c r="U16" s="43" t="s">
        <v>412</v>
      </c>
      <c r="V16" s="43" t="s">
        <v>415</v>
      </c>
      <c r="W16" s="43" t="s">
        <v>416</v>
      </c>
      <c r="X16" s="45">
        <v>7.558414</v>
      </c>
      <c r="Y16" s="45">
        <v>0.6</v>
      </c>
      <c r="Z16" s="45">
        <v>3.3505173401716805E-2</v>
      </c>
    </row>
    <row r="17" spans="1:26" x14ac:dyDescent="0.2">
      <c r="A17" s="43">
        <v>40</v>
      </c>
      <c r="B17" s="43">
        <v>43</v>
      </c>
      <c r="C17" s="43">
        <v>5</v>
      </c>
      <c r="D17" s="43" t="s">
        <v>432</v>
      </c>
      <c r="E17" s="43" t="s">
        <v>548</v>
      </c>
      <c r="F17" s="43" t="s">
        <v>552</v>
      </c>
      <c r="G17" s="43" t="s">
        <v>464</v>
      </c>
      <c r="H17" s="43">
        <v>30249</v>
      </c>
      <c r="I17" s="43">
        <v>30250</v>
      </c>
      <c r="J17" s="43">
        <v>30250</v>
      </c>
      <c r="K17" s="43">
        <v>6210</v>
      </c>
      <c r="L17" s="43">
        <v>6210</v>
      </c>
      <c r="M17" s="43" t="s">
        <v>372</v>
      </c>
      <c r="N17" s="43" t="s">
        <v>404</v>
      </c>
      <c r="O17" s="44">
        <v>1.4518116689400001E-3</v>
      </c>
      <c r="P17" s="44">
        <v>5.8752700000000001E-4</v>
      </c>
      <c r="Q17" s="43" t="s">
        <v>405</v>
      </c>
      <c r="R17" s="43" t="s">
        <v>406</v>
      </c>
      <c r="S17" s="43">
        <v>14</v>
      </c>
      <c r="T17" s="43">
        <v>60</v>
      </c>
      <c r="U17" s="43" t="s">
        <v>417</v>
      </c>
      <c r="V17" s="43" t="s">
        <v>418</v>
      </c>
      <c r="W17" s="43" t="s">
        <v>418</v>
      </c>
      <c r="X17" s="45">
        <v>6.3260019999999999</v>
      </c>
      <c r="Y17" s="45">
        <v>0.6</v>
      </c>
      <c r="Z17" s="45">
        <v>1.044391850552174E-3</v>
      </c>
    </row>
    <row r="18" spans="1:26" x14ac:dyDescent="0.2">
      <c r="A18" s="43">
        <v>40</v>
      </c>
      <c r="B18" s="43">
        <v>43</v>
      </c>
      <c r="C18" s="43">
        <v>5</v>
      </c>
      <c r="D18" s="43" t="s">
        <v>432</v>
      </c>
      <c r="E18" s="43" t="s">
        <v>548</v>
      </c>
      <c r="F18" s="43" t="s">
        <v>552</v>
      </c>
      <c r="G18" s="43" t="s">
        <v>464</v>
      </c>
      <c r="H18" s="43">
        <v>30253</v>
      </c>
      <c r="I18" s="43">
        <v>30254</v>
      </c>
      <c r="J18" s="43">
        <v>30254</v>
      </c>
      <c r="K18" s="43">
        <v>6210</v>
      </c>
      <c r="L18" s="43">
        <v>6210</v>
      </c>
      <c r="M18" s="43" t="s">
        <v>372</v>
      </c>
      <c r="N18" s="43" t="s">
        <v>404</v>
      </c>
      <c r="O18" s="44">
        <v>4.4066384658699997E-2</v>
      </c>
      <c r="P18" s="44">
        <v>1.7833000000000002E-2</v>
      </c>
      <c r="Q18" s="43" t="s">
        <v>405</v>
      </c>
      <c r="R18" s="43" t="s">
        <v>406</v>
      </c>
      <c r="S18" s="43">
        <v>14</v>
      </c>
      <c r="T18" s="43">
        <v>60</v>
      </c>
      <c r="U18" s="43" t="s">
        <v>417</v>
      </c>
      <c r="V18" s="43" t="s">
        <v>418</v>
      </c>
      <c r="W18" s="43" t="s">
        <v>418</v>
      </c>
      <c r="X18" s="45">
        <v>6.3260019999999999</v>
      </c>
      <c r="Y18" s="45">
        <v>0.6</v>
      </c>
      <c r="Z18" s="45">
        <v>3.1700057820146003E-2</v>
      </c>
    </row>
    <row r="19" spans="1:26" x14ac:dyDescent="0.2">
      <c r="A19" s="43">
        <v>40</v>
      </c>
      <c r="B19" s="43">
        <v>43</v>
      </c>
      <c r="C19" s="43">
        <v>5</v>
      </c>
      <c r="D19" s="43" t="s">
        <v>432</v>
      </c>
      <c r="E19" s="43" t="s">
        <v>548</v>
      </c>
      <c r="F19" s="43" t="s">
        <v>552</v>
      </c>
      <c r="G19" s="43" t="s">
        <v>464</v>
      </c>
      <c r="H19" s="43">
        <v>52770</v>
      </c>
      <c r="I19" s="43">
        <v>52775</v>
      </c>
      <c r="J19" s="43">
        <v>52741</v>
      </c>
      <c r="K19" s="43">
        <v>8140</v>
      </c>
      <c r="L19" s="43">
        <v>8140</v>
      </c>
      <c r="M19" s="43" t="s">
        <v>372</v>
      </c>
      <c r="N19" s="43" t="s">
        <v>404</v>
      </c>
      <c r="O19" s="44">
        <v>9.7004839888200003</v>
      </c>
      <c r="P19" s="44">
        <v>3.9256500000000001</v>
      </c>
      <c r="Q19" s="43" t="s">
        <v>405</v>
      </c>
      <c r="R19" s="43" t="s">
        <v>406</v>
      </c>
      <c r="S19" s="43">
        <v>18</v>
      </c>
      <c r="T19" s="43">
        <v>10</v>
      </c>
      <c r="U19" s="43" t="s">
        <v>407</v>
      </c>
      <c r="V19" s="43" t="s">
        <v>420</v>
      </c>
      <c r="W19" s="43" t="s">
        <v>421</v>
      </c>
      <c r="X19" s="45">
        <v>3.4929570000000001</v>
      </c>
      <c r="Y19" s="45">
        <v>0.6</v>
      </c>
      <c r="Z19" s="45">
        <v>3.8531075878210506</v>
      </c>
    </row>
    <row r="20" spans="1:26" x14ac:dyDescent="0.2">
      <c r="Z20" s="45">
        <f>SUM(Z13:Z19)</f>
        <v>8.0213532054075092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opLeftCell="T1" workbookViewId="0">
      <selection activeCell="Y8" sqref="Y8:Y1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41" bestFit="1" customWidth="1"/>
    <col min="5" max="5" width="15.285156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37.7109375" bestFit="1" customWidth="1"/>
    <col min="23" max="23" width="24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118</v>
      </c>
      <c r="B2" s="43">
        <v>129</v>
      </c>
      <c r="C2" s="43">
        <v>5</v>
      </c>
      <c r="D2" s="43" t="s">
        <v>574</v>
      </c>
      <c r="E2" s="43" t="s">
        <v>575</v>
      </c>
      <c r="F2" s="43" t="s">
        <v>576</v>
      </c>
      <c r="G2" s="43" t="s">
        <v>464</v>
      </c>
      <c r="H2" s="43">
        <v>3047</v>
      </c>
      <c r="I2" s="43">
        <v>3048</v>
      </c>
      <c r="J2" s="43">
        <v>2976</v>
      </c>
      <c r="K2" s="43">
        <v>1210</v>
      </c>
      <c r="L2" s="43">
        <v>1210</v>
      </c>
      <c r="M2" s="43" t="s">
        <v>372</v>
      </c>
      <c r="N2" s="43" t="s">
        <v>426</v>
      </c>
      <c r="O2" s="44">
        <v>0.55313981363300002</v>
      </c>
      <c r="P2" s="44">
        <v>0.22384799999999999</v>
      </c>
      <c r="Q2" s="43" t="s">
        <v>405</v>
      </c>
      <c r="R2" s="43" t="s">
        <v>406</v>
      </c>
      <c r="S2" s="43">
        <v>19</v>
      </c>
      <c r="T2" s="43">
        <v>10</v>
      </c>
      <c r="U2" s="43" t="s">
        <v>407</v>
      </c>
      <c r="V2" s="43" t="s">
        <v>436</v>
      </c>
      <c r="W2" s="43" t="s">
        <v>437</v>
      </c>
      <c r="X2" s="45">
        <v>0.60924900000000004</v>
      </c>
      <c r="Y2" s="45">
        <v>0.78300000000000003</v>
      </c>
      <c r="Z2" s="45">
        <v>2.0593254692952007E-2</v>
      </c>
    </row>
    <row r="3" spans="1:26" x14ac:dyDescent="0.2">
      <c r="A3" s="43">
        <v>118</v>
      </c>
      <c r="B3" s="43">
        <v>129</v>
      </c>
      <c r="C3" s="43">
        <v>5</v>
      </c>
      <c r="D3" s="43" t="s">
        <v>574</v>
      </c>
      <c r="E3" s="43" t="s">
        <v>575</v>
      </c>
      <c r="F3" s="43" t="s">
        <v>576</v>
      </c>
      <c r="G3" s="43" t="s">
        <v>464</v>
      </c>
      <c r="H3" s="43">
        <v>3795</v>
      </c>
      <c r="I3" s="43">
        <v>3800</v>
      </c>
      <c r="J3" s="43">
        <v>3747</v>
      </c>
      <c r="K3" s="43">
        <v>1330</v>
      </c>
      <c r="L3" s="43">
        <v>1330</v>
      </c>
      <c r="M3" s="43" t="s">
        <v>372</v>
      </c>
      <c r="N3" s="43" t="s">
        <v>426</v>
      </c>
      <c r="O3" s="44">
        <v>0.30358515667699998</v>
      </c>
      <c r="P3" s="44">
        <v>0.12285699999999999</v>
      </c>
      <c r="Q3" s="43" t="s">
        <v>405</v>
      </c>
      <c r="R3" s="43" t="s">
        <v>406</v>
      </c>
      <c r="S3" s="43">
        <v>21</v>
      </c>
      <c r="T3" s="43">
        <v>10</v>
      </c>
      <c r="U3" s="43" t="s">
        <v>407</v>
      </c>
      <c r="V3" s="43" t="s">
        <v>539</v>
      </c>
      <c r="W3" s="43" t="s">
        <v>540</v>
      </c>
      <c r="X3" s="45">
        <v>1.2503169999999999</v>
      </c>
      <c r="Y3" s="45">
        <v>0.78300000000000003</v>
      </c>
      <c r="Z3" s="45">
        <v>2.3195139546019001E-2</v>
      </c>
    </row>
    <row r="4" spans="1:26" x14ac:dyDescent="0.2">
      <c r="A4" s="43">
        <v>118</v>
      </c>
      <c r="B4" s="43">
        <v>129</v>
      </c>
      <c r="C4" s="43">
        <v>5</v>
      </c>
      <c r="D4" s="43" t="s">
        <v>574</v>
      </c>
      <c r="E4" s="43" t="s">
        <v>575</v>
      </c>
      <c r="F4" s="43" t="s">
        <v>576</v>
      </c>
      <c r="G4" s="43" t="s">
        <v>464</v>
      </c>
      <c r="H4" s="43">
        <v>52778</v>
      </c>
      <c r="I4" s="43">
        <v>52783</v>
      </c>
      <c r="J4" s="43">
        <v>52749</v>
      </c>
      <c r="K4" s="43">
        <v>8140</v>
      </c>
      <c r="L4" s="43">
        <v>8140</v>
      </c>
      <c r="M4" s="43" t="s">
        <v>372</v>
      </c>
      <c r="N4" s="43" t="s">
        <v>426</v>
      </c>
      <c r="O4" s="44">
        <v>8.9154291526700007</v>
      </c>
      <c r="P4" s="44">
        <v>3.6079500000000002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0.78300000000000003</v>
      </c>
      <c r="Z4" s="45">
        <v>0.39063935626440011</v>
      </c>
    </row>
    <row r="5" spans="1:26" x14ac:dyDescent="0.2">
      <c r="O5" s="44">
        <f>SUM(O2:O4)</f>
        <v>9.77215412298</v>
      </c>
      <c r="Z5" s="45">
        <f>SUM(Z2:Z4)</f>
        <v>0.43442775050337112</v>
      </c>
    </row>
    <row r="7" spans="1:26" x14ac:dyDescent="0.2">
      <c r="A7" s="43" t="s">
        <v>377</v>
      </c>
      <c r="B7" s="43" t="s">
        <v>378</v>
      </c>
      <c r="C7" s="43" t="s">
        <v>527</v>
      </c>
      <c r="D7" s="43" t="s">
        <v>528</v>
      </c>
      <c r="E7" s="43" t="s">
        <v>380</v>
      </c>
      <c r="F7" s="43" t="s">
        <v>529</v>
      </c>
      <c r="G7" s="43" t="s">
        <v>379</v>
      </c>
      <c r="H7" s="43" t="s">
        <v>383</v>
      </c>
      <c r="I7" s="43" t="s">
        <v>384</v>
      </c>
      <c r="J7" s="43" t="s">
        <v>385</v>
      </c>
      <c r="K7" s="43" t="s">
        <v>386</v>
      </c>
      <c r="L7" s="43" t="s">
        <v>387</v>
      </c>
      <c r="M7" s="43" t="s">
        <v>388</v>
      </c>
      <c r="N7" s="43" t="s">
        <v>389</v>
      </c>
      <c r="O7" s="44" t="s">
        <v>390</v>
      </c>
      <c r="P7" s="44" t="s">
        <v>391</v>
      </c>
      <c r="Q7" s="43" t="s">
        <v>392</v>
      </c>
      <c r="R7" s="43" t="s">
        <v>393</v>
      </c>
      <c r="S7" s="43" t="s">
        <v>394</v>
      </c>
      <c r="T7" s="43" t="s">
        <v>395</v>
      </c>
      <c r="U7" s="43" t="s">
        <v>396</v>
      </c>
      <c r="V7" s="43" t="s">
        <v>397</v>
      </c>
      <c r="W7" s="43" t="s">
        <v>398</v>
      </c>
      <c r="X7" s="45" t="s">
        <v>589</v>
      </c>
      <c r="Y7" s="45" t="s">
        <v>590</v>
      </c>
      <c r="Z7" s="45" t="s">
        <v>591</v>
      </c>
    </row>
    <row r="8" spans="1:26" x14ac:dyDescent="0.2">
      <c r="A8" s="43">
        <v>118</v>
      </c>
      <c r="B8" s="43">
        <v>129</v>
      </c>
      <c r="C8" s="43">
        <v>5</v>
      </c>
      <c r="D8" s="43" t="s">
        <v>574</v>
      </c>
      <c r="E8" s="43" t="s">
        <v>575</v>
      </c>
      <c r="F8" s="43" t="s">
        <v>576</v>
      </c>
      <c r="G8" s="43" t="s">
        <v>464</v>
      </c>
      <c r="H8" s="43">
        <v>3047</v>
      </c>
      <c r="I8" s="43">
        <v>3048</v>
      </c>
      <c r="J8" s="43">
        <v>2976</v>
      </c>
      <c r="K8" s="43">
        <v>1210</v>
      </c>
      <c r="L8" s="43">
        <v>1210</v>
      </c>
      <c r="M8" s="43" t="s">
        <v>372</v>
      </c>
      <c r="N8" s="43" t="s">
        <v>426</v>
      </c>
      <c r="O8" s="44">
        <v>0.55313981363300002</v>
      </c>
      <c r="P8" s="44">
        <v>0.22384799999999999</v>
      </c>
      <c r="Q8" s="43" t="s">
        <v>405</v>
      </c>
      <c r="R8" s="43" t="s">
        <v>406</v>
      </c>
      <c r="S8" s="43">
        <v>19</v>
      </c>
      <c r="T8" s="43">
        <v>10</v>
      </c>
      <c r="U8" s="43" t="s">
        <v>407</v>
      </c>
      <c r="V8" s="43" t="s">
        <v>436</v>
      </c>
      <c r="W8" s="43" t="s">
        <v>437</v>
      </c>
      <c r="X8" s="45">
        <v>23.305396999999999</v>
      </c>
      <c r="Y8" s="45">
        <v>0.6</v>
      </c>
      <c r="Z8" s="45">
        <v>1.4659394886513359</v>
      </c>
    </row>
    <row r="9" spans="1:26" x14ac:dyDescent="0.2">
      <c r="A9" s="43">
        <v>118</v>
      </c>
      <c r="B9" s="43">
        <v>129</v>
      </c>
      <c r="C9" s="43">
        <v>5</v>
      </c>
      <c r="D9" s="43" t="s">
        <v>574</v>
      </c>
      <c r="E9" s="43" t="s">
        <v>575</v>
      </c>
      <c r="F9" s="43" t="s">
        <v>576</v>
      </c>
      <c r="G9" s="43" t="s">
        <v>464</v>
      </c>
      <c r="H9" s="43">
        <v>3795</v>
      </c>
      <c r="I9" s="43">
        <v>3800</v>
      </c>
      <c r="J9" s="43">
        <v>3747</v>
      </c>
      <c r="K9" s="43">
        <v>1330</v>
      </c>
      <c r="L9" s="43">
        <v>1330</v>
      </c>
      <c r="M9" s="43" t="s">
        <v>372</v>
      </c>
      <c r="N9" s="43" t="s">
        <v>426</v>
      </c>
      <c r="O9" s="44">
        <v>0.30358515667699998</v>
      </c>
      <c r="P9" s="44">
        <v>0.12285699999999999</v>
      </c>
      <c r="Q9" s="43" t="s">
        <v>405</v>
      </c>
      <c r="R9" s="43" t="s">
        <v>406</v>
      </c>
      <c r="S9" s="43">
        <v>21</v>
      </c>
      <c r="T9" s="43">
        <v>10</v>
      </c>
      <c r="U9" s="43" t="s">
        <v>407</v>
      </c>
      <c r="V9" s="43" t="s">
        <v>539</v>
      </c>
      <c r="W9" s="43" t="s">
        <v>540</v>
      </c>
      <c r="X9" s="45">
        <v>6.4719680000000004</v>
      </c>
      <c r="Y9" s="45">
        <v>0.6</v>
      </c>
      <c r="Z9" s="45">
        <v>0.22343056689385604</v>
      </c>
    </row>
    <row r="10" spans="1:26" x14ac:dyDescent="0.2">
      <c r="A10" s="43">
        <v>118</v>
      </c>
      <c r="B10" s="43">
        <v>129</v>
      </c>
      <c r="C10" s="43">
        <v>5</v>
      </c>
      <c r="D10" s="43" t="s">
        <v>574</v>
      </c>
      <c r="E10" s="43" t="s">
        <v>575</v>
      </c>
      <c r="F10" s="43" t="s">
        <v>576</v>
      </c>
      <c r="G10" s="43" t="s">
        <v>464</v>
      </c>
      <c r="H10" s="43">
        <v>52778</v>
      </c>
      <c r="I10" s="43">
        <v>52783</v>
      </c>
      <c r="J10" s="43">
        <v>52749</v>
      </c>
      <c r="K10" s="43">
        <v>8140</v>
      </c>
      <c r="L10" s="43">
        <v>8140</v>
      </c>
      <c r="M10" s="43" t="s">
        <v>372</v>
      </c>
      <c r="N10" s="43" t="s">
        <v>426</v>
      </c>
      <c r="O10" s="44">
        <v>8.9154291526700007</v>
      </c>
      <c r="P10" s="44">
        <v>3.6079500000000002</v>
      </c>
      <c r="Q10" s="43" t="s">
        <v>405</v>
      </c>
      <c r="R10" s="43" t="s">
        <v>406</v>
      </c>
      <c r="S10" s="43">
        <v>18</v>
      </c>
      <c r="T10" s="43">
        <v>10</v>
      </c>
      <c r="U10" s="43" t="s">
        <v>407</v>
      </c>
      <c r="V10" s="43" t="s">
        <v>420</v>
      </c>
      <c r="W10" s="43" t="s">
        <v>421</v>
      </c>
      <c r="X10" s="45">
        <v>3.4929570000000001</v>
      </c>
      <c r="Y10" s="45">
        <v>0.6</v>
      </c>
      <c r="Z10" s="45">
        <v>3.5412783924901508</v>
      </c>
    </row>
    <row r="11" spans="1:26" x14ac:dyDescent="0.2">
      <c r="Z11" s="45">
        <f>SUM(Z8:Z10)</f>
        <v>5.2306484480353426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opLeftCell="S1" workbookViewId="0">
      <selection activeCell="Y8" sqref="Y8:Y1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8.57031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29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24</v>
      </c>
      <c r="B2" s="43">
        <v>26</v>
      </c>
      <c r="C2" s="43">
        <v>5</v>
      </c>
      <c r="D2" s="43" t="s">
        <v>432</v>
      </c>
      <c r="E2" s="43" t="s">
        <v>543</v>
      </c>
      <c r="F2" s="43" t="s">
        <v>544</v>
      </c>
      <c r="G2" s="43" t="s">
        <v>464</v>
      </c>
      <c r="H2" s="43">
        <v>3795</v>
      </c>
      <c r="I2" s="43">
        <v>3800</v>
      </c>
      <c r="J2" s="43">
        <v>3747</v>
      </c>
      <c r="K2" s="43">
        <v>1330</v>
      </c>
      <c r="L2" s="43">
        <v>1330</v>
      </c>
      <c r="M2" s="43" t="s">
        <v>372</v>
      </c>
      <c r="N2" s="43" t="s">
        <v>426</v>
      </c>
      <c r="O2" s="44">
        <v>2.4051010309800001</v>
      </c>
      <c r="P2" s="44">
        <v>0.97331000000000001</v>
      </c>
      <c r="Q2" s="43" t="s">
        <v>405</v>
      </c>
      <c r="R2" s="43" t="s">
        <v>406</v>
      </c>
      <c r="S2" s="43">
        <v>21</v>
      </c>
      <c r="T2" s="43">
        <v>10</v>
      </c>
      <c r="U2" s="43" t="s">
        <v>407</v>
      </c>
      <c r="V2" s="43" t="s">
        <v>539</v>
      </c>
      <c r="W2" s="43" t="s">
        <v>540</v>
      </c>
      <c r="X2" s="45">
        <v>1.2503169999999999</v>
      </c>
      <c r="Y2" s="45">
        <v>0.78300000000000003</v>
      </c>
      <c r="Z2" s="45">
        <v>0.18375885192977004</v>
      </c>
    </row>
    <row r="3" spans="1:26" x14ac:dyDescent="0.2">
      <c r="A3" s="43">
        <v>24</v>
      </c>
      <c r="B3" s="43">
        <v>26</v>
      </c>
      <c r="C3" s="43">
        <v>5</v>
      </c>
      <c r="D3" s="43" t="s">
        <v>432</v>
      </c>
      <c r="E3" s="43" t="s">
        <v>543</v>
      </c>
      <c r="F3" s="43" t="s">
        <v>544</v>
      </c>
      <c r="G3" s="43" t="s">
        <v>464</v>
      </c>
      <c r="H3" s="43">
        <v>4517</v>
      </c>
      <c r="I3" s="43">
        <v>4518</v>
      </c>
      <c r="J3" s="43">
        <v>4486</v>
      </c>
      <c r="K3" s="43">
        <v>1400</v>
      </c>
      <c r="L3" s="43">
        <v>1400</v>
      </c>
      <c r="M3" s="43" t="s">
        <v>372</v>
      </c>
      <c r="N3" s="43" t="s">
        <v>426</v>
      </c>
      <c r="O3" s="44">
        <v>6.3894120401599999</v>
      </c>
      <c r="P3" s="44">
        <v>2.5857000000000001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v>0.69304161307680012</v>
      </c>
    </row>
    <row r="4" spans="1:26" x14ac:dyDescent="0.2">
      <c r="A4" s="43">
        <v>24</v>
      </c>
      <c r="B4" s="43">
        <v>26</v>
      </c>
      <c r="C4" s="43">
        <v>5</v>
      </c>
      <c r="D4" s="43" t="s">
        <v>432</v>
      </c>
      <c r="E4" s="43" t="s">
        <v>543</v>
      </c>
      <c r="F4" s="43" t="s">
        <v>544</v>
      </c>
      <c r="G4" s="43" t="s">
        <v>464</v>
      </c>
      <c r="H4" s="43">
        <v>52778</v>
      </c>
      <c r="I4" s="43">
        <v>52783</v>
      </c>
      <c r="J4" s="43">
        <v>52749</v>
      </c>
      <c r="K4" s="43">
        <v>8140</v>
      </c>
      <c r="L4" s="43">
        <v>8140</v>
      </c>
      <c r="M4" s="43" t="s">
        <v>372</v>
      </c>
      <c r="N4" s="43" t="s">
        <v>426</v>
      </c>
      <c r="O4" s="44">
        <v>13.032089798199999</v>
      </c>
      <c r="P4" s="44">
        <v>5.2739000000000003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0.78300000000000003</v>
      </c>
      <c r="Z4" s="45">
        <v>0.5710148147848001</v>
      </c>
    </row>
    <row r="5" spans="1:26" x14ac:dyDescent="0.2">
      <c r="O5" s="44">
        <f>SUM(O2:O4)</f>
        <v>21.82660286934</v>
      </c>
      <c r="Z5" s="45">
        <f>SUM(Z2:Z4)</f>
        <v>1.4478152797913704</v>
      </c>
    </row>
    <row r="7" spans="1:26" x14ac:dyDescent="0.2">
      <c r="A7" s="43" t="s">
        <v>377</v>
      </c>
      <c r="B7" s="43" t="s">
        <v>378</v>
      </c>
      <c r="C7" s="43" t="s">
        <v>527</v>
      </c>
      <c r="D7" s="43" t="s">
        <v>528</v>
      </c>
      <c r="E7" s="43" t="s">
        <v>380</v>
      </c>
      <c r="F7" s="43" t="s">
        <v>529</v>
      </c>
      <c r="G7" s="43" t="s">
        <v>379</v>
      </c>
      <c r="H7" s="43" t="s">
        <v>383</v>
      </c>
      <c r="I7" s="43" t="s">
        <v>384</v>
      </c>
      <c r="J7" s="43" t="s">
        <v>385</v>
      </c>
      <c r="K7" s="43" t="s">
        <v>386</v>
      </c>
      <c r="L7" s="43" t="s">
        <v>387</v>
      </c>
      <c r="M7" s="43" t="s">
        <v>388</v>
      </c>
      <c r="N7" s="43" t="s">
        <v>389</v>
      </c>
      <c r="O7" s="44" t="s">
        <v>390</v>
      </c>
      <c r="P7" s="44" t="s">
        <v>391</v>
      </c>
      <c r="Q7" s="43" t="s">
        <v>392</v>
      </c>
      <c r="R7" s="43" t="s">
        <v>393</v>
      </c>
      <c r="S7" s="43" t="s">
        <v>394</v>
      </c>
      <c r="T7" s="43" t="s">
        <v>395</v>
      </c>
      <c r="U7" s="43" t="s">
        <v>396</v>
      </c>
      <c r="V7" s="43" t="s">
        <v>397</v>
      </c>
      <c r="W7" s="43" t="s">
        <v>398</v>
      </c>
      <c r="X7" s="45" t="s">
        <v>589</v>
      </c>
      <c r="Y7" s="45" t="s">
        <v>590</v>
      </c>
      <c r="Z7" s="45" t="s">
        <v>591</v>
      </c>
    </row>
    <row r="8" spans="1:26" x14ac:dyDescent="0.2">
      <c r="A8" s="43">
        <v>24</v>
      </c>
      <c r="B8" s="43">
        <v>26</v>
      </c>
      <c r="C8" s="43">
        <v>5</v>
      </c>
      <c r="D8" s="43" t="s">
        <v>432</v>
      </c>
      <c r="E8" s="43" t="s">
        <v>543</v>
      </c>
      <c r="F8" s="43" t="s">
        <v>544</v>
      </c>
      <c r="G8" s="43" t="s">
        <v>464</v>
      </c>
      <c r="H8" s="43">
        <v>3795</v>
      </c>
      <c r="I8" s="43">
        <v>3800</v>
      </c>
      <c r="J8" s="43">
        <v>3747</v>
      </c>
      <c r="K8" s="43">
        <v>1330</v>
      </c>
      <c r="L8" s="43">
        <v>1330</v>
      </c>
      <c r="M8" s="43" t="s">
        <v>372</v>
      </c>
      <c r="N8" s="43" t="s">
        <v>426</v>
      </c>
      <c r="O8" s="44">
        <v>2.4051010309800001</v>
      </c>
      <c r="P8" s="44">
        <v>0.97331000000000001</v>
      </c>
      <c r="Q8" s="43" t="s">
        <v>405</v>
      </c>
      <c r="R8" s="43" t="s">
        <v>406</v>
      </c>
      <c r="S8" s="43">
        <v>21</v>
      </c>
      <c r="T8" s="43">
        <v>10</v>
      </c>
      <c r="U8" s="43" t="s">
        <v>407</v>
      </c>
      <c r="V8" s="43" t="s">
        <v>539</v>
      </c>
      <c r="W8" s="43" t="s">
        <v>540</v>
      </c>
      <c r="X8" s="45">
        <v>6.4719680000000004</v>
      </c>
      <c r="Y8" s="45">
        <v>0.6</v>
      </c>
      <c r="Z8" s="45">
        <v>1.7700839599164802</v>
      </c>
    </row>
    <row r="9" spans="1:26" x14ac:dyDescent="0.2">
      <c r="A9" s="43">
        <v>24</v>
      </c>
      <c r="B9" s="43">
        <v>26</v>
      </c>
      <c r="C9" s="43">
        <v>5</v>
      </c>
      <c r="D9" s="43" t="s">
        <v>432</v>
      </c>
      <c r="E9" s="43" t="s">
        <v>543</v>
      </c>
      <c r="F9" s="43" t="s">
        <v>544</v>
      </c>
      <c r="G9" s="43" t="s">
        <v>464</v>
      </c>
      <c r="H9" s="43">
        <v>4517</v>
      </c>
      <c r="I9" s="43">
        <v>4518</v>
      </c>
      <c r="J9" s="43">
        <v>4486</v>
      </c>
      <c r="K9" s="43">
        <v>1400</v>
      </c>
      <c r="L9" s="43">
        <v>1400</v>
      </c>
      <c r="M9" s="43" t="s">
        <v>372</v>
      </c>
      <c r="N9" s="43" t="s">
        <v>426</v>
      </c>
      <c r="O9" s="44">
        <v>6.3894120401599999</v>
      </c>
      <c r="P9" s="44">
        <v>2.5857000000000001</v>
      </c>
      <c r="Q9" s="43" t="s">
        <v>405</v>
      </c>
      <c r="R9" s="43" t="s">
        <v>406</v>
      </c>
      <c r="S9" s="43">
        <v>3</v>
      </c>
      <c r="T9" s="43">
        <v>10</v>
      </c>
      <c r="U9" s="43" t="s">
        <v>407</v>
      </c>
      <c r="V9" s="43" t="s">
        <v>408</v>
      </c>
      <c r="W9" s="43" t="s">
        <v>408</v>
      </c>
      <c r="X9" s="45">
        <v>7.8337940000000001</v>
      </c>
      <c r="Y9" s="45">
        <v>0.6</v>
      </c>
      <c r="Z9" s="45">
        <v>5.6918913619698008</v>
      </c>
    </row>
    <row r="10" spans="1:26" x14ac:dyDescent="0.2">
      <c r="A10" s="43">
        <v>24</v>
      </c>
      <c r="B10" s="43">
        <v>26</v>
      </c>
      <c r="C10" s="43">
        <v>5</v>
      </c>
      <c r="D10" s="43" t="s">
        <v>432</v>
      </c>
      <c r="E10" s="43" t="s">
        <v>543</v>
      </c>
      <c r="F10" s="43" t="s">
        <v>544</v>
      </c>
      <c r="G10" s="43" t="s">
        <v>464</v>
      </c>
      <c r="H10" s="43">
        <v>52778</v>
      </c>
      <c r="I10" s="43">
        <v>52783</v>
      </c>
      <c r="J10" s="43">
        <v>52749</v>
      </c>
      <c r="K10" s="43">
        <v>8140</v>
      </c>
      <c r="L10" s="43">
        <v>8140</v>
      </c>
      <c r="M10" s="43" t="s">
        <v>372</v>
      </c>
      <c r="N10" s="43" t="s">
        <v>426</v>
      </c>
      <c r="O10" s="44">
        <v>13.032089798199999</v>
      </c>
      <c r="P10" s="44">
        <v>5.2739000000000003</v>
      </c>
      <c r="Q10" s="43" t="s">
        <v>405</v>
      </c>
      <c r="R10" s="43" t="s">
        <v>406</v>
      </c>
      <c r="S10" s="43">
        <v>18</v>
      </c>
      <c r="T10" s="43">
        <v>10</v>
      </c>
      <c r="U10" s="43" t="s">
        <v>407</v>
      </c>
      <c r="V10" s="43" t="s">
        <v>420</v>
      </c>
      <c r="W10" s="43" t="s">
        <v>421</v>
      </c>
      <c r="X10" s="45">
        <v>3.4929570000000001</v>
      </c>
      <c r="Y10" s="45">
        <v>0.6</v>
      </c>
      <c r="Z10" s="45">
        <v>5.1764431641663</v>
      </c>
    </row>
    <row r="11" spans="1:26" x14ac:dyDescent="0.2">
      <c r="Z11" s="45">
        <f>SUM(Z8:Z10)</f>
        <v>12.638418486052581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opLeftCell="S1" workbookViewId="0">
      <selection activeCell="Y11" sqref="Y11:Y1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18.7109375" bestFit="1" customWidth="1"/>
    <col min="23" max="23" width="21.8554687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</v>
      </c>
      <c r="B2" s="43">
        <v>2</v>
      </c>
      <c r="C2" s="43">
        <v>5</v>
      </c>
      <c r="D2" s="43" t="s">
        <v>457</v>
      </c>
      <c r="E2" s="43" t="s">
        <v>530</v>
      </c>
      <c r="F2" s="43" t="s">
        <v>531</v>
      </c>
      <c r="G2" s="43" t="s">
        <v>469</v>
      </c>
      <c r="H2" s="43">
        <v>17418</v>
      </c>
      <c r="I2" s="43">
        <v>17419</v>
      </c>
      <c r="J2" s="43">
        <v>17408</v>
      </c>
      <c r="K2" s="43">
        <v>4130</v>
      </c>
      <c r="L2" s="43">
        <v>4130</v>
      </c>
      <c r="M2" s="43" t="s">
        <v>372</v>
      </c>
      <c r="N2" s="43" t="s">
        <v>404</v>
      </c>
      <c r="O2" s="44">
        <v>0.12536193121600001</v>
      </c>
      <c r="P2" s="44">
        <v>5.0732199999999998E-2</v>
      </c>
      <c r="Q2" s="43" t="s">
        <v>405</v>
      </c>
      <c r="R2" s="43" t="s">
        <v>406</v>
      </c>
      <c r="S2" s="43">
        <v>5</v>
      </c>
      <c r="T2" s="43">
        <v>40</v>
      </c>
      <c r="U2" s="43" t="s">
        <v>412</v>
      </c>
      <c r="V2" s="43" t="s">
        <v>532</v>
      </c>
      <c r="W2" s="43" t="s">
        <v>414</v>
      </c>
      <c r="X2" s="45">
        <v>9.3119999999999994E-2</v>
      </c>
      <c r="Y2" s="45">
        <v>0.78300000000000003</v>
      </c>
      <c r="Z2" s="45">
        <v>7.1335155206399996E-4</v>
      </c>
    </row>
    <row r="3" spans="1:26" x14ac:dyDescent="0.2">
      <c r="A3" s="43">
        <v>1</v>
      </c>
      <c r="B3" s="43">
        <v>2</v>
      </c>
      <c r="C3" s="43">
        <v>5</v>
      </c>
      <c r="D3" s="43" t="s">
        <v>457</v>
      </c>
      <c r="E3" s="43" t="s">
        <v>530</v>
      </c>
      <c r="F3" s="43" t="s">
        <v>531</v>
      </c>
      <c r="G3" s="43" t="s">
        <v>469</v>
      </c>
      <c r="H3" s="43">
        <v>23026</v>
      </c>
      <c r="I3" s="43">
        <v>23027</v>
      </c>
      <c r="J3" s="43">
        <v>22992</v>
      </c>
      <c r="K3" s="43">
        <v>5300</v>
      </c>
      <c r="L3" s="43">
        <v>5300</v>
      </c>
      <c r="M3" s="43" t="s">
        <v>372</v>
      </c>
      <c r="N3" s="43" t="s">
        <v>404</v>
      </c>
      <c r="O3" s="44">
        <v>3.8037975442900003E-2</v>
      </c>
      <c r="P3" s="44">
        <v>1.53934E-2</v>
      </c>
      <c r="Q3" s="43" t="s">
        <v>405</v>
      </c>
      <c r="R3" s="43" t="s">
        <v>406</v>
      </c>
      <c r="S3" s="43">
        <v>9</v>
      </c>
      <c r="T3" s="43">
        <v>50</v>
      </c>
      <c r="U3" s="43" t="s">
        <v>438</v>
      </c>
      <c r="V3" s="43" t="s">
        <v>439</v>
      </c>
      <c r="W3" s="43" t="s">
        <v>440</v>
      </c>
      <c r="X3" s="45">
        <v>0.128413</v>
      </c>
      <c r="Y3" s="45">
        <v>0.78300000000000003</v>
      </c>
      <c r="Z3" s="45">
        <v>2.9848361380420001E-4</v>
      </c>
    </row>
    <row r="4" spans="1:26" x14ac:dyDescent="0.2">
      <c r="A4" s="43">
        <v>1</v>
      </c>
      <c r="B4" s="43">
        <v>2</v>
      </c>
      <c r="C4" s="43">
        <v>5</v>
      </c>
      <c r="D4" s="43" t="s">
        <v>457</v>
      </c>
      <c r="E4" s="43" t="s">
        <v>530</v>
      </c>
      <c r="F4" s="43" t="s">
        <v>531</v>
      </c>
      <c r="G4" s="43" t="s">
        <v>469</v>
      </c>
      <c r="H4" s="43">
        <v>52766</v>
      </c>
      <c r="I4" s="43">
        <v>52771</v>
      </c>
      <c r="J4" s="43">
        <v>52737</v>
      </c>
      <c r="K4" s="43">
        <v>8140</v>
      </c>
      <c r="L4" s="43">
        <v>8140</v>
      </c>
      <c r="M4" s="43" t="s">
        <v>372</v>
      </c>
      <c r="N4" s="43" t="s">
        <v>404</v>
      </c>
      <c r="O4" s="44">
        <v>7.8101946508599998</v>
      </c>
      <c r="P4" s="44">
        <v>3.1606700000000001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0.78300000000000003</v>
      </c>
      <c r="Z4" s="45">
        <v>0.34221153124744003</v>
      </c>
    </row>
    <row r="5" spans="1:26" x14ac:dyDescent="0.2">
      <c r="A5" s="43">
        <v>2</v>
      </c>
      <c r="B5" s="43">
        <v>3</v>
      </c>
      <c r="C5" s="43">
        <v>5</v>
      </c>
      <c r="D5" s="43" t="s">
        <v>424</v>
      </c>
      <c r="E5" s="43" t="s">
        <v>530</v>
      </c>
      <c r="F5" s="43" t="s">
        <v>533</v>
      </c>
      <c r="G5" s="43" t="s">
        <v>469</v>
      </c>
      <c r="H5" s="43">
        <v>6117</v>
      </c>
      <c r="I5" s="43">
        <v>6118</v>
      </c>
      <c r="J5" s="43">
        <v>6063</v>
      </c>
      <c r="K5" s="43">
        <v>1900</v>
      </c>
      <c r="L5" s="43">
        <v>1900</v>
      </c>
      <c r="M5" s="43" t="s">
        <v>372</v>
      </c>
      <c r="N5" s="43" t="s">
        <v>404</v>
      </c>
      <c r="O5" s="44">
        <v>0.415969356003</v>
      </c>
      <c r="P5" s="44">
        <v>0.16833699999999999</v>
      </c>
      <c r="Q5" s="43" t="s">
        <v>405</v>
      </c>
      <c r="R5" s="43" t="s">
        <v>406</v>
      </c>
      <c r="S5" s="43">
        <v>70</v>
      </c>
      <c r="T5" s="43">
        <v>10</v>
      </c>
      <c r="U5" s="43" t="s">
        <v>407</v>
      </c>
      <c r="V5" s="43" t="s">
        <v>410</v>
      </c>
      <c r="W5" s="43" t="s">
        <v>411</v>
      </c>
      <c r="X5" s="45">
        <v>0.19295699999999999</v>
      </c>
      <c r="Y5" s="45">
        <v>0.78300000000000003</v>
      </c>
      <c r="Z5" s="45">
        <v>4.9047521788590006E-3</v>
      </c>
    </row>
    <row r="6" spans="1:26" x14ac:dyDescent="0.2">
      <c r="A6" s="43">
        <v>2</v>
      </c>
      <c r="B6" s="43">
        <v>3</v>
      </c>
      <c r="C6" s="43">
        <v>5</v>
      </c>
      <c r="D6" s="43" t="s">
        <v>424</v>
      </c>
      <c r="E6" s="43" t="s">
        <v>530</v>
      </c>
      <c r="F6" s="43" t="s">
        <v>533</v>
      </c>
      <c r="G6" s="43" t="s">
        <v>469</v>
      </c>
      <c r="H6" s="43">
        <v>23036</v>
      </c>
      <c r="I6" s="43">
        <v>23037</v>
      </c>
      <c r="J6" s="43">
        <v>23002</v>
      </c>
      <c r="K6" s="43">
        <v>5300</v>
      </c>
      <c r="L6" s="43">
        <v>5300</v>
      </c>
      <c r="M6" s="43" t="s">
        <v>372</v>
      </c>
      <c r="N6" s="43" t="s">
        <v>404</v>
      </c>
      <c r="O6" s="44">
        <v>0.42902618029299999</v>
      </c>
      <c r="P6" s="44">
        <v>0.173621</v>
      </c>
      <c r="Q6" s="43" t="s">
        <v>405</v>
      </c>
      <c r="R6" s="43" t="s">
        <v>406</v>
      </c>
      <c r="S6" s="43">
        <v>9</v>
      </c>
      <c r="T6" s="43">
        <v>50</v>
      </c>
      <c r="U6" s="43" t="s">
        <v>438</v>
      </c>
      <c r="V6" s="43" t="s">
        <v>439</v>
      </c>
      <c r="W6" s="43" t="s">
        <v>440</v>
      </c>
      <c r="X6" s="45">
        <v>0.128413</v>
      </c>
      <c r="Y6" s="45">
        <v>0.78300000000000003</v>
      </c>
      <c r="Z6" s="45">
        <v>3.3665742144230004E-3</v>
      </c>
    </row>
    <row r="7" spans="1:26" x14ac:dyDescent="0.2">
      <c r="A7" s="43">
        <v>2</v>
      </c>
      <c r="B7" s="43">
        <v>3</v>
      </c>
      <c r="C7" s="43">
        <v>5</v>
      </c>
      <c r="D7" s="43" t="s">
        <v>424</v>
      </c>
      <c r="E7" s="43" t="s">
        <v>530</v>
      </c>
      <c r="F7" s="43" t="s">
        <v>533</v>
      </c>
      <c r="G7" s="43" t="s">
        <v>469</v>
      </c>
      <c r="H7" s="43">
        <v>52766</v>
      </c>
      <c r="I7" s="43">
        <v>52771</v>
      </c>
      <c r="J7" s="43">
        <v>52737</v>
      </c>
      <c r="K7" s="43">
        <v>8140</v>
      </c>
      <c r="L7" s="43">
        <v>8140</v>
      </c>
      <c r="M7" s="43" t="s">
        <v>372</v>
      </c>
      <c r="N7" s="43" t="s">
        <v>404</v>
      </c>
      <c r="O7" s="44">
        <v>5.9808501704800001</v>
      </c>
      <c r="P7" s="44">
        <v>2.4203600000000001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420</v>
      </c>
      <c r="W7" s="43" t="s">
        <v>421</v>
      </c>
      <c r="X7" s="45">
        <v>0.717032</v>
      </c>
      <c r="Y7" s="45">
        <v>0.78300000000000003</v>
      </c>
      <c r="Z7" s="45">
        <v>0.26205681129952008</v>
      </c>
    </row>
    <row r="8" spans="1:26" x14ac:dyDescent="0.2">
      <c r="O8" s="44">
        <f>SUM(O2:O7)</f>
        <v>14.799440264294901</v>
      </c>
      <c r="Z8" s="45">
        <f>SUM(Z2:Z7)</f>
        <v>0.61355150410611037</v>
      </c>
    </row>
    <row r="10" spans="1:26" x14ac:dyDescent="0.2">
      <c r="A10" s="43" t="s">
        <v>377</v>
      </c>
      <c r="B10" s="43" t="s">
        <v>378</v>
      </c>
      <c r="C10" s="43" t="s">
        <v>527</v>
      </c>
      <c r="D10" s="43" t="s">
        <v>528</v>
      </c>
      <c r="E10" s="43" t="s">
        <v>380</v>
      </c>
      <c r="F10" s="43" t="s">
        <v>529</v>
      </c>
      <c r="G10" s="43" t="s">
        <v>379</v>
      </c>
      <c r="H10" s="43" t="s">
        <v>383</v>
      </c>
      <c r="I10" s="43" t="s">
        <v>384</v>
      </c>
      <c r="J10" s="43" t="s">
        <v>385</v>
      </c>
      <c r="K10" s="43" t="s">
        <v>386</v>
      </c>
      <c r="L10" s="43" t="s">
        <v>387</v>
      </c>
      <c r="M10" s="43" t="s">
        <v>388</v>
      </c>
      <c r="N10" s="43" t="s">
        <v>389</v>
      </c>
      <c r="O10" s="44" t="s">
        <v>390</v>
      </c>
      <c r="P10" s="44" t="s">
        <v>391</v>
      </c>
      <c r="Q10" s="43" t="s">
        <v>392</v>
      </c>
      <c r="R10" s="43" t="s">
        <v>393</v>
      </c>
      <c r="S10" s="43" t="s">
        <v>394</v>
      </c>
      <c r="T10" s="43" t="s">
        <v>395</v>
      </c>
      <c r="U10" s="43" t="s">
        <v>396</v>
      </c>
      <c r="V10" s="43" t="s">
        <v>397</v>
      </c>
      <c r="W10" s="43" t="s">
        <v>398</v>
      </c>
      <c r="X10" s="45" t="s">
        <v>589</v>
      </c>
      <c r="Y10" s="45" t="s">
        <v>590</v>
      </c>
      <c r="Z10" s="45" t="s">
        <v>591</v>
      </c>
    </row>
    <row r="11" spans="1:26" x14ac:dyDescent="0.2">
      <c r="A11" s="43">
        <v>1</v>
      </c>
      <c r="B11" s="43">
        <v>2</v>
      </c>
      <c r="C11" s="43">
        <v>5</v>
      </c>
      <c r="D11" s="43" t="s">
        <v>457</v>
      </c>
      <c r="E11" s="43" t="s">
        <v>530</v>
      </c>
      <c r="F11" s="43" t="s">
        <v>531</v>
      </c>
      <c r="G11" s="43" t="s">
        <v>469</v>
      </c>
      <c r="H11" s="43">
        <v>17418</v>
      </c>
      <c r="I11" s="43">
        <v>17419</v>
      </c>
      <c r="J11" s="43">
        <v>17408</v>
      </c>
      <c r="K11" s="43">
        <v>4130</v>
      </c>
      <c r="L11" s="43">
        <v>4130</v>
      </c>
      <c r="M11" s="43" t="s">
        <v>372</v>
      </c>
      <c r="N11" s="43" t="s">
        <v>404</v>
      </c>
      <c r="O11" s="44">
        <v>0.12536193121600001</v>
      </c>
      <c r="P11" s="44">
        <v>5.0732199999999998E-2</v>
      </c>
      <c r="Q11" s="43" t="s">
        <v>405</v>
      </c>
      <c r="R11" s="43" t="s">
        <v>406</v>
      </c>
      <c r="S11" s="43">
        <v>5</v>
      </c>
      <c r="T11" s="43">
        <v>40</v>
      </c>
      <c r="U11" s="43" t="s">
        <v>412</v>
      </c>
      <c r="V11" s="43" t="s">
        <v>532</v>
      </c>
      <c r="W11" s="43" t="s">
        <v>414</v>
      </c>
      <c r="X11" s="45">
        <v>8.1290569999999995</v>
      </c>
      <c r="Y11" s="45">
        <v>0.6</v>
      </c>
      <c r="Z11" s="45">
        <v>0.1158857896954474</v>
      </c>
    </row>
    <row r="12" spans="1:26" x14ac:dyDescent="0.2">
      <c r="A12" s="43">
        <v>1</v>
      </c>
      <c r="B12" s="43">
        <v>2</v>
      </c>
      <c r="C12" s="43">
        <v>5</v>
      </c>
      <c r="D12" s="43" t="s">
        <v>457</v>
      </c>
      <c r="E12" s="43" t="s">
        <v>530</v>
      </c>
      <c r="F12" s="43" t="s">
        <v>531</v>
      </c>
      <c r="G12" s="43" t="s">
        <v>469</v>
      </c>
      <c r="H12" s="43">
        <v>23026</v>
      </c>
      <c r="I12" s="43">
        <v>23027</v>
      </c>
      <c r="J12" s="43">
        <v>22992</v>
      </c>
      <c r="K12" s="43">
        <v>5300</v>
      </c>
      <c r="L12" s="43">
        <v>5300</v>
      </c>
      <c r="M12" s="43" t="s">
        <v>372</v>
      </c>
      <c r="N12" s="43" t="s">
        <v>404</v>
      </c>
      <c r="O12" s="44">
        <v>3.8037975442900003E-2</v>
      </c>
      <c r="P12" s="44">
        <v>1.53934E-2</v>
      </c>
      <c r="Q12" s="43" t="s">
        <v>405</v>
      </c>
      <c r="R12" s="43" t="s">
        <v>406</v>
      </c>
      <c r="S12" s="43">
        <v>9</v>
      </c>
      <c r="T12" s="43">
        <v>50</v>
      </c>
      <c r="U12" s="43" t="s">
        <v>438</v>
      </c>
      <c r="V12" s="43" t="s">
        <v>439</v>
      </c>
      <c r="W12" s="43" t="s">
        <v>440</v>
      </c>
      <c r="X12" s="45">
        <v>2.201031</v>
      </c>
      <c r="Y12" s="45">
        <v>0.6</v>
      </c>
      <c r="Z12" s="45">
        <v>9.5206595173074008E-3</v>
      </c>
    </row>
    <row r="13" spans="1:26" x14ac:dyDescent="0.2">
      <c r="A13" s="43">
        <v>1</v>
      </c>
      <c r="B13" s="43">
        <v>2</v>
      </c>
      <c r="C13" s="43">
        <v>5</v>
      </c>
      <c r="D13" s="43" t="s">
        <v>457</v>
      </c>
      <c r="E13" s="43" t="s">
        <v>530</v>
      </c>
      <c r="F13" s="43" t="s">
        <v>531</v>
      </c>
      <c r="G13" s="43" t="s">
        <v>469</v>
      </c>
      <c r="H13" s="43">
        <v>52766</v>
      </c>
      <c r="I13" s="43">
        <v>52771</v>
      </c>
      <c r="J13" s="43">
        <v>52737</v>
      </c>
      <c r="K13" s="43">
        <v>8140</v>
      </c>
      <c r="L13" s="43">
        <v>8140</v>
      </c>
      <c r="M13" s="43" t="s">
        <v>372</v>
      </c>
      <c r="N13" s="43" t="s">
        <v>404</v>
      </c>
      <c r="O13" s="44">
        <v>7.8101946508599998</v>
      </c>
      <c r="P13" s="44">
        <v>3.1606700000000001</v>
      </c>
      <c r="Q13" s="43" t="s">
        <v>405</v>
      </c>
      <c r="R13" s="43" t="s">
        <v>406</v>
      </c>
      <c r="S13" s="43">
        <v>18</v>
      </c>
      <c r="T13" s="43">
        <v>10</v>
      </c>
      <c r="U13" s="43" t="s">
        <v>407</v>
      </c>
      <c r="V13" s="43" t="s">
        <v>420</v>
      </c>
      <c r="W13" s="43" t="s">
        <v>421</v>
      </c>
      <c r="X13" s="45">
        <v>3.4929570000000001</v>
      </c>
      <c r="Y13" s="45">
        <v>0.6</v>
      </c>
      <c r="Z13" s="45">
        <v>3.1022637167343903</v>
      </c>
    </row>
    <row r="14" spans="1:26" x14ac:dyDescent="0.2">
      <c r="A14" s="43">
        <v>2</v>
      </c>
      <c r="B14" s="43">
        <v>3</v>
      </c>
      <c r="C14" s="43">
        <v>5</v>
      </c>
      <c r="D14" s="43" t="s">
        <v>424</v>
      </c>
      <c r="E14" s="43" t="s">
        <v>530</v>
      </c>
      <c r="F14" s="43" t="s">
        <v>533</v>
      </c>
      <c r="G14" s="43" t="s">
        <v>469</v>
      </c>
      <c r="H14" s="43">
        <v>6117</v>
      </c>
      <c r="I14" s="43">
        <v>6118</v>
      </c>
      <c r="J14" s="43">
        <v>6063</v>
      </c>
      <c r="K14" s="43">
        <v>1900</v>
      </c>
      <c r="L14" s="43">
        <v>1900</v>
      </c>
      <c r="M14" s="43" t="s">
        <v>372</v>
      </c>
      <c r="N14" s="43" t="s">
        <v>404</v>
      </c>
      <c r="O14" s="44">
        <v>0.415969356003</v>
      </c>
      <c r="P14" s="44">
        <v>0.16833699999999999</v>
      </c>
      <c r="Q14" s="43" t="s">
        <v>405</v>
      </c>
      <c r="R14" s="43" t="s">
        <v>406</v>
      </c>
      <c r="S14" s="43">
        <v>70</v>
      </c>
      <c r="T14" s="43">
        <v>10</v>
      </c>
      <c r="U14" s="43" t="s">
        <v>407</v>
      </c>
      <c r="V14" s="43" t="s">
        <v>410</v>
      </c>
      <c r="W14" s="43" t="s">
        <v>411</v>
      </c>
      <c r="X14" s="45">
        <v>1.1817740000000001</v>
      </c>
      <c r="Y14" s="45">
        <v>0.6</v>
      </c>
      <c r="Z14" s="45">
        <v>5.5901097444478E-2</v>
      </c>
    </row>
    <row r="15" spans="1:26" x14ac:dyDescent="0.2">
      <c r="A15" s="43">
        <v>2</v>
      </c>
      <c r="B15" s="43">
        <v>3</v>
      </c>
      <c r="C15" s="43">
        <v>5</v>
      </c>
      <c r="D15" s="43" t="s">
        <v>424</v>
      </c>
      <c r="E15" s="43" t="s">
        <v>530</v>
      </c>
      <c r="F15" s="43" t="s">
        <v>533</v>
      </c>
      <c r="G15" s="43" t="s">
        <v>469</v>
      </c>
      <c r="H15" s="43">
        <v>23036</v>
      </c>
      <c r="I15" s="43">
        <v>23037</v>
      </c>
      <c r="J15" s="43">
        <v>23002</v>
      </c>
      <c r="K15" s="43">
        <v>5300</v>
      </c>
      <c r="L15" s="43">
        <v>5300</v>
      </c>
      <c r="M15" s="43" t="s">
        <v>372</v>
      </c>
      <c r="N15" s="43" t="s">
        <v>404</v>
      </c>
      <c r="O15" s="44">
        <v>0.42902618029299999</v>
      </c>
      <c r="P15" s="44">
        <v>0.173621</v>
      </c>
      <c r="Q15" s="43" t="s">
        <v>405</v>
      </c>
      <c r="R15" s="43" t="s">
        <v>406</v>
      </c>
      <c r="S15" s="43">
        <v>9</v>
      </c>
      <c r="T15" s="43">
        <v>50</v>
      </c>
      <c r="U15" s="43" t="s">
        <v>438</v>
      </c>
      <c r="V15" s="43" t="s">
        <v>439</v>
      </c>
      <c r="W15" s="43" t="s">
        <v>440</v>
      </c>
      <c r="X15" s="45">
        <v>2.201031</v>
      </c>
      <c r="Y15" s="45">
        <v>0.6</v>
      </c>
      <c r="Z15" s="45">
        <v>0.107382802113531</v>
      </c>
    </row>
    <row r="16" spans="1:26" x14ac:dyDescent="0.2">
      <c r="A16" s="43">
        <v>2</v>
      </c>
      <c r="B16" s="43">
        <v>3</v>
      </c>
      <c r="C16" s="43">
        <v>5</v>
      </c>
      <c r="D16" s="43" t="s">
        <v>424</v>
      </c>
      <c r="E16" s="43" t="s">
        <v>530</v>
      </c>
      <c r="F16" s="43" t="s">
        <v>533</v>
      </c>
      <c r="G16" s="43" t="s">
        <v>469</v>
      </c>
      <c r="H16" s="43">
        <v>52766</v>
      </c>
      <c r="I16" s="43">
        <v>52771</v>
      </c>
      <c r="J16" s="43">
        <v>52737</v>
      </c>
      <c r="K16" s="43">
        <v>8140</v>
      </c>
      <c r="L16" s="43">
        <v>8140</v>
      </c>
      <c r="M16" s="43" t="s">
        <v>372</v>
      </c>
      <c r="N16" s="43" t="s">
        <v>404</v>
      </c>
      <c r="O16" s="44">
        <v>5.9808501704800001</v>
      </c>
      <c r="P16" s="44">
        <v>2.4203600000000001</v>
      </c>
      <c r="Q16" s="43" t="s">
        <v>405</v>
      </c>
      <c r="R16" s="43" t="s">
        <v>406</v>
      </c>
      <c r="S16" s="43">
        <v>18</v>
      </c>
      <c r="T16" s="43">
        <v>10</v>
      </c>
      <c r="U16" s="43" t="s">
        <v>407</v>
      </c>
      <c r="V16" s="43" t="s">
        <v>420</v>
      </c>
      <c r="W16" s="43" t="s">
        <v>421</v>
      </c>
      <c r="X16" s="45">
        <v>3.4929570000000001</v>
      </c>
      <c r="Y16" s="45">
        <v>0.6</v>
      </c>
      <c r="Z16" s="45">
        <v>2.3756339666701205</v>
      </c>
    </row>
    <row r="17" spans="26:26" x14ac:dyDescent="0.2">
      <c r="Z17" s="45">
        <f>SUM(Z11:Z16)</f>
        <v>5.7665880321752745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opLeftCell="Q1" workbookViewId="0">
      <selection activeCell="Y10" sqref="Y10:Y14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57031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4</v>
      </c>
      <c r="B2" s="43">
        <v>5</v>
      </c>
      <c r="C2" s="43">
        <v>5</v>
      </c>
      <c r="D2" s="43" t="s">
        <v>457</v>
      </c>
      <c r="E2" s="43" t="s">
        <v>534</v>
      </c>
      <c r="F2" s="43" t="s">
        <v>535</v>
      </c>
      <c r="G2" s="43" t="s">
        <v>464</v>
      </c>
      <c r="H2" s="43">
        <v>4409</v>
      </c>
      <c r="I2" s="43">
        <v>4410</v>
      </c>
      <c r="J2" s="43">
        <v>4378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0.80814439578399999</v>
      </c>
      <c r="P2" s="44">
        <v>0.327044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>P2*X2*(1-Y2)</f>
        <v>0.12597087594515197</v>
      </c>
    </row>
    <row r="3" spans="1:26" x14ac:dyDescent="0.2">
      <c r="A3" s="43">
        <v>4</v>
      </c>
      <c r="B3" s="43">
        <v>5</v>
      </c>
      <c r="C3" s="43">
        <v>5</v>
      </c>
      <c r="D3" s="43" t="s">
        <v>457</v>
      </c>
      <c r="E3" s="43" t="s">
        <v>534</v>
      </c>
      <c r="F3" s="43" t="s">
        <v>535</v>
      </c>
      <c r="G3" s="43" t="s">
        <v>464</v>
      </c>
      <c r="H3" s="43">
        <v>22961</v>
      </c>
      <c r="I3" s="43">
        <v>22962</v>
      </c>
      <c r="J3" s="43">
        <v>22927</v>
      </c>
      <c r="K3" s="43">
        <v>5300</v>
      </c>
      <c r="L3" s="43">
        <v>5300</v>
      </c>
      <c r="M3" s="43" t="s">
        <v>372</v>
      </c>
      <c r="N3" s="43" t="s">
        <v>404</v>
      </c>
      <c r="O3" s="44">
        <v>9.6934813733900005E-2</v>
      </c>
      <c r="P3" s="44">
        <v>3.9228100000000002E-2</v>
      </c>
      <c r="Q3" s="43" t="s">
        <v>405</v>
      </c>
      <c r="R3" s="43" t="s">
        <v>406</v>
      </c>
      <c r="S3" s="43">
        <v>9</v>
      </c>
      <c r="T3" s="43">
        <v>50</v>
      </c>
      <c r="U3" s="43" t="s">
        <v>438</v>
      </c>
      <c r="V3" s="43" t="s">
        <v>439</v>
      </c>
      <c r="W3" s="43" t="s">
        <v>440</v>
      </c>
      <c r="X3" s="45">
        <v>0.128413</v>
      </c>
      <c r="Y3" s="45">
        <v>0.78300000000000003</v>
      </c>
      <c r="Z3" s="45">
        <f>P3*X3*(1-Y3)</f>
        <v>1.0931153671501E-3</v>
      </c>
    </row>
    <row r="4" spans="1:26" x14ac:dyDescent="0.2">
      <c r="A4" s="43">
        <v>4</v>
      </c>
      <c r="B4" s="43">
        <v>5</v>
      </c>
      <c r="C4" s="43">
        <v>5</v>
      </c>
      <c r="D4" s="43" t="s">
        <v>457</v>
      </c>
      <c r="E4" s="43" t="s">
        <v>534</v>
      </c>
      <c r="F4" s="43" t="s">
        <v>535</v>
      </c>
      <c r="G4" s="43" t="s">
        <v>464</v>
      </c>
      <c r="H4" s="43">
        <v>52766</v>
      </c>
      <c r="I4" s="43">
        <v>52771</v>
      </c>
      <c r="J4" s="43">
        <v>52737</v>
      </c>
      <c r="K4" s="43">
        <v>8140</v>
      </c>
      <c r="L4" s="43">
        <v>8140</v>
      </c>
      <c r="M4" s="43" t="s">
        <v>372</v>
      </c>
      <c r="N4" s="43" t="s">
        <v>404</v>
      </c>
      <c r="O4" s="44">
        <v>18.308785156700001</v>
      </c>
      <c r="P4" s="44">
        <v>7.4093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0.78300000000000003</v>
      </c>
      <c r="Z4" s="45">
        <f>P4*X4*(1-Y4)</f>
        <v>1.1528570278791999</v>
      </c>
    </row>
    <row r="5" spans="1:26" x14ac:dyDescent="0.2">
      <c r="A5" s="43">
        <v>5</v>
      </c>
      <c r="B5" s="43">
        <v>6</v>
      </c>
      <c r="C5" s="43">
        <v>5</v>
      </c>
      <c r="D5" s="43" t="s">
        <v>536</v>
      </c>
      <c r="E5" s="43" t="s">
        <v>534</v>
      </c>
      <c r="F5" s="43" t="s">
        <v>537</v>
      </c>
      <c r="G5" s="43" t="s">
        <v>538</v>
      </c>
      <c r="H5" s="43">
        <v>4409</v>
      </c>
      <c r="I5" s="43">
        <v>4410</v>
      </c>
      <c r="J5" s="43">
        <v>4378</v>
      </c>
      <c r="K5" s="43">
        <v>1400</v>
      </c>
      <c r="L5" s="43">
        <v>1400</v>
      </c>
      <c r="M5" s="43" t="s">
        <v>372</v>
      </c>
      <c r="N5" s="43" t="s">
        <v>404</v>
      </c>
      <c r="O5" s="44">
        <v>6.2470123978800002E-2</v>
      </c>
      <c r="P5" s="44">
        <v>2.5280799999999999E-2</v>
      </c>
      <c r="Q5" s="43" t="s">
        <v>405</v>
      </c>
      <c r="R5" s="43" t="s">
        <v>406</v>
      </c>
      <c r="S5" s="43">
        <v>3</v>
      </c>
      <c r="T5" s="43">
        <v>10</v>
      </c>
      <c r="U5" s="43" t="s">
        <v>407</v>
      </c>
      <c r="V5" s="43" t="s">
        <v>408</v>
      </c>
      <c r="W5" s="43" t="s">
        <v>408</v>
      </c>
      <c r="X5" s="45">
        <v>1.7750239999999999</v>
      </c>
      <c r="Y5" s="45">
        <v>0.78300000000000003</v>
      </c>
      <c r="Z5" s="45">
        <f>P5*X5*(1-Y5)</f>
        <v>9.7376638024063988E-3</v>
      </c>
    </row>
    <row r="6" spans="1:26" x14ac:dyDescent="0.2">
      <c r="A6" s="43">
        <v>5</v>
      </c>
      <c r="B6" s="43">
        <v>6</v>
      </c>
      <c r="C6" s="43">
        <v>5</v>
      </c>
      <c r="D6" s="43" t="s">
        <v>536</v>
      </c>
      <c r="E6" s="43" t="s">
        <v>534</v>
      </c>
      <c r="F6" s="43" t="s">
        <v>537</v>
      </c>
      <c r="G6" s="43" t="s">
        <v>538</v>
      </c>
      <c r="H6" s="43">
        <v>52766</v>
      </c>
      <c r="I6" s="43">
        <v>52771</v>
      </c>
      <c r="J6" s="43">
        <v>52737</v>
      </c>
      <c r="K6" s="43">
        <v>8140</v>
      </c>
      <c r="L6" s="43">
        <v>8140</v>
      </c>
      <c r="M6" s="43" t="s">
        <v>372</v>
      </c>
      <c r="N6" s="43" t="s">
        <v>404</v>
      </c>
      <c r="O6" s="44">
        <v>12.942223095499999</v>
      </c>
      <c r="P6" s="44">
        <v>5.2375299999999996</v>
      </c>
      <c r="Q6" s="43" t="s">
        <v>405</v>
      </c>
      <c r="R6" s="43" t="s">
        <v>406</v>
      </c>
      <c r="S6" s="43">
        <v>18</v>
      </c>
      <c r="T6" s="43">
        <v>10</v>
      </c>
      <c r="U6" s="43" t="s">
        <v>407</v>
      </c>
      <c r="V6" s="43" t="s">
        <v>420</v>
      </c>
      <c r="W6" s="43" t="s">
        <v>421</v>
      </c>
      <c r="X6" s="45">
        <v>0.717032</v>
      </c>
      <c r="Y6" s="45">
        <v>0.78300000000000003</v>
      </c>
      <c r="Z6" s="45">
        <f>P6*X6*(1-Y6)</f>
        <v>0.81493842457831989</v>
      </c>
    </row>
    <row r="7" spans="1:26" x14ac:dyDescent="0.2">
      <c r="O7" s="44">
        <f>SUM(O2:O6)</f>
        <v>32.218557585696701</v>
      </c>
      <c r="Z7" s="45">
        <f>SUM(Z2:Z6)</f>
        <v>2.1045971075722285</v>
      </c>
    </row>
    <row r="9" spans="1:26" x14ac:dyDescent="0.2">
      <c r="A9" s="43" t="s">
        <v>377</v>
      </c>
      <c r="B9" s="43" t="s">
        <v>378</v>
      </c>
      <c r="C9" s="43" t="s">
        <v>527</v>
      </c>
      <c r="D9" s="43" t="s">
        <v>528</v>
      </c>
      <c r="E9" s="43" t="s">
        <v>380</v>
      </c>
      <c r="F9" s="43" t="s">
        <v>529</v>
      </c>
      <c r="G9" s="43" t="s">
        <v>379</v>
      </c>
      <c r="H9" s="43" t="s">
        <v>383</v>
      </c>
      <c r="I9" s="43" t="s">
        <v>384</v>
      </c>
      <c r="J9" s="43" t="s">
        <v>385</v>
      </c>
      <c r="K9" s="43" t="s">
        <v>386</v>
      </c>
      <c r="L9" s="43" t="s">
        <v>387</v>
      </c>
      <c r="M9" s="43" t="s">
        <v>388</v>
      </c>
      <c r="N9" s="43" t="s">
        <v>389</v>
      </c>
      <c r="O9" s="44" t="s">
        <v>390</v>
      </c>
      <c r="P9" s="44" t="s">
        <v>391</v>
      </c>
      <c r="Q9" s="43" t="s">
        <v>392</v>
      </c>
      <c r="R9" s="43" t="s">
        <v>393</v>
      </c>
      <c r="S9" s="43" t="s">
        <v>394</v>
      </c>
      <c r="T9" s="43" t="s">
        <v>395</v>
      </c>
      <c r="U9" s="43" t="s">
        <v>396</v>
      </c>
      <c r="V9" s="43" t="s">
        <v>397</v>
      </c>
      <c r="W9" s="43" t="s">
        <v>398</v>
      </c>
      <c r="X9" s="45" t="s">
        <v>589</v>
      </c>
      <c r="Y9" s="45" t="s">
        <v>590</v>
      </c>
      <c r="Z9" s="45" t="s">
        <v>591</v>
      </c>
    </row>
    <row r="10" spans="1:26" x14ac:dyDescent="0.2">
      <c r="A10" s="43">
        <v>4</v>
      </c>
      <c r="B10" s="43">
        <v>5</v>
      </c>
      <c r="C10" s="43">
        <v>5</v>
      </c>
      <c r="D10" s="43" t="s">
        <v>457</v>
      </c>
      <c r="E10" s="43" t="s">
        <v>534</v>
      </c>
      <c r="F10" s="43" t="s">
        <v>535</v>
      </c>
      <c r="G10" s="43" t="s">
        <v>464</v>
      </c>
      <c r="H10" s="43">
        <v>4409</v>
      </c>
      <c r="I10" s="43">
        <v>4410</v>
      </c>
      <c r="J10" s="43">
        <v>4378</v>
      </c>
      <c r="K10" s="43">
        <v>1400</v>
      </c>
      <c r="L10" s="43">
        <v>1400</v>
      </c>
      <c r="M10" s="43" t="s">
        <v>372</v>
      </c>
      <c r="N10" s="43" t="s">
        <v>404</v>
      </c>
      <c r="O10" s="44">
        <v>0.80814439578399999</v>
      </c>
      <c r="P10" s="44">
        <v>0.327044</v>
      </c>
      <c r="Q10" s="43" t="s">
        <v>405</v>
      </c>
      <c r="R10" s="43" t="s">
        <v>406</v>
      </c>
      <c r="S10" s="43">
        <v>3</v>
      </c>
      <c r="T10" s="43">
        <v>10</v>
      </c>
      <c r="U10" s="43" t="s">
        <v>407</v>
      </c>
      <c r="V10" s="43" t="s">
        <v>408</v>
      </c>
      <c r="W10" s="43" t="s">
        <v>408</v>
      </c>
      <c r="X10" s="45">
        <v>7.8337940000000001</v>
      </c>
      <c r="Y10" s="45">
        <v>0.6</v>
      </c>
      <c r="Z10" s="45">
        <v>0.719920686307016</v>
      </c>
    </row>
    <row r="11" spans="1:26" x14ac:dyDescent="0.2">
      <c r="A11" s="43">
        <v>4</v>
      </c>
      <c r="B11" s="43">
        <v>5</v>
      </c>
      <c r="C11" s="43">
        <v>5</v>
      </c>
      <c r="D11" s="43" t="s">
        <v>457</v>
      </c>
      <c r="E11" s="43" t="s">
        <v>534</v>
      </c>
      <c r="F11" s="43" t="s">
        <v>535</v>
      </c>
      <c r="G11" s="43" t="s">
        <v>464</v>
      </c>
      <c r="H11" s="43">
        <v>22961</v>
      </c>
      <c r="I11" s="43">
        <v>22962</v>
      </c>
      <c r="J11" s="43">
        <v>22927</v>
      </c>
      <c r="K11" s="43">
        <v>5300</v>
      </c>
      <c r="L11" s="43">
        <v>5300</v>
      </c>
      <c r="M11" s="43" t="s">
        <v>372</v>
      </c>
      <c r="N11" s="43" t="s">
        <v>404</v>
      </c>
      <c r="O11" s="44">
        <v>9.6934813733900005E-2</v>
      </c>
      <c r="P11" s="44">
        <v>3.9228100000000002E-2</v>
      </c>
      <c r="Q11" s="43" t="s">
        <v>405</v>
      </c>
      <c r="R11" s="43" t="s">
        <v>406</v>
      </c>
      <c r="S11" s="43">
        <v>9</v>
      </c>
      <c r="T11" s="43">
        <v>50</v>
      </c>
      <c r="U11" s="43" t="s">
        <v>438</v>
      </c>
      <c r="V11" s="43" t="s">
        <v>439</v>
      </c>
      <c r="W11" s="43" t="s">
        <v>440</v>
      </c>
      <c r="X11" s="45">
        <v>2.201031</v>
      </c>
      <c r="Y11" s="45">
        <v>0.6</v>
      </c>
      <c r="Z11" s="45">
        <v>2.4262176232079102E-2</v>
      </c>
    </row>
    <row r="12" spans="1:26" x14ac:dyDescent="0.2">
      <c r="A12" s="43">
        <v>4</v>
      </c>
      <c r="B12" s="43">
        <v>5</v>
      </c>
      <c r="C12" s="43">
        <v>5</v>
      </c>
      <c r="D12" s="43" t="s">
        <v>457</v>
      </c>
      <c r="E12" s="43" t="s">
        <v>534</v>
      </c>
      <c r="F12" s="43" t="s">
        <v>535</v>
      </c>
      <c r="G12" s="43" t="s">
        <v>464</v>
      </c>
      <c r="H12" s="43">
        <v>52766</v>
      </c>
      <c r="I12" s="43">
        <v>52771</v>
      </c>
      <c r="J12" s="43">
        <v>52737</v>
      </c>
      <c r="K12" s="43">
        <v>8140</v>
      </c>
      <c r="L12" s="43">
        <v>8140</v>
      </c>
      <c r="M12" s="43" t="s">
        <v>372</v>
      </c>
      <c r="N12" s="43" t="s">
        <v>404</v>
      </c>
      <c r="O12" s="44">
        <v>18.308785156700001</v>
      </c>
      <c r="P12" s="44">
        <v>7.4093</v>
      </c>
      <c r="Q12" s="43" t="s">
        <v>405</v>
      </c>
      <c r="R12" s="43" t="s">
        <v>406</v>
      </c>
      <c r="S12" s="43">
        <v>18</v>
      </c>
      <c r="T12" s="43">
        <v>10</v>
      </c>
      <c r="U12" s="43" t="s">
        <v>407</v>
      </c>
      <c r="V12" s="43" t="s">
        <v>420</v>
      </c>
      <c r="W12" s="43" t="s">
        <v>421</v>
      </c>
      <c r="X12" s="45">
        <v>3.4929570000000001</v>
      </c>
      <c r="Y12" s="45">
        <v>0.6</v>
      </c>
      <c r="Z12" s="45">
        <v>7.2723829303281011</v>
      </c>
    </row>
    <row r="13" spans="1:26" x14ac:dyDescent="0.2">
      <c r="A13" s="43">
        <v>5</v>
      </c>
      <c r="B13" s="43">
        <v>6</v>
      </c>
      <c r="C13" s="43">
        <v>5</v>
      </c>
      <c r="D13" s="43" t="s">
        <v>536</v>
      </c>
      <c r="E13" s="43" t="s">
        <v>534</v>
      </c>
      <c r="F13" s="43" t="s">
        <v>537</v>
      </c>
      <c r="G13" s="43" t="s">
        <v>538</v>
      </c>
      <c r="H13" s="43">
        <v>4409</v>
      </c>
      <c r="I13" s="43">
        <v>4410</v>
      </c>
      <c r="J13" s="43">
        <v>4378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6.2470123978800002E-2</v>
      </c>
      <c r="P13" s="44">
        <v>2.5280799999999999E-2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5.565052679881121E-2</v>
      </c>
    </row>
    <row r="14" spans="1:26" x14ac:dyDescent="0.2">
      <c r="A14" s="43">
        <v>5</v>
      </c>
      <c r="B14" s="43">
        <v>6</v>
      </c>
      <c r="C14" s="43">
        <v>5</v>
      </c>
      <c r="D14" s="43" t="s">
        <v>536</v>
      </c>
      <c r="E14" s="43" t="s">
        <v>534</v>
      </c>
      <c r="F14" s="43" t="s">
        <v>537</v>
      </c>
      <c r="G14" s="43" t="s">
        <v>538</v>
      </c>
      <c r="H14" s="43">
        <v>52766</v>
      </c>
      <c r="I14" s="43">
        <v>52771</v>
      </c>
      <c r="J14" s="43">
        <v>52737</v>
      </c>
      <c r="K14" s="43">
        <v>8140</v>
      </c>
      <c r="L14" s="43">
        <v>8140</v>
      </c>
      <c r="M14" s="43" t="s">
        <v>372</v>
      </c>
      <c r="N14" s="43" t="s">
        <v>404</v>
      </c>
      <c r="O14" s="44">
        <v>12.942223095499999</v>
      </c>
      <c r="P14" s="44">
        <v>5.2375299999999996</v>
      </c>
      <c r="Q14" s="43" t="s">
        <v>405</v>
      </c>
      <c r="R14" s="43" t="s">
        <v>406</v>
      </c>
      <c r="S14" s="43">
        <v>18</v>
      </c>
      <c r="T14" s="43">
        <v>10</v>
      </c>
      <c r="U14" s="43" t="s">
        <v>407</v>
      </c>
      <c r="V14" s="43" t="s">
        <v>420</v>
      </c>
      <c r="W14" s="43" t="s">
        <v>421</v>
      </c>
      <c r="X14" s="45">
        <v>3.4929570000000001</v>
      </c>
      <c r="Y14" s="45">
        <v>0.6</v>
      </c>
      <c r="Z14" s="45">
        <v>5.1407452484150093</v>
      </c>
    </row>
    <row r="15" spans="1:26" x14ac:dyDescent="0.2">
      <c r="Z15" s="45">
        <f>SUM(Z10:Z14)</f>
        <v>13.212961568081017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34" sqref="B34"/>
    </sheetView>
  </sheetViews>
  <sheetFormatPr defaultRowHeight="12.75" x14ac:dyDescent="0.2"/>
  <sheetData>
    <row r="1" spans="1:7" ht="15" x14ac:dyDescent="0.25">
      <c r="A1" s="28" t="s">
        <v>217</v>
      </c>
    </row>
    <row r="2" spans="1:7" x14ac:dyDescent="0.2">
      <c r="B2" t="s">
        <v>158</v>
      </c>
      <c r="D2" t="s">
        <v>159</v>
      </c>
      <c r="F2" t="s">
        <v>160</v>
      </c>
    </row>
    <row r="3" spans="1:7" x14ac:dyDescent="0.2">
      <c r="A3" t="s">
        <v>323</v>
      </c>
      <c r="B3">
        <v>3.6</v>
      </c>
      <c r="C3" t="s">
        <v>324</v>
      </c>
      <c r="D3">
        <v>1</v>
      </c>
      <c r="E3" t="s">
        <v>324</v>
      </c>
      <c r="F3">
        <f>B3-D3</f>
        <v>2.6</v>
      </c>
      <c r="G3" t="s">
        <v>324</v>
      </c>
    </row>
    <row r="4" spans="1:7" x14ac:dyDescent="0.2">
      <c r="A4" t="s">
        <v>325</v>
      </c>
      <c r="B4" s="20">
        <v>1</v>
      </c>
      <c r="D4" s="20">
        <f>0.3178*LN(D3)+0.7405</f>
        <v>0.74050000000000005</v>
      </c>
      <c r="F4" s="20">
        <f>B4-D4</f>
        <v>0.25949999999999995</v>
      </c>
    </row>
    <row r="6" spans="1:7" x14ac:dyDescent="0.2">
      <c r="A6" s="19" t="s">
        <v>273</v>
      </c>
    </row>
    <row r="7" spans="1:7" x14ac:dyDescent="0.2">
      <c r="B7" t="s">
        <v>158</v>
      </c>
      <c r="D7" t="s">
        <v>159</v>
      </c>
      <c r="F7" t="s">
        <v>160</v>
      </c>
    </row>
    <row r="8" spans="1:7" x14ac:dyDescent="0.2">
      <c r="A8" t="s">
        <v>323</v>
      </c>
      <c r="B8">
        <v>1.27</v>
      </c>
      <c r="C8" t="s">
        <v>324</v>
      </c>
      <c r="D8">
        <v>0.76</v>
      </c>
      <c r="E8" t="s">
        <v>324</v>
      </c>
      <c r="F8">
        <f>B8-D8</f>
        <v>0.51</v>
      </c>
      <c r="G8" t="s">
        <v>324</v>
      </c>
    </row>
    <row r="9" spans="1:7" x14ac:dyDescent="0.2">
      <c r="A9" t="s">
        <v>325</v>
      </c>
      <c r="B9" s="20">
        <f>0.3178*LN(B8)+0.7405</f>
        <v>0.81645957096952493</v>
      </c>
      <c r="D9" s="20">
        <f>0.3178*LN(D8)+0.7405</f>
        <v>0.65328397043598063</v>
      </c>
      <c r="F9" s="20">
        <f>B9-D9</f>
        <v>0.1631756005335443</v>
      </c>
    </row>
    <row r="11" spans="1:7" x14ac:dyDescent="0.2">
      <c r="A11" s="19" t="s">
        <v>285</v>
      </c>
    </row>
    <row r="12" spans="1:7" x14ac:dyDescent="0.2">
      <c r="B12" t="s">
        <v>158</v>
      </c>
      <c r="D12" t="s">
        <v>159</v>
      </c>
      <c r="F12" t="s">
        <v>160</v>
      </c>
    </row>
    <row r="13" spans="1:7" x14ac:dyDescent="0.2">
      <c r="A13" t="s">
        <v>323</v>
      </c>
      <c r="B13">
        <v>7.3</v>
      </c>
      <c r="C13" t="s">
        <v>324</v>
      </c>
      <c r="D13">
        <v>1.4</v>
      </c>
      <c r="E13" t="s">
        <v>324</v>
      </c>
      <c r="F13">
        <f>B13-D13</f>
        <v>5.9</v>
      </c>
      <c r="G13" t="s">
        <v>324</v>
      </c>
    </row>
    <row r="14" spans="1:7" x14ac:dyDescent="0.2">
      <c r="A14" t="s">
        <v>325</v>
      </c>
      <c r="B14" s="20">
        <v>1</v>
      </c>
      <c r="D14" s="20">
        <f>0.3178*LN(D13)+0.7405</f>
        <v>0.84743087679822149</v>
      </c>
      <c r="F14" s="20">
        <f>B14-D14</f>
        <v>0.15256912320177851</v>
      </c>
    </row>
    <row r="15" spans="1:7" x14ac:dyDescent="0.2">
      <c r="B15" s="20"/>
      <c r="D15" s="20"/>
      <c r="F15" s="20"/>
    </row>
    <row r="16" spans="1:7" x14ac:dyDescent="0.2">
      <c r="A16" s="19" t="s">
        <v>286</v>
      </c>
    </row>
    <row r="17" spans="1:7" x14ac:dyDescent="0.2">
      <c r="B17" t="s">
        <v>158</v>
      </c>
      <c r="D17" t="s">
        <v>159</v>
      </c>
      <c r="F17" t="s">
        <v>160</v>
      </c>
    </row>
    <row r="18" spans="1:7" x14ac:dyDescent="0.2">
      <c r="A18" t="s">
        <v>323</v>
      </c>
      <c r="B18">
        <v>1.4</v>
      </c>
      <c r="C18" t="s">
        <v>324</v>
      </c>
      <c r="D18">
        <v>0.5</v>
      </c>
      <c r="E18" t="s">
        <v>324</v>
      </c>
      <c r="F18">
        <f>B18-D18</f>
        <v>0.89999999999999991</v>
      </c>
      <c r="G18" t="s">
        <v>324</v>
      </c>
    </row>
    <row r="19" spans="1:7" x14ac:dyDescent="0.2">
      <c r="A19" t="s">
        <v>325</v>
      </c>
      <c r="B19" s="20">
        <f>0.3178*LN(B18)+0.7405</f>
        <v>0.84743087679822149</v>
      </c>
      <c r="D19" s="20">
        <f>0.3178*LN(D18)+0.7405</f>
        <v>0.52021782601804945</v>
      </c>
      <c r="F19" s="20">
        <f>B19-D19</f>
        <v>0.32721305078017204</v>
      </c>
    </row>
    <row r="21" spans="1:7" x14ac:dyDescent="0.2">
      <c r="A21" s="19" t="s">
        <v>269</v>
      </c>
    </row>
    <row r="22" spans="1:7" x14ac:dyDescent="0.2">
      <c r="B22" t="s">
        <v>158</v>
      </c>
      <c r="D22" t="s">
        <v>159</v>
      </c>
      <c r="F22" t="s">
        <v>160</v>
      </c>
    </row>
    <row r="23" spans="1:7" x14ac:dyDescent="0.2">
      <c r="A23" t="s">
        <v>323</v>
      </c>
      <c r="B23">
        <v>4.7</v>
      </c>
      <c r="C23" t="s">
        <v>324</v>
      </c>
      <c r="D23">
        <v>1</v>
      </c>
      <c r="E23" t="s">
        <v>324</v>
      </c>
      <c r="F23">
        <f>B23-D23</f>
        <v>3.7</v>
      </c>
      <c r="G23" t="s">
        <v>324</v>
      </c>
    </row>
    <row r="24" spans="1:7" x14ac:dyDescent="0.2">
      <c r="A24" t="s">
        <v>325</v>
      </c>
      <c r="B24" s="20">
        <v>1</v>
      </c>
      <c r="D24" s="20">
        <f>0.3178*LN(D23)+0.7405</f>
        <v>0.74050000000000005</v>
      </c>
      <c r="F24" s="20">
        <f>B24-D24</f>
        <v>0.25949999999999995</v>
      </c>
    </row>
    <row r="26" spans="1:7" x14ac:dyDescent="0.2">
      <c r="A26" s="19" t="s">
        <v>335</v>
      </c>
    </row>
    <row r="27" spans="1:7" x14ac:dyDescent="0.2">
      <c r="B27" t="s">
        <v>158</v>
      </c>
      <c r="D27" t="s">
        <v>159</v>
      </c>
      <c r="F27" t="s">
        <v>160</v>
      </c>
    </row>
    <row r="28" spans="1:7" x14ac:dyDescent="0.2">
      <c r="A28" t="s">
        <v>323</v>
      </c>
      <c r="B28">
        <v>1.4</v>
      </c>
      <c r="C28" t="s">
        <v>324</v>
      </c>
      <c r="D28">
        <v>0.5</v>
      </c>
      <c r="E28" t="s">
        <v>324</v>
      </c>
      <c r="F28">
        <f>B28-D28</f>
        <v>0.89999999999999991</v>
      </c>
      <c r="G28" t="s">
        <v>324</v>
      </c>
    </row>
    <row r="29" spans="1:7" x14ac:dyDescent="0.2">
      <c r="A29" t="s">
        <v>325</v>
      </c>
      <c r="B29" s="20">
        <f>0.3178*LN(B28)+0.7405</f>
        <v>0.84743087679822149</v>
      </c>
      <c r="D29" s="20">
        <f>0.3178*LN(D28)+0.7405</f>
        <v>0.52021782601804945</v>
      </c>
      <c r="F29" s="20">
        <f>B29-D29</f>
        <v>0.32721305078017204</v>
      </c>
    </row>
    <row r="31" spans="1:7" x14ac:dyDescent="0.2">
      <c r="A31" s="19" t="s">
        <v>238</v>
      </c>
    </row>
    <row r="32" spans="1:7" x14ac:dyDescent="0.2">
      <c r="B32" t="s">
        <v>158</v>
      </c>
      <c r="D32" t="s">
        <v>159</v>
      </c>
      <c r="F32" t="s">
        <v>160</v>
      </c>
    </row>
    <row r="33" spans="1:7" x14ac:dyDescent="0.2">
      <c r="A33" t="s">
        <v>323</v>
      </c>
      <c r="B33">
        <v>1.35</v>
      </c>
      <c r="C33" t="s">
        <v>324</v>
      </c>
      <c r="D33">
        <v>0.87</v>
      </c>
      <c r="E33" t="s">
        <v>324</v>
      </c>
      <c r="F33">
        <f>B33-D33</f>
        <v>0.48000000000000009</v>
      </c>
      <c r="G33" t="s">
        <v>324</v>
      </c>
    </row>
    <row r="34" spans="1:7" x14ac:dyDescent="0.2">
      <c r="A34" t="s">
        <v>325</v>
      </c>
      <c r="B34" s="20">
        <f>0.3178*LN(B33)+0.7405</f>
        <v>0.83587323948071757</v>
      </c>
      <c r="D34" s="20">
        <f>0.3178*LN(D33)+0.7405</f>
        <v>0.69624251500141132</v>
      </c>
      <c r="F34" s="20">
        <f>B34-D34</f>
        <v>0.13963072447930625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P1" workbookViewId="0">
      <selection activeCell="W15" sqref="W15:W24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0.28515625" bestFit="1" customWidth="1"/>
    <col min="4" max="4" width="8.5703125" bestFit="1" customWidth="1"/>
    <col min="5" max="5" width="5.85546875" bestFit="1" customWidth="1"/>
    <col min="6" max="6" width="6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0</v>
      </c>
      <c r="B2" s="43">
        <v>1</v>
      </c>
      <c r="C2" s="43" t="s">
        <v>402</v>
      </c>
      <c r="D2" s="43" t="s">
        <v>403</v>
      </c>
      <c r="E2" s="43"/>
      <c r="F2" s="43"/>
      <c r="G2" s="43">
        <v>4383</v>
      </c>
      <c r="H2" s="43">
        <v>4384</v>
      </c>
      <c r="I2" s="43">
        <v>4352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2.1027199999999999E-2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 t="shared" ref="X2:X11" si="0">N2*V2*(1-W2)</f>
        <v>8.0992612696575983E-3</v>
      </c>
    </row>
    <row r="3" spans="1:24" x14ac:dyDescent="0.2">
      <c r="A3" s="43">
        <v>0</v>
      </c>
      <c r="B3" s="43">
        <v>1</v>
      </c>
      <c r="C3" s="43" t="s">
        <v>402</v>
      </c>
      <c r="D3" s="43" t="s">
        <v>403</v>
      </c>
      <c r="E3" s="43"/>
      <c r="F3" s="43"/>
      <c r="G3" s="43">
        <v>4404</v>
      </c>
      <c r="H3" s="43">
        <v>4405</v>
      </c>
      <c r="I3" s="43">
        <v>4373</v>
      </c>
      <c r="J3" s="43">
        <v>1400</v>
      </c>
      <c r="K3" s="43">
        <v>1400</v>
      </c>
      <c r="L3" s="43" t="s">
        <v>372</v>
      </c>
      <c r="M3" s="43" t="s">
        <v>404</v>
      </c>
      <c r="N3" s="44">
        <v>3.2428699999999998E-2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 t="shared" si="0"/>
        <v>1.2490893411169598E-2</v>
      </c>
    </row>
    <row r="4" spans="1:24" x14ac:dyDescent="0.2">
      <c r="A4" s="43">
        <v>0</v>
      </c>
      <c r="B4" s="43">
        <v>1</v>
      </c>
      <c r="C4" s="43" t="s">
        <v>402</v>
      </c>
      <c r="D4" s="43" t="s">
        <v>403</v>
      </c>
      <c r="E4" s="43"/>
      <c r="F4" s="43"/>
      <c r="G4" s="43">
        <v>4691</v>
      </c>
      <c r="H4" s="43">
        <v>4692</v>
      </c>
      <c r="I4" s="43">
        <v>4660</v>
      </c>
      <c r="J4" s="43">
        <v>1411</v>
      </c>
      <c r="K4" s="43">
        <v>1411</v>
      </c>
      <c r="L4" s="43" t="s">
        <v>372</v>
      </c>
      <c r="M4" s="43" t="s">
        <v>404</v>
      </c>
      <c r="N4" s="44">
        <v>4.9165199999999999E-2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409</v>
      </c>
      <c r="U4" s="43" t="s">
        <v>408</v>
      </c>
      <c r="V4" s="45">
        <v>1.7750239999999999</v>
      </c>
      <c r="W4" s="45">
        <v>0.78300000000000003</v>
      </c>
      <c r="X4" s="45">
        <f t="shared" si="0"/>
        <v>1.8937461962361596E-2</v>
      </c>
    </row>
    <row r="5" spans="1:24" x14ac:dyDescent="0.2">
      <c r="A5" s="43">
        <v>0</v>
      </c>
      <c r="B5" s="43">
        <v>1</v>
      </c>
      <c r="C5" s="43" t="s">
        <v>402</v>
      </c>
      <c r="D5" s="43" t="s">
        <v>403</v>
      </c>
      <c r="E5" s="43"/>
      <c r="F5" s="43"/>
      <c r="G5" s="43">
        <v>6082</v>
      </c>
      <c r="H5" s="43">
        <v>6083</v>
      </c>
      <c r="I5" s="43">
        <v>6028</v>
      </c>
      <c r="J5" s="43">
        <v>1900</v>
      </c>
      <c r="K5" s="43">
        <v>1900</v>
      </c>
      <c r="L5" s="43" t="s">
        <v>372</v>
      </c>
      <c r="M5" s="43" t="s">
        <v>404</v>
      </c>
      <c r="N5" s="44">
        <v>0.111972</v>
      </c>
      <c r="O5" s="43" t="s">
        <v>405</v>
      </c>
      <c r="P5" s="43" t="s">
        <v>406</v>
      </c>
      <c r="Q5" s="43">
        <v>70</v>
      </c>
      <c r="R5" s="43">
        <v>10</v>
      </c>
      <c r="S5" s="43" t="s">
        <v>407</v>
      </c>
      <c r="T5" s="43" t="s">
        <v>410</v>
      </c>
      <c r="U5" s="43" t="s">
        <v>411</v>
      </c>
      <c r="V5" s="45">
        <v>0.19295699999999999</v>
      </c>
      <c r="W5" s="45">
        <v>0.78300000000000003</v>
      </c>
      <c r="X5" s="45">
        <f t="shared" si="0"/>
        <v>4.6884545212679991E-3</v>
      </c>
    </row>
    <row r="6" spans="1:24" x14ac:dyDescent="0.2">
      <c r="A6" s="43">
        <v>0</v>
      </c>
      <c r="B6" s="43">
        <v>1</v>
      </c>
      <c r="C6" s="43" t="s">
        <v>402</v>
      </c>
      <c r="D6" s="43" t="s">
        <v>403</v>
      </c>
      <c r="E6" s="43"/>
      <c r="F6" s="43"/>
      <c r="G6" s="43">
        <v>17154</v>
      </c>
      <c r="H6" s="43">
        <v>17155</v>
      </c>
      <c r="I6" s="43">
        <v>17144</v>
      </c>
      <c r="J6" s="43">
        <v>4110</v>
      </c>
      <c r="K6" s="43">
        <v>4110</v>
      </c>
      <c r="L6" s="43" t="s">
        <v>372</v>
      </c>
      <c r="M6" s="43" t="s">
        <v>404</v>
      </c>
      <c r="N6" s="44">
        <v>1.6334500000000001E-5</v>
      </c>
      <c r="O6" s="43" t="s">
        <v>405</v>
      </c>
      <c r="P6" s="43" t="s">
        <v>406</v>
      </c>
      <c r="Q6" s="43">
        <v>5</v>
      </c>
      <c r="R6" s="43">
        <v>40</v>
      </c>
      <c r="S6" s="43" t="s">
        <v>412</v>
      </c>
      <c r="T6" s="43" t="s">
        <v>413</v>
      </c>
      <c r="U6" s="43" t="s">
        <v>414</v>
      </c>
      <c r="V6" s="45">
        <v>9.3119999999999994E-2</v>
      </c>
      <c r="W6" s="45">
        <v>0.78300000000000003</v>
      </c>
      <c r="X6" s="45">
        <f t="shared" si="0"/>
        <v>3.3007189487999998E-7</v>
      </c>
    </row>
    <row r="7" spans="1:24" x14ac:dyDescent="0.2">
      <c r="A7" s="43">
        <v>0</v>
      </c>
      <c r="B7" s="43">
        <v>1</v>
      </c>
      <c r="C7" s="43" t="s">
        <v>402</v>
      </c>
      <c r="D7" s="43" t="s">
        <v>403</v>
      </c>
      <c r="E7" s="43"/>
      <c r="F7" s="43"/>
      <c r="G7" s="43">
        <v>19411</v>
      </c>
      <c r="H7" s="43">
        <v>19412</v>
      </c>
      <c r="I7" s="43">
        <v>19331</v>
      </c>
      <c r="J7" s="43">
        <v>4340</v>
      </c>
      <c r="K7" s="43">
        <v>4340</v>
      </c>
      <c r="L7" s="43" t="s">
        <v>372</v>
      </c>
      <c r="M7" s="43" t="s">
        <v>404</v>
      </c>
      <c r="N7" s="44">
        <v>0.50911600000000001</v>
      </c>
      <c r="O7" s="43" t="s">
        <v>405</v>
      </c>
      <c r="P7" s="43" t="s">
        <v>406</v>
      </c>
      <c r="Q7" s="43">
        <v>7</v>
      </c>
      <c r="R7" s="43">
        <v>40</v>
      </c>
      <c r="S7" s="43" t="s">
        <v>412</v>
      </c>
      <c r="T7" s="43" t="s">
        <v>415</v>
      </c>
      <c r="U7" s="43" t="s">
        <v>416</v>
      </c>
      <c r="V7" s="45">
        <v>0.115981</v>
      </c>
      <c r="W7" s="45">
        <v>0.78300000000000003</v>
      </c>
      <c r="X7" s="45">
        <f t="shared" si="0"/>
        <v>1.2813368866731999E-2</v>
      </c>
    </row>
    <row r="8" spans="1:24" x14ac:dyDescent="0.2">
      <c r="A8" s="43">
        <v>0</v>
      </c>
      <c r="B8" s="43">
        <v>1</v>
      </c>
      <c r="C8" s="43" t="s">
        <v>402</v>
      </c>
      <c r="D8" s="43" t="s">
        <v>403</v>
      </c>
      <c r="E8" s="43"/>
      <c r="F8" s="43"/>
      <c r="G8" s="43">
        <v>30198</v>
      </c>
      <c r="H8" s="43">
        <v>30199</v>
      </c>
      <c r="I8" s="43">
        <v>30199</v>
      </c>
      <c r="J8" s="43">
        <v>6210</v>
      </c>
      <c r="K8" s="43">
        <v>6210</v>
      </c>
      <c r="L8" s="43" t="s">
        <v>372</v>
      </c>
      <c r="M8" s="43" t="s">
        <v>404</v>
      </c>
      <c r="N8" s="44">
        <v>3.9574699999999997E-2</v>
      </c>
      <c r="O8" s="43" t="s">
        <v>405</v>
      </c>
      <c r="P8" s="43" t="s">
        <v>406</v>
      </c>
      <c r="Q8" s="43">
        <v>14</v>
      </c>
      <c r="R8" s="43">
        <v>60</v>
      </c>
      <c r="S8" s="43" t="s">
        <v>417</v>
      </c>
      <c r="T8" s="43" t="s">
        <v>418</v>
      </c>
      <c r="U8" s="43" t="s">
        <v>418</v>
      </c>
      <c r="V8" s="45">
        <v>0.44770799999999999</v>
      </c>
      <c r="W8" s="45">
        <v>0.78300000000000003</v>
      </c>
      <c r="X8" s="45">
        <f t="shared" si="0"/>
        <v>3.8447864239091992E-3</v>
      </c>
    </row>
    <row r="9" spans="1:24" x14ac:dyDescent="0.2">
      <c r="A9" s="43">
        <v>0</v>
      </c>
      <c r="B9" s="43">
        <v>1</v>
      </c>
      <c r="C9" s="43" t="s">
        <v>402</v>
      </c>
      <c r="D9" s="43" t="s">
        <v>403</v>
      </c>
      <c r="E9" s="43"/>
      <c r="F9" s="43"/>
      <c r="G9" s="43">
        <v>30199</v>
      </c>
      <c r="H9" s="43">
        <v>30200</v>
      </c>
      <c r="I9" s="43">
        <v>30200</v>
      </c>
      <c r="J9" s="43">
        <v>6210</v>
      </c>
      <c r="K9" s="43">
        <v>6210</v>
      </c>
      <c r="L9" s="43" t="s">
        <v>372</v>
      </c>
      <c r="M9" s="43" t="s">
        <v>404</v>
      </c>
      <c r="N9" s="44">
        <v>3.5676300000000001E-2</v>
      </c>
      <c r="O9" s="43" t="s">
        <v>405</v>
      </c>
      <c r="P9" s="43" t="s">
        <v>406</v>
      </c>
      <c r="Q9" s="43">
        <v>14</v>
      </c>
      <c r="R9" s="43">
        <v>60</v>
      </c>
      <c r="S9" s="43" t="s">
        <v>417</v>
      </c>
      <c r="T9" s="43" t="s">
        <v>418</v>
      </c>
      <c r="U9" s="43" t="s">
        <v>418</v>
      </c>
      <c r="V9" s="45">
        <v>0.44770799999999999</v>
      </c>
      <c r="W9" s="45">
        <v>0.78300000000000003</v>
      </c>
      <c r="X9" s="45">
        <f t="shared" si="0"/>
        <v>3.4660465877267999E-3</v>
      </c>
    </row>
    <row r="10" spans="1:24" x14ac:dyDescent="0.2">
      <c r="A10" s="43">
        <v>0</v>
      </c>
      <c r="B10" s="43">
        <v>1</v>
      </c>
      <c r="C10" s="43" t="s">
        <v>402</v>
      </c>
      <c r="D10" s="43" t="s">
        <v>403</v>
      </c>
      <c r="E10" s="43"/>
      <c r="F10" s="43"/>
      <c r="G10" s="43">
        <v>33895</v>
      </c>
      <c r="H10" s="43">
        <v>33896</v>
      </c>
      <c r="I10" s="43">
        <v>33835</v>
      </c>
      <c r="J10" s="43">
        <v>6300</v>
      </c>
      <c r="K10" s="43">
        <v>6300</v>
      </c>
      <c r="L10" s="43" t="s">
        <v>372</v>
      </c>
      <c r="M10" s="43" t="s">
        <v>404</v>
      </c>
      <c r="N10" s="44">
        <v>3.7927900000000001E-6</v>
      </c>
      <c r="O10" s="43" t="s">
        <v>405</v>
      </c>
      <c r="P10" s="43" t="s">
        <v>406</v>
      </c>
      <c r="Q10" s="43">
        <v>15</v>
      </c>
      <c r="R10" s="43">
        <v>60</v>
      </c>
      <c r="S10" s="43" t="s">
        <v>417</v>
      </c>
      <c r="T10" s="43" t="s">
        <v>419</v>
      </c>
      <c r="U10" s="43" t="s">
        <v>419</v>
      </c>
      <c r="V10" s="45">
        <v>0.75712800000000002</v>
      </c>
      <c r="W10" s="45">
        <v>0.78300000000000003</v>
      </c>
      <c r="X10" s="45">
        <f t="shared" si="0"/>
        <v>6.2314316904503993E-7</v>
      </c>
    </row>
    <row r="11" spans="1:24" x14ac:dyDescent="0.2">
      <c r="A11" s="43">
        <v>0</v>
      </c>
      <c r="B11" s="43">
        <v>1</v>
      </c>
      <c r="C11" s="43" t="s">
        <v>402</v>
      </c>
      <c r="D11" s="43" t="s">
        <v>403</v>
      </c>
      <c r="E11" s="43"/>
      <c r="F11" s="43"/>
      <c r="G11" s="43">
        <v>52766</v>
      </c>
      <c r="H11" s="43">
        <v>52771</v>
      </c>
      <c r="I11" s="43">
        <v>52737</v>
      </c>
      <c r="J11" s="43">
        <v>8140</v>
      </c>
      <c r="K11" s="43">
        <v>8140</v>
      </c>
      <c r="L11" s="43" t="s">
        <v>372</v>
      </c>
      <c r="M11" s="43" t="s">
        <v>404</v>
      </c>
      <c r="N11" s="44">
        <v>9.3827300000000005</v>
      </c>
      <c r="O11" s="43" t="s">
        <v>405</v>
      </c>
      <c r="P11" s="43" t="s">
        <v>406</v>
      </c>
      <c r="Q11" s="43">
        <v>18</v>
      </c>
      <c r="R11" s="43">
        <v>10</v>
      </c>
      <c r="S11" s="43" t="s">
        <v>407</v>
      </c>
      <c r="T11" s="43" t="s">
        <v>420</v>
      </c>
      <c r="U11" s="43" t="s">
        <v>421</v>
      </c>
      <c r="V11" s="45">
        <v>0.717032</v>
      </c>
      <c r="W11" s="45">
        <v>0.78300000000000003</v>
      </c>
      <c r="X11" s="45">
        <f t="shared" si="0"/>
        <v>1.4599147316471199</v>
      </c>
    </row>
    <row r="12" spans="1:24" x14ac:dyDescent="0.2">
      <c r="N12" s="44">
        <f>SUM(N2:N11)</f>
        <v>10.181710227290001</v>
      </c>
      <c r="X12" s="45">
        <f>SUM(X2:X11)</f>
        <v>1.5242559579050086</v>
      </c>
    </row>
    <row r="14" spans="1:24" x14ac:dyDescent="0.2">
      <c r="A14" s="43" t="s">
        <v>377</v>
      </c>
      <c r="B14" s="43" t="s">
        <v>378</v>
      </c>
      <c r="C14" s="43" t="s">
        <v>379</v>
      </c>
      <c r="D14" s="43" t="s">
        <v>380</v>
      </c>
      <c r="E14" s="43" t="s">
        <v>381</v>
      </c>
      <c r="F14" s="43" t="s">
        <v>382</v>
      </c>
      <c r="G14" s="43" t="s">
        <v>383</v>
      </c>
      <c r="H14" s="43" t="s">
        <v>384</v>
      </c>
      <c r="I14" s="43" t="s">
        <v>385</v>
      </c>
      <c r="J14" s="43" t="s">
        <v>386</v>
      </c>
      <c r="K14" s="43" t="s">
        <v>387</v>
      </c>
      <c r="L14" s="43" t="s">
        <v>388</v>
      </c>
      <c r="M14" s="43" t="s">
        <v>389</v>
      </c>
      <c r="N14" s="44" t="s">
        <v>391</v>
      </c>
      <c r="O14" s="43" t="s">
        <v>392</v>
      </c>
      <c r="P14" s="43" t="s">
        <v>393</v>
      </c>
      <c r="Q14" s="43" t="s">
        <v>394</v>
      </c>
      <c r="R14" s="43" t="s">
        <v>395</v>
      </c>
      <c r="S14" s="43" t="s">
        <v>396</v>
      </c>
      <c r="T14" s="43" t="s">
        <v>397</v>
      </c>
      <c r="U14" s="43" t="s">
        <v>398</v>
      </c>
      <c r="V14" s="45" t="s">
        <v>589</v>
      </c>
      <c r="W14" s="45" t="s">
        <v>590</v>
      </c>
      <c r="X14" s="45" t="s">
        <v>591</v>
      </c>
    </row>
    <row r="15" spans="1:24" x14ac:dyDescent="0.2">
      <c r="A15" s="43">
        <v>0</v>
      </c>
      <c r="B15" s="43">
        <v>1</v>
      </c>
      <c r="C15" s="43" t="s">
        <v>402</v>
      </c>
      <c r="D15" s="43" t="s">
        <v>403</v>
      </c>
      <c r="E15" s="43"/>
      <c r="F15" s="43"/>
      <c r="G15" s="43">
        <v>4383</v>
      </c>
      <c r="H15" s="43">
        <v>4384</v>
      </c>
      <c r="I15" s="43">
        <v>4352</v>
      </c>
      <c r="J15" s="43">
        <v>1400</v>
      </c>
      <c r="K15" s="43">
        <v>1400</v>
      </c>
      <c r="L15" s="43" t="s">
        <v>372</v>
      </c>
      <c r="M15" s="43" t="s">
        <v>404</v>
      </c>
      <c r="N15" s="44">
        <v>2.1027199999999999E-2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7.8337940000000001</v>
      </c>
      <c r="W15" s="45">
        <v>0.6</v>
      </c>
      <c r="X15" s="45">
        <v>4.6287093648300803E-2</v>
      </c>
    </row>
    <row r="16" spans="1:24" x14ac:dyDescent="0.2">
      <c r="A16" s="43">
        <v>0</v>
      </c>
      <c r="B16" s="43">
        <v>1</v>
      </c>
      <c r="C16" s="43" t="s">
        <v>402</v>
      </c>
      <c r="D16" s="43" t="s">
        <v>403</v>
      </c>
      <c r="E16" s="43"/>
      <c r="F16" s="43"/>
      <c r="G16" s="43">
        <v>4404</v>
      </c>
      <c r="H16" s="43">
        <v>4405</v>
      </c>
      <c r="I16" s="43">
        <v>4373</v>
      </c>
      <c r="J16" s="43">
        <v>1400</v>
      </c>
      <c r="K16" s="43">
        <v>1400</v>
      </c>
      <c r="L16" s="43" t="s">
        <v>372</v>
      </c>
      <c r="M16" s="43" t="s">
        <v>404</v>
      </c>
      <c r="N16" s="44">
        <v>3.2428699999999998E-2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7.8337940000000001</v>
      </c>
      <c r="W16" s="45">
        <v>0.6</v>
      </c>
      <c r="X16" s="45">
        <v>7.1385171292071808E-2</v>
      </c>
    </row>
    <row r="17" spans="1:24" x14ac:dyDescent="0.2">
      <c r="A17" s="43">
        <v>0</v>
      </c>
      <c r="B17" s="43">
        <v>1</v>
      </c>
      <c r="C17" s="43" t="s">
        <v>402</v>
      </c>
      <c r="D17" s="43" t="s">
        <v>403</v>
      </c>
      <c r="E17" s="43"/>
      <c r="F17" s="43"/>
      <c r="G17" s="43">
        <v>4691</v>
      </c>
      <c r="H17" s="43">
        <v>4692</v>
      </c>
      <c r="I17" s="43">
        <v>4660</v>
      </c>
      <c r="J17" s="43">
        <v>1411</v>
      </c>
      <c r="K17" s="43">
        <v>1411</v>
      </c>
      <c r="L17" s="43" t="s">
        <v>372</v>
      </c>
      <c r="M17" s="43" t="s">
        <v>404</v>
      </c>
      <c r="N17" s="44">
        <v>4.9165199999999999E-2</v>
      </c>
      <c r="O17" s="43" t="s">
        <v>405</v>
      </c>
      <c r="P17" s="43" t="s">
        <v>406</v>
      </c>
      <c r="Q17" s="43">
        <v>3</v>
      </c>
      <c r="R17" s="43">
        <v>10</v>
      </c>
      <c r="S17" s="43" t="s">
        <v>407</v>
      </c>
      <c r="T17" s="43" t="s">
        <v>409</v>
      </c>
      <c r="U17" s="43" t="s">
        <v>408</v>
      </c>
      <c r="V17" s="45">
        <v>7.8337940000000001</v>
      </c>
      <c r="W17" s="45">
        <v>0.6</v>
      </c>
      <c r="X17" s="45">
        <v>0.10822716370403281</v>
      </c>
    </row>
    <row r="18" spans="1:24" x14ac:dyDescent="0.2">
      <c r="A18" s="43">
        <v>0</v>
      </c>
      <c r="B18" s="43">
        <v>1</v>
      </c>
      <c r="C18" s="43" t="s">
        <v>402</v>
      </c>
      <c r="D18" s="43" t="s">
        <v>403</v>
      </c>
      <c r="E18" s="43"/>
      <c r="F18" s="43"/>
      <c r="G18" s="43">
        <v>6082</v>
      </c>
      <c r="H18" s="43">
        <v>6083</v>
      </c>
      <c r="I18" s="43">
        <v>6028</v>
      </c>
      <c r="J18" s="43">
        <v>1900</v>
      </c>
      <c r="K18" s="43">
        <v>1900</v>
      </c>
      <c r="L18" s="43" t="s">
        <v>372</v>
      </c>
      <c r="M18" s="43" t="s">
        <v>404</v>
      </c>
      <c r="N18" s="44">
        <v>0.111972</v>
      </c>
      <c r="O18" s="43" t="s">
        <v>405</v>
      </c>
      <c r="P18" s="43" t="s">
        <v>406</v>
      </c>
      <c r="Q18" s="43">
        <v>70</v>
      </c>
      <c r="R18" s="43">
        <v>10</v>
      </c>
      <c r="S18" s="43" t="s">
        <v>407</v>
      </c>
      <c r="T18" s="43" t="s">
        <v>410</v>
      </c>
      <c r="U18" s="43" t="s">
        <v>411</v>
      </c>
      <c r="V18" s="45">
        <v>1.1817740000000001</v>
      </c>
      <c r="W18" s="45">
        <v>0.6</v>
      </c>
      <c r="X18" s="45">
        <v>3.7183493130168006E-2</v>
      </c>
    </row>
    <row r="19" spans="1:24" x14ac:dyDescent="0.2">
      <c r="A19" s="43">
        <v>0</v>
      </c>
      <c r="B19" s="43">
        <v>1</v>
      </c>
      <c r="C19" s="43" t="s">
        <v>402</v>
      </c>
      <c r="D19" s="43" t="s">
        <v>403</v>
      </c>
      <c r="E19" s="43"/>
      <c r="F19" s="43"/>
      <c r="G19" s="43">
        <v>17154</v>
      </c>
      <c r="H19" s="43">
        <v>17155</v>
      </c>
      <c r="I19" s="43">
        <v>17144</v>
      </c>
      <c r="J19" s="43">
        <v>4110</v>
      </c>
      <c r="K19" s="43">
        <v>4110</v>
      </c>
      <c r="L19" s="43" t="s">
        <v>372</v>
      </c>
      <c r="M19" s="43" t="s">
        <v>404</v>
      </c>
      <c r="N19" s="44">
        <v>1.6334500000000001E-5</v>
      </c>
      <c r="O19" s="43" t="s">
        <v>405</v>
      </c>
      <c r="P19" s="43" t="s">
        <v>406</v>
      </c>
      <c r="Q19" s="43">
        <v>5</v>
      </c>
      <c r="R19" s="43">
        <v>40</v>
      </c>
      <c r="S19" s="43" t="s">
        <v>412</v>
      </c>
      <c r="T19" s="43" t="s">
        <v>413</v>
      </c>
      <c r="U19" s="43" t="s">
        <v>414</v>
      </c>
      <c r="V19" s="45">
        <v>8.1290569999999995</v>
      </c>
      <c r="W19" s="45">
        <v>0.6</v>
      </c>
      <c r="X19" s="45">
        <v>3.7312326920186504E-5</v>
      </c>
    </row>
    <row r="20" spans="1:24" x14ac:dyDescent="0.2">
      <c r="A20" s="43">
        <v>0</v>
      </c>
      <c r="B20" s="43">
        <v>1</v>
      </c>
      <c r="C20" s="43" t="s">
        <v>402</v>
      </c>
      <c r="D20" s="43" t="s">
        <v>403</v>
      </c>
      <c r="E20" s="43"/>
      <c r="F20" s="43"/>
      <c r="G20" s="43">
        <v>19411</v>
      </c>
      <c r="H20" s="43">
        <v>19412</v>
      </c>
      <c r="I20" s="43">
        <v>19331</v>
      </c>
      <c r="J20" s="43">
        <v>4340</v>
      </c>
      <c r="K20" s="43">
        <v>4340</v>
      </c>
      <c r="L20" s="43" t="s">
        <v>372</v>
      </c>
      <c r="M20" s="43" t="s">
        <v>404</v>
      </c>
      <c r="N20" s="44">
        <v>0.50911600000000001</v>
      </c>
      <c r="O20" s="43" t="s">
        <v>405</v>
      </c>
      <c r="P20" s="43" t="s">
        <v>406</v>
      </c>
      <c r="Q20" s="43">
        <v>7</v>
      </c>
      <c r="R20" s="43">
        <v>40</v>
      </c>
      <c r="S20" s="43" t="s">
        <v>412</v>
      </c>
      <c r="T20" s="43" t="s">
        <v>415</v>
      </c>
      <c r="U20" s="43" t="s">
        <v>416</v>
      </c>
      <c r="V20" s="45">
        <v>7.558414</v>
      </c>
      <c r="W20" s="45">
        <v>0.6</v>
      </c>
      <c r="X20" s="45">
        <v>1.0813187700687441</v>
      </c>
    </row>
    <row r="21" spans="1:24" x14ac:dyDescent="0.2">
      <c r="A21" s="43">
        <v>0</v>
      </c>
      <c r="B21" s="43">
        <v>1</v>
      </c>
      <c r="C21" s="43" t="s">
        <v>402</v>
      </c>
      <c r="D21" s="43" t="s">
        <v>403</v>
      </c>
      <c r="E21" s="43"/>
      <c r="F21" s="43"/>
      <c r="G21" s="43">
        <v>30198</v>
      </c>
      <c r="H21" s="43">
        <v>30199</v>
      </c>
      <c r="I21" s="43">
        <v>30199</v>
      </c>
      <c r="J21" s="43">
        <v>6210</v>
      </c>
      <c r="K21" s="43">
        <v>6210</v>
      </c>
      <c r="L21" s="43" t="s">
        <v>372</v>
      </c>
      <c r="M21" s="43" t="s">
        <v>404</v>
      </c>
      <c r="N21" s="44">
        <v>3.9574699999999997E-2</v>
      </c>
      <c r="O21" s="43" t="s">
        <v>405</v>
      </c>
      <c r="P21" s="43" t="s">
        <v>406</v>
      </c>
      <c r="Q21" s="43">
        <v>14</v>
      </c>
      <c r="R21" s="43">
        <v>60</v>
      </c>
      <c r="S21" s="43" t="s">
        <v>417</v>
      </c>
      <c r="T21" s="43" t="s">
        <v>418</v>
      </c>
      <c r="U21" s="43" t="s">
        <v>418</v>
      </c>
      <c r="V21" s="45">
        <v>6.3260019999999999</v>
      </c>
      <c r="W21" s="45">
        <v>0.6</v>
      </c>
      <c r="X21" s="45">
        <v>7.03482464091814E-2</v>
      </c>
    </row>
    <row r="22" spans="1:24" x14ac:dyDescent="0.2">
      <c r="A22" s="43">
        <v>0</v>
      </c>
      <c r="B22" s="43">
        <v>1</v>
      </c>
      <c r="C22" s="43" t="s">
        <v>402</v>
      </c>
      <c r="D22" s="43" t="s">
        <v>403</v>
      </c>
      <c r="E22" s="43"/>
      <c r="F22" s="43"/>
      <c r="G22" s="43">
        <v>30199</v>
      </c>
      <c r="H22" s="43">
        <v>30200</v>
      </c>
      <c r="I22" s="43">
        <v>30200</v>
      </c>
      <c r="J22" s="43">
        <v>6210</v>
      </c>
      <c r="K22" s="43">
        <v>6210</v>
      </c>
      <c r="L22" s="43" t="s">
        <v>372</v>
      </c>
      <c r="M22" s="43" t="s">
        <v>404</v>
      </c>
      <c r="N22" s="44">
        <v>3.5676300000000001E-2</v>
      </c>
      <c r="O22" s="43" t="s">
        <v>405</v>
      </c>
      <c r="P22" s="43" t="s">
        <v>406</v>
      </c>
      <c r="Q22" s="43">
        <v>14</v>
      </c>
      <c r="R22" s="43">
        <v>60</v>
      </c>
      <c r="S22" s="43" t="s">
        <v>417</v>
      </c>
      <c r="T22" s="43" t="s">
        <v>418</v>
      </c>
      <c r="U22" s="43" t="s">
        <v>418</v>
      </c>
      <c r="V22" s="45">
        <v>6.3260019999999999</v>
      </c>
      <c r="W22" s="45">
        <v>0.6</v>
      </c>
      <c r="X22" s="45">
        <v>6.3418424987880612E-2</v>
      </c>
    </row>
    <row r="23" spans="1:24" x14ac:dyDescent="0.2">
      <c r="A23" s="43">
        <v>0</v>
      </c>
      <c r="B23" s="43">
        <v>1</v>
      </c>
      <c r="C23" s="43" t="s">
        <v>402</v>
      </c>
      <c r="D23" s="43" t="s">
        <v>403</v>
      </c>
      <c r="E23" s="43"/>
      <c r="F23" s="43"/>
      <c r="G23" s="43">
        <v>33895</v>
      </c>
      <c r="H23" s="43">
        <v>33896</v>
      </c>
      <c r="I23" s="43">
        <v>33835</v>
      </c>
      <c r="J23" s="43">
        <v>6300</v>
      </c>
      <c r="K23" s="43">
        <v>6300</v>
      </c>
      <c r="L23" s="43" t="s">
        <v>372</v>
      </c>
      <c r="M23" s="43" t="s">
        <v>404</v>
      </c>
      <c r="N23" s="44">
        <v>3.7927900000000001E-6</v>
      </c>
      <c r="O23" s="43" t="s">
        <v>405</v>
      </c>
      <c r="P23" s="43" t="s">
        <v>406</v>
      </c>
      <c r="Q23" s="43">
        <v>15</v>
      </c>
      <c r="R23" s="43">
        <v>60</v>
      </c>
      <c r="S23" s="43" t="s">
        <v>417</v>
      </c>
      <c r="T23" s="43" t="s">
        <v>419</v>
      </c>
      <c r="U23" s="43" t="s">
        <v>419</v>
      </c>
      <c r="V23" s="45">
        <v>6.8155330000000003</v>
      </c>
      <c r="W23" s="45">
        <v>0.6</v>
      </c>
      <c r="X23" s="45">
        <v>7.2638177993866711E-6</v>
      </c>
    </row>
    <row r="24" spans="1:24" x14ac:dyDescent="0.2">
      <c r="A24" s="43">
        <v>0</v>
      </c>
      <c r="B24" s="43">
        <v>1</v>
      </c>
      <c r="C24" s="43" t="s">
        <v>402</v>
      </c>
      <c r="D24" s="43" t="s">
        <v>403</v>
      </c>
      <c r="E24" s="43"/>
      <c r="F24" s="43"/>
      <c r="G24" s="43">
        <v>52766</v>
      </c>
      <c r="H24" s="43">
        <v>52771</v>
      </c>
      <c r="I24" s="43">
        <v>52737</v>
      </c>
      <c r="J24" s="43">
        <v>8140</v>
      </c>
      <c r="K24" s="43">
        <v>8140</v>
      </c>
      <c r="L24" s="43" t="s">
        <v>372</v>
      </c>
      <c r="M24" s="43" t="s">
        <v>404</v>
      </c>
      <c r="N24" s="44">
        <v>9.3827300000000005</v>
      </c>
      <c r="O24" s="43" t="s">
        <v>405</v>
      </c>
      <c r="P24" s="43" t="s">
        <v>406</v>
      </c>
      <c r="Q24" s="43">
        <v>18</v>
      </c>
      <c r="R24" s="43">
        <v>10</v>
      </c>
      <c r="S24" s="43" t="s">
        <v>407</v>
      </c>
      <c r="T24" s="43" t="s">
        <v>420</v>
      </c>
      <c r="U24" s="43" t="s">
        <v>421</v>
      </c>
      <c r="V24" s="45">
        <v>3.4929570000000001</v>
      </c>
      <c r="W24" s="45">
        <v>0.6</v>
      </c>
      <c r="X24" s="45">
        <v>9.2093457535634116</v>
      </c>
    </row>
    <row r="25" spans="1:24" x14ac:dyDescent="0.2">
      <c r="X25" s="45">
        <f>SUM(X15:X24)</f>
        <v>10.68755869294851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I1" workbookViewId="0">
      <selection activeCell="W14" sqref="W14:W21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12.285156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34.8554687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</v>
      </c>
      <c r="B2" s="43">
        <v>2</v>
      </c>
      <c r="C2" s="43" t="s">
        <v>422</v>
      </c>
      <c r="D2" s="43" t="s">
        <v>423</v>
      </c>
      <c r="E2" s="43" t="s">
        <v>424</v>
      </c>
      <c r="F2" s="43" t="s">
        <v>425</v>
      </c>
      <c r="G2" s="43">
        <v>3444</v>
      </c>
      <c r="H2" s="43">
        <v>3445</v>
      </c>
      <c r="I2" s="43">
        <v>3382</v>
      </c>
      <c r="J2" s="43">
        <v>1310</v>
      </c>
      <c r="K2" s="43">
        <v>1310</v>
      </c>
      <c r="L2" s="43" t="s">
        <v>372</v>
      </c>
      <c r="M2" s="43" t="s">
        <v>426</v>
      </c>
      <c r="N2" s="44">
        <v>0.152669</v>
      </c>
      <c r="O2" s="43" t="s">
        <v>405</v>
      </c>
      <c r="P2" s="43" t="s">
        <v>406</v>
      </c>
      <c r="Q2" s="43">
        <v>20</v>
      </c>
      <c r="R2" s="43">
        <v>10</v>
      </c>
      <c r="S2" s="43" t="s">
        <v>407</v>
      </c>
      <c r="T2" s="43" t="s">
        <v>427</v>
      </c>
      <c r="U2" s="43" t="s">
        <v>428</v>
      </c>
      <c r="V2" s="45">
        <v>0.81160900000000002</v>
      </c>
      <c r="W2" s="45">
        <v>0.78300000000000003</v>
      </c>
      <c r="X2" s="45">
        <f t="shared" ref="X2:X9" si="0">N2*V2*(1-W2)</f>
        <v>2.6887934969356996E-2</v>
      </c>
    </row>
    <row r="3" spans="1:24" x14ac:dyDescent="0.2">
      <c r="A3" s="43">
        <v>1</v>
      </c>
      <c r="B3" s="43">
        <v>2</v>
      </c>
      <c r="C3" s="43" t="s">
        <v>422</v>
      </c>
      <c r="D3" s="43" t="s">
        <v>423</v>
      </c>
      <c r="E3" s="43" t="s">
        <v>424</v>
      </c>
      <c r="F3" s="43" t="s">
        <v>425</v>
      </c>
      <c r="G3" s="43">
        <v>3534</v>
      </c>
      <c r="H3" s="43">
        <v>3538</v>
      </c>
      <c r="I3" s="43">
        <v>3475</v>
      </c>
      <c r="J3" s="43">
        <v>1320</v>
      </c>
      <c r="K3" s="43">
        <v>1320</v>
      </c>
      <c r="L3" s="43" t="s">
        <v>372</v>
      </c>
      <c r="M3" s="43" t="s">
        <v>426</v>
      </c>
      <c r="N3" s="44">
        <v>3.7391400000000002E-3</v>
      </c>
      <c r="O3" s="43" t="s">
        <v>405</v>
      </c>
      <c r="P3" s="43" t="s">
        <v>406</v>
      </c>
      <c r="Q3" s="43">
        <v>20</v>
      </c>
      <c r="R3" s="43">
        <v>10</v>
      </c>
      <c r="S3" s="43" t="s">
        <v>407</v>
      </c>
      <c r="T3" s="43" t="s">
        <v>429</v>
      </c>
      <c r="U3" s="43" t="s">
        <v>428</v>
      </c>
      <c r="V3" s="45">
        <v>0.81160900000000002</v>
      </c>
      <c r="W3" s="45">
        <v>0.78300000000000003</v>
      </c>
      <c r="X3" s="45">
        <f t="shared" si="0"/>
        <v>6.5853416974841997E-4</v>
      </c>
    </row>
    <row r="4" spans="1:24" x14ac:dyDescent="0.2">
      <c r="A4" s="43">
        <v>1</v>
      </c>
      <c r="B4" s="43">
        <v>2</v>
      </c>
      <c r="C4" s="43" t="s">
        <v>422</v>
      </c>
      <c r="D4" s="43" t="s">
        <v>423</v>
      </c>
      <c r="E4" s="43" t="s">
        <v>424</v>
      </c>
      <c r="F4" s="43" t="s">
        <v>425</v>
      </c>
      <c r="G4" s="43">
        <v>4529</v>
      </c>
      <c r="H4" s="43">
        <v>4530</v>
      </c>
      <c r="I4" s="43">
        <v>4498</v>
      </c>
      <c r="J4" s="43">
        <v>1400</v>
      </c>
      <c r="K4" s="43">
        <v>1400</v>
      </c>
      <c r="L4" s="43" t="s">
        <v>372</v>
      </c>
      <c r="M4" s="43" t="s">
        <v>426</v>
      </c>
      <c r="N4" s="44">
        <v>1.17974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0.78300000000000003</v>
      </c>
      <c r="X4" s="45">
        <f t="shared" si="0"/>
        <v>0.45441249858591992</v>
      </c>
    </row>
    <row r="5" spans="1:24" x14ac:dyDescent="0.2">
      <c r="A5" s="43">
        <v>1</v>
      </c>
      <c r="B5" s="43">
        <v>2</v>
      </c>
      <c r="C5" s="43" t="s">
        <v>422</v>
      </c>
      <c r="D5" s="43" t="s">
        <v>423</v>
      </c>
      <c r="E5" s="43" t="s">
        <v>424</v>
      </c>
      <c r="F5" s="43" t="s">
        <v>425</v>
      </c>
      <c r="G5" s="43">
        <v>6159</v>
      </c>
      <c r="H5" s="43">
        <v>6160</v>
      </c>
      <c r="I5" s="43">
        <v>6116</v>
      </c>
      <c r="J5" s="43">
        <v>1900</v>
      </c>
      <c r="K5" s="43">
        <v>1900</v>
      </c>
      <c r="L5" s="43" t="s">
        <v>372</v>
      </c>
      <c r="M5" s="43" t="s">
        <v>426</v>
      </c>
      <c r="N5" s="44">
        <v>8.3466600000000002E-2</v>
      </c>
      <c r="O5" s="43" t="s">
        <v>405</v>
      </c>
      <c r="P5" s="43" t="s">
        <v>406</v>
      </c>
      <c r="Q5" s="43">
        <v>70</v>
      </c>
      <c r="R5" s="43">
        <v>10</v>
      </c>
      <c r="S5" s="43" t="s">
        <v>407</v>
      </c>
      <c r="T5" s="43" t="s">
        <v>410</v>
      </c>
      <c r="U5" s="43" t="s">
        <v>411</v>
      </c>
      <c r="V5" s="45">
        <v>0.19295699999999999</v>
      </c>
      <c r="W5" s="45">
        <v>0.78300000000000003</v>
      </c>
      <c r="X5" s="45">
        <f t="shared" si="0"/>
        <v>3.4948858477553994E-3</v>
      </c>
    </row>
    <row r="6" spans="1:24" x14ac:dyDescent="0.2">
      <c r="A6" s="43">
        <v>1</v>
      </c>
      <c r="B6" s="43">
        <v>2</v>
      </c>
      <c r="C6" s="43" t="s">
        <v>422</v>
      </c>
      <c r="D6" s="43" t="s">
        <v>423</v>
      </c>
      <c r="E6" s="43" t="s">
        <v>424</v>
      </c>
      <c r="F6" s="43" t="s">
        <v>425</v>
      </c>
      <c r="G6" s="43">
        <v>19457</v>
      </c>
      <c r="H6" s="43">
        <v>19458</v>
      </c>
      <c r="I6" s="43">
        <v>19397</v>
      </c>
      <c r="J6" s="43">
        <v>4340</v>
      </c>
      <c r="K6" s="43">
        <v>4340</v>
      </c>
      <c r="L6" s="43" t="s">
        <v>372</v>
      </c>
      <c r="M6" s="43" t="s">
        <v>426</v>
      </c>
      <c r="N6" s="44">
        <v>0.158029</v>
      </c>
      <c r="O6" s="43" t="s">
        <v>405</v>
      </c>
      <c r="P6" s="43" t="s">
        <v>406</v>
      </c>
      <c r="Q6" s="43">
        <v>7</v>
      </c>
      <c r="R6" s="43">
        <v>40</v>
      </c>
      <c r="S6" s="43" t="s">
        <v>412</v>
      </c>
      <c r="T6" s="43" t="s">
        <v>415</v>
      </c>
      <c r="U6" s="43" t="s">
        <v>416</v>
      </c>
      <c r="V6" s="45">
        <v>0.115981</v>
      </c>
      <c r="W6" s="45">
        <v>0.78300000000000003</v>
      </c>
      <c r="X6" s="45">
        <f t="shared" si="0"/>
        <v>3.9772544344329995E-3</v>
      </c>
    </row>
    <row r="7" spans="1:24" x14ac:dyDescent="0.2">
      <c r="A7" s="43">
        <v>1</v>
      </c>
      <c r="B7" s="43">
        <v>2</v>
      </c>
      <c r="C7" s="43" t="s">
        <v>422</v>
      </c>
      <c r="D7" s="43" t="s">
        <v>423</v>
      </c>
      <c r="E7" s="43" t="s">
        <v>424</v>
      </c>
      <c r="F7" s="43" t="s">
        <v>425</v>
      </c>
      <c r="G7" s="43">
        <v>19458</v>
      </c>
      <c r="H7" s="43">
        <v>19459</v>
      </c>
      <c r="I7" s="43">
        <v>19398</v>
      </c>
      <c r="J7" s="43">
        <v>4340</v>
      </c>
      <c r="K7" s="43">
        <v>4340</v>
      </c>
      <c r="L7" s="43" t="s">
        <v>372</v>
      </c>
      <c r="M7" s="43" t="s">
        <v>426</v>
      </c>
      <c r="N7" s="44">
        <v>0.278561</v>
      </c>
      <c r="O7" s="43" t="s">
        <v>405</v>
      </c>
      <c r="P7" s="43" t="s">
        <v>406</v>
      </c>
      <c r="Q7" s="43">
        <v>7</v>
      </c>
      <c r="R7" s="43">
        <v>40</v>
      </c>
      <c r="S7" s="43" t="s">
        <v>412</v>
      </c>
      <c r="T7" s="43" t="s">
        <v>415</v>
      </c>
      <c r="U7" s="43" t="s">
        <v>416</v>
      </c>
      <c r="V7" s="45">
        <v>0.115981</v>
      </c>
      <c r="W7" s="45">
        <v>0.78300000000000003</v>
      </c>
      <c r="X7" s="45">
        <f t="shared" si="0"/>
        <v>7.0107889849969985E-3</v>
      </c>
    </row>
    <row r="8" spans="1:24" x14ac:dyDescent="0.2">
      <c r="A8" s="43">
        <v>1</v>
      </c>
      <c r="B8" s="43">
        <v>2</v>
      </c>
      <c r="C8" s="43" t="s">
        <v>422</v>
      </c>
      <c r="D8" s="43" t="s">
        <v>423</v>
      </c>
      <c r="E8" s="43" t="s">
        <v>424</v>
      </c>
      <c r="F8" s="43" t="s">
        <v>425</v>
      </c>
      <c r="G8" s="43">
        <v>19460</v>
      </c>
      <c r="H8" s="43">
        <v>19461</v>
      </c>
      <c r="I8" s="43">
        <v>19400</v>
      </c>
      <c r="J8" s="43">
        <v>4340</v>
      </c>
      <c r="K8" s="43">
        <v>4340</v>
      </c>
      <c r="L8" s="43" t="s">
        <v>372</v>
      </c>
      <c r="M8" s="43" t="s">
        <v>426</v>
      </c>
      <c r="N8" s="44">
        <v>7.4528800000000006E-2</v>
      </c>
      <c r="O8" s="43" t="s">
        <v>405</v>
      </c>
      <c r="P8" s="43" t="s">
        <v>406</v>
      </c>
      <c r="Q8" s="43">
        <v>7</v>
      </c>
      <c r="R8" s="43">
        <v>40</v>
      </c>
      <c r="S8" s="43" t="s">
        <v>412</v>
      </c>
      <c r="T8" s="43" t="s">
        <v>415</v>
      </c>
      <c r="U8" s="43" t="s">
        <v>416</v>
      </c>
      <c r="V8" s="45">
        <v>0.115981</v>
      </c>
      <c r="W8" s="45">
        <v>0.78300000000000003</v>
      </c>
      <c r="X8" s="45">
        <f t="shared" si="0"/>
        <v>1.8757316713575998E-3</v>
      </c>
    </row>
    <row r="9" spans="1:24" x14ac:dyDescent="0.2">
      <c r="A9" s="43">
        <v>1</v>
      </c>
      <c r="B9" s="43">
        <v>2</v>
      </c>
      <c r="C9" s="43" t="s">
        <v>422</v>
      </c>
      <c r="D9" s="43" t="s">
        <v>423</v>
      </c>
      <c r="E9" s="43" t="s">
        <v>424</v>
      </c>
      <c r="F9" s="43" t="s">
        <v>425</v>
      </c>
      <c r="G9" s="43">
        <v>52779</v>
      </c>
      <c r="H9" s="43">
        <v>52784</v>
      </c>
      <c r="I9" s="43">
        <v>52750</v>
      </c>
      <c r="J9" s="43">
        <v>8140</v>
      </c>
      <c r="K9" s="43">
        <v>8140</v>
      </c>
      <c r="L9" s="43" t="s">
        <v>372</v>
      </c>
      <c r="M9" s="43" t="s">
        <v>426</v>
      </c>
      <c r="N9" s="44">
        <v>3.1113299999999998E-3</v>
      </c>
      <c r="O9" s="43" t="s">
        <v>405</v>
      </c>
      <c r="P9" s="43" t="s">
        <v>406</v>
      </c>
      <c r="Q9" s="43">
        <v>18</v>
      </c>
      <c r="R9" s="43">
        <v>10</v>
      </c>
      <c r="S9" s="43" t="s">
        <v>407</v>
      </c>
      <c r="T9" s="43" t="s">
        <v>420</v>
      </c>
      <c r="U9" s="43" t="s">
        <v>421</v>
      </c>
      <c r="V9" s="45">
        <v>0.717032</v>
      </c>
      <c r="W9" s="45">
        <v>0.78300000000000003</v>
      </c>
      <c r="X9" s="45">
        <f t="shared" si="0"/>
        <v>4.8411032844551991E-4</v>
      </c>
    </row>
    <row r="10" spans="1:24" x14ac:dyDescent="0.2">
      <c r="N10" s="44">
        <f>SUM(N2:N9)</f>
        <v>1.9338448699999999</v>
      </c>
      <c r="X10" s="45">
        <f>SUM(X2:X9)</f>
        <v>0.49880173899201385</v>
      </c>
    </row>
    <row r="13" spans="1:24" x14ac:dyDescent="0.2">
      <c r="A13" s="43" t="s">
        <v>377</v>
      </c>
      <c r="B13" s="43" t="s">
        <v>378</v>
      </c>
      <c r="C13" s="43" t="s">
        <v>379</v>
      </c>
      <c r="D13" s="43" t="s">
        <v>380</v>
      </c>
      <c r="E13" s="43" t="s">
        <v>381</v>
      </c>
      <c r="F13" s="43" t="s">
        <v>382</v>
      </c>
      <c r="G13" s="43" t="s">
        <v>383</v>
      </c>
      <c r="H13" s="43" t="s">
        <v>384</v>
      </c>
      <c r="I13" s="43" t="s">
        <v>385</v>
      </c>
      <c r="J13" s="43" t="s">
        <v>386</v>
      </c>
      <c r="K13" s="43" t="s">
        <v>387</v>
      </c>
      <c r="L13" s="43" t="s">
        <v>388</v>
      </c>
      <c r="M13" s="43" t="s">
        <v>389</v>
      </c>
      <c r="N13" s="44" t="s">
        <v>391</v>
      </c>
      <c r="O13" s="43" t="s">
        <v>392</v>
      </c>
      <c r="P13" s="43" t="s">
        <v>393</v>
      </c>
      <c r="Q13" s="43" t="s">
        <v>394</v>
      </c>
      <c r="R13" s="43" t="s">
        <v>395</v>
      </c>
      <c r="S13" s="43" t="s">
        <v>396</v>
      </c>
      <c r="T13" s="43" t="s">
        <v>397</v>
      </c>
      <c r="U13" s="43" t="s">
        <v>398</v>
      </c>
      <c r="V13" s="45" t="s">
        <v>589</v>
      </c>
      <c r="W13" s="45" t="s">
        <v>590</v>
      </c>
      <c r="X13" s="45" t="s">
        <v>591</v>
      </c>
    </row>
    <row r="14" spans="1:24" x14ac:dyDescent="0.2">
      <c r="A14" s="43">
        <v>1</v>
      </c>
      <c r="B14" s="43">
        <v>2</v>
      </c>
      <c r="C14" s="43" t="s">
        <v>422</v>
      </c>
      <c r="D14" s="43" t="s">
        <v>423</v>
      </c>
      <c r="E14" s="43" t="s">
        <v>424</v>
      </c>
      <c r="F14" s="43" t="s">
        <v>425</v>
      </c>
      <c r="G14" s="43">
        <v>3444</v>
      </c>
      <c r="H14" s="43">
        <v>3445</v>
      </c>
      <c r="I14" s="43">
        <v>3382</v>
      </c>
      <c r="J14" s="43">
        <v>1310</v>
      </c>
      <c r="K14" s="43">
        <v>1310</v>
      </c>
      <c r="L14" s="43" t="s">
        <v>372</v>
      </c>
      <c r="M14" s="43" t="s">
        <v>426</v>
      </c>
      <c r="N14" s="44">
        <v>0.152669</v>
      </c>
      <c r="O14" s="43" t="s">
        <v>405</v>
      </c>
      <c r="P14" s="43" t="s">
        <v>406</v>
      </c>
      <c r="Q14" s="43">
        <v>20</v>
      </c>
      <c r="R14" s="43">
        <v>10</v>
      </c>
      <c r="S14" s="43" t="s">
        <v>407</v>
      </c>
      <c r="T14" s="43" t="s">
        <v>427</v>
      </c>
      <c r="U14" s="43" t="s">
        <v>428</v>
      </c>
      <c r="V14" s="45">
        <v>4.5321179999999996</v>
      </c>
      <c r="W14" s="45">
        <v>0.6</v>
      </c>
      <c r="X14" s="45">
        <f t="shared" ref="X14:X21" si="1">N14*V14*(1-W14)</f>
        <v>0.27676556917680001</v>
      </c>
    </row>
    <row r="15" spans="1:24" x14ac:dyDescent="0.2">
      <c r="A15" s="43">
        <v>1</v>
      </c>
      <c r="B15" s="43">
        <v>2</v>
      </c>
      <c r="C15" s="43" t="s">
        <v>422</v>
      </c>
      <c r="D15" s="43" t="s">
        <v>423</v>
      </c>
      <c r="E15" s="43" t="s">
        <v>424</v>
      </c>
      <c r="F15" s="43" t="s">
        <v>425</v>
      </c>
      <c r="G15" s="43">
        <v>3534</v>
      </c>
      <c r="H15" s="43">
        <v>3538</v>
      </c>
      <c r="I15" s="43">
        <v>3475</v>
      </c>
      <c r="J15" s="43">
        <v>1320</v>
      </c>
      <c r="K15" s="43">
        <v>1320</v>
      </c>
      <c r="L15" s="43" t="s">
        <v>372</v>
      </c>
      <c r="M15" s="43" t="s">
        <v>426</v>
      </c>
      <c r="N15" s="44">
        <v>3.7391400000000002E-3</v>
      </c>
      <c r="O15" s="43" t="s">
        <v>405</v>
      </c>
      <c r="P15" s="43" t="s">
        <v>406</v>
      </c>
      <c r="Q15" s="43">
        <v>20</v>
      </c>
      <c r="R15" s="43">
        <v>10</v>
      </c>
      <c r="S15" s="43" t="s">
        <v>407</v>
      </c>
      <c r="T15" s="43" t="s">
        <v>429</v>
      </c>
      <c r="U15" s="43" t="s">
        <v>428</v>
      </c>
      <c r="V15" s="45">
        <v>4.5321179999999996</v>
      </c>
      <c r="W15" s="45">
        <v>0.6</v>
      </c>
      <c r="X15" s="45">
        <f t="shared" si="1"/>
        <v>6.7784894794079998E-3</v>
      </c>
    </row>
    <row r="16" spans="1:24" x14ac:dyDescent="0.2">
      <c r="A16" s="43">
        <v>1</v>
      </c>
      <c r="B16" s="43">
        <v>2</v>
      </c>
      <c r="C16" s="43" t="s">
        <v>422</v>
      </c>
      <c r="D16" s="43" t="s">
        <v>423</v>
      </c>
      <c r="E16" s="43" t="s">
        <v>424</v>
      </c>
      <c r="F16" s="43" t="s">
        <v>425</v>
      </c>
      <c r="G16" s="43">
        <v>4529</v>
      </c>
      <c r="H16" s="43">
        <v>4530</v>
      </c>
      <c r="I16" s="43">
        <v>4498</v>
      </c>
      <c r="J16" s="43">
        <v>1400</v>
      </c>
      <c r="K16" s="43">
        <v>1400</v>
      </c>
      <c r="L16" s="43" t="s">
        <v>372</v>
      </c>
      <c r="M16" s="43" t="s">
        <v>426</v>
      </c>
      <c r="N16" s="44">
        <v>1.17974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7.8337940000000001</v>
      </c>
      <c r="W16" s="45">
        <v>0.6</v>
      </c>
      <c r="X16" s="45">
        <f t="shared" si="1"/>
        <v>3.6967360534240004</v>
      </c>
    </row>
    <row r="17" spans="1:24" x14ac:dyDescent="0.2">
      <c r="A17" s="43">
        <v>1</v>
      </c>
      <c r="B17" s="43">
        <v>2</v>
      </c>
      <c r="C17" s="43" t="s">
        <v>422</v>
      </c>
      <c r="D17" s="43" t="s">
        <v>423</v>
      </c>
      <c r="E17" s="43" t="s">
        <v>424</v>
      </c>
      <c r="F17" s="43" t="s">
        <v>425</v>
      </c>
      <c r="G17" s="43">
        <v>6159</v>
      </c>
      <c r="H17" s="43">
        <v>6160</v>
      </c>
      <c r="I17" s="43">
        <v>6116</v>
      </c>
      <c r="J17" s="43">
        <v>1900</v>
      </c>
      <c r="K17" s="43">
        <v>1900</v>
      </c>
      <c r="L17" s="43" t="s">
        <v>372</v>
      </c>
      <c r="M17" s="43" t="s">
        <v>426</v>
      </c>
      <c r="N17" s="44">
        <v>8.3466600000000002E-2</v>
      </c>
      <c r="O17" s="43" t="s">
        <v>405</v>
      </c>
      <c r="P17" s="43" t="s">
        <v>406</v>
      </c>
      <c r="Q17" s="43">
        <v>70</v>
      </c>
      <c r="R17" s="43">
        <v>10</v>
      </c>
      <c r="S17" s="43" t="s">
        <v>407</v>
      </c>
      <c r="T17" s="43" t="s">
        <v>410</v>
      </c>
      <c r="U17" s="43" t="s">
        <v>411</v>
      </c>
      <c r="V17" s="45">
        <v>1.1817740000000001</v>
      </c>
      <c r="W17" s="45">
        <v>0.6</v>
      </c>
      <c r="X17" s="45">
        <f t="shared" si="1"/>
        <v>3.9455463099360009E-2</v>
      </c>
    </row>
    <row r="18" spans="1:24" x14ac:dyDescent="0.2">
      <c r="A18" s="43">
        <v>1</v>
      </c>
      <c r="B18" s="43">
        <v>2</v>
      </c>
      <c r="C18" s="43" t="s">
        <v>422</v>
      </c>
      <c r="D18" s="43" t="s">
        <v>423</v>
      </c>
      <c r="E18" s="43" t="s">
        <v>424</v>
      </c>
      <c r="F18" s="43" t="s">
        <v>425</v>
      </c>
      <c r="G18" s="43">
        <v>19457</v>
      </c>
      <c r="H18" s="43">
        <v>19458</v>
      </c>
      <c r="I18" s="43">
        <v>19397</v>
      </c>
      <c r="J18" s="43">
        <v>4340</v>
      </c>
      <c r="K18" s="43">
        <v>4340</v>
      </c>
      <c r="L18" s="43" t="s">
        <v>372</v>
      </c>
      <c r="M18" s="43" t="s">
        <v>426</v>
      </c>
      <c r="N18" s="44">
        <v>0.158029</v>
      </c>
      <c r="O18" s="43" t="s">
        <v>405</v>
      </c>
      <c r="P18" s="43" t="s">
        <v>406</v>
      </c>
      <c r="Q18" s="43">
        <v>7</v>
      </c>
      <c r="R18" s="43">
        <v>40</v>
      </c>
      <c r="S18" s="43" t="s">
        <v>412</v>
      </c>
      <c r="T18" s="43" t="s">
        <v>415</v>
      </c>
      <c r="U18" s="43" t="s">
        <v>416</v>
      </c>
      <c r="V18" s="45">
        <v>7.558414</v>
      </c>
      <c r="W18" s="45">
        <v>0.6</v>
      </c>
      <c r="X18" s="45">
        <f t="shared" si="1"/>
        <v>0.4777794424024</v>
      </c>
    </row>
    <row r="19" spans="1:24" x14ac:dyDescent="0.2">
      <c r="A19" s="43">
        <v>1</v>
      </c>
      <c r="B19" s="43">
        <v>2</v>
      </c>
      <c r="C19" s="43" t="s">
        <v>422</v>
      </c>
      <c r="D19" s="43" t="s">
        <v>423</v>
      </c>
      <c r="E19" s="43" t="s">
        <v>424</v>
      </c>
      <c r="F19" s="43" t="s">
        <v>425</v>
      </c>
      <c r="G19" s="43">
        <v>19458</v>
      </c>
      <c r="H19" s="43">
        <v>19459</v>
      </c>
      <c r="I19" s="43">
        <v>19398</v>
      </c>
      <c r="J19" s="43">
        <v>4340</v>
      </c>
      <c r="K19" s="43">
        <v>4340</v>
      </c>
      <c r="L19" s="43" t="s">
        <v>372</v>
      </c>
      <c r="M19" s="43" t="s">
        <v>426</v>
      </c>
      <c r="N19" s="44">
        <v>0.278561</v>
      </c>
      <c r="O19" s="43" t="s">
        <v>405</v>
      </c>
      <c r="P19" s="43" t="s">
        <v>406</v>
      </c>
      <c r="Q19" s="43">
        <v>7</v>
      </c>
      <c r="R19" s="43">
        <v>40</v>
      </c>
      <c r="S19" s="43" t="s">
        <v>412</v>
      </c>
      <c r="T19" s="43" t="s">
        <v>415</v>
      </c>
      <c r="U19" s="43" t="s">
        <v>416</v>
      </c>
      <c r="V19" s="45">
        <v>7.558414</v>
      </c>
      <c r="W19" s="45">
        <v>0.6</v>
      </c>
      <c r="X19" s="45">
        <f t="shared" si="1"/>
        <v>0.84219174490160009</v>
      </c>
    </row>
    <row r="20" spans="1:24" x14ac:dyDescent="0.2">
      <c r="A20" s="43">
        <v>1</v>
      </c>
      <c r="B20" s="43">
        <v>2</v>
      </c>
      <c r="C20" s="43" t="s">
        <v>422</v>
      </c>
      <c r="D20" s="43" t="s">
        <v>423</v>
      </c>
      <c r="E20" s="43" t="s">
        <v>424</v>
      </c>
      <c r="F20" s="43" t="s">
        <v>425</v>
      </c>
      <c r="G20" s="43">
        <v>19460</v>
      </c>
      <c r="H20" s="43">
        <v>19461</v>
      </c>
      <c r="I20" s="43">
        <v>19400</v>
      </c>
      <c r="J20" s="43">
        <v>4340</v>
      </c>
      <c r="K20" s="43">
        <v>4340</v>
      </c>
      <c r="L20" s="43" t="s">
        <v>372</v>
      </c>
      <c r="M20" s="43" t="s">
        <v>426</v>
      </c>
      <c r="N20" s="44">
        <v>7.4528800000000006E-2</v>
      </c>
      <c r="O20" s="43" t="s">
        <v>405</v>
      </c>
      <c r="P20" s="43" t="s">
        <v>406</v>
      </c>
      <c r="Q20" s="43">
        <v>7</v>
      </c>
      <c r="R20" s="43">
        <v>40</v>
      </c>
      <c r="S20" s="43" t="s">
        <v>412</v>
      </c>
      <c r="T20" s="43" t="s">
        <v>415</v>
      </c>
      <c r="U20" s="43" t="s">
        <v>416</v>
      </c>
      <c r="V20" s="45">
        <v>7.558414</v>
      </c>
      <c r="W20" s="45">
        <v>0.6</v>
      </c>
      <c r="X20" s="45">
        <f t="shared" si="1"/>
        <v>0.22532781012928005</v>
      </c>
    </row>
    <row r="21" spans="1:24" x14ac:dyDescent="0.2">
      <c r="A21" s="43">
        <v>1</v>
      </c>
      <c r="B21" s="43">
        <v>2</v>
      </c>
      <c r="C21" s="43" t="s">
        <v>422</v>
      </c>
      <c r="D21" s="43" t="s">
        <v>423</v>
      </c>
      <c r="E21" s="43" t="s">
        <v>424</v>
      </c>
      <c r="F21" s="43" t="s">
        <v>425</v>
      </c>
      <c r="G21" s="43">
        <v>52779</v>
      </c>
      <c r="H21" s="43">
        <v>52784</v>
      </c>
      <c r="I21" s="43">
        <v>52750</v>
      </c>
      <c r="J21" s="43">
        <v>8140</v>
      </c>
      <c r="K21" s="43">
        <v>8140</v>
      </c>
      <c r="L21" s="43" t="s">
        <v>372</v>
      </c>
      <c r="M21" s="43" t="s">
        <v>426</v>
      </c>
      <c r="N21" s="44">
        <v>3.1113299999999998E-3</v>
      </c>
      <c r="O21" s="43" t="s">
        <v>405</v>
      </c>
      <c r="P21" s="43" t="s">
        <v>406</v>
      </c>
      <c r="Q21" s="43">
        <v>18</v>
      </c>
      <c r="R21" s="43">
        <v>10</v>
      </c>
      <c r="S21" s="43" t="s">
        <v>407</v>
      </c>
      <c r="T21" s="43" t="s">
        <v>420</v>
      </c>
      <c r="U21" s="43" t="s">
        <v>421</v>
      </c>
      <c r="V21" s="45">
        <v>3.4929570000000001</v>
      </c>
      <c r="W21" s="45">
        <v>0.6</v>
      </c>
      <c r="X21" s="45">
        <f t="shared" si="1"/>
        <v>4.3470967611239997E-3</v>
      </c>
    </row>
    <row r="22" spans="1:24" x14ac:dyDescent="0.2">
      <c r="X22" s="45">
        <f>SUM(X14:X21)</f>
        <v>5.5693816693739731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opLeftCell="Q1" workbookViewId="0">
      <selection activeCell="W19" sqref="W19:W32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47.140625" bestFit="1" customWidth="1"/>
    <col min="21" max="21" width="24.5703125" bestFit="1" customWidth="1"/>
    <col min="22" max="22" width="9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4</v>
      </c>
      <c r="B2" s="43">
        <v>8</v>
      </c>
      <c r="C2" s="43" t="s">
        <v>430</v>
      </c>
      <c r="D2" s="43" t="s">
        <v>423</v>
      </c>
      <c r="E2" s="43" t="s">
        <v>457</v>
      </c>
      <c r="F2" s="43" t="s">
        <v>458</v>
      </c>
      <c r="G2" s="43">
        <v>1596</v>
      </c>
      <c r="H2" s="43">
        <v>1597</v>
      </c>
      <c r="I2" s="43">
        <v>1557</v>
      </c>
      <c r="J2" s="43">
        <v>1110</v>
      </c>
      <c r="K2" s="43">
        <v>1110</v>
      </c>
      <c r="L2" s="43" t="s">
        <v>372</v>
      </c>
      <c r="M2" s="43" t="s">
        <v>426</v>
      </c>
      <c r="N2" s="44">
        <v>0.137518</v>
      </c>
      <c r="O2" s="43" t="s">
        <v>405</v>
      </c>
      <c r="P2" s="43" t="s">
        <v>406</v>
      </c>
      <c r="Q2" s="43">
        <v>2</v>
      </c>
      <c r="R2" s="43">
        <v>10</v>
      </c>
      <c r="S2" s="43" t="s">
        <v>407</v>
      </c>
      <c r="T2" s="43" t="s">
        <v>434</v>
      </c>
      <c r="U2" s="43" t="s">
        <v>435</v>
      </c>
      <c r="V2" s="45">
        <v>0.48648799999999998</v>
      </c>
      <c r="W2" s="45">
        <v>0.78300000000000003</v>
      </c>
      <c r="X2" s="45">
        <f t="shared" ref="X2:X15" si="0">N2*V2*(1-W2)</f>
        <v>1.4517485922127997E-2</v>
      </c>
    </row>
    <row r="3" spans="1:24" x14ac:dyDescent="0.2">
      <c r="A3" s="43">
        <v>4</v>
      </c>
      <c r="B3" s="43">
        <v>8</v>
      </c>
      <c r="C3" s="43" t="s">
        <v>430</v>
      </c>
      <c r="D3" s="43" t="s">
        <v>423</v>
      </c>
      <c r="E3" s="43" t="s">
        <v>457</v>
      </c>
      <c r="F3" s="43" t="s">
        <v>458</v>
      </c>
      <c r="G3" s="43">
        <v>3246</v>
      </c>
      <c r="H3" s="43">
        <v>3254</v>
      </c>
      <c r="I3" s="43">
        <v>3191</v>
      </c>
      <c r="J3" s="43">
        <v>1230</v>
      </c>
      <c r="K3" s="43">
        <v>1230</v>
      </c>
      <c r="L3" s="43" t="s">
        <v>372</v>
      </c>
      <c r="M3" s="43" t="s">
        <v>426</v>
      </c>
      <c r="N3" s="44">
        <v>0.178589</v>
      </c>
      <c r="O3" s="43" t="s">
        <v>405</v>
      </c>
      <c r="P3" s="43" t="s">
        <v>406</v>
      </c>
      <c r="Q3" s="43">
        <v>19</v>
      </c>
      <c r="R3" s="43">
        <v>10</v>
      </c>
      <c r="S3" s="43" t="s">
        <v>407</v>
      </c>
      <c r="T3" s="43" t="s">
        <v>459</v>
      </c>
      <c r="U3" s="43" t="s">
        <v>437</v>
      </c>
      <c r="V3" s="45">
        <v>0.60924900000000004</v>
      </c>
      <c r="W3" s="45">
        <v>0.78300000000000003</v>
      </c>
      <c r="X3" s="45">
        <f t="shared" si="0"/>
        <v>2.3610721816436999E-2</v>
      </c>
    </row>
    <row r="4" spans="1:24" x14ac:dyDescent="0.2">
      <c r="A4" s="43">
        <v>4</v>
      </c>
      <c r="B4" s="43">
        <v>8</v>
      </c>
      <c r="C4" s="43" t="s">
        <v>430</v>
      </c>
      <c r="D4" s="43" t="s">
        <v>423</v>
      </c>
      <c r="E4" s="43" t="s">
        <v>457</v>
      </c>
      <c r="F4" s="43" t="s">
        <v>458</v>
      </c>
      <c r="G4" s="43">
        <v>3247</v>
      </c>
      <c r="H4" s="43">
        <v>3255</v>
      </c>
      <c r="I4" s="43">
        <v>3192</v>
      </c>
      <c r="J4" s="43">
        <v>1230</v>
      </c>
      <c r="K4" s="43">
        <v>1230</v>
      </c>
      <c r="L4" s="43" t="s">
        <v>372</v>
      </c>
      <c r="M4" s="43" t="s">
        <v>426</v>
      </c>
      <c r="N4" s="44">
        <v>0.100137</v>
      </c>
      <c r="O4" s="43" t="s">
        <v>405</v>
      </c>
      <c r="P4" s="43" t="s">
        <v>406</v>
      </c>
      <c r="Q4" s="43">
        <v>19</v>
      </c>
      <c r="R4" s="43">
        <v>10</v>
      </c>
      <c r="S4" s="43" t="s">
        <v>407</v>
      </c>
      <c r="T4" s="43" t="s">
        <v>459</v>
      </c>
      <c r="U4" s="43" t="s">
        <v>437</v>
      </c>
      <c r="V4" s="45">
        <v>0.60924900000000004</v>
      </c>
      <c r="W4" s="45">
        <v>0.78300000000000003</v>
      </c>
      <c r="X4" s="45">
        <f t="shared" si="0"/>
        <v>1.3238815663521E-2</v>
      </c>
    </row>
    <row r="5" spans="1:24" x14ac:dyDescent="0.2">
      <c r="A5" s="43">
        <v>4</v>
      </c>
      <c r="B5" s="43">
        <v>8</v>
      </c>
      <c r="C5" s="43" t="s">
        <v>430</v>
      </c>
      <c r="D5" s="43" t="s">
        <v>423</v>
      </c>
      <c r="E5" s="43" t="s">
        <v>457</v>
      </c>
      <c r="F5" s="43" t="s">
        <v>458</v>
      </c>
      <c r="G5" s="43">
        <v>3444</v>
      </c>
      <c r="H5" s="43">
        <v>3445</v>
      </c>
      <c r="I5" s="43">
        <v>3382</v>
      </c>
      <c r="J5" s="43">
        <v>1310</v>
      </c>
      <c r="K5" s="43">
        <v>1310</v>
      </c>
      <c r="L5" s="43" t="s">
        <v>372</v>
      </c>
      <c r="M5" s="43" t="s">
        <v>426</v>
      </c>
      <c r="N5" s="44">
        <v>4.9647700000000003E-2</v>
      </c>
      <c r="O5" s="43" t="s">
        <v>405</v>
      </c>
      <c r="P5" s="43" t="s">
        <v>406</v>
      </c>
      <c r="Q5" s="43">
        <v>20</v>
      </c>
      <c r="R5" s="43">
        <v>10</v>
      </c>
      <c r="S5" s="43" t="s">
        <v>407</v>
      </c>
      <c r="T5" s="43" t="s">
        <v>427</v>
      </c>
      <c r="U5" s="43" t="s">
        <v>428</v>
      </c>
      <c r="V5" s="45">
        <v>0.81160900000000002</v>
      </c>
      <c r="W5" s="45">
        <v>0.78300000000000003</v>
      </c>
      <c r="X5" s="45">
        <f t="shared" si="0"/>
        <v>8.7439108723980988E-3</v>
      </c>
    </row>
    <row r="6" spans="1:24" x14ac:dyDescent="0.2">
      <c r="A6" s="43">
        <v>4</v>
      </c>
      <c r="B6" s="43">
        <v>8</v>
      </c>
      <c r="C6" s="43" t="s">
        <v>430</v>
      </c>
      <c r="D6" s="43" t="s">
        <v>423</v>
      </c>
      <c r="E6" s="43" t="s">
        <v>457</v>
      </c>
      <c r="F6" s="43" t="s">
        <v>458</v>
      </c>
      <c r="G6" s="43">
        <v>3534</v>
      </c>
      <c r="H6" s="43">
        <v>3538</v>
      </c>
      <c r="I6" s="43">
        <v>3475</v>
      </c>
      <c r="J6" s="43">
        <v>1320</v>
      </c>
      <c r="K6" s="43">
        <v>1320</v>
      </c>
      <c r="L6" s="43" t="s">
        <v>372</v>
      </c>
      <c r="M6" s="43" t="s">
        <v>426</v>
      </c>
      <c r="N6" s="44">
        <v>7.8580700000000003E-2</v>
      </c>
      <c r="O6" s="43" t="s">
        <v>405</v>
      </c>
      <c r="P6" s="43" t="s">
        <v>406</v>
      </c>
      <c r="Q6" s="43">
        <v>20</v>
      </c>
      <c r="R6" s="43">
        <v>10</v>
      </c>
      <c r="S6" s="43" t="s">
        <v>407</v>
      </c>
      <c r="T6" s="43" t="s">
        <v>429</v>
      </c>
      <c r="U6" s="43" t="s">
        <v>428</v>
      </c>
      <c r="V6" s="45">
        <v>0.81160900000000002</v>
      </c>
      <c r="W6" s="45">
        <v>0.78300000000000003</v>
      </c>
      <c r="X6" s="45">
        <f t="shared" si="0"/>
        <v>1.38395663261471E-2</v>
      </c>
    </row>
    <row r="7" spans="1:24" x14ac:dyDescent="0.2">
      <c r="A7" s="43">
        <v>4</v>
      </c>
      <c r="B7" s="43">
        <v>8</v>
      </c>
      <c r="C7" s="43" t="s">
        <v>430</v>
      </c>
      <c r="D7" s="43" t="s">
        <v>423</v>
      </c>
      <c r="E7" s="43" t="s">
        <v>457</v>
      </c>
      <c r="F7" s="43" t="s">
        <v>458</v>
      </c>
      <c r="G7" s="43">
        <v>4532</v>
      </c>
      <c r="H7" s="43">
        <v>4533</v>
      </c>
      <c r="I7" s="43">
        <v>4501</v>
      </c>
      <c r="J7" s="43">
        <v>1400</v>
      </c>
      <c r="K7" s="43">
        <v>1400</v>
      </c>
      <c r="L7" s="43" t="s">
        <v>372</v>
      </c>
      <c r="M7" s="43" t="s">
        <v>426</v>
      </c>
      <c r="N7" s="44">
        <v>8.1032800000000002E-2</v>
      </c>
      <c r="O7" s="43" t="s">
        <v>405</v>
      </c>
      <c r="P7" s="43" t="s">
        <v>406</v>
      </c>
      <c r="Q7" s="43">
        <v>3</v>
      </c>
      <c r="R7" s="43">
        <v>10</v>
      </c>
      <c r="S7" s="43" t="s">
        <v>407</v>
      </c>
      <c r="T7" s="43" t="s">
        <v>408</v>
      </c>
      <c r="U7" s="43" t="s">
        <v>408</v>
      </c>
      <c r="V7" s="45">
        <v>1.7750239999999999</v>
      </c>
      <c r="W7" s="45">
        <v>0.78300000000000003</v>
      </c>
      <c r="X7" s="45">
        <f t="shared" si="0"/>
        <v>3.1212230758822394E-2</v>
      </c>
    </row>
    <row r="8" spans="1:24" x14ac:dyDescent="0.2">
      <c r="A8" s="43">
        <v>4</v>
      </c>
      <c r="B8" s="43">
        <v>8</v>
      </c>
      <c r="C8" s="43" t="s">
        <v>430</v>
      </c>
      <c r="D8" s="43" t="s">
        <v>423</v>
      </c>
      <c r="E8" s="43" t="s">
        <v>457</v>
      </c>
      <c r="F8" s="43" t="s">
        <v>458</v>
      </c>
      <c r="G8" s="43">
        <v>4534</v>
      </c>
      <c r="H8" s="43">
        <v>4535</v>
      </c>
      <c r="I8" s="43">
        <v>4503</v>
      </c>
      <c r="J8" s="43">
        <v>1400</v>
      </c>
      <c r="K8" s="43">
        <v>1400</v>
      </c>
      <c r="L8" s="43" t="s">
        <v>372</v>
      </c>
      <c r="M8" s="43" t="s">
        <v>426</v>
      </c>
      <c r="N8" s="44">
        <v>0.10367999999999999</v>
      </c>
      <c r="O8" s="43" t="s">
        <v>405</v>
      </c>
      <c r="P8" s="43" t="s">
        <v>406</v>
      </c>
      <c r="Q8" s="43">
        <v>3</v>
      </c>
      <c r="R8" s="43">
        <v>10</v>
      </c>
      <c r="S8" s="43" t="s">
        <v>407</v>
      </c>
      <c r="T8" s="43" t="s">
        <v>408</v>
      </c>
      <c r="U8" s="43" t="s">
        <v>408</v>
      </c>
      <c r="V8" s="45">
        <v>1.7750239999999999</v>
      </c>
      <c r="W8" s="45">
        <v>0.78300000000000003</v>
      </c>
      <c r="X8" s="45">
        <f t="shared" si="0"/>
        <v>3.9935483965439993E-2</v>
      </c>
    </row>
    <row r="9" spans="1:24" x14ac:dyDescent="0.2">
      <c r="A9" s="43">
        <v>4</v>
      </c>
      <c r="B9" s="43">
        <v>8</v>
      </c>
      <c r="C9" s="43" t="s">
        <v>430</v>
      </c>
      <c r="D9" s="43" t="s">
        <v>423</v>
      </c>
      <c r="E9" s="43" t="s">
        <v>457</v>
      </c>
      <c r="F9" s="43" t="s">
        <v>458</v>
      </c>
      <c r="G9" s="43">
        <v>6162</v>
      </c>
      <c r="H9" s="43">
        <v>6163</v>
      </c>
      <c r="I9" s="43">
        <v>6119</v>
      </c>
      <c r="J9" s="43">
        <v>1900</v>
      </c>
      <c r="K9" s="43">
        <v>1900</v>
      </c>
      <c r="L9" s="43" t="s">
        <v>372</v>
      </c>
      <c r="M9" s="43" t="s">
        <v>426</v>
      </c>
      <c r="N9" s="44">
        <v>0.16810600000000001</v>
      </c>
      <c r="O9" s="43" t="s">
        <v>405</v>
      </c>
      <c r="P9" s="43" t="s">
        <v>406</v>
      </c>
      <c r="Q9" s="43">
        <v>70</v>
      </c>
      <c r="R9" s="43">
        <v>10</v>
      </c>
      <c r="S9" s="43" t="s">
        <v>407</v>
      </c>
      <c r="T9" s="43" t="s">
        <v>410</v>
      </c>
      <c r="U9" s="43" t="s">
        <v>411</v>
      </c>
      <c r="V9" s="45">
        <v>0.19295699999999999</v>
      </c>
      <c r="W9" s="45">
        <v>0.78300000000000003</v>
      </c>
      <c r="X9" s="45">
        <f t="shared" si="0"/>
        <v>7.0388787889139985E-3</v>
      </c>
    </row>
    <row r="10" spans="1:24" x14ac:dyDescent="0.2">
      <c r="A10" s="43">
        <v>4</v>
      </c>
      <c r="B10" s="43">
        <v>8</v>
      </c>
      <c r="C10" s="43" t="s">
        <v>430</v>
      </c>
      <c r="D10" s="43" t="s">
        <v>423</v>
      </c>
      <c r="E10" s="43" t="s">
        <v>457</v>
      </c>
      <c r="F10" s="43" t="s">
        <v>458</v>
      </c>
      <c r="G10" s="43">
        <v>6163</v>
      </c>
      <c r="H10" s="43">
        <v>6164</v>
      </c>
      <c r="I10" s="43">
        <v>6120</v>
      </c>
      <c r="J10" s="43">
        <v>1900</v>
      </c>
      <c r="K10" s="43">
        <v>1900</v>
      </c>
      <c r="L10" s="43" t="s">
        <v>372</v>
      </c>
      <c r="M10" s="43" t="s">
        <v>426</v>
      </c>
      <c r="N10" s="44">
        <v>5.9572600000000003E-2</v>
      </c>
      <c r="O10" s="43" t="s">
        <v>405</v>
      </c>
      <c r="P10" s="43" t="s">
        <v>406</v>
      </c>
      <c r="Q10" s="43">
        <v>70</v>
      </c>
      <c r="R10" s="43">
        <v>10</v>
      </c>
      <c r="S10" s="43" t="s">
        <v>407</v>
      </c>
      <c r="T10" s="43" t="s">
        <v>410</v>
      </c>
      <c r="U10" s="43" t="s">
        <v>411</v>
      </c>
      <c r="V10" s="45">
        <v>0.19295699999999999</v>
      </c>
      <c r="W10" s="45">
        <v>0.78300000000000003</v>
      </c>
      <c r="X10" s="45">
        <f t="shared" si="0"/>
        <v>2.4944041886693995E-3</v>
      </c>
    </row>
    <row r="11" spans="1:24" x14ac:dyDescent="0.2">
      <c r="A11" s="43">
        <v>4</v>
      </c>
      <c r="B11" s="43">
        <v>8</v>
      </c>
      <c r="C11" s="43" t="s">
        <v>430</v>
      </c>
      <c r="D11" s="43" t="s">
        <v>423</v>
      </c>
      <c r="E11" s="43" t="s">
        <v>457</v>
      </c>
      <c r="F11" s="43" t="s">
        <v>458</v>
      </c>
      <c r="G11" s="43">
        <v>14288</v>
      </c>
      <c r="H11" s="43">
        <v>14289</v>
      </c>
      <c r="I11" s="43">
        <v>14289</v>
      </c>
      <c r="J11" s="43">
        <v>3100</v>
      </c>
      <c r="K11" s="43">
        <v>3100</v>
      </c>
      <c r="L11" s="43" t="s">
        <v>372</v>
      </c>
      <c r="M11" s="43" t="s">
        <v>426</v>
      </c>
      <c r="N11" s="44">
        <v>0.26729399999999998</v>
      </c>
      <c r="O11" s="43" t="s">
        <v>405</v>
      </c>
      <c r="P11" s="43" t="s">
        <v>406</v>
      </c>
      <c r="Q11" s="43">
        <v>5</v>
      </c>
      <c r="R11" s="43">
        <v>30</v>
      </c>
      <c r="S11" s="43" t="s">
        <v>455</v>
      </c>
      <c r="T11" s="43" t="s">
        <v>460</v>
      </c>
      <c r="U11" s="43" t="s">
        <v>414</v>
      </c>
      <c r="V11" s="45">
        <v>9.3119999999999994E-2</v>
      </c>
      <c r="W11" s="45">
        <v>0.78300000000000003</v>
      </c>
      <c r="X11" s="45">
        <f t="shared" si="0"/>
        <v>5.4012205497599988E-3</v>
      </c>
    </row>
    <row r="12" spans="1:24" x14ac:dyDescent="0.2">
      <c r="A12" s="43">
        <v>4</v>
      </c>
      <c r="B12" s="43">
        <v>8</v>
      </c>
      <c r="C12" s="43" t="s">
        <v>430</v>
      </c>
      <c r="D12" s="43" t="s">
        <v>423</v>
      </c>
      <c r="E12" s="43" t="s">
        <v>457</v>
      </c>
      <c r="F12" s="43" t="s">
        <v>458</v>
      </c>
      <c r="G12" s="43">
        <v>17242</v>
      </c>
      <c r="H12" s="43">
        <v>17243</v>
      </c>
      <c r="I12" s="43">
        <v>17232</v>
      </c>
      <c r="J12" s="43">
        <v>4110</v>
      </c>
      <c r="K12" s="43">
        <v>4110</v>
      </c>
      <c r="L12" s="43" t="s">
        <v>372</v>
      </c>
      <c r="M12" s="43" t="s">
        <v>426</v>
      </c>
      <c r="N12" s="44">
        <v>6.2133399999999998E-2</v>
      </c>
      <c r="O12" s="43" t="s">
        <v>405</v>
      </c>
      <c r="P12" s="43" t="s">
        <v>406</v>
      </c>
      <c r="Q12" s="43">
        <v>5</v>
      </c>
      <c r="R12" s="43">
        <v>40</v>
      </c>
      <c r="S12" s="43" t="s">
        <v>412</v>
      </c>
      <c r="T12" s="43" t="s">
        <v>413</v>
      </c>
      <c r="U12" s="43" t="s">
        <v>414</v>
      </c>
      <c r="V12" s="45">
        <v>9.3119999999999994E-2</v>
      </c>
      <c r="W12" s="45">
        <v>0.78300000000000003</v>
      </c>
      <c r="X12" s="45">
        <f t="shared" si="0"/>
        <v>1.2555320991359997E-3</v>
      </c>
    </row>
    <row r="13" spans="1:24" x14ac:dyDescent="0.2">
      <c r="A13" s="43">
        <v>4</v>
      </c>
      <c r="B13" s="43">
        <v>8</v>
      </c>
      <c r="C13" s="43" t="s">
        <v>430</v>
      </c>
      <c r="D13" s="43" t="s">
        <v>423</v>
      </c>
      <c r="E13" s="43" t="s">
        <v>457</v>
      </c>
      <c r="F13" s="43" t="s">
        <v>458</v>
      </c>
      <c r="G13" s="43">
        <v>19460</v>
      </c>
      <c r="H13" s="43">
        <v>19461</v>
      </c>
      <c r="I13" s="43">
        <v>19400</v>
      </c>
      <c r="J13" s="43">
        <v>4340</v>
      </c>
      <c r="K13" s="43">
        <v>4340</v>
      </c>
      <c r="L13" s="43" t="s">
        <v>372</v>
      </c>
      <c r="M13" s="43" t="s">
        <v>426</v>
      </c>
      <c r="N13" s="44">
        <v>0.178955</v>
      </c>
      <c r="O13" s="43" t="s">
        <v>405</v>
      </c>
      <c r="P13" s="43" t="s">
        <v>406</v>
      </c>
      <c r="Q13" s="43">
        <v>7</v>
      </c>
      <c r="R13" s="43">
        <v>40</v>
      </c>
      <c r="S13" s="43" t="s">
        <v>412</v>
      </c>
      <c r="T13" s="43" t="s">
        <v>415</v>
      </c>
      <c r="U13" s="43" t="s">
        <v>416</v>
      </c>
      <c r="V13" s="45">
        <v>0.115981</v>
      </c>
      <c r="W13" s="45">
        <v>0.78300000000000003</v>
      </c>
      <c r="X13" s="45">
        <f t="shared" si="0"/>
        <v>4.5039174285349988E-3</v>
      </c>
    </row>
    <row r="14" spans="1:24" x14ac:dyDescent="0.2">
      <c r="A14" s="43">
        <v>4</v>
      </c>
      <c r="B14" s="43">
        <v>8</v>
      </c>
      <c r="C14" s="43" t="s">
        <v>430</v>
      </c>
      <c r="D14" s="43" t="s">
        <v>423</v>
      </c>
      <c r="E14" s="43" t="s">
        <v>457</v>
      </c>
      <c r="F14" s="43" t="s">
        <v>458</v>
      </c>
      <c r="G14" s="43">
        <v>19461</v>
      </c>
      <c r="H14" s="43">
        <v>19462</v>
      </c>
      <c r="I14" s="43">
        <v>19401</v>
      </c>
      <c r="J14" s="43">
        <v>4340</v>
      </c>
      <c r="K14" s="43">
        <v>4340</v>
      </c>
      <c r="L14" s="43" t="s">
        <v>372</v>
      </c>
      <c r="M14" s="43" t="s">
        <v>426</v>
      </c>
      <c r="N14" s="44">
        <v>2.03652E-3</v>
      </c>
      <c r="O14" s="43" t="s">
        <v>405</v>
      </c>
      <c r="P14" s="43" t="s">
        <v>406</v>
      </c>
      <c r="Q14" s="43">
        <v>7</v>
      </c>
      <c r="R14" s="43">
        <v>40</v>
      </c>
      <c r="S14" s="43" t="s">
        <v>412</v>
      </c>
      <c r="T14" s="43" t="s">
        <v>415</v>
      </c>
      <c r="U14" s="43" t="s">
        <v>416</v>
      </c>
      <c r="V14" s="45">
        <v>0.115981</v>
      </c>
      <c r="W14" s="45">
        <v>0.78300000000000003</v>
      </c>
      <c r="X14" s="45">
        <f t="shared" si="0"/>
        <v>5.1254884868039994E-5</v>
      </c>
    </row>
    <row r="15" spans="1:24" x14ac:dyDescent="0.2">
      <c r="A15" s="43">
        <v>4</v>
      </c>
      <c r="B15" s="43">
        <v>8</v>
      </c>
      <c r="C15" s="43" t="s">
        <v>430</v>
      </c>
      <c r="D15" s="43" t="s">
        <v>423</v>
      </c>
      <c r="E15" s="43" t="s">
        <v>457</v>
      </c>
      <c r="F15" s="43" t="s">
        <v>458</v>
      </c>
      <c r="G15" s="43">
        <v>33961</v>
      </c>
      <c r="H15" s="43">
        <v>33962</v>
      </c>
      <c r="I15" s="43">
        <v>33901</v>
      </c>
      <c r="J15" s="43">
        <v>6300</v>
      </c>
      <c r="K15" s="43">
        <v>6300</v>
      </c>
      <c r="L15" s="43" t="s">
        <v>372</v>
      </c>
      <c r="M15" s="43" t="s">
        <v>426</v>
      </c>
      <c r="N15" s="44">
        <v>4.51279E-3</v>
      </c>
      <c r="O15" s="43" t="s">
        <v>405</v>
      </c>
      <c r="P15" s="43" t="s">
        <v>406</v>
      </c>
      <c r="Q15" s="43">
        <v>15</v>
      </c>
      <c r="R15" s="43">
        <v>60</v>
      </c>
      <c r="S15" s="43" t="s">
        <v>417</v>
      </c>
      <c r="T15" s="43" t="s">
        <v>419</v>
      </c>
      <c r="U15" s="43" t="s">
        <v>419</v>
      </c>
      <c r="V15" s="45">
        <v>0.75712800000000002</v>
      </c>
      <c r="W15" s="45">
        <v>0.78300000000000003</v>
      </c>
      <c r="X15" s="45">
        <f t="shared" si="0"/>
        <v>7.4143684776503986E-4</v>
      </c>
    </row>
    <row r="16" spans="1:24" x14ac:dyDescent="0.2">
      <c r="N16" s="44">
        <f>SUM(N2:N15)</f>
        <v>1.47179551</v>
      </c>
      <c r="X16" s="45">
        <f>SUM(X2:X15)</f>
        <v>0.16658486011254106</v>
      </c>
    </row>
    <row r="18" spans="1:24" x14ac:dyDescent="0.2">
      <c r="A18" s="43" t="s">
        <v>377</v>
      </c>
      <c r="B18" s="43" t="s">
        <v>378</v>
      </c>
      <c r="C18" s="43" t="s">
        <v>379</v>
      </c>
      <c r="D18" s="43" t="s">
        <v>380</v>
      </c>
      <c r="E18" s="43" t="s">
        <v>381</v>
      </c>
      <c r="F18" s="43" t="s">
        <v>382</v>
      </c>
      <c r="G18" s="43" t="s">
        <v>383</v>
      </c>
      <c r="H18" s="43" t="s">
        <v>384</v>
      </c>
      <c r="I18" s="43" t="s">
        <v>385</v>
      </c>
      <c r="J18" s="43" t="s">
        <v>386</v>
      </c>
      <c r="K18" s="43" t="s">
        <v>387</v>
      </c>
      <c r="L18" s="43" t="s">
        <v>388</v>
      </c>
      <c r="M18" s="43" t="s">
        <v>389</v>
      </c>
      <c r="N18" s="44" t="s">
        <v>391</v>
      </c>
      <c r="O18" s="43" t="s">
        <v>392</v>
      </c>
      <c r="P18" s="43" t="s">
        <v>393</v>
      </c>
      <c r="Q18" s="43" t="s">
        <v>394</v>
      </c>
      <c r="R18" s="43" t="s">
        <v>395</v>
      </c>
      <c r="S18" s="43" t="s">
        <v>396</v>
      </c>
      <c r="T18" s="43" t="s">
        <v>397</v>
      </c>
      <c r="U18" s="43" t="s">
        <v>398</v>
      </c>
      <c r="V18" s="45" t="s">
        <v>589</v>
      </c>
      <c r="W18" s="45" t="s">
        <v>590</v>
      </c>
      <c r="X18" s="45" t="s">
        <v>591</v>
      </c>
    </row>
    <row r="19" spans="1:24" x14ac:dyDescent="0.2">
      <c r="A19" s="43">
        <v>4</v>
      </c>
      <c r="B19" s="43">
        <v>8</v>
      </c>
      <c r="C19" s="43" t="s">
        <v>430</v>
      </c>
      <c r="D19" s="43" t="s">
        <v>423</v>
      </c>
      <c r="E19" s="43" t="s">
        <v>457</v>
      </c>
      <c r="F19" s="43" t="s">
        <v>458</v>
      </c>
      <c r="G19" s="43">
        <v>1596</v>
      </c>
      <c r="H19" s="43">
        <v>1597</v>
      </c>
      <c r="I19" s="43">
        <v>1557</v>
      </c>
      <c r="J19" s="43">
        <v>1110</v>
      </c>
      <c r="K19" s="43">
        <v>1110</v>
      </c>
      <c r="L19" s="43" t="s">
        <v>372</v>
      </c>
      <c r="M19" s="43" t="s">
        <v>426</v>
      </c>
      <c r="N19" s="44">
        <v>0.137518</v>
      </c>
      <c r="O19" s="43" t="s">
        <v>405</v>
      </c>
      <c r="P19" s="43" t="s">
        <v>406</v>
      </c>
      <c r="Q19" s="43">
        <v>2</v>
      </c>
      <c r="R19" s="43">
        <v>10</v>
      </c>
      <c r="S19" s="43" t="s">
        <v>407</v>
      </c>
      <c r="T19" s="43" t="s">
        <v>434</v>
      </c>
      <c r="U19" s="43" t="s">
        <v>435</v>
      </c>
      <c r="V19" s="45">
        <v>11.234235</v>
      </c>
      <c r="W19" s="45">
        <v>0.6</v>
      </c>
      <c r="X19" s="45">
        <v>0.43411957757313008</v>
      </c>
    </row>
    <row r="20" spans="1:24" x14ac:dyDescent="0.2">
      <c r="A20" s="43">
        <v>4</v>
      </c>
      <c r="B20" s="43">
        <v>8</v>
      </c>
      <c r="C20" s="43" t="s">
        <v>430</v>
      </c>
      <c r="D20" s="43" t="s">
        <v>423</v>
      </c>
      <c r="E20" s="43" t="s">
        <v>457</v>
      </c>
      <c r="F20" s="43" t="s">
        <v>458</v>
      </c>
      <c r="G20" s="43">
        <v>3246</v>
      </c>
      <c r="H20" s="43">
        <v>3254</v>
      </c>
      <c r="I20" s="43">
        <v>3191</v>
      </c>
      <c r="J20" s="43">
        <v>1230</v>
      </c>
      <c r="K20" s="43">
        <v>1230</v>
      </c>
      <c r="L20" s="43" t="s">
        <v>372</v>
      </c>
      <c r="M20" s="43" t="s">
        <v>426</v>
      </c>
      <c r="N20" s="44">
        <v>0.178589</v>
      </c>
      <c r="O20" s="43" t="s">
        <v>405</v>
      </c>
      <c r="P20" s="43" t="s">
        <v>406</v>
      </c>
      <c r="Q20" s="43">
        <v>19</v>
      </c>
      <c r="R20" s="43">
        <v>10</v>
      </c>
      <c r="S20" s="43" t="s">
        <v>407</v>
      </c>
      <c r="T20" s="43" t="s">
        <v>459</v>
      </c>
      <c r="U20" s="43" t="s">
        <v>437</v>
      </c>
      <c r="V20" s="45">
        <v>23.305396999999999</v>
      </c>
      <c r="W20" s="45">
        <v>0.6</v>
      </c>
      <c r="X20" s="45">
        <v>1.169546600098073</v>
      </c>
    </row>
    <row r="21" spans="1:24" x14ac:dyDescent="0.2">
      <c r="A21" s="43">
        <v>4</v>
      </c>
      <c r="B21" s="43">
        <v>8</v>
      </c>
      <c r="C21" s="43" t="s">
        <v>430</v>
      </c>
      <c r="D21" s="43" t="s">
        <v>423</v>
      </c>
      <c r="E21" s="43" t="s">
        <v>457</v>
      </c>
      <c r="F21" s="43" t="s">
        <v>458</v>
      </c>
      <c r="G21" s="43">
        <v>3247</v>
      </c>
      <c r="H21" s="43">
        <v>3255</v>
      </c>
      <c r="I21" s="43">
        <v>3192</v>
      </c>
      <c r="J21" s="43">
        <v>1230</v>
      </c>
      <c r="K21" s="43">
        <v>1230</v>
      </c>
      <c r="L21" s="43" t="s">
        <v>372</v>
      </c>
      <c r="M21" s="43" t="s">
        <v>426</v>
      </c>
      <c r="N21" s="44">
        <v>0.100137</v>
      </c>
      <c r="O21" s="43" t="s">
        <v>405</v>
      </c>
      <c r="P21" s="43" t="s">
        <v>406</v>
      </c>
      <c r="Q21" s="43">
        <v>19</v>
      </c>
      <c r="R21" s="43">
        <v>10</v>
      </c>
      <c r="S21" s="43" t="s">
        <v>407</v>
      </c>
      <c r="T21" s="43" t="s">
        <v>459</v>
      </c>
      <c r="U21" s="43" t="s">
        <v>437</v>
      </c>
      <c r="V21" s="45">
        <v>23.305396999999999</v>
      </c>
      <c r="W21" s="45">
        <v>0.6</v>
      </c>
      <c r="X21" s="45">
        <v>0.65577884356830907</v>
      </c>
    </row>
    <row r="22" spans="1:24" x14ac:dyDescent="0.2">
      <c r="A22" s="43">
        <v>4</v>
      </c>
      <c r="B22" s="43">
        <v>8</v>
      </c>
      <c r="C22" s="43" t="s">
        <v>430</v>
      </c>
      <c r="D22" s="43" t="s">
        <v>423</v>
      </c>
      <c r="E22" s="43" t="s">
        <v>457</v>
      </c>
      <c r="F22" s="43" t="s">
        <v>458</v>
      </c>
      <c r="G22" s="43">
        <v>3444</v>
      </c>
      <c r="H22" s="43">
        <v>3445</v>
      </c>
      <c r="I22" s="43">
        <v>3382</v>
      </c>
      <c r="J22" s="43">
        <v>1310</v>
      </c>
      <c r="K22" s="43">
        <v>1310</v>
      </c>
      <c r="L22" s="43" t="s">
        <v>372</v>
      </c>
      <c r="M22" s="43" t="s">
        <v>426</v>
      </c>
      <c r="N22" s="44">
        <v>4.9647700000000003E-2</v>
      </c>
      <c r="O22" s="43" t="s">
        <v>405</v>
      </c>
      <c r="P22" s="43" t="s">
        <v>406</v>
      </c>
      <c r="Q22" s="43">
        <v>20</v>
      </c>
      <c r="R22" s="43">
        <v>10</v>
      </c>
      <c r="S22" s="43" t="s">
        <v>407</v>
      </c>
      <c r="T22" s="43" t="s">
        <v>427</v>
      </c>
      <c r="U22" s="43" t="s">
        <v>428</v>
      </c>
      <c r="V22" s="45">
        <v>4.5321179999999996</v>
      </c>
      <c r="W22" s="45">
        <v>0.6</v>
      </c>
      <c r="X22" s="45">
        <v>6.3227594986836611E-2</v>
      </c>
    </row>
    <row r="23" spans="1:24" x14ac:dyDescent="0.2">
      <c r="A23" s="43">
        <v>4</v>
      </c>
      <c r="B23" s="43">
        <v>8</v>
      </c>
      <c r="C23" s="43" t="s">
        <v>430</v>
      </c>
      <c r="D23" s="43" t="s">
        <v>423</v>
      </c>
      <c r="E23" s="43" t="s">
        <v>457</v>
      </c>
      <c r="F23" s="43" t="s">
        <v>458</v>
      </c>
      <c r="G23" s="43">
        <v>3534</v>
      </c>
      <c r="H23" s="43">
        <v>3538</v>
      </c>
      <c r="I23" s="43">
        <v>3475</v>
      </c>
      <c r="J23" s="43">
        <v>1320</v>
      </c>
      <c r="K23" s="43">
        <v>1320</v>
      </c>
      <c r="L23" s="43" t="s">
        <v>372</v>
      </c>
      <c r="M23" s="43" t="s">
        <v>426</v>
      </c>
      <c r="N23" s="44">
        <v>7.8580700000000003E-2</v>
      </c>
      <c r="O23" s="43" t="s">
        <v>405</v>
      </c>
      <c r="P23" s="43" t="s">
        <v>406</v>
      </c>
      <c r="Q23" s="43">
        <v>20</v>
      </c>
      <c r="R23" s="43">
        <v>10</v>
      </c>
      <c r="S23" s="43" t="s">
        <v>407</v>
      </c>
      <c r="T23" s="43" t="s">
        <v>429</v>
      </c>
      <c r="U23" s="43" t="s">
        <v>428</v>
      </c>
      <c r="V23" s="45">
        <v>4.5321179999999996</v>
      </c>
      <c r="W23" s="45">
        <v>0.6</v>
      </c>
      <c r="X23" s="45">
        <v>0.10007449838325061</v>
      </c>
    </row>
    <row r="24" spans="1:24" x14ac:dyDescent="0.2">
      <c r="A24" s="43">
        <v>4</v>
      </c>
      <c r="B24" s="43">
        <v>8</v>
      </c>
      <c r="C24" s="43" t="s">
        <v>430</v>
      </c>
      <c r="D24" s="43" t="s">
        <v>423</v>
      </c>
      <c r="E24" s="43" t="s">
        <v>457</v>
      </c>
      <c r="F24" s="43" t="s">
        <v>458</v>
      </c>
      <c r="G24" s="43">
        <v>4532</v>
      </c>
      <c r="H24" s="43">
        <v>4533</v>
      </c>
      <c r="I24" s="43">
        <v>4501</v>
      </c>
      <c r="J24" s="43">
        <v>1400</v>
      </c>
      <c r="K24" s="43">
        <v>1400</v>
      </c>
      <c r="L24" s="43" t="s">
        <v>372</v>
      </c>
      <c r="M24" s="43" t="s">
        <v>426</v>
      </c>
      <c r="N24" s="44">
        <v>8.1032800000000002E-2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408</v>
      </c>
      <c r="U24" s="43" t="s">
        <v>408</v>
      </c>
      <c r="V24" s="45">
        <v>7.8337940000000001</v>
      </c>
      <c r="W24" s="45">
        <v>0.6</v>
      </c>
      <c r="X24" s="45">
        <v>0.17837718774653924</v>
      </c>
    </row>
    <row r="25" spans="1:24" x14ac:dyDescent="0.2">
      <c r="A25" s="43">
        <v>4</v>
      </c>
      <c r="B25" s="43">
        <v>8</v>
      </c>
      <c r="C25" s="43" t="s">
        <v>430</v>
      </c>
      <c r="D25" s="43" t="s">
        <v>423</v>
      </c>
      <c r="E25" s="43" t="s">
        <v>457</v>
      </c>
      <c r="F25" s="43" t="s">
        <v>458</v>
      </c>
      <c r="G25" s="43">
        <v>4534</v>
      </c>
      <c r="H25" s="43">
        <v>4535</v>
      </c>
      <c r="I25" s="43">
        <v>4503</v>
      </c>
      <c r="J25" s="43">
        <v>1400</v>
      </c>
      <c r="K25" s="43">
        <v>1400</v>
      </c>
      <c r="L25" s="43" t="s">
        <v>372</v>
      </c>
      <c r="M25" s="43" t="s">
        <v>426</v>
      </c>
      <c r="N25" s="44">
        <v>0.10367999999999999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408</v>
      </c>
      <c r="U25" s="43" t="s">
        <v>408</v>
      </c>
      <c r="V25" s="45">
        <v>7.8337940000000001</v>
      </c>
      <c r="W25" s="45">
        <v>0.6</v>
      </c>
      <c r="X25" s="45">
        <v>0.22823038109952001</v>
      </c>
    </row>
    <row r="26" spans="1:24" x14ac:dyDescent="0.2">
      <c r="A26" s="43">
        <v>4</v>
      </c>
      <c r="B26" s="43">
        <v>8</v>
      </c>
      <c r="C26" s="43" t="s">
        <v>430</v>
      </c>
      <c r="D26" s="43" t="s">
        <v>423</v>
      </c>
      <c r="E26" s="43" t="s">
        <v>457</v>
      </c>
      <c r="F26" s="43" t="s">
        <v>458</v>
      </c>
      <c r="G26" s="43">
        <v>6162</v>
      </c>
      <c r="H26" s="43">
        <v>6163</v>
      </c>
      <c r="I26" s="43">
        <v>6119</v>
      </c>
      <c r="J26" s="43">
        <v>1900</v>
      </c>
      <c r="K26" s="43">
        <v>1900</v>
      </c>
      <c r="L26" s="43" t="s">
        <v>372</v>
      </c>
      <c r="M26" s="43" t="s">
        <v>426</v>
      </c>
      <c r="N26" s="44">
        <v>0.16810600000000001</v>
      </c>
      <c r="O26" s="43" t="s">
        <v>405</v>
      </c>
      <c r="P26" s="43" t="s">
        <v>406</v>
      </c>
      <c r="Q26" s="43">
        <v>70</v>
      </c>
      <c r="R26" s="43">
        <v>10</v>
      </c>
      <c r="S26" s="43" t="s">
        <v>407</v>
      </c>
      <c r="T26" s="43" t="s">
        <v>410</v>
      </c>
      <c r="U26" s="43" t="s">
        <v>411</v>
      </c>
      <c r="V26" s="45">
        <v>1.1817740000000001</v>
      </c>
      <c r="W26" s="45">
        <v>0.6</v>
      </c>
      <c r="X26" s="45">
        <v>5.5824387312364006E-2</v>
      </c>
    </row>
    <row r="27" spans="1:24" x14ac:dyDescent="0.2">
      <c r="A27" s="43">
        <v>4</v>
      </c>
      <c r="B27" s="43">
        <v>8</v>
      </c>
      <c r="C27" s="43" t="s">
        <v>430</v>
      </c>
      <c r="D27" s="43" t="s">
        <v>423</v>
      </c>
      <c r="E27" s="43" t="s">
        <v>457</v>
      </c>
      <c r="F27" s="43" t="s">
        <v>458</v>
      </c>
      <c r="G27" s="43">
        <v>6163</v>
      </c>
      <c r="H27" s="43">
        <v>6164</v>
      </c>
      <c r="I27" s="43">
        <v>6120</v>
      </c>
      <c r="J27" s="43">
        <v>1900</v>
      </c>
      <c r="K27" s="43">
        <v>1900</v>
      </c>
      <c r="L27" s="43" t="s">
        <v>372</v>
      </c>
      <c r="M27" s="43" t="s">
        <v>426</v>
      </c>
      <c r="N27" s="44">
        <v>5.9572600000000003E-2</v>
      </c>
      <c r="O27" s="43" t="s">
        <v>405</v>
      </c>
      <c r="P27" s="43" t="s">
        <v>406</v>
      </c>
      <c r="Q27" s="43">
        <v>70</v>
      </c>
      <c r="R27" s="43">
        <v>10</v>
      </c>
      <c r="S27" s="43" t="s">
        <v>407</v>
      </c>
      <c r="T27" s="43" t="s">
        <v>410</v>
      </c>
      <c r="U27" s="43" t="s">
        <v>411</v>
      </c>
      <c r="V27" s="45">
        <v>1.1817740000000001</v>
      </c>
      <c r="W27" s="45">
        <v>0.6</v>
      </c>
      <c r="X27" s="45">
        <v>1.9782779291664405E-2</v>
      </c>
    </row>
    <row r="28" spans="1:24" x14ac:dyDescent="0.2">
      <c r="A28" s="43">
        <v>4</v>
      </c>
      <c r="B28" s="43">
        <v>8</v>
      </c>
      <c r="C28" s="43" t="s">
        <v>430</v>
      </c>
      <c r="D28" s="43" t="s">
        <v>423</v>
      </c>
      <c r="E28" s="43" t="s">
        <v>457</v>
      </c>
      <c r="F28" s="43" t="s">
        <v>458</v>
      </c>
      <c r="G28" s="43">
        <v>14288</v>
      </c>
      <c r="H28" s="43">
        <v>14289</v>
      </c>
      <c r="I28" s="43">
        <v>14289</v>
      </c>
      <c r="J28" s="43">
        <v>3100</v>
      </c>
      <c r="K28" s="43">
        <v>3100</v>
      </c>
      <c r="L28" s="43" t="s">
        <v>372</v>
      </c>
      <c r="M28" s="43" t="s">
        <v>426</v>
      </c>
      <c r="N28" s="44">
        <v>0.26729399999999998</v>
      </c>
      <c r="O28" s="43" t="s">
        <v>405</v>
      </c>
      <c r="P28" s="43" t="s">
        <v>406</v>
      </c>
      <c r="Q28" s="43">
        <v>5</v>
      </c>
      <c r="R28" s="43">
        <v>30</v>
      </c>
      <c r="S28" s="43" t="s">
        <v>455</v>
      </c>
      <c r="T28" s="43" t="s">
        <v>460</v>
      </c>
      <c r="U28" s="43" t="s">
        <v>414</v>
      </c>
      <c r="V28" s="45">
        <v>8.1290569999999995</v>
      </c>
      <c r="W28" s="45">
        <v>0.6</v>
      </c>
      <c r="X28" s="45">
        <v>0.61057033345399792</v>
      </c>
    </row>
    <row r="29" spans="1:24" x14ac:dyDescent="0.2">
      <c r="A29" s="43">
        <v>4</v>
      </c>
      <c r="B29" s="43">
        <v>8</v>
      </c>
      <c r="C29" s="43" t="s">
        <v>430</v>
      </c>
      <c r="D29" s="43" t="s">
        <v>423</v>
      </c>
      <c r="E29" s="43" t="s">
        <v>457</v>
      </c>
      <c r="F29" s="43" t="s">
        <v>458</v>
      </c>
      <c r="G29" s="43">
        <v>17242</v>
      </c>
      <c r="H29" s="43">
        <v>17243</v>
      </c>
      <c r="I29" s="43">
        <v>17232</v>
      </c>
      <c r="J29" s="43">
        <v>4110</v>
      </c>
      <c r="K29" s="43">
        <v>4110</v>
      </c>
      <c r="L29" s="43" t="s">
        <v>372</v>
      </c>
      <c r="M29" s="43" t="s">
        <v>426</v>
      </c>
      <c r="N29" s="44">
        <v>6.2133399999999998E-2</v>
      </c>
      <c r="O29" s="43" t="s">
        <v>405</v>
      </c>
      <c r="P29" s="43" t="s">
        <v>406</v>
      </c>
      <c r="Q29" s="43">
        <v>5</v>
      </c>
      <c r="R29" s="43">
        <v>40</v>
      </c>
      <c r="S29" s="43" t="s">
        <v>412</v>
      </c>
      <c r="T29" s="43" t="s">
        <v>413</v>
      </c>
      <c r="U29" s="43" t="s">
        <v>414</v>
      </c>
      <c r="V29" s="45">
        <v>8.1290569999999995</v>
      </c>
      <c r="W29" s="45">
        <v>0.6</v>
      </c>
      <c r="X29" s="45">
        <v>0.1419291520072678</v>
      </c>
    </row>
    <row r="30" spans="1:24" x14ac:dyDescent="0.2">
      <c r="A30" s="43">
        <v>4</v>
      </c>
      <c r="B30" s="43">
        <v>8</v>
      </c>
      <c r="C30" s="43" t="s">
        <v>430</v>
      </c>
      <c r="D30" s="43" t="s">
        <v>423</v>
      </c>
      <c r="E30" s="43" t="s">
        <v>457</v>
      </c>
      <c r="F30" s="43" t="s">
        <v>458</v>
      </c>
      <c r="G30" s="43">
        <v>19460</v>
      </c>
      <c r="H30" s="43">
        <v>19461</v>
      </c>
      <c r="I30" s="43">
        <v>19400</v>
      </c>
      <c r="J30" s="43">
        <v>4340</v>
      </c>
      <c r="K30" s="43">
        <v>4340</v>
      </c>
      <c r="L30" s="43" t="s">
        <v>372</v>
      </c>
      <c r="M30" s="43" t="s">
        <v>426</v>
      </c>
      <c r="N30" s="44">
        <v>0.178955</v>
      </c>
      <c r="O30" s="43" t="s">
        <v>405</v>
      </c>
      <c r="P30" s="43" t="s">
        <v>406</v>
      </c>
      <c r="Q30" s="43">
        <v>7</v>
      </c>
      <c r="R30" s="43">
        <v>40</v>
      </c>
      <c r="S30" s="43" t="s">
        <v>412</v>
      </c>
      <c r="T30" s="43" t="s">
        <v>415</v>
      </c>
      <c r="U30" s="43" t="s">
        <v>416</v>
      </c>
      <c r="V30" s="45">
        <v>7.558414</v>
      </c>
      <c r="W30" s="45">
        <v>0.6</v>
      </c>
      <c r="X30" s="45">
        <v>0.38008508964097004</v>
      </c>
    </row>
    <row r="31" spans="1:24" x14ac:dyDescent="0.2">
      <c r="A31" s="43">
        <v>4</v>
      </c>
      <c r="B31" s="43">
        <v>8</v>
      </c>
      <c r="C31" s="43" t="s">
        <v>430</v>
      </c>
      <c r="D31" s="43" t="s">
        <v>423</v>
      </c>
      <c r="E31" s="43" t="s">
        <v>457</v>
      </c>
      <c r="F31" s="43" t="s">
        <v>458</v>
      </c>
      <c r="G31" s="43">
        <v>19461</v>
      </c>
      <c r="H31" s="43">
        <v>19462</v>
      </c>
      <c r="I31" s="43">
        <v>19401</v>
      </c>
      <c r="J31" s="43">
        <v>4340</v>
      </c>
      <c r="K31" s="43">
        <v>4340</v>
      </c>
      <c r="L31" s="43" t="s">
        <v>372</v>
      </c>
      <c r="M31" s="43" t="s">
        <v>426</v>
      </c>
      <c r="N31" s="44">
        <v>2.03652E-3</v>
      </c>
      <c r="O31" s="43" t="s">
        <v>405</v>
      </c>
      <c r="P31" s="43" t="s">
        <v>406</v>
      </c>
      <c r="Q31" s="43">
        <v>7</v>
      </c>
      <c r="R31" s="43">
        <v>40</v>
      </c>
      <c r="S31" s="43" t="s">
        <v>412</v>
      </c>
      <c r="T31" s="43" t="s">
        <v>415</v>
      </c>
      <c r="U31" s="43" t="s">
        <v>416</v>
      </c>
      <c r="V31" s="45">
        <v>7.558414</v>
      </c>
      <c r="W31" s="45">
        <v>0.6</v>
      </c>
      <c r="X31" s="45">
        <v>4.3253940194776805E-3</v>
      </c>
    </row>
    <row r="32" spans="1:24" x14ac:dyDescent="0.2">
      <c r="A32" s="43">
        <v>4</v>
      </c>
      <c r="B32" s="43">
        <v>8</v>
      </c>
      <c r="C32" s="43" t="s">
        <v>430</v>
      </c>
      <c r="D32" s="43" t="s">
        <v>423</v>
      </c>
      <c r="E32" s="43" t="s">
        <v>457</v>
      </c>
      <c r="F32" s="43" t="s">
        <v>458</v>
      </c>
      <c r="G32" s="43">
        <v>33961</v>
      </c>
      <c r="H32" s="43">
        <v>33962</v>
      </c>
      <c r="I32" s="43">
        <v>33901</v>
      </c>
      <c r="J32" s="43">
        <v>6300</v>
      </c>
      <c r="K32" s="43">
        <v>6300</v>
      </c>
      <c r="L32" s="43" t="s">
        <v>372</v>
      </c>
      <c r="M32" s="43" t="s">
        <v>426</v>
      </c>
      <c r="N32" s="44">
        <v>4.51279E-3</v>
      </c>
      <c r="O32" s="43" t="s">
        <v>405</v>
      </c>
      <c r="P32" s="43" t="s">
        <v>406</v>
      </c>
      <c r="Q32" s="43">
        <v>15</v>
      </c>
      <c r="R32" s="43">
        <v>60</v>
      </c>
      <c r="S32" s="43" t="s">
        <v>417</v>
      </c>
      <c r="T32" s="43" t="s">
        <v>419</v>
      </c>
      <c r="U32" s="43" t="s">
        <v>419</v>
      </c>
      <c r="V32" s="45">
        <v>6.8155330000000003</v>
      </c>
      <c r="W32" s="45">
        <v>0.6</v>
      </c>
      <c r="X32" s="45">
        <v>8.6427364359466709E-3</v>
      </c>
    </row>
    <row r="33" spans="24:24" x14ac:dyDescent="0.2">
      <c r="X33" s="45">
        <f>SUM(X19:X32)</f>
        <v>4.0505145556173474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opLeftCell="F1" workbookViewId="0">
      <selection activeCell="W30" sqref="W30:W54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33.14062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3</v>
      </c>
      <c r="B2" s="43">
        <v>7</v>
      </c>
      <c r="C2" s="43" t="s">
        <v>430</v>
      </c>
      <c r="D2" s="43" t="s">
        <v>423</v>
      </c>
      <c r="E2" s="43" t="s">
        <v>444</v>
      </c>
      <c r="F2" s="43" t="s">
        <v>445</v>
      </c>
      <c r="G2" s="43">
        <v>4524</v>
      </c>
      <c r="H2" s="43">
        <v>4525</v>
      </c>
      <c r="I2" s="43">
        <v>4493</v>
      </c>
      <c r="J2" s="43">
        <v>1400</v>
      </c>
      <c r="K2" s="43">
        <v>1400</v>
      </c>
      <c r="L2" s="43" t="s">
        <v>372</v>
      </c>
      <c r="M2" s="43" t="s">
        <v>426</v>
      </c>
      <c r="N2" s="44">
        <v>0.383654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 t="shared" ref="X2:X26" si="0">N2*V2*(1-W2)</f>
        <v>0.14777592752003199</v>
      </c>
    </row>
    <row r="3" spans="1:24" x14ac:dyDescent="0.2">
      <c r="A3" s="43">
        <v>3</v>
      </c>
      <c r="B3" s="43">
        <v>7</v>
      </c>
      <c r="C3" s="43" t="s">
        <v>430</v>
      </c>
      <c r="D3" s="43" t="s">
        <v>423</v>
      </c>
      <c r="E3" s="43" t="s">
        <v>444</v>
      </c>
      <c r="F3" s="43" t="s">
        <v>445</v>
      </c>
      <c r="G3" s="43">
        <v>4525</v>
      </c>
      <c r="H3" s="43">
        <v>4526</v>
      </c>
      <c r="I3" s="43">
        <v>4494</v>
      </c>
      <c r="J3" s="43">
        <v>1400</v>
      </c>
      <c r="K3" s="43">
        <v>1400</v>
      </c>
      <c r="L3" s="43" t="s">
        <v>372</v>
      </c>
      <c r="M3" s="43" t="s">
        <v>426</v>
      </c>
      <c r="N3" s="44">
        <v>0.73094400000000004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 t="shared" si="0"/>
        <v>0.28154516195635199</v>
      </c>
    </row>
    <row r="4" spans="1:24" x14ac:dyDescent="0.2">
      <c r="A4" s="43">
        <v>3</v>
      </c>
      <c r="B4" s="43">
        <v>7</v>
      </c>
      <c r="C4" s="43" t="s">
        <v>430</v>
      </c>
      <c r="D4" s="43" t="s">
        <v>423</v>
      </c>
      <c r="E4" s="43" t="s">
        <v>444</v>
      </c>
      <c r="F4" s="43" t="s">
        <v>445</v>
      </c>
      <c r="G4" s="43">
        <v>6157</v>
      </c>
      <c r="H4" s="43">
        <v>6158</v>
      </c>
      <c r="I4" s="43">
        <v>6114</v>
      </c>
      <c r="J4" s="43">
        <v>1900</v>
      </c>
      <c r="K4" s="43">
        <v>1900</v>
      </c>
      <c r="L4" s="43" t="s">
        <v>372</v>
      </c>
      <c r="M4" s="43" t="s">
        <v>426</v>
      </c>
      <c r="N4" s="44">
        <v>4.2364900000000001E-4</v>
      </c>
      <c r="O4" s="43" t="s">
        <v>405</v>
      </c>
      <c r="P4" s="43" t="s">
        <v>406</v>
      </c>
      <c r="Q4" s="43">
        <v>70</v>
      </c>
      <c r="R4" s="43">
        <v>10</v>
      </c>
      <c r="S4" s="43" t="s">
        <v>407</v>
      </c>
      <c r="T4" s="43" t="s">
        <v>410</v>
      </c>
      <c r="U4" s="43" t="s">
        <v>411</v>
      </c>
      <c r="V4" s="45">
        <v>0.19295699999999999</v>
      </c>
      <c r="W4" s="45">
        <v>0.78300000000000003</v>
      </c>
      <c r="X4" s="45">
        <f t="shared" si="0"/>
        <v>1.7738890700180995E-5</v>
      </c>
    </row>
    <row r="5" spans="1:24" x14ac:dyDescent="0.2">
      <c r="A5" s="43">
        <v>3</v>
      </c>
      <c r="B5" s="43">
        <v>7</v>
      </c>
      <c r="C5" s="43" t="s">
        <v>430</v>
      </c>
      <c r="D5" s="43" t="s">
        <v>423</v>
      </c>
      <c r="E5" s="43" t="s">
        <v>444</v>
      </c>
      <c r="F5" s="43" t="s">
        <v>445</v>
      </c>
      <c r="G5" s="43">
        <v>7950</v>
      </c>
      <c r="H5" s="43">
        <v>7951</v>
      </c>
      <c r="I5" s="43">
        <v>7877</v>
      </c>
      <c r="J5" s="43">
        <v>2110</v>
      </c>
      <c r="K5" s="43">
        <v>2110</v>
      </c>
      <c r="L5" s="43" t="s">
        <v>372</v>
      </c>
      <c r="M5" s="43" t="s">
        <v>426</v>
      </c>
      <c r="N5" s="44">
        <v>0.124816</v>
      </c>
      <c r="O5" s="43" t="s">
        <v>405</v>
      </c>
      <c r="P5" s="43" t="s">
        <v>406</v>
      </c>
      <c r="Q5" s="43">
        <v>26</v>
      </c>
      <c r="R5" s="43">
        <v>21</v>
      </c>
      <c r="S5" s="43" t="s">
        <v>446</v>
      </c>
      <c r="T5" s="43" t="s">
        <v>447</v>
      </c>
      <c r="U5" s="43" t="s">
        <v>446</v>
      </c>
      <c r="V5" s="45">
        <v>1.671602</v>
      </c>
      <c r="W5" s="45">
        <v>0.78300000000000003</v>
      </c>
      <c r="X5" s="45">
        <f t="shared" si="0"/>
        <v>4.5275460525343994E-2</v>
      </c>
    </row>
    <row r="6" spans="1:24" x14ac:dyDescent="0.2">
      <c r="A6" s="43">
        <v>3</v>
      </c>
      <c r="B6" s="43">
        <v>7</v>
      </c>
      <c r="C6" s="43" t="s">
        <v>430</v>
      </c>
      <c r="D6" s="43" t="s">
        <v>423</v>
      </c>
      <c r="E6" s="43" t="s">
        <v>444</v>
      </c>
      <c r="F6" s="43" t="s">
        <v>445</v>
      </c>
      <c r="G6" s="43">
        <v>7951</v>
      </c>
      <c r="H6" s="43">
        <v>7952</v>
      </c>
      <c r="I6" s="43">
        <v>7878</v>
      </c>
      <c r="J6" s="43">
        <v>2110</v>
      </c>
      <c r="K6" s="43">
        <v>2110</v>
      </c>
      <c r="L6" s="43" t="s">
        <v>372</v>
      </c>
      <c r="M6" s="43" t="s">
        <v>426</v>
      </c>
      <c r="N6" s="44">
        <v>3.0212200000000002E-2</v>
      </c>
      <c r="O6" s="43" t="s">
        <v>405</v>
      </c>
      <c r="P6" s="43" t="s">
        <v>406</v>
      </c>
      <c r="Q6" s="43">
        <v>26</v>
      </c>
      <c r="R6" s="43">
        <v>21</v>
      </c>
      <c r="S6" s="43" t="s">
        <v>446</v>
      </c>
      <c r="T6" s="43" t="s">
        <v>447</v>
      </c>
      <c r="U6" s="43" t="s">
        <v>446</v>
      </c>
      <c r="V6" s="45">
        <v>1.671602</v>
      </c>
      <c r="W6" s="45">
        <v>0.78300000000000003</v>
      </c>
      <c r="X6" s="45">
        <f t="shared" si="0"/>
        <v>1.09591019459348E-2</v>
      </c>
    </row>
    <row r="7" spans="1:24" x14ac:dyDescent="0.2">
      <c r="A7" s="43">
        <v>3</v>
      </c>
      <c r="B7" s="43">
        <v>7</v>
      </c>
      <c r="C7" s="43" t="s">
        <v>430</v>
      </c>
      <c r="D7" s="43" t="s">
        <v>423</v>
      </c>
      <c r="E7" s="43" t="s">
        <v>444</v>
      </c>
      <c r="F7" s="43" t="s">
        <v>445</v>
      </c>
      <c r="G7" s="43">
        <v>19454</v>
      </c>
      <c r="H7" s="43">
        <v>19455</v>
      </c>
      <c r="I7" s="43">
        <v>19394</v>
      </c>
      <c r="J7" s="43">
        <v>4340</v>
      </c>
      <c r="K7" s="43">
        <v>4340</v>
      </c>
      <c r="L7" s="43" t="s">
        <v>372</v>
      </c>
      <c r="M7" s="43" t="s">
        <v>426</v>
      </c>
      <c r="N7" s="44">
        <v>0.12928400000000001</v>
      </c>
      <c r="O7" s="43" t="s">
        <v>405</v>
      </c>
      <c r="P7" s="43" t="s">
        <v>406</v>
      </c>
      <c r="Q7" s="43">
        <v>7</v>
      </c>
      <c r="R7" s="43">
        <v>40</v>
      </c>
      <c r="S7" s="43" t="s">
        <v>412</v>
      </c>
      <c r="T7" s="43" t="s">
        <v>415</v>
      </c>
      <c r="U7" s="43" t="s">
        <v>416</v>
      </c>
      <c r="V7" s="45">
        <v>0.115981</v>
      </c>
      <c r="W7" s="45">
        <v>0.78300000000000003</v>
      </c>
      <c r="X7" s="45">
        <f t="shared" si="0"/>
        <v>3.2538038100680001E-3</v>
      </c>
    </row>
    <row r="8" spans="1:24" x14ac:dyDescent="0.2">
      <c r="A8" s="43">
        <v>3</v>
      </c>
      <c r="B8" s="43">
        <v>7</v>
      </c>
      <c r="C8" s="43" t="s">
        <v>430</v>
      </c>
      <c r="D8" s="43" t="s">
        <v>423</v>
      </c>
      <c r="E8" s="43" t="s">
        <v>444</v>
      </c>
      <c r="F8" s="43" t="s">
        <v>445</v>
      </c>
      <c r="G8" s="43">
        <v>19455</v>
      </c>
      <c r="H8" s="43">
        <v>19456</v>
      </c>
      <c r="I8" s="43">
        <v>19395</v>
      </c>
      <c r="J8" s="43">
        <v>4340</v>
      </c>
      <c r="K8" s="43">
        <v>4340</v>
      </c>
      <c r="L8" s="43" t="s">
        <v>372</v>
      </c>
      <c r="M8" s="43" t="s">
        <v>426</v>
      </c>
      <c r="N8" s="44">
        <v>0.21968199999999999</v>
      </c>
      <c r="O8" s="43" t="s">
        <v>405</v>
      </c>
      <c r="P8" s="43" t="s">
        <v>406</v>
      </c>
      <c r="Q8" s="43">
        <v>7</v>
      </c>
      <c r="R8" s="43">
        <v>40</v>
      </c>
      <c r="S8" s="43" t="s">
        <v>412</v>
      </c>
      <c r="T8" s="43" t="s">
        <v>415</v>
      </c>
      <c r="U8" s="43" t="s">
        <v>416</v>
      </c>
      <c r="V8" s="45">
        <v>0.115981</v>
      </c>
      <c r="W8" s="45">
        <v>0.78300000000000003</v>
      </c>
      <c r="X8" s="45">
        <f t="shared" si="0"/>
        <v>5.5289295551139992E-3</v>
      </c>
    </row>
    <row r="9" spans="1:24" x14ac:dyDescent="0.2">
      <c r="A9" s="43">
        <v>3</v>
      </c>
      <c r="B9" s="43">
        <v>7</v>
      </c>
      <c r="C9" s="43" t="s">
        <v>430</v>
      </c>
      <c r="D9" s="43" t="s">
        <v>423</v>
      </c>
      <c r="E9" s="43" t="s">
        <v>444</v>
      </c>
      <c r="F9" s="43" t="s">
        <v>445</v>
      </c>
      <c r="G9" s="43">
        <v>52779</v>
      </c>
      <c r="H9" s="43">
        <v>52784</v>
      </c>
      <c r="I9" s="43">
        <v>52750</v>
      </c>
      <c r="J9" s="43">
        <v>8140</v>
      </c>
      <c r="K9" s="43">
        <v>8140</v>
      </c>
      <c r="L9" s="43" t="s">
        <v>372</v>
      </c>
      <c r="M9" s="43" t="s">
        <v>426</v>
      </c>
      <c r="N9" s="44">
        <v>3.7612499999999999E-4</v>
      </c>
      <c r="O9" s="43" t="s">
        <v>405</v>
      </c>
      <c r="P9" s="43" t="s">
        <v>406</v>
      </c>
      <c r="Q9" s="43">
        <v>18</v>
      </c>
      <c r="R9" s="43">
        <v>10</v>
      </c>
      <c r="S9" s="43" t="s">
        <v>407</v>
      </c>
      <c r="T9" s="43" t="s">
        <v>420</v>
      </c>
      <c r="U9" s="43" t="s">
        <v>421</v>
      </c>
      <c r="V9" s="45">
        <v>0.717032</v>
      </c>
      <c r="W9" s="45">
        <v>0.78300000000000003</v>
      </c>
      <c r="X9" s="45">
        <f t="shared" si="0"/>
        <v>5.8523524436999993E-5</v>
      </c>
    </row>
    <row r="10" spans="1:24" x14ac:dyDescent="0.2">
      <c r="A10" s="43">
        <v>3</v>
      </c>
      <c r="B10" s="43">
        <v>7</v>
      </c>
      <c r="C10" s="43" t="s">
        <v>430</v>
      </c>
      <c r="D10" s="43" t="s">
        <v>423</v>
      </c>
      <c r="E10" s="43" t="s">
        <v>444</v>
      </c>
      <c r="F10" s="43" t="s">
        <v>445</v>
      </c>
      <c r="G10" s="43">
        <v>54694</v>
      </c>
      <c r="H10" s="43">
        <v>54695</v>
      </c>
      <c r="I10" s="43">
        <v>56296</v>
      </c>
      <c r="J10" s="43">
        <v>8320</v>
      </c>
      <c r="K10" s="43">
        <v>8320</v>
      </c>
      <c r="L10" s="43" t="s">
        <v>372</v>
      </c>
      <c r="M10" s="43" t="s">
        <v>426</v>
      </c>
      <c r="N10" s="44">
        <v>0.106908</v>
      </c>
      <c r="O10" s="43" t="s">
        <v>405</v>
      </c>
      <c r="P10" s="43" t="s">
        <v>406</v>
      </c>
      <c r="Q10" s="43">
        <v>5</v>
      </c>
      <c r="R10" s="43">
        <v>10</v>
      </c>
      <c r="S10" s="43" t="s">
        <v>407</v>
      </c>
      <c r="T10" s="43" t="s">
        <v>448</v>
      </c>
      <c r="U10" s="43" t="s">
        <v>414</v>
      </c>
      <c r="V10" s="45">
        <v>9.3119999999999994E-2</v>
      </c>
      <c r="W10" s="45">
        <v>0.78300000000000003</v>
      </c>
      <c r="X10" s="45">
        <f t="shared" si="0"/>
        <v>2.1602942323199993E-3</v>
      </c>
    </row>
    <row r="11" spans="1:24" x14ac:dyDescent="0.2">
      <c r="A11" s="43">
        <v>3</v>
      </c>
      <c r="B11" s="43">
        <v>7</v>
      </c>
      <c r="C11" s="43" t="s">
        <v>430</v>
      </c>
      <c r="D11" s="43" t="s">
        <v>423</v>
      </c>
      <c r="E11" s="43" t="s">
        <v>444</v>
      </c>
      <c r="F11" s="43" t="s">
        <v>445</v>
      </c>
      <c r="G11" s="43">
        <v>55479</v>
      </c>
      <c r="H11" s="43">
        <v>55480</v>
      </c>
      <c r="I11" s="43">
        <v>55415</v>
      </c>
      <c r="J11" s="43">
        <v>1100</v>
      </c>
      <c r="K11" s="43">
        <v>1100</v>
      </c>
      <c r="L11" s="43" t="s">
        <v>372</v>
      </c>
      <c r="M11" s="43" t="s">
        <v>426</v>
      </c>
      <c r="N11" s="44">
        <v>0.24615999999999999</v>
      </c>
      <c r="O11" s="43" t="s">
        <v>405</v>
      </c>
      <c r="P11" s="43" t="s">
        <v>406</v>
      </c>
      <c r="Q11" s="43">
        <v>2</v>
      </c>
      <c r="R11" s="43">
        <v>10</v>
      </c>
      <c r="S11" s="43" t="s">
        <v>407</v>
      </c>
      <c r="T11" s="43" t="s">
        <v>449</v>
      </c>
      <c r="U11" s="43" t="s">
        <v>435</v>
      </c>
      <c r="V11" s="45">
        <v>0.48648799999999998</v>
      </c>
      <c r="W11" s="45">
        <v>0.78300000000000003</v>
      </c>
      <c r="X11" s="45">
        <f t="shared" si="0"/>
        <v>2.5986593279359992E-2</v>
      </c>
    </row>
    <row r="12" spans="1:24" x14ac:dyDescent="0.2">
      <c r="A12" s="43">
        <v>3</v>
      </c>
      <c r="B12" s="43">
        <v>7</v>
      </c>
      <c r="C12" s="43" t="s">
        <v>430</v>
      </c>
      <c r="D12" s="43" t="s">
        <v>423</v>
      </c>
      <c r="E12" s="43" t="s">
        <v>444</v>
      </c>
      <c r="F12" s="43" t="s">
        <v>445</v>
      </c>
      <c r="G12" s="43">
        <v>55480</v>
      </c>
      <c r="H12" s="43">
        <v>55481</v>
      </c>
      <c r="I12" s="43">
        <v>55416</v>
      </c>
      <c r="J12" s="43">
        <v>1100</v>
      </c>
      <c r="K12" s="43">
        <v>1100</v>
      </c>
      <c r="L12" s="43" t="s">
        <v>372</v>
      </c>
      <c r="M12" s="43" t="s">
        <v>426</v>
      </c>
      <c r="N12" s="44">
        <v>0.104834</v>
      </c>
      <c r="O12" s="43" t="s">
        <v>405</v>
      </c>
      <c r="P12" s="43" t="s">
        <v>406</v>
      </c>
      <c r="Q12" s="43">
        <v>2</v>
      </c>
      <c r="R12" s="43">
        <v>10</v>
      </c>
      <c r="S12" s="43" t="s">
        <v>407</v>
      </c>
      <c r="T12" s="43" t="s">
        <v>449</v>
      </c>
      <c r="U12" s="43" t="s">
        <v>435</v>
      </c>
      <c r="V12" s="45">
        <v>0.48648799999999998</v>
      </c>
      <c r="W12" s="45">
        <v>0.78300000000000003</v>
      </c>
      <c r="X12" s="45">
        <f t="shared" si="0"/>
        <v>1.1067104809263997E-2</v>
      </c>
    </row>
    <row r="13" spans="1:24" x14ac:dyDescent="0.2">
      <c r="A13" s="43">
        <v>3</v>
      </c>
      <c r="B13" s="43">
        <v>7</v>
      </c>
      <c r="C13" s="43" t="s">
        <v>430</v>
      </c>
      <c r="D13" s="43" t="s">
        <v>423</v>
      </c>
      <c r="E13" s="43" t="s">
        <v>444</v>
      </c>
      <c r="F13" s="43" t="s">
        <v>445</v>
      </c>
      <c r="G13" s="43">
        <v>55509</v>
      </c>
      <c r="H13" s="43">
        <v>55510</v>
      </c>
      <c r="I13" s="43">
        <v>55445</v>
      </c>
      <c r="J13" s="43">
        <v>1200</v>
      </c>
      <c r="K13" s="43">
        <v>1200</v>
      </c>
      <c r="L13" s="43" t="s">
        <v>372</v>
      </c>
      <c r="M13" s="43" t="s">
        <v>426</v>
      </c>
      <c r="N13" s="44">
        <v>0.76563499999999995</v>
      </c>
      <c r="O13" s="43" t="s">
        <v>405</v>
      </c>
      <c r="P13" s="43" t="s">
        <v>406</v>
      </c>
      <c r="Q13" s="43">
        <v>19</v>
      </c>
      <c r="R13" s="43">
        <v>10</v>
      </c>
      <c r="S13" s="43" t="s">
        <v>407</v>
      </c>
      <c r="T13" s="43" t="s">
        <v>441</v>
      </c>
      <c r="U13" s="43" t="s">
        <v>437</v>
      </c>
      <c r="V13" s="45">
        <v>0.60924900000000004</v>
      </c>
      <c r="W13" s="45">
        <v>0.78300000000000003</v>
      </c>
      <c r="X13" s="45">
        <f t="shared" si="0"/>
        <v>0.10122233171095499</v>
      </c>
    </row>
    <row r="14" spans="1:24" x14ac:dyDescent="0.2">
      <c r="A14" s="43">
        <v>3</v>
      </c>
      <c r="B14" s="43">
        <v>7</v>
      </c>
      <c r="C14" s="43" t="s">
        <v>430</v>
      </c>
      <c r="D14" s="43" t="s">
        <v>423</v>
      </c>
      <c r="E14" s="43" t="s">
        <v>444</v>
      </c>
      <c r="F14" s="43" t="s">
        <v>445</v>
      </c>
      <c r="G14" s="43">
        <v>55510</v>
      </c>
      <c r="H14" s="43">
        <v>55511</v>
      </c>
      <c r="I14" s="43">
        <v>55446</v>
      </c>
      <c r="J14" s="43">
        <v>1200</v>
      </c>
      <c r="K14" s="43">
        <v>1200</v>
      </c>
      <c r="L14" s="43" t="s">
        <v>372</v>
      </c>
      <c r="M14" s="43" t="s">
        <v>426</v>
      </c>
      <c r="N14" s="44">
        <v>0.83016900000000005</v>
      </c>
      <c r="O14" s="43" t="s">
        <v>405</v>
      </c>
      <c r="P14" s="43" t="s">
        <v>406</v>
      </c>
      <c r="Q14" s="43">
        <v>19</v>
      </c>
      <c r="R14" s="43">
        <v>10</v>
      </c>
      <c r="S14" s="43" t="s">
        <v>407</v>
      </c>
      <c r="T14" s="43" t="s">
        <v>441</v>
      </c>
      <c r="U14" s="43" t="s">
        <v>437</v>
      </c>
      <c r="V14" s="45">
        <v>0.60924900000000004</v>
      </c>
      <c r="W14" s="45">
        <v>0.78300000000000003</v>
      </c>
      <c r="X14" s="45">
        <f t="shared" si="0"/>
        <v>0.109754180378577</v>
      </c>
    </row>
    <row r="15" spans="1:24" x14ac:dyDescent="0.2">
      <c r="A15" s="43">
        <v>3</v>
      </c>
      <c r="B15" s="43">
        <v>7</v>
      </c>
      <c r="C15" s="43" t="s">
        <v>430</v>
      </c>
      <c r="D15" s="43" t="s">
        <v>423</v>
      </c>
      <c r="E15" s="43" t="s">
        <v>444</v>
      </c>
      <c r="F15" s="43" t="s">
        <v>445</v>
      </c>
      <c r="G15" s="43">
        <v>55599</v>
      </c>
      <c r="H15" s="43">
        <v>55600</v>
      </c>
      <c r="I15" s="43">
        <v>55535</v>
      </c>
      <c r="J15" s="43">
        <v>1400</v>
      </c>
      <c r="K15" s="43">
        <v>1400</v>
      </c>
      <c r="L15" s="43" t="s">
        <v>372</v>
      </c>
      <c r="M15" s="43" t="s">
        <v>426</v>
      </c>
      <c r="N15" s="44">
        <v>0.25919900000000001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1.7750239999999999</v>
      </c>
      <c r="W15" s="45">
        <v>0.78300000000000003</v>
      </c>
      <c r="X15" s="45">
        <f t="shared" si="0"/>
        <v>9.9838324733391992E-2</v>
      </c>
    </row>
    <row r="16" spans="1:24" x14ac:dyDescent="0.2">
      <c r="A16" s="43">
        <v>3</v>
      </c>
      <c r="B16" s="43">
        <v>7</v>
      </c>
      <c r="C16" s="43" t="s">
        <v>430</v>
      </c>
      <c r="D16" s="43" t="s">
        <v>423</v>
      </c>
      <c r="E16" s="43" t="s">
        <v>444</v>
      </c>
      <c r="F16" s="43" t="s">
        <v>445</v>
      </c>
      <c r="G16" s="43">
        <v>55600</v>
      </c>
      <c r="H16" s="43">
        <v>55601</v>
      </c>
      <c r="I16" s="43">
        <v>55536</v>
      </c>
      <c r="J16" s="43">
        <v>1400</v>
      </c>
      <c r="K16" s="43">
        <v>1400</v>
      </c>
      <c r="L16" s="43" t="s">
        <v>372</v>
      </c>
      <c r="M16" s="43" t="s">
        <v>426</v>
      </c>
      <c r="N16" s="44">
        <v>0.31060199999999999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1.7750239999999999</v>
      </c>
      <c r="W16" s="45">
        <v>0.78300000000000003</v>
      </c>
      <c r="X16" s="45">
        <f t="shared" si="0"/>
        <v>0.11963774296521597</v>
      </c>
    </row>
    <row r="17" spans="1:24" x14ac:dyDescent="0.2">
      <c r="A17" s="43">
        <v>3</v>
      </c>
      <c r="B17" s="43">
        <v>7</v>
      </c>
      <c r="C17" s="43" t="s">
        <v>430</v>
      </c>
      <c r="D17" s="43" t="s">
        <v>423</v>
      </c>
      <c r="E17" s="43" t="s">
        <v>444</v>
      </c>
      <c r="F17" s="43" t="s">
        <v>445</v>
      </c>
      <c r="G17" s="43">
        <v>55643</v>
      </c>
      <c r="H17" s="43">
        <v>55644</v>
      </c>
      <c r="I17" s="43">
        <v>55579</v>
      </c>
      <c r="J17" s="43">
        <v>1700</v>
      </c>
      <c r="K17" s="43">
        <v>1700</v>
      </c>
      <c r="L17" s="43" t="s">
        <v>372</v>
      </c>
      <c r="M17" s="43" t="s">
        <v>426</v>
      </c>
      <c r="N17" s="44">
        <v>5.3422699999999997E-2</v>
      </c>
      <c r="O17" s="43" t="s">
        <v>405</v>
      </c>
      <c r="P17" s="43" t="s">
        <v>406</v>
      </c>
      <c r="Q17" s="43">
        <v>3</v>
      </c>
      <c r="R17" s="43">
        <v>10</v>
      </c>
      <c r="S17" s="43" t="s">
        <v>407</v>
      </c>
      <c r="T17" s="43" t="s">
        <v>450</v>
      </c>
      <c r="U17" s="43" t="s">
        <v>408</v>
      </c>
      <c r="V17" s="45">
        <v>1.7750239999999999</v>
      </c>
      <c r="W17" s="45">
        <v>0.78300000000000003</v>
      </c>
      <c r="X17" s="45">
        <f t="shared" si="0"/>
        <v>2.0577366697921595E-2</v>
      </c>
    </row>
    <row r="18" spans="1:24" x14ac:dyDescent="0.2">
      <c r="A18" s="43">
        <v>3</v>
      </c>
      <c r="B18" s="43">
        <v>7</v>
      </c>
      <c r="C18" s="43" t="s">
        <v>430</v>
      </c>
      <c r="D18" s="43" t="s">
        <v>423</v>
      </c>
      <c r="E18" s="43" t="s">
        <v>444</v>
      </c>
      <c r="F18" s="43" t="s">
        <v>445</v>
      </c>
      <c r="G18" s="43">
        <v>55644</v>
      </c>
      <c r="H18" s="43">
        <v>55645</v>
      </c>
      <c r="I18" s="43">
        <v>55580</v>
      </c>
      <c r="J18" s="43">
        <v>1700</v>
      </c>
      <c r="K18" s="43">
        <v>1700</v>
      </c>
      <c r="L18" s="43" t="s">
        <v>372</v>
      </c>
      <c r="M18" s="43" t="s">
        <v>426</v>
      </c>
      <c r="N18" s="44">
        <v>3.8128000000000002E-2</v>
      </c>
      <c r="O18" s="43" t="s">
        <v>405</v>
      </c>
      <c r="P18" s="43" t="s">
        <v>406</v>
      </c>
      <c r="Q18" s="43">
        <v>3</v>
      </c>
      <c r="R18" s="43">
        <v>10</v>
      </c>
      <c r="S18" s="43" t="s">
        <v>407</v>
      </c>
      <c r="T18" s="43" t="s">
        <v>450</v>
      </c>
      <c r="U18" s="43" t="s">
        <v>408</v>
      </c>
      <c r="V18" s="45">
        <v>1.7750239999999999</v>
      </c>
      <c r="W18" s="45">
        <v>0.78300000000000003</v>
      </c>
      <c r="X18" s="45">
        <f t="shared" si="0"/>
        <v>1.4686150970623998E-2</v>
      </c>
    </row>
    <row r="19" spans="1:24" x14ac:dyDescent="0.2">
      <c r="A19" s="43">
        <v>3</v>
      </c>
      <c r="B19" s="43">
        <v>7</v>
      </c>
      <c r="C19" s="43" t="s">
        <v>430</v>
      </c>
      <c r="D19" s="43" t="s">
        <v>423</v>
      </c>
      <c r="E19" s="43" t="s">
        <v>444</v>
      </c>
      <c r="F19" s="43" t="s">
        <v>445</v>
      </c>
      <c r="G19" s="43">
        <v>55645</v>
      </c>
      <c r="H19" s="43">
        <v>55646</v>
      </c>
      <c r="I19" s="43">
        <v>55581</v>
      </c>
      <c r="J19" s="43">
        <v>1700</v>
      </c>
      <c r="K19" s="43">
        <v>1700</v>
      </c>
      <c r="L19" s="43" t="s">
        <v>372</v>
      </c>
      <c r="M19" s="43" t="s">
        <v>426</v>
      </c>
      <c r="N19" s="44">
        <v>0.112721</v>
      </c>
      <c r="O19" s="43" t="s">
        <v>405</v>
      </c>
      <c r="P19" s="43" t="s">
        <v>406</v>
      </c>
      <c r="Q19" s="43">
        <v>3</v>
      </c>
      <c r="R19" s="43">
        <v>10</v>
      </c>
      <c r="S19" s="43" t="s">
        <v>407</v>
      </c>
      <c r="T19" s="43" t="s">
        <v>450</v>
      </c>
      <c r="U19" s="43" t="s">
        <v>408</v>
      </c>
      <c r="V19" s="45">
        <v>1.7750239999999999</v>
      </c>
      <c r="W19" s="45">
        <v>0.78300000000000003</v>
      </c>
      <c r="X19" s="45">
        <f t="shared" si="0"/>
        <v>4.3417898225967991E-2</v>
      </c>
    </row>
    <row r="20" spans="1:24" x14ac:dyDescent="0.2">
      <c r="A20" s="43">
        <v>3</v>
      </c>
      <c r="B20" s="43">
        <v>7</v>
      </c>
      <c r="C20" s="43" t="s">
        <v>430</v>
      </c>
      <c r="D20" s="43" t="s">
        <v>423</v>
      </c>
      <c r="E20" s="43" t="s">
        <v>444</v>
      </c>
      <c r="F20" s="43" t="s">
        <v>445</v>
      </c>
      <c r="G20" s="43">
        <v>55753</v>
      </c>
      <c r="H20" s="43">
        <v>55754</v>
      </c>
      <c r="I20" s="43">
        <v>55689</v>
      </c>
      <c r="J20" s="43">
        <v>2410</v>
      </c>
      <c r="K20" s="43">
        <v>2410</v>
      </c>
      <c r="L20" s="43" t="s">
        <v>372</v>
      </c>
      <c r="M20" s="43" t="s">
        <v>426</v>
      </c>
      <c r="N20" s="44">
        <v>4.8819200000000002E-5</v>
      </c>
      <c r="O20" s="43" t="s">
        <v>405</v>
      </c>
      <c r="P20" s="43" t="s">
        <v>406</v>
      </c>
      <c r="Q20" s="43">
        <v>35</v>
      </c>
      <c r="R20" s="43">
        <v>28</v>
      </c>
      <c r="S20" s="43" t="s">
        <v>451</v>
      </c>
      <c r="T20" s="43" t="s">
        <v>452</v>
      </c>
      <c r="U20" s="43" t="s">
        <v>452</v>
      </c>
      <c r="V20" s="45">
        <v>4.8305189999999998</v>
      </c>
      <c r="W20" s="45">
        <v>0.78300000000000003</v>
      </c>
      <c r="X20" s="45">
        <f t="shared" si="0"/>
        <v>5.1173389876761592E-5</v>
      </c>
    </row>
    <row r="21" spans="1:24" x14ac:dyDescent="0.2">
      <c r="A21" s="43">
        <v>3</v>
      </c>
      <c r="B21" s="43">
        <v>7</v>
      </c>
      <c r="C21" s="43" t="s">
        <v>430</v>
      </c>
      <c r="D21" s="43" t="s">
        <v>423</v>
      </c>
      <c r="E21" s="43" t="s">
        <v>444</v>
      </c>
      <c r="F21" s="43" t="s">
        <v>445</v>
      </c>
      <c r="G21" s="43">
        <v>55754</v>
      </c>
      <c r="H21" s="43">
        <v>55755</v>
      </c>
      <c r="I21" s="43">
        <v>55690</v>
      </c>
      <c r="J21" s="43">
        <v>2410</v>
      </c>
      <c r="K21" s="43">
        <v>2410</v>
      </c>
      <c r="L21" s="43" t="s">
        <v>372</v>
      </c>
      <c r="M21" s="43" t="s">
        <v>426</v>
      </c>
      <c r="N21" s="44">
        <v>3.4774599999999999E-3</v>
      </c>
      <c r="O21" s="43" t="s">
        <v>405</v>
      </c>
      <c r="P21" s="43" t="s">
        <v>406</v>
      </c>
      <c r="Q21" s="43">
        <v>35</v>
      </c>
      <c r="R21" s="43">
        <v>28</v>
      </c>
      <c r="S21" s="43" t="s">
        <v>451</v>
      </c>
      <c r="T21" s="43" t="s">
        <v>452</v>
      </c>
      <c r="U21" s="43" t="s">
        <v>452</v>
      </c>
      <c r="V21" s="45">
        <v>4.8305189999999998</v>
      </c>
      <c r="W21" s="45">
        <v>0.78300000000000003</v>
      </c>
      <c r="X21" s="45">
        <f t="shared" si="0"/>
        <v>3.6451522425775791E-3</v>
      </c>
    </row>
    <row r="22" spans="1:24" x14ac:dyDescent="0.2">
      <c r="A22" s="43">
        <v>3</v>
      </c>
      <c r="B22" s="43">
        <v>7</v>
      </c>
      <c r="C22" s="43" t="s">
        <v>430</v>
      </c>
      <c r="D22" s="43" t="s">
        <v>423</v>
      </c>
      <c r="E22" s="43" t="s">
        <v>444</v>
      </c>
      <c r="F22" s="43" t="s">
        <v>445</v>
      </c>
      <c r="G22" s="43">
        <v>55756</v>
      </c>
      <c r="H22" s="43">
        <v>55757</v>
      </c>
      <c r="I22" s="43">
        <v>55692</v>
      </c>
      <c r="J22" s="43">
        <v>2430</v>
      </c>
      <c r="K22" s="43">
        <v>2430</v>
      </c>
      <c r="L22" s="43" t="s">
        <v>372</v>
      </c>
      <c r="M22" s="43" t="s">
        <v>426</v>
      </c>
      <c r="N22" s="44">
        <v>6.3125700000000007E-2</v>
      </c>
      <c r="O22" s="43" t="s">
        <v>405</v>
      </c>
      <c r="P22" s="43" t="s">
        <v>406</v>
      </c>
      <c r="Q22" s="43">
        <v>37</v>
      </c>
      <c r="R22" s="43">
        <v>28</v>
      </c>
      <c r="S22" s="43" t="s">
        <v>451</v>
      </c>
      <c r="T22" s="43" t="s">
        <v>453</v>
      </c>
      <c r="U22" s="43" t="s">
        <v>454</v>
      </c>
      <c r="V22" s="45">
        <v>0.25595699999999999</v>
      </c>
      <c r="W22" s="45">
        <v>0.78300000000000003</v>
      </c>
      <c r="X22" s="45">
        <f t="shared" si="0"/>
        <v>3.5061698604932994E-3</v>
      </c>
    </row>
    <row r="23" spans="1:24" x14ac:dyDescent="0.2">
      <c r="A23" s="43">
        <v>3</v>
      </c>
      <c r="B23" s="43">
        <v>7</v>
      </c>
      <c r="C23" s="43" t="s">
        <v>430</v>
      </c>
      <c r="D23" s="43" t="s">
        <v>423</v>
      </c>
      <c r="E23" s="43" t="s">
        <v>444</v>
      </c>
      <c r="F23" s="43" t="s">
        <v>445</v>
      </c>
      <c r="G23" s="43">
        <v>55757</v>
      </c>
      <c r="H23" s="43">
        <v>55758</v>
      </c>
      <c r="I23" s="43">
        <v>55693</v>
      </c>
      <c r="J23" s="43">
        <v>2430</v>
      </c>
      <c r="K23" s="43">
        <v>2430</v>
      </c>
      <c r="L23" s="43" t="s">
        <v>372</v>
      </c>
      <c r="M23" s="43" t="s">
        <v>426</v>
      </c>
      <c r="N23" s="44">
        <v>5.0538800000000002E-2</v>
      </c>
      <c r="O23" s="43" t="s">
        <v>405</v>
      </c>
      <c r="P23" s="43" t="s">
        <v>406</v>
      </c>
      <c r="Q23" s="43">
        <v>37</v>
      </c>
      <c r="R23" s="43">
        <v>28</v>
      </c>
      <c r="S23" s="43" t="s">
        <v>451</v>
      </c>
      <c r="T23" s="43" t="s">
        <v>453</v>
      </c>
      <c r="U23" s="43" t="s">
        <v>454</v>
      </c>
      <c r="V23" s="45">
        <v>0.25595699999999999</v>
      </c>
      <c r="W23" s="45">
        <v>0.78300000000000003</v>
      </c>
      <c r="X23" s="45">
        <f t="shared" si="0"/>
        <v>2.8070598400571994E-3</v>
      </c>
    </row>
    <row r="24" spans="1:24" x14ac:dyDescent="0.2">
      <c r="A24" s="43">
        <v>3</v>
      </c>
      <c r="B24" s="43">
        <v>7</v>
      </c>
      <c r="C24" s="43" t="s">
        <v>430</v>
      </c>
      <c r="D24" s="43" t="s">
        <v>423</v>
      </c>
      <c r="E24" s="43" t="s">
        <v>444</v>
      </c>
      <c r="F24" s="43" t="s">
        <v>445</v>
      </c>
      <c r="G24" s="43">
        <v>55793</v>
      </c>
      <c r="H24" s="43">
        <v>55794</v>
      </c>
      <c r="I24" s="43">
        <v>55729</v>
      </c>
      <c r="J24" s="43">
        <v>3200</v>
      </c>
      <c r="K24" s="43">
        <v>3200</v>
      </c>
      <c r="L24" s="43" t="s">
        <v>372</v>
      </c>
      <c r="M24" s="43" t="s">
        <v>426</v>
      </c>
      <c r="N24" s="44">
        <v>2.8028899999999999E-2</v>
      </c>
      <c r="O24" s="43" t="s">
        <v>405</v>
      </c>
      <c r="P24" s="43" t="s">
        <v>406</v>
      </c>
      <c r="Q24" s="43">
        <v>5</v>
      </c>
      <c r="R24" s="43">
        <v>30</v>
      </c>
      <c r="S24" s="43" t="s">
        <v>455</v>
      </c>
      <c r="T24" s="43" t="s">
        <v>456</v>
      </c>
      <c r="U24" s="43" t="s">
        <v>414</v>
      </c>
      <c r="V24" s="45">
        <v>9.3119999999999994E-2</v>
      </c>
      <c r="W24" s="45">
        <v>0.78300000000000003</v>
      </c>
      <c r="X24" s="45">
        <f t="shared" si="0"/>
        <v>5.6638110345599987E-4</v>
      </c>
    </row>
    <row r="25" spans="1:24" x14ac:dyDescent="0.2">
      <c r="A25" s="43">
        <v>3</v>
      </c>
      <c r="B25" s="43">
        <v>7</v>
      </c>
      <c r="C25" s="43" t="s">
        <v>430</v>
      </c>
      <c r="D25" s="43" t="s">
        <v>423</v>
      </c>
      <c r="E25" s="43" t="s">
        <v>444</v>
      </c>
      <c r="F25" s="43" t="s">
        <v>445</v>
      </c>
      <c r="G25" s="43">
        <v>55830</v>
      </c>
      <c r="H25" s="43">
        <v>55831</v>
      </c>
      <c r="I25" s="43">
        <v>55766</v>
      </c>
      <c r="J25" s="43">
        <v>4340</v>
      </c>
      <c r="K25" s="43">
        <v>4340</v>
      </c>
      <c r="L25" s="43" t="s">
        <v>372</v>
      </c>
      <c r="M25" s="43" t="s">
        <v>426</v>
      </c>
      <c r="N25" s="44">
        <v>0.21651400000000001</v>
      </c>
      <c r="O25" s="43" t="s">
        <v>405</v>
      </c>
      <c r="P25" s="43" t="s">
        <v>406</v>
      </c>
      <c r="Q25" s="43">
        <v>7</v>
      </c>
      <c r="R25" s="43">
        <v>40</v>
      </c>
      <c r="S25" s="43" t="s">
        <v>412</v>
      </c>
      <c r="T25" s="43" t="s">
        <v>415</v>
      </c>
      <c r="U25" s="43" t="s">
        <v>416</v>
      </c>
      <c r="V25" s="45">
        <v>0.115981</v>
      </c>
      <c r="W25" s="45">
        <v>0.78300000000000003</v>
      </c>
      <c r="X25" s="45">
        <f t="shared" si="0"/>
        <v>5.4491977207779992E-3</v>
      </c>
    </row>
    <row r="26" spans="1:24" x14ac:dyDescent="0.2">
      <c r="A26" s="43">
        <v>3</v>
      </c>
      <c r="B26" s="43">
        <v>7</v>
      </c>
      <c r="C26" s="43" t="s">
        <v>430</v>
      </c>
      <c r="D26" s="43" t="s">
        <v>423</v>
      </c>
      <c r="E26" s="43" t="s">
        <v>444</v>
      </c>
      <c r="F26" s="43" t="s">
        <v>445</v>
      </c>
      <c r="G26" s="43">
        <v>56350</v>
      </c>
      <c r="H26" s="43">
        <v>56351</v>
      </c>
      <c r="I26" s="43">
        <v>56286</v>
      </c>
      <c r="J26" s="43">
        <v>8140</v>
      </c>
      <c r="K26" s="43">
        <v>8140</v>
      </c>
      <c r="L26" s="43" t="s">
        <v>372</v>
      </c>
      <c r="M26" s="43" t="s">
        <v>426</v>
      </c>
      <c r="N26" s="44">
        <v>6.8479700000000001E-3</v>
      </c>
      <c r="O26" s="43" t="s">
        <v>405</v>
      </c>
      <c r="P26" s="43" t="s">
        <v>406</v>
      </c>
      <c r="Q26" s="43">
        <v>18</v>
      </c>
      <c r="R26" s="43">
        <v>10</v>
      </c>
      <c r="S26" s="43" t="s">
        <v>407</v>
      </c>
      <c r="T26" s="43" t="s">
        <v>420</v>
      </c>
      <c r="U26" s="43" t="s">
        <v>421</v>
      </c>
      <c r="V26" s="45">
        <v>0.717032</v>
      </c>
      <c r="W26" s="45">
        <v>0.78300000000000003</v>
      </c>
      <c r="X26" s="45">
        <f t="shared" si="0"/>
        <v>1.0655163566336799E-3</v>
      </c>
    </row>
    <row r="27" spans="1:24" x14ac:dyDescent="0.2">
      <c r="N27" s="44">
        <f>SUM(N2:N26)</f>
        <v>4.815752323199999</v>
      </c>
      <c r="X27" s="45">
        <f>SUM(X2:X26)</f>
        <v>1.0598532862454519</v>
      </c>
    </row>
    <row r="29" spans="1:24" x14ac:dyDescent="0.2">
      <c r="A29" s="43" t="s">
        <v>377</v>
      </c>
      <c r="B29" s="43" t="s">
        <v>378</v>
      </c>
      <c r="C29" s="43" t="s">
        <v>379</v>
      </c>
      <c r="D29" s="43" t="s">
        <v>380</v>
      </c>
      <c r="E29" s="43" t="s">
        <v>381</v>
      </c>
      <c r="F29" s="43" t="s">
        <v>382</v>
      </c>
      <c r="G29" s="43" t="s">
        <v>383</v>
      </c>
      <c r="H29" s="43" t="s">
        <v>384</v>
      </c>
      <c r="I29" s="43" t="s">
        <v>385</v>
      </c>
      <c r="J29" s="43" t="s">
        <v>386</v>
      </c>
      <c r="K29" s="43" t="s">
        <v>387</v>
      </c>
      <c r="L29" s="43" t="s">
        <v>388</v>
      </c>
      <c r="M29" s="43" t="s">
        <v>389</v>
      </c>
      <c r="N29" s="44" t="s">
        <v>391</v>
      </c>
      <c r="O29" s="43" t="s">
        <v>392</v>
      </c>
      <c r="P29" s="43" t="s">
        <v>393</v>
      </c>
      <c r="Q29" s="43" t="s">
        <v>394</v>
      </c>
      <c r="R29" s="43" t="s">
        <v>395</v>
      </c>
      <c r="S29" s="43" t="s">
        <v>396</v>
      </c>
      <c r="T29" s="43" t="s">
        <v>397</v>
      </c>
      <c r="U29" s="43" t="s">
        <v>398</v>
      </c>
      <c r="V29" s="45" t="s">
        <v>589</v>
      </c>
      <c r="W29" s="45" t="s">
        <v>590</v>
      </c>
      <c r="X29" s="45" t="s">
        <v>591</v>
      </c>
    </row>
    <row r="30" spans="1:24" x14ac:dyDescent="0.2">
      <c r="A30" s="43">
        <v>3</v>
      </c>
      <c r="B30" s="43">
        <v>7</v>
      </c>
      <c r="C30" s="43" t="s">
        <v>430</v>
      </c>
      <c r="D30" s="43" t="s">
        <v>423</v>
      </c>
      <c r="E30" s="43" t="s">
        <v>444</v>
      </c>
      <c r="F30" s="43" t="s">
        <v>445</v>
      </c>
      <c r="G30" s="43">
        <v>4524</v>
      </c>
      <c r="H30" s="43">
        <v>4525</v>
      </c>
      <c r="I30" s="43">
        <v>4493</v>
      </c>
      <c r="J30" s="43">
        <v>1400</v>
      </c>
      <c r="K30" s="43">
        <v>1400</v>
      </c>
      <c r="L30" s="43" t="s">
        <v>372</v>
      </c>
      <c r="M30" s="43" t="s">
        <v>426</v>
      </c>
      <c r="N30" s="44">
        <v>0.383654</v>
      </c>
      <c r="O30" s="43" t="s">
        <v>405</v>
      </c>
      <c r="P30" s="43" t="s">
        <v>406</v>
      </c>
      <c r="Q30" s="43">
        <v>3</v>
      </c>
      <c r="R30" s="43">
        <v>10</v>
      </c>
      <c r="S30" s="43" t="s">
        <v>407</v>
      </c>
      <c r="T30" s="43" t="s">
        <v>408</v>
      </c>
      <c r="U30" s="43" t="s">
        <v>408</v>
      </c>
      <c r="V30" s="45">
        <v>7.8337940000000001</v>
      </c>
      <c r="W30" s="45">
        <v>0.6</v>
      </c>
      <c r="X30" s="45">
        <f t="shared" ref="X30:X54" si="1">N30*V30*(1-W30)</f>
        <v>1.2021865613104001</v>
      </c>
    </row>
    <row r="31" spans="1:24" x14ac:dyDescent="0.2">
      <c r="A31" s="43">
        <v>3</v>
      </c>
      <c r="B31" s="43">
        <v>7</v>
      </c>
      <c r="C31" s="43" t="s">
        <v>430</v>
      </c>
      <c r="D31" s="43" t="s">
        <v>423</v>
      </c>
      <c r="E31" s="43" t="s">
        <v>444</v>
      </c>
      <c r="F31" s="43" t="s">
        <v>445</v>
      </c>
      <c r="G31" s="43">
        <v>4525</v>
      </c>
      <c r="H31" s="43">
        <v>4526</v>
      </c>
      <c r="I31" s="43">
        <v>4494</v>
      </c>
      <c r="J31" s="43">
        <v>1400</v>
      </c>
      <c r="K31" s="43">
        <v>1400</v>
      </c>
      <c r="L31" s="43" t="s">
        <v>372</v>
      </c>
      <c r="M31" s="43" t="s">
        <v>426</v>
      </c>
      <c r="N31" s="44">
        <v>0.73094400000000004</v>
      </c>
      <c r="O31" s="43" t="s">
        <v>405</v>
      </c>
      <c r="P31" s="43" t="s">
        <v>406</v>
      </c>
      <c r="Q31" s="43">
        <v>3</v>
      </c>
      <c r="R31" s="43">
        <v>10</v>
      </c>
      <c r="S31" s="43" t="s">
        <v>407</v>
      </c>
      <c r="T31" s="43" t="s">
        <v>408</v>
      </c>
      <c r="U31" s="43" t="s">
        <v>408</v>
      </c>
      <c r="V31" s="45">
        <v>7.8337940000000001</v>
      </c>
      <c r="W31" s="45">
        <v>0.6</v>
      </c>
      <c r="X31" s="45">
        <f t="shared" si="1"/>
        <v>2.2904258886144002</v>
      </c>
    </row>
    <row r="32" spans="1:24" x14ac:dyDescent="0.2">
      <c r="A32" s="43">
        <v>3</v>
      </c>
      <c r="B32" s="43">
        <v>7</v>
      </c>
      <c r="C32" s="43" t="s">
        <v>430</v>
      </c>
      <c r="D32" s="43" t="s">
        <v>423</v>
      </c>
      <c r="E32" s="43" t="s">
        <v>444</v>
      </c>
      <c r="F32" s="43" t="s">
        <v>445</v>
      </c>
      <c r="G32" s="43">
        <v>6157</v>
      </c>
      <c r="H32" s="43">
        <v>6158</v>
      </c>
      <c r="I32" s="43">
        <v>6114</v>
      </c>
      <c r="J32" s="43">
        <v>1900</v>
      </c>
      <c r="K32" s="43">
        <v>1900</v>
      </c>
      <c r="L32" s="43" t="s">
        <v>372</v>
      </c>
      <c r="M32" s="43" t="s">
        <v>426</v>
      </c>
      <c r="N32" s="44">
        <v>4.2364900000000001E-4</v>
      </c>
      <c r="O32" s="43" t="s">
        <v>405</v>
      </c>
      <c r="P32" s="43" t="s">
        <v>406</v>
      </c>
      <c r="Q32" s="43">
        <v>70</v>
      </c>
      <c r="R32" s="43">
        <v>10</v>
      </c>
      <c r="S32" s="43" t="s">
        <v>407</v>
      </c>
      <c r="T32" s="43" t="s">
        <v>410</v>
      </c>
      <c r="U32" s="43" t="s">
        <v>411</v>
      </c>
      <c r="V32" s="45">
        <v>1.1817740000000001</v>
      </c>
      <c r="W32" s="45">
        <v>0.6</v>
      </c>
      <c r="X32" s="45">
        <f t="shared" si="1"/>
        <v>2.0026294933040003E-4</v>
      </c>
    </row>
    <row r="33" spans="1:24" x14ac:dyDescent="0.2">
      <c r="A33" s="43">
        <v>3</v>
      </c>
      <c r="B33" s="43">
        <v>7</v>
      </c>
      <c r="C33" s="43" t="s">
        <v>430</v>
      </c>
      <c r="D33" s="43" t="s">
        <v>423</v>
      </c>
      <c r="E33" s="43" t="s">
        <v>444</v>
      </c>
      <c r="F33" s="43" t="s">
        <v>445</v>
      </c>
      <c r="G33" s="43">
        <v>7950</v>
      </c>
      <c r="H33" s="43">
        <v>7951</v>
      </c>
      <c r="I33" s="43">
        <v>7877</v>
      </c>
      <c r="J33" s="43">
        <v>2110</v>
      </c>
      <c r="K33" s="43">
        <v>2110</v>
      </c>
      <c r="L33" s="43" t="s">
        <v>372</v>
      </c>
      <c r="M33" s="43" t="s">
        <v>426</v>
      </c>
      <c r="N33" s="44">
        <v>0.124816</v>
      </c>
      <c r="O33" s="43" t="s">
        <v>405</v>
      </c>
      <c r="P33" s="43" t="s">
        <v>406</v>
      </c>
      <c r="Q33" s="43">
        <v>26</v>
      </c>
      <c r="R33" s="43">
        <v>21</v>
      </c>
      <c r="S33" s="43" t="s">
        <v>446</v>
      </c>
      <c r="T33" s="43" t="s">
        <v>447</v>
      </c>
      <c r="U33" s="43" t="s">
        <v>446</v>
      </c>
      <c r="V33" s="45">
        <v>12.944876000000001</v>
      </c>
      <c r="W33" s="45">
        <v>0.6</v>
      </c>
      <c r="X33" s="45">
        <f t="shared" si="1"/>
        <v>0.64629105712640011</v>
      </c>
    </row>
    <row r="34" spans="1:24" x14ac:dyDescent="0.2">
      <c r="A34" s="43">
        <v>3</v>
      </c>
      <c r="B34" s="43">
        <v>7</v>
      </c>
      <c r="C34" s="43" t="s">
        <v>430</v>
      </c>
      <c r="D34" s="43" t="s">
        <v>423</v>
      </c>
      <c r="E34" s="43" t="s">
        <v>444</v>
      </c>
      <c r="F34" s="43" t="s">
        <v>445</v>
      </c>
      <c r="G34" s="43">
        <v>7951</v>
      </c>
      <c r="H34" s="43">
        <v>7952</v>
      </c>
      <c r="I34" s="43">
        <v>7878</v>
      </c>
      <c r="J34" s="43">
        <v>2110</v>
      </c>
      <c r="K34" s="43">
        <v>2110</v>
      </c>
      <c r="L34" s="43" t="s">
        <v>372</v>
      </c>
      <c r="M34" s="43" t="s">
        <v>426</v>
      </c>
      <c r="N34" s="44">
        <v>3.0212200000000002E-2</v>
      </c>
      <c r="O34" s="43" t="s">
        <v>405</v>
      </c>
      <c r="P34" s="43" t="s">
        <v>406</v>
      </c>
      <c r="Q34" s="43">
        <v>26</v>
      </c>
      <c r="R34" s="43">
        <v>21</v>
      </c>
      <c r="S34" s="43" t="s">
        <v>446</v>
      </c>
      <c r="T34" s="43" t="s">
        <v>447</v>
      </c>
      <c r="U34" s="43" t="s">
        <v>446</v>
      </c>
      <c r="V34" s="45">
        <v>12.944876000000001</v>
      </c>
      <c r="W34" s="45">
        <v>0.6</v>
      </c>
      <c r="X34" s="45">
        <f t="shared" si="1"/>
        <v>0.15643727307488003</v>
      </c>
    </row>
    <row r="35" spans="1:24" x14ac:dyDescent="0.2">
      <c r="A35" s="43">
        <v>3</v>
      </c>
      <c r="B35" s="43">
        <v>7</v>
      </c>
      <c r="C35" s="43" t="s">
        <v>430</v>
      </c>
      <c r="D35" s="43" t="s">
        <v>423</v>
      </c>
      <c r="E35" s="43" t="s">
        <v>444</v>
      </c>
      <c r="F35" s="43" t="s">
        <v>445</v>
      </c>
      <c r="G35" s="43">
        <v>19454</v>
      </c>
      <c r="H35" s="43">
        <v>19455</v>
      </c>
      <c r="I35" s="43">
        <v>19394</v>
      </c>
      <c r="J35" s="43">
        <v>4340</v>
      </c>
      <c r="K35" s="43">
        <v>4340</v>
      </c>
      <c r="L35" s="43" t="s">
        <v>372</v>
      </c>
      <c r="M35" s="43" t="s">
        <v>426</v>
      </c>
      <c r="N35" s="44">
        <v>0.12928400000000001</v>
      </c>
      <c r="O35" s="43" t="s">
        <v>405</v>
      </c>
      <c r="P35" s="43" t="s">
        <v>406</v>
      </c>
      <c r="Q35" s="43">
        <v>7</v>
      </c>
      <c r="R35" s="43">
        <v>40</v>
      </c>
      <c r="S35" s="43" t="s">
        <v>412</v>
      </c>
      <c r="T35" s="43" t="s">
        <v>415</v>
      </c>
      <c r="U35" s="43" t="s">
        <v>416</v>
      </c>
      <c r="V35" s="45">
        <v>7.558414</v>
      </c>
      <c r="W35" s="45">
        <v>0.6</v>
      </c>
      <c r="X35" s="45">
        <f t="shared" si="1"/>
        <v>0.39087279823040005</v>
      </c>
    </row>
    <row r="36" spans="1:24" x14ac:dyDescent="0.2">
      <c r="A36" s="43">
        <v>3</v>
      </c>
      <c r="B36" s="43">
        <v>7</v>
      </c>
      <c r="C36" s="43" t="s">
        <v>430</v>
      </c>
      <c r="D36" s="43" t="s">
        <v>423</v>
      </c>
      <c r="E36" s="43" t="s">
        <v>444</v>
      </c>
      <c r="F36" s="43" t="s">
        <v>445</v>
      </c>
      <c r="G36" s="43">
        <v>19455</v>
      </c>
      <c r="H36" s="43">
        <v>19456</v>
      </c>
      <c r="I36" s="43">
        <v>19395</v>
      </c>
      <c r="J36" s="43">
        <v>4340</v>
      </c>
      <c r="K36" s="43">
        <v>4340</v>
      </c>
      <c r="L36" s="43" t="s">
        <v>372</v>
      </c>
      <c r="M36" s="43" t="s">
        <v>426</v>
      </c>
      <c r="N36" s="44">
        <v>0.21968199999999999</v>
      </c>
      <c r="O36" s="43" t="s">
        <v>405</v>
      </c>
      <c r="P36" s="43" t="s">
        <v>406</v>
      </c>
      <c r="Q36" s="43">
        <v>7</v>
      </c>
      <c r="R36" s="43">
        <v>40</v>
      </c>
      <c r="S36" s="43" t="s">
        <v>412</v>
      </c>
      <c r="T36" s="43" t="s">
        <v>415</v>
      </c>
      <c r="U36" s="43" t="s">
        <v>416</v>
      </c>
      <c r="V36" s="45">
        <v>7.558414</v>
      </c>
      <c r="W36" s="45">
        <v>0.6</v>
      </c>
      <c r="X36" s="45">
        <f t="shared" si="1"/>
        <v>0.66417900173919997</v>
      </c>
    </row>
    <row r="37" spans="1:24" x14ac:dyDescent="0.2">
      <c r="A37" s="43">
        <v>3</v>
      </c>
      <c r="B37" s="43">
        <v>7</v>
      </c>
      <c r="C37" s="43" t="s">
        <v>430</v>
      </c>
      <c r="D37" s="43" t="s">
        <v>423</v>
      </c>
      <c r="E37" s="43" t="s">
        <v>444</v>
      </c>
      <c r="F37" s="43" t="s">
        <v>445</v>
      </c>
      <c r="G37" s="43">
        <v>52779</v>
      </c>
      <c r="H37" s="43">
        <v>52784</v>
      </c>
      <c r="I37" s="43">
        <v>52750</v>
      </c>
      <c r="J37" s="43">
        <v>8140</v>
      </c>
      <c r="K37" s="43">
        <v>8140</v>
      </c>
      <c r="L37" s="43" t="s">
        <v>372</v>
      </c>
      <c r="M37" s="43" t="s">
        <v>426</v>
      </c>
      <c r="N37" s="44">
        <v>3.7612499999999999E-4</v>
      </c>
      <c r="O37" s="43" t="s">
        <v>405</v>
      </c>
      <c r="P37" s="43" t="s">
        <v>406</v>
      </c>
      <c r="Q37" s="43">
        <v>18</v>
      </c>
      <c r="R37" s="43">
        <v>10</v>
      </c>
      <c r="S37" s="43" t="s">
        <v>407</v>
      </c>
      <c r="T37" s="43" t="s">
        <v>420</v>
      </c>
      <c r="U37" s="43" t="s">
        <v>421</v>
      </c>
      <c r="V37" s="45">
        <v>3.4929570000000001</v>
      </c>
      <c r="W37" s="45">
        <v>0.6</v>
      </c>
      <c r="X37" s="45">
        <f t="shared" si="1"/>
        <v>5.2551538064999996E-4</v>
      </c>
    </row>
    <row r="38" spans="1:24" x14ac:dyDescent="0.2">
      <c r="A38" s="43">
        <v>3</v>
      </c>
      <c r="B38" s="43">
        <v>7</v>
      </c>
      <c r="C38" s="43" t="s">
        <v>430</v>
      </c>
      <c r="D38" s="43" t="s">
        <v>423</v>
      </c>
      <c r="E38" s="43" t="s">
        <v>444</v>
      </c>
      <c r="F38" s="43" t="s">
        <v>445</v>
      </c>
      <c r="G38" s="43">
        <v>54694</v>
      </c>
      <c r="H38" s="43">
        <v>54695</v>
      </c>
      <c r="I38" s="43">
        <v>56296</v>
      </c>
      <c r="J38" s="43">
        <v>8320</v>
      </c>
      <c r="K38" s="43">
        <v>8320</v>
      </c>
      <c r="L38" s="43" t="s">
        <v>372</v>
      </c>
      <c r="M38" s="43" t="s">
        <v>426</v>
      </c>
      <c r="N38" s="44">
        <v>0.106908</v>
      </c>
      <c r="O38" s="43" t="s">
        <v>405</v>
      </c>
      <c r="P38" s="43" t="s">
        <v>406</v>
      </c>
      <c r="Q38" s="43">
        <v>5</v>
      </c>
      <c r="R38" s="43">
        <v>10</v>
      </c>
      <c r="S38" s="43" t="s">
        <v>407</v>
      </c>
      <c r="T38" s="43" t="s">
        <v>448</v>
      </c>
      <c r="U38" s="43" t="s">
        <v>414</v>
      </c>
      <c r="V38" s="45">
        <v>8.1290569999999995</v>
      </c>
      <c r="W38" s="45">
        <v>0.6</v>
      </c>
      <c r="X38" s="45">
        <f t="shared" si="1"/>
        <v>0.3476244903024</v>
      </c>
    </row>
    <row r="39" spans="1:24" x14ac:dyDescent="0.2">
      <c r="A39" s="43">
        <v>3</v>
      </c>
      <c r="B39" s="43">
        <v>7</v>
      </c>
      <c r="C39" s="43" t="s">
        <v>430</v>
      </c>
      <c r="D39" s="43" t="s">
        <v>423</v>
      </c>
      <c r="E39" s="43" t="s">
        <v>444</v>
      </c>
      <c r="F39" s="43" t="s">
        <v>445</v>
      </c>
      <c r="G39" s="43">
        <v>55479</v>
      </c>
      <c r="H39" s="43">
        <v>55480</v>
      </c>
      <c r="I39" s="43">
        <v>55415</v>
      </c>
      <c r="J39" s="43">
        <v>1100</v>
      </c>
      <c r="K39" s="43">
        <v>1100</v>
      </c>
      <c r="L39" s="43" t="s">
        <v>372</v>
      </c>
      <c r="M39" s="43" t="s">
        <v>426</v>
      </c>
      <c r="N39" s="44">
        <v>0.24615999999999999</v>
      </c>
      <c r="O39" s="43" t="s">
        <v>405</v>
      </c>
      <c r="P39" s="43" t="s">
        <v>406</v>
      </c>
      <c r="Q39" s="43">
        <v>2</v>
      </c>
      <c r="R39" s="43">
        <v>10</v>
      </c>
      <c r="S39" s="43" t="s">
        <v>407</v>
      </c>
      <c r="T39" s="43" t="s">
        <v>449</v>
      </c>
      <c r="U39" s="43" t="s">
        <v>435</v>
      </c>
      <c r="V39" s="45">
        <v>11.234235</v>
      </c>
      <c r="W39" s="45">
        <v>0.6</v>
      </c>
      <c r="X39" s="45">
        <f t="shared" si="1"/>
        <v>1.10616771504</v>
      </c>
    </row>
    <row r="40" spans="1:24" x14ac:dyDescent="0.2">
      <c r="A40" s="43">
        <v>3</v>
      </c>
      <c r="B40" s="43">
        <v>7</v>
      </c>
      <c r="C40" s="43" t="s">
        <v>430</v>
      </c>
      <c r="D40" s="43" t="s">
        <v>423</v>
      </c>
      <c r="E40" s="43" t="s">
        <v>444</v>
      </c>
      <c r="F40" s="43" t="s">
        <v>445</v>
      </c>
      <c r="G40" s="43">
        <v>55480</v>
      </c>
      <c r="H40" s="43">
        <v>55481</v>
      </c>
      <c r="I40" s="43">
        <v>55416</v>
      </c>
      <c r="J40" s="43">
        <v>1100</v>
      </c>
      <c r="K40" s="43">
        <v>1100</v>
      </c>
      <c r="L40" s="43" t="s">
        <v>372</v>
      </c>
      <c r="M40" s="43" t="s">
        <v>426</v>
      </c>
      <c r="N40" s="44">
        <v>0.104834</v>
      </c>
      <c r="O40" s="43" t="s">
        <v>405</v>
      </c>
      <c r="P40" s="43" t="s">
        <v>406</v>
      </c>
      <c r="Q40" s="43">
        <v>2</v>
      </c>
      <c r="R40" s="43">
        <v>10</v>
      </c>
      <c r="S40" s="43" t="s">
        <v>407</v>
      </c>
      <c r="T40" s="43" t="s">
        <v>449</v>
      </c>
      <c r="U40" s="43" t="s">
        <v>435</v>
      </c>
      <c r="V40" s="45">
        <v>11.234235</v>
      </c>
      <c r="W40" s="45">
        <v>0.6</v>
      </c>
      <c r="X40" s="45">
        <f t="shared" si="1"/>
        <v>0.47109191679600004</v>
      </c>
    </row>
    <row r="41" spans="1:24" x14ac:dyDescent="0.2">
      <c r="A41" s="43">
        <v>3</v>
      </c>
      <c r="B41" s="43">
        <v>7</v>
      </c>
      <c r="C41" s="43" t="s">
        <v>430</v>
      </c>
      <c r="D41" s="43" t="s">
        <v>423</v>
      </c>
      <c r="E41" s="43" t="s">
        <v>444</v>
      </c>
      <c r="F41" s="43" t="s">
        <v>445</v>
      </c>
      <c r="G41" s="43">
        <v>55509</v>
      </c>
      <c r="H41" s="43">
        <v>55510</v>
      </c>
      <c r="I41" s="43">
        <v>55445</v>
      </c>
      <c r="J41" s="43">
        <v>1200</v>
      </c>
      <c r="K41" s="43">
        <v>1200</v>
      </c>
      <c r="L41" s="43" t="s">
        <v>372</v>
      </c>
      <c r="M41" s="43" t="s">
        <v>426</v>
      </c>
      <c r="N41" s="44">
        <v>0.76563499999999995</v>
      </c>
      <c r="O41" s="43" t="s">
        <v>405</v>
      </c>
      <c r="P41" s="43" t="s">
        <v>406</v>
      </c>
      <c r="Q41" s="43">
        <v>19</v>
      </c>
      <c r="R41" s="43">
        <v>10</v>
      </c>
      <c r="S41" s="43" t="s">
        <v>407</v>
      </c>
      <c r="T41" s="43" t="s">
        <v>441</v>
      </c>
      <c r="U41" s="43" t="s">
        <v>437</v>
      </c>
      <c r="V41" s="45">
        <v>23.305396999999999</v>
      </c>
      <c r="W41" s="45">
        <v>0.6</v>
      </c>
      <c r="X41" s="45">
        <f t="shared" si="1"/>
        <v>7.1373710528379988</v>
      </c>
    </row>
    <row r="42" spans="1:24" x14ac:dyDescent="0.2">
      <c r="A42" s="43">
        <v>3</v>
      </c>
      <c r="B42" s="43">
        <v>7</v>
      </c>
      <c r="C42" s="43" t="s">
        <v>430</v>
      </c>
      <c r="D42" s="43" t="s">
        <v>423</v>
      </c>
      <c r="E42" s="43" t="s">
        <v>444</v>
      </c>
      <c r="F42" s="43" t="s">
        <v>445</v>
      </c>
      <c r="G42" s="43">
        <v>55510</v>
      </c>
      <c r="H42" s="43">
        <v>55511</v>
      </c>
      <c r="I42" s="43">
        <v>55446</v>
      </c>
      <c r="J42" s="43">
        <v>1200</v>
      </c>
      <c r="K42" s="43">
        <v>1200</v>
      </c>
      <c r="L42" s="43" t="s">
        <v>372</v>
      </c>
      <c r="M42" s="43" t="s">
        <v>426</v>
      </c>
      <c r="N42" s="44">
        <v>0.83016900000000005</v>
      </c>
      <c r="O42" s="43" t="s">
        <v>405</v>
      </c>
      <c r="P42" s="43" t="s">
        <v>406</v>
      </c>
      <c r="Q42" s="43">
        <v>19</v>
      </c>
      <c r="R42" s="43">
        <v>10</v>
      </c>
      <c r="S42" s="43" t="s">
        <v>407</v>
      </c>
      <c r="T42" s="43" t="s">
        <v>441</v>
      </c>
      <c r="U42" s="43" t="s">
        <v>437</v>
      </c>
      <c r="V42" s="45">
        <v>23.305396999999999</v>
      </c>
      <c r="W42" s="45">
        <v>0.6</v>
      </c>
      <c r="X42" s="45">
        <f t="shared" si="1"/>
        <v>7.7389672488372003</v>
      </c>
    </row>
    <row r="43" spans="1:24" x14ac:dyDescent="0.2">
      <c r="A43" s="43">
        <v>3</v>
      </c>
      <c r="B43" s="43">
        <v>7</v>
      </c>
      <c r="C43" s="43" t="s">
        <v>430</v>
      </c>
      <c r="D43" s="43" t="s">
        <v>423</v>
      </c>
      <c r="E43" s="43" t="s">
        <v>444</v>
      </c>
      <c r="F43" s="43" t="s">
        <v>445</v>
      </c>
      <c r="G43" s="43">
        <v>55599</v>
      </c>
      <c r="H43" s="43">
        <v>55600</v>
      </c>
      <c r="I43" s="43">
        <v>55535</v>
      </c>
      <c r="J43" s="43">
        <v>1400</v>
      </c>
      <c r="K43" s="43">
        <v>1400</v>
      </c>
      <c r="L43" s="43" t="s">
        <v>372</v>
      </c>
      <c r="M43" s="43" t="s">
        <v>426</v>
      </c>
      <c r="N43" s="44">
        <v>0.25919900000000001</v>
      </c>
      <c r="O43" s="43" t="s">
        <v>405</v>
      </c>
      <c r="P43" s="43" t="s">
        <v>406</v>
      </c>
      <c r="Q43" s="43">
        <v>3</v>
      </c>
      <c r="R43" s="43">
        <v>10</v>
      </c>
      <c r="S43" s="43" t="s">
        <v>407</v>
      </c>
      <c r="T43" s="43" t="s">
        <v>408</v>
      </c>
      <c r="U43" s="43" t="s">
        <v>408</v>
      </c>
      <c r="V43" s="45">
        <v>7.8337940000000001</v>
      </c>
      <c r="W43" s="45">
        <v>0.6</v>
      </c>
      <c r="X43" s="45">
        <f t="shared" si="1"/>
        <v>0.81220462840240004</v>
      </c>
    </row>
    <row r="44" spans="1:24" x14ac:dyDescent="0.2">
      <c r="A44" s="43">
        <v>3</v>
      </c>
      <c r="B44" s="43">
        <v>7</v>
      </c>
      <c r="C44" s="43" t="s">
        <v>430</v>
      </c>
      <c r="D44" s="43" t="s">
        <v>423</v>
      </c>
      <c r="E44" s="43" t="s">
        <v>444</v>
      </c>
      <c r="F44" s="43" t="s">
        <v>445</v>
      </c>
      <c r="G44" s="43">
        <v>55600</v>
      </c>
      <c r="H44" s="43">
        <v>55601</v>
      </c>
      <c r="I44" s="43">
        <v>55536</v>
      </c>
      <c r="J44" s="43">
        <v>1400</v>
      </c>
      <c r="K44" s="43">
        <v>1400</v>
      </c>
      <c r="L44" s="43" t="s">
        <v>372</v>
      </c>
      <c r="M44" s="43" t="s">
        <v>426</v>
      </c>
      <c r="N44" s="44">
        <v>0.31060199999999999</v>
      </c>
      <c r="O44" s="43" t="s">
        <v>405</v>
      </c>
      <c r="P44" s="43" t="s">
        <v>406</v>
      </c>
      <c r="Q44" s="43">
        <v>3</v>
      </c>
      <c r="R44" s="43">
        <v>10</v>
      </c>
      <c r="S44" s="43" t="s">
        <v>407</v>
      </c>
      <c r="T44" s="43" t="s">
        <v>408</v>
      </c>
      <c r="U44" s="43" t="s">
        <v>408</v>
      </c>
      <c r="V44" s="45">
        <v>7.8337940000000001</v>
      </c>
      <c r="W44" s="45">
        <v>0.6</v>
      </c>
      <c r="X44" s="45">
        <f t="shared" si="1"/>
        <v>0.97327683359520012</v>
      </c>
    </row>
    <row r="45" spans="1:24" x14ac:dyDescent="0.2">
      <c r="A45" s="43">
        <v>3</v>
      </c>
      <c r="B45" s="43">
        <v>7</v>
      </c>
      <c r="C45" s="43" t="s">
        <v>430</v>
      </c>
      <c r="D45" s="43" t="s">
        <v>423</v>
      </c>
      <c r="E45" s="43" t="s">
        <v>444</v>
      </c>
      <c r="F45" s="43" t="s">
        <v>445</v>
      </c>
      <c r="G45" s="43">
        <v>55643</v>
      </c>
      <c r="H45" s="43">
        <v>55644</v>
      </c>
      <c r="I45" s="43">
        <v>55579</v>
      </c>
      <c r="J45" s="43">
        <v>1700</v>
      </c>
      <c r="K45" s="43">
        <v>1700</v>
      </c>
      <c r="L45" s="43" t="s">
        <v>372</v>
      </c>
      <c r="M45" s="43" t="s">
        <v>426</v>
      </c>
      <c r="N45" s="44">
        <v>5.3422699999999997E-2</v>
      </c>
      <c r="O45" s="43" t="s">
        <v>405</v>
      </c>
      <c r="P45" s="43" t="s">
        <v>406</v>
      </c>
      <c r="Q45" s="43">
        <v>3</v>
      </c>
      <c r="R45" s="43">
        <v>10</v>
      </c>
      <c r="S45" s="43" t="s">
        <v>407</v>
      </c>
      <c r="T45" s="43" t="s">
        <v>450</v>
      </c>
      <c r="U45" s="43" t="s">
        <v>408</v>
      </c>
      <c r="V45" s="45">
        <v>7.8337940000000001</v>
      </c>
      <c r="W45" s="45">
        <v>0.6</v>
      </c>
      <c r="X45" s="45">
        <f t="shared" si="1"/>
        <v>0.16740097068952001</v>
      </c>
    </row>
    <row r="46" spans="1:24" x14ac:dyDescent="0.2">
      <c r="A46" s="43">
        <v>3</v>
      </c>
      <c r="B46" s="43">
        <v>7</v>
      </c>
      <c r="C46" s="43" t="s">
        <v>430</v>
      </c>
      <c r="D46" s="43" t="s">
        <v>423</v>
      </c>
      <c r="E46" s="43" t="s">
        <v>444</v>
      </c>
      <c r="F46" s="43" t="s">
        <v>445</v>
      </c>
      <c r="G46" s="43">
        <v>55644</v>
      </c>
      <c r="H46" s="43">
        <v>55645</v>
      </c>
      <c r="I46" s="43">
        <v>55580</v>
      </c>
      <c r="J46" s="43">
        <v>1700</v>
      </c>
      <c r="K46" s="43">
        <v>1700</v>
      </c>
      <c r="L46" s="43" t="s">
        <v>372</v>
      </c>
      <c r="M46" s="43" t="s">
        <v>426</v>
      </c>
      <c r="N46" s="44">
        <v>3.8128000000000002E-2</v>
      </c>
      <c r="O46" s="43" t="s">
        <v>405</v>
      </c>
      <c r="P46" s="43" t="s">
        <v>406</v>
      </c>
      <c r="Q46" s="43">
        <v>3</v>
      </c>
      <c r="R46" s="43">
        <v>10</v>
      </c>
      <c r="S46" s="43" t="s">
        <v>407</v>
      </c>
      <c r="T46" s="43" t="s">
        <v>450</v>
      </c>
      <c r="U46" s="43" t="s">
        <v>408</v>
      </c>
      <c r="V46" s="45">
        <v>7.8337940000000001</v>
      </c>
      <c r="W46" s="45">
        <v>0.6</v>
      </c>
      <c r="X46" s="45">
        <f t="shared" si="1"/>
        <v>0.11947475905280001</v>
      </c>
    </row>
    <row r="47" spans="1:24" x14ac:dyDescent="0.2">
      <c r="A47" s="43">
        <v>3</v>
      </c>
      <c r="B47" s="43">
        <v>7</v>
      </c>
      <c r="C47" s="43" t="s">
        <v>430</v>
      </c>
      <c r="D47" s="43" t="s">
        <v>423</v>
      </c>
      <c r="E47" s="43" t="s">
        <v>444</v>
      </c>
      <c r="F47" s="43" t="s">
        <v>445</v>
      </c>
      <c r="G47" s="43">
        <v>55645</v>
      </c>
      <c r="H47" s="43">
        <v>55646</v>
      </c>
      <c r="I47" s="43">
        <v>55581</v>
      </c>
      <c r="J47" s="43">
        <v>1700</v>
      </c>
      <c r="K47" s="43">
        <v>1700</v>
      </c>
      <c r="L47" s="43" t="s">
        <v>372</v>
      </c>
      <c r="M47" s="43" t="s">
        <v>426</v>
      </c>
      <c r="N47" s="44">
        <v>0.112721</v>
      </c>
      <c r="O47" s="43" t="s">
        <v>405</v>
      </c>
      <c r="P47" s="43" t="s">
        <v>406</v>
      </c>
      <c r="Q47" s="43">
        <v>3</v>
      </c>
      <c r="R47" s="43">
        <v>10</v>
      </c>
      <c r="S47" s="43" t="s">
        <v>407</v>
      </c>
      <c r="T47" s="43" t="s">
        <v>450</v>
      </c>
      <c r="U47" s="43" t="s">
        <v>408</v>
      </c>
      <c r="V47" s="45">
        <v>7.8337940000000001</v>
      </c>
      <c r="W47" s="45">
        <v>0.6</v>
      </c>
      <c r="X47" s="45">
        <f t="shared" si="1"/>
        <v>0.35321323738960003</v>
      </c>
    </row>
    <row r="48" spans="1:24" x14ac:dyDescent="0.2">
      <c r="A48" s="43">
        <v>3</v>
      </c>
      <c r="B48" s="43">
        <v>7</v>
      </c>
      <c r="C48" s="43" t="s">
        <v>430</v>
      </c>
      <c r="D48" s="43" t="s">
        <v>423</v>
      </c>
      <c r="E48" s="43" t="s">
        <v>444</v>
      </c>
      <c r="F48" s="43" t="s">
        <v>445</v>
      </c>
      <c r="G48" s="43">
        <v>55753</v>
      </c>
      <c r="H48" s="43">
        <v>55754</v>
      </c>
      <c r="I48" s="43">
        <v>55689</v>
      </c>
      <c r="J48" s="43">
        <v>2410</v>
      </c>
      <c r="K48" s="43">
        <v>2410</v>
      </c>
      <c r="L48" s="43" t="s">
        <v>372</v>
      </c>
      <c r="M48" s="43" t="s">
        <v>426</v>
      </c>
      <c r="N48" s="44">
        <v>4.8819200000000002E-5</v>
      </c>
      <c r="O48" s="43" t="s">
        <v>405</v>
      </c>
      <c r="P48" s="43" t="s">
        <v>406</v>
      </c>
      <c r="Q48" s="43">
        <v>35</v>
      </c>
      <c r="R48" s="43">
        <v>28</v>
      </c>
      <c r="S48" s="43" t="s">
        <v>451</v>
      </c>
      <c r="T48" s="43" t="s">
        <v>452</v>
      </c>
      <c r="U48" s="43" t="s">
        <v>452</v>
      </c>
      <c r="V48" s="45">
        <v>115.687111</v>
      </c>
      <c r="W48" s="45">
        <v>0.6</v>
      </c>
      <c r="X48" s="45">
        <f t="shared" si="1"/>
        <v>2.2591008837324804E-3</v>
      </c>
    </row>
    <row r="49" spans="1:24" x14ac:dyDescent="0.2">
      <c r="A49" s="43">
        <v>3</v>
      </c>
      <c r="B49" s="43">
        <v>7</v>
      </c>
      <c r="C49" s="43" t="s">
        <v>430</v>
      </c>
      <c r="D49" s="43" t="s">
        <v>423</v>
      </c>
      <c r="E49" s="43" t="s">
        <v>444</v>
      </c>
      <c r="F49" s="43" t="s">
        <v>445</v>
      </c>
      <c r="G49" s="43">
        <v>55754</v>
      </c>
      <c r="H49" s="43">
        <v>55755</v>
      </c>
      <c r="I49" s="43">
        <v>55690</v>
      </c>
      <c r="J49" s="43">
        <v>2410</v>
      </c>
      <c r="K49" s="43">
        <v>2410</v>
      </c>
      <c r="L49" s="43" t="s">
        <v>372</v>
      </c>
      <c r="M49" s="43" t="s">
        <v>426</v>
      </c>
      <c r="N49" s="44">
        <v>3.4774599999999999E-3</v>
      </c>
      <c r="O49" s="43" t="s">
        <v>405</v>
      </c>
      <c r="P49" s="43" t="s">
        <v>406</v>
      </c>
      <c r="Q49" s="43">
        <v>35</v>
      </c>
      <c r="R49" s="43">
        <v>28</v>
      </c>
      <c r="S49" s="43" t="s">
        <v>451</v>
      </c>
      <c r="T49" s="43" t="s">
        <v>452</v>
      </c>
      <c r="U49" s="43" t="s">
        <v>452</v>
      </c>
      <c r="V49" s="45">
        <v>115.687111</v>
      </c>
      <c r="W49" s="45">
        <v>0.6</v>
      </c>
      <c r="X49" s="45">
        <f t="shared" si="1"/>
        <v>0.160918920407224</v>
      </c>
    </row>
    <row r="50" spans="1:24" x14ac:dyDescent="0.2">
      <c r="A50" s="43">
        <v>3</v>
      </c>
      <c r="B50" s="43">
        <v>7</v>
      </c>
      <c r="C50" s="43" t="s">
        <v>430</v>
      </c>
      <c r="D50" s="43" t="s">
        <v>423</v>
      </c>
      <c r="E50" s="43" t="s">
        <v>444</v>
      </c>
      <c r="F50" s="43" t="s">
        <v>445</v>
      </c>
      <c r="G50" s="43">
        <v>55756</v>
      </c>
      <c r="H50" s="43">
        <v>55757</v>
      </c>
      <c r="I50" s="43">
        <v>55692</v>
      </c>
      <c r="J50" s="43">
        <v>2430</v>
      </c>
      <c r="K50" s="43">
        <v>2430</v>
      </c>
      <c r="L50" s="43" t="s">
        <v>372</v>
      </c>
      <c r="M50" s="43" t="s">
        <v>426</v>
      </c>
      <c r="N50" s="44">
        <v>6.3125700000000007E-2</v>
      </c>
      <c r="O50" s="43" t="s">
        <v>405</v>
      </c>
      <c r="P50" s="43" t="s">
        <v>406</v>
      </c>
      <c r="Q50" s="43">
        <v>37</v>
      </c>
      <c r="R50" s="43">
        <v>28</v>
      </c>
      <c r="S50" s="43" t="s">
        <v>451</v>
      </c>
      <c r="T50" s="43" t="s">
        <v>453</v>
      </c>
      <c r="U50" s="43" t="s">
        <v>454</v>
      </c>
      <c r="V50" s="45">
        <v>77.910511</v>
      </c>
      <c r="W50" s="45">
        <v>0.6</v>
      </c>
      <c r="X50" s="45">
        <f t="shared" si="1"/>
        <v>1.9672622176930803</v>
      </c>
    </row>
    <row r="51" spans="1:24" x14ac:dyDescent="0.2">
      <c r="A51" s="43">
        <v>3</v>
      </c>
      <c r="B51" s="43">
        <v>7</v>
      </c>
      <c r="C51" s="43" t="s">
        <v>430</v>
      </c>
      <c r="D51" s="43" t="s">
        <v>423</v>
      </c>
      <c r="E51" s="43" t="s">
        <v>444</v>
      </c>
      <c r="F51" s="43" t="s">
        <v>445</v>
      </c>
      <c r="G51" s="43">
        <v>55757</v>
      </c>
      <c r="H51" s="43">
        <v>55758</v>
      </c>
      <c r="I51" s="43">
        <v>55693</v>
      </c>
      <c r="J51" s="43">
        <v>2430</v>
      </c>
      <c r="K51" s="43">
        <v>2430</v>
      </c>
      <c r="L51" s="43" t="s">
        <v>372</v>
      </c>
      <c r="M51" s="43" t="s">
        <v>426</v>
      </c>
      <c r="N51" s="44">
        <v>5.0538800000000002E-2</v>
      </c>
      <c r="O51" s="43" t="s">
        <v>405</v>
      </c>
      <c r="P51" s="43" t="s">
        <v>406</v>
      </c>
      <c r="Q51" s="43">
        <v>37</v>
      </c>
      <c r="R51" s="43">
        <v>28</v>
      </c>
      <c r="S51" s="43" t="s">
        <v>451</v>
      </c>
      <c r="T51" s="43" t="s">
        <v>453</v>
      </c>
      <c r="U51" s="43" t="s">
        <v>454</v>
      </c>
      <c r="V51" s="45">
        <v>77.910511</v>
      </c>
      <c r="W51" s="45">
        <v>0.6</v>
      </c>
      <c r="X51" s="45">
        <f t="shared" si="1"/>
        <v>1.5750014933307201</v>
      </c>
    </row>
    <row r="52" spans="1:24" x14ac:dyDescent="0.2">
      <c r="A52" s="43">
        <v>3</v>
      </c>
      <c r="B52" s="43">
        <v>7</v>
      </c>
      <c r="C52" s="43" t="s">
        <v>430</v>
      </c>
      <c r="D52" s="43" t="s">
        <v>423</v>
      </c>
      <c r="E52" s="43" t="s">
        <v>444</v>
      </c>
      <c r="F52" s="43" t="s">
        <v>445</v>
      </c>
      <c r="G52" s="43">
        <v>55793</v>
      </c>
      <c r="H52" s="43">
        <v>55794</v>
      </c>
      <c r="I52" s="43">
        <v>55729</v>
      </c>
      <c r="J52" s="43">
        <v>3200</v>
      </c>
      <c r="K52" s="43">
        <v>3200</v>
      </c>
      <c r="L52" s="43" t="s">
        <v>372</v>
      </c>
      <c r="M52" s="43" t="s">
        <v>426</v>
      </c>
      <c r="N52" s="44">
        <v>2.8028899999999999E-2</v>
      </c>
      <c r="O52" s="43" t="s">
        <v>405</v>
      </c>
      <c r="P52" s="43" t="s">
        <v>406</v>
      </c>
      <c r="Q52" s="43">
        <v>5</v>
      </c>
      <c r="R52" s="43">
        <v>30</v>
      </c>
      <c r="S52" s="43" t="s">
        <v>455</v>
      </c>
      <c r="T52" s="43" t="s">
        <v>456</v>
      </c>
      <c r="U52" s="43" t="s">
        <v>414</v>
      </c>
      <c r="V52" s="45">
        <v>8.1290569999999995</v>
      </c>
      <c r="W52" s="45">
        <v>0.6</v>
      </c>
      <c r="X52" s="45">
        <f t="shared" si="1"/>
        <v>9.113941029891999E-2</v>
      </c>
    </row>
    <row r="53" spans="1:24" x14ac:dyDescent="0.2">
      <c r="A53" s="43">
        <v>3</v>
      </c>
      <c r="B53" s="43">
        <v>7</v>
      </c>
      <c r="C53" s="43" t="s">
        <v>430</v>
      </c>
      <c r="D53" s="43" t="s">
        <v>423</v>
      </c>
      <c r="E53" s="43" t="s">
        <v>444</v>
      </c>
      <c r="F53" s="43" t="s">
        <v>445</v>
      </c>
      <c r="G53" s="43">
        <v>55830</v>
      </c>
      <c r="H53" s="43">
        <v>55831</v>
      </c>
      <c r="I53" s="43">
        <v>55766</v>
      </c>
      <c r="J53" s="43">
        <v>4340</v>
      </c>
      <c r="K53" s="43">
        <v>4340</v>
      </c>
      <c r="L53" s="43" t="s">
        <v>372</v>
      </c>
      <c r="M53" s="43" t="s">
        <v>426</v>
      </c>
      <c r="N53" s="44">
        <v>0.21651400000000001</v>
      </c>
      <c r="O53" s="43" t="s">
        <v>405</v>
      </c>
      <c r="P53" s="43" t="s">
        <v>406</v>
      </c>
      <c r="Q53" s="43">
        <v>7</v>
      </c>
      <c r="R53" s="43">
        <v>40</v>
      </c>
      <c r="S53" s="43" t="s">
        <v>412</v>
      </c>
      <c r="T53" s="43" t="s">
        <v>415</v>
      </c>
      <c r="U53" s="43" t="s">
        <v>416</v>
      </c>
      <c r="V53" s="45">
        <v>7.558414</v>
      </c>
      <c r="W53" s="45">
        <v>0.6</v>
      </c>
      <c r="X53" s="45">
        <f t="shared" si="1"/>
        <v>0.65460097951840002</v>
      </c>
    </row>
    <row r="54" spans="1:24" x14ac:dyDescent="0.2">
      <c r="A54" s="43">
        <v>3</v>
      </c>
      <c r="B54" s="43">
        <v>7</v>
      </c>
      <c r="C54" s="43" t="s">
        <v>430</v>
      </c>
      <c r="D54" s="43" t="s">
        <v>423</v>
      </c>
      <c r="E54" s="43" t="s">
        <v>444</v>
      </c>
      <c r="F54" s="43" t="s">
        <v>445</v>
      </c>
      <c r="G54" s="43">
        <v>56350</v>
      </c>
      <c r="H54" s="43">
        <v>56351</v>
      </c>
      <c r="I54" s="43">
        <v>56286</v>
      </c>
      <c r="J54" s="43">
        <v>8140</v>
      </c>
      <c r="K54" s="43">
        <v>8140</v>
      </c>
      <c r="L54" s="43" t="s">
        <v>372</v>
      </c>
      <c r="M54" s="43" t="s">
        <v>426</v>
      </c>
      <c r="N54" s="44">
        <v>6.8479700000000001E-3</v>
      </c>
      <c r="O54" s="43" t="s">
        <v>405</v>
      </c>
      <c r="P54" s="43" t="s">
        <v>406</v>
      </c>
      <c r="Q54" s="43">
        <v>18</v>
      </c>
      <c r="R54" s="43">
        <v>10</v>
      </c>
      <c r="S54" s="43" t="s">
        <v>407</v>
      </c>
      <c r="T54" s="43" t="s">
        <v>420</v>
      </c>
      <c r="U54" s="43" t="s">
        <v>421</v>
      </c>
      <c r="V54" s="45">
        <v>3.4929570000000001</v>
      </c>
      <c r="W54" s="45">
        <v>0.6</v>
      </c>
      <c r="X54" s="45">
        <f t="shared" si="1"/>
        <v>9.5678658989160007E-3</v>
      </c>
    </row>
    <row r="55" spans="1:24" x14ac:dyDescent="0.2">
      <c r="X55" s="45">
        <f>SUM(X30:X54)</f>
        <v>29.038661199399769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opLeftCell="O1" workbookViewId="0">
      <selection activeCell="W21" sqref="W21:W3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2</v>
      </c>
      <c r="B2" s="43">
        <v>4</v>
      </c>
      <c r="C2" s="43" t="s">
        <v>430</v>
      </c>
      <c r="D2" s="43" t="s">
        <v>431</v>
      </c>
      <c r="E2" s="43" t="s">
        <v>432</v>
      </c>
      <c r="F2" s="43" t="s">
        <v>433</v>
      </c>
      <c r="G2" s="43">
        <v>1590</v>
      </c>
      <c r="H2" s="43">
        <v>1591</v>
      </c>
      <c r="I2" s="43">
        <v>1551</v>
      </c>
      <c r="J2" s="43">
        <v>1110</v>
      </c>
      <c r="K2" s="43">
        <v>1110</v>
      </c>
      <c r="L2" s="43" t="s">
        <v>372</v>
      </c>
      <c r="M2" s="43" t="s">
        <v>426</v>
      </c>
      <c r="N2" s="44">
        <v>0.13341500000000001</v>
      </c>
      <c r="O2" s="43" t="s">
        <v>405</v>
      </c>
      <c r="P2" s="43" t="s">
        <v>406</v>
      </c>
      <c r="Q2" s="43">
        <v>2</v>
      </c>
      <c r="R2" s="43">
        <v>10</v>
      </c>
      <c r="S2" s="43" t="s">
        <v>407</v>
      </c>
      <c r="T2" s="43" t="s">
        <v>434</v>
      </c>
      <c r="U2" s="43" t="s">
        <v>435</v>
      </c>
      <c r="V2" s="45">
        <v>0.48648799999999998</v>
      </c>
      <c r="W2" s="45">
        <v>0.78300000000000003</v>
      </c>
      <c r="X2" s="45">
        <f t="shared" ref="X2:X17" si="0">N2*V2*(1-W2)</f>
        <v>1.4084340844839999E-2</v>
      </c>
    </row>
    <row r="3" spans="1:24" x14ac:dyDescent="0.2">
      <c r="A3" s="43">
        <v>2</v>
      </c>
      <c r="B3" s="43">
        <v>4</v>
      </c>
      <c r="C3" s="43" t="s">
        <v>430</v>
      </c>
      <c r="D3" s="43" t="s">
        <v>431</v>
      </c>
      <c r="E3" s="43" t="s">
        <v>432</v>
      </c>
      <c r="F3" s="43" t="s">
        <v>433</v>
      </c>
      <c r="G3" s="43">
        <v>3059</v>
      </c>
      <c r="H3" s="43">
        <v>3060</v>
      </c>
      <c r="I3" s="43">
        <v>2988</v>
      </c>
      <c r="J3" s="43">
        <v>1210</v>
      </c>
      <c r="K3" s="43">
        <v>1210</v>
      </c>
      <c r="L3" s="43" t="s">
        <v>372</v>
      </c>
      <c r="M3" s="43" t="s">
        <v>426</v>
      </c>
      <c r="N3" s="44">
        <v>1.7736700000000001</v>
      </c>
      <c r="O3" s="43" t="s">
        <v>405</v>
      </c>
      <c r="P3" s="43" t="s">
        <v>406</v>
      </c>
      <c r="Q3" s="43">
        <v>19</v>
      </c>
      <c r="R3" s="43">
        <v>10</v>
      </c>
      <c r="S3" s="43" t="s">
        <v>407</v>
      </c>
      <c r="T3" s="43" t="s">
        <v>436</v>
      </c>
      <c r="U3" s="43" t="s">
        <v>437</v>
      </c>
      <c r="V3" s="45">
        <v>0.60924900000000004</v>
      </c>
      <c r="W3" s="45">
        <v>0.78300000000000003</v>
      </c>
      <c r="X3" s="45">
        <f t="shared" si="0"/>
        <v>0.23449164822111002</v>
      </c>
    </row>
    <row r="4" spans="1:24" x14ac:dyDescent="0.2">
      <c r="A4" s="43">
        <v>2</v>
      </c>
      <c r="B4" s="43">
        <v>4</v>
      </c>
      <c r="C4" s="43" t="s">
        <v>430</v>
      </c>
      <c r="D4" s="43" t="s">
        <v>431</v>
      </c>
      <c r="E4" s="43" t="s">
        <v>432</v>
      </c>
      <c r="F4" s="43" t="s">
        <v>433</v>
      </c>
      <c r="G4" s="43">
        <v>3060</v>
      </c>
      <c r="H4" s="43">
        <v>3061</v>
      </c>
      <c r="I4" s="43">
        <v>2989</v>
      </c>
      <c r="J4" s="43">
        <v>1210</v>
      </c>
      <c r="K4" s="43">
        <v>1210</v>
      </c>
      <c r="L4" s="43" t="s">
        <v>372</v>
      </c>
      <c r="M4" s="43" t="s">
        <v>426</v>
      </c>
      <c r="N4" s="44">
        <v>0.70408000000000004</v>
      </c>
      <c r="O4" s="43" t="s">
        <v>405</v>
      </c>
      <c r="P4" s="43" t="s">
        <v>406</v>
      </c>
      <c r="Q4" s="43">
        <v>19</v>
      </c>
      <c r="R4" s="43">
        <v>10</v>
      </c>
      <c r="S4" s="43" t="s">
        <v>407</v>
      </c>
      <c r="T4" s="43" t="s">
        <v>436</v>
      </c>
      <c r="U4" s="43" t="s">
        <v>437</v>
      </c>
      <c r="V4" s="45">
        <v>0.60924900000000004</v>
      </c>
      <c r="W4" s="45">
        <v>0.78300000000000003</v>
      </c>
      <c r="X4" s="45">
        <f t="shared" si="0"/>
        <v>9.3084327794640001E-2</v>
      </c>
    </row>
    <row r="5" spans="1:24" x14ac:dyDescent="0.2">
      <c r="A5" s="43">
        <v>2</v>
      </c>
      <c r="B5" s="43">
        <v>4</v>
      </c>
      <c r="C5" s="43" t="s">
        <v>430</v>
      </c>
      <c r="D5" s="43" t="s">
        <v>431</v>
      </c>
      <c r="E5" s="43" t="s">
        <v>432</v>
      </c>
      <c r="F5" s="43" t="s">
        <v>433</v>
      </c>
      <c r="G5" s="43">
        <v>3061</v>
      </c>
      <c r="H5" s="43">
        <v>3062</v>
      </c>
      <c r="I5" s="43">
        <v>2990</v>
      </c>
      <c r="J5" s="43">
        <v>1210</v>
      </c>
      <c r="K5" s="43">
        <v>1210</v>
      </c>
      <c r="L5" s="43" t="s">
        <v>372</v>
      </c>
      <c r="M5" s="43" t="s">
        <v>426</v>
      </c>
      <c r="N5" s="44">
        <v>0.222611</v>
      </c>
      <c r="O5" s="43" t="s">
        <v>405</v>
      </c>
      <c r="P5" s="43" t="s">
        <v>406</v>
      </c>
      <c r="Q5" s="43">
        <v>19</v>
      </c>
      <c r="R5" s="43">
        <v>10</v>
      </c>
      <c r="S5" s="43" t="s">
        <v>407</v>
      </c>
      <c r="T5" s="43" t="s">
        <v>436</v>
      </c>
      <c r="U5" s="43" t="s">
        <v>437</v>
      </c>
      <c r="V5" s="45">
        <v>0.60924900000000004</v>
      </c>
      <c r="W5" s="45">
        <v>0.78300000000000003</v>
      </c>
      <c r="X5" s="45">
        <f t="shared" si="0"/>
        <v>2.9430739823162997E-2</v>
      </c>
    </row>
    <row r="6" spans="1:24" x14ac:dyDescent="0.2">
      <c r="A6" s="43">
        <v>2</v>
      </c>
      <c r="B6" s="43">
        <v>4</v>
      </c>
      <c r="C6" s="43" t="s">
        <v>430</v>
      </c>
      <c r="D6" s="43" t="s">
        <v>431</v>
      </c>
      <c r="E6" s="43" t="s">
        <v>432</v>
      </c>
      <c r="F6" s="43" t="s">
        <v>433</v>
      </c>
      <c r="G6" s="43">
        <v>4526</v>
      </c>
      <c r="H6" s="43">
        <v>4527</v>
      </c>
      <c r="I6" s="43">
        <v>4495</v>
      </c>
      <c r="J6" s="43">
        <v>1400</v>
      </c>
      <c r="K6" s="43">
        <v>1400</v>
      </c>
      <c r="L6" s="43" t="s">
        <v>372</v>
      </c>
      <c r="M6" s="43" t="s">
        <v>426</v>
      </c>
      <c r="N6" s="44">
        <v>0.15601100000000001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0.78300000000000003</v>
      </c>
      <c r="X6" s="45">
        <f t="shared" si="0"/>
        <v>6.0092349430287996E-2</v>
      </c>
    </row>
    <row r="7" spans="1:24" x14ac:dyDescent="0.2">
      <c r="A7" s="43">
        <v>2</v>
      </c>
      <c r="B7" s="43">
        <v>4</v>
      </c>
      <c r="C7" s="43" t="s">
        <v>430</v>
      </c>
      <c r="D7" s="43" t="s">
        <v>431</v>
      </c>
      <c r="E7" s="43" t="s">
        <v>432</v>
      </c>
      <c r="F7" s="43" t="s">
        <v>433</v>
      </c>
      <c r="G7" s="43">
        <v>4527</v>
      </c>
      <c r="H7" s="43">
        <v>4528</v>
      </c>
      <c r="I7" s="43">
        <v>4496</v>
      </c>
      <c r="J7" s="43">
        <v>1400</v>
      </c>
      <c r="K7" s="43">
        <v>1400</v>
      </c>
      <c r="L7" s="43" t="s">
        <v>372</v>
      </c>
      <c r="M7" s="43" t="s">
        <v>426</v>
      </c>
      <c r="N7" s="44">
        <v>0.263876</v>
      </c>
      <c r="O7" s="43" t="s">
        <v>405</v>
      </c>
      <c r="P7" s="43" t="s">
        <v>406</v>
      </c>
      <c r="Q7" s="43">
        <v>3</v>
      </c>
      <c r="R7" s="43">
        <v>10</v>
      </c>
      <c r="S7" s="43" t="s">
        <v>407</v>
      </c>
      <c r="T7" s="43" t="s">
        <v>408</v>
      </c>
      <c r="U7" s="43" t="s">
        <v>408</v>
      </c>
      <c r="V7" s="45">
        <v>1.7750239999999999</v>
      </c>
      <c r="W7" s="45">
        <v>0.78300000000000003</v>
      </c>
      <c r="X7" s="45">
        <f t="shared" si="0"/>
        <v>0.10163981256620799</v>
      </c>
    </row>
    <row r="8" spans="1:24" x14ac:dyDescent="0.2">
      <c r="A8" s="43">
        <v>2</v>
      </c>
      <c r="B8" s="43">
        <v>4</v>
      </c>
      <c r="C8" s="43" t="s">
        <v>430</v>
      </c>
      <c r="D8" s="43" t="s">
        <v>431</v>
      </c>
      <c r="E8" s="43" t="s">
        <v>432</v>
      </c>
      <c r="F8" s="43" t="s">
        <v>433</v>
      </c>
      <c r="G8" s="43">
        <v>6155</v>
      </c>
      <c r="H8" s="43">
        <v>6156</v>
      </c>
      <c r="I8" s="43">
        <v>6112</v>
      </c>
      <c r="J8" s="43">
        <v>1900</v>
      </c>
      <c r="K8" s="43">
        <v>1900</v>
      </c>
      <c r="L8" s="43" t="s">
        <v>372</v>
      </c>
      <c r="M8" s="43" t="s">
        <v>426</v>
      </c>
      <c r="N8" s="44">
        <v>6.0824200000000002E-2</v>
      </c>
      <c r="O8" s="43" t="s">
        <v>405</v>
      </c>
      <c r="P8" s="43" t="s">
        <v>406</v>
      </c>
      <c r="Q8" s="43">
        <v>70</v>
      </c>
      <c r="R8" s="43">
        <v>10</v>
      </c>
      <c r="S8" s="43" t="s">
        <v>407</v>
      </c>
      <c r="T8" s="43" t="s">
        <v>410</v>
      </c>
      <c r="U8" s="43" t="s">
        <v>411</v>
      </c>
      <c r="V8" s="45">
        <v>0.19295699999999999</v>
      </c>
      <c r="W8" s="45">
        <v>0.78300000000000003</v>
      </c>
      <c r="X8" s="45">
        <f t="shared" si="0"/>
        <v>2.5468107695897995E-3</v>
      </c>
    </row>
    <row r="9" spans="1:24" x14ac:dyDescent="0.2">
      <c r="A9" s="43">
        <v>2</v>
      </c>
      <c r="B9" s="43">
        <v>4</v>
      </c>
      <c r="C9" s="43" t="s">
        <v>430</v>
      </c>
      <c r="D9" s="43" t="s">
        <v>431</v>
      </c>
      <c r="E9" s="43" t="s">
        <v>432</v>
      </c>
      <c r="F9" s="43" t="s">
        <v>433</v>
      </c>
      <c r="G9" s="43">
        <v>6156</v>
      </c>
      <c r="H9" s="43">
        <v>6157</v>
      </c>
      <c r="I9" s="43">
        <v>6113</v>
      </c>
      <c r="J9" s="43">
        <v>1900</v>
      </c>
      <c r="K9" s="43">
        <v>1900</v>
      </c>
      <c r="L9" s="43" t="s">
        <v>372</v>
      </c>
      <c r="M9" s="43" t="s">
        <v>426</v>
      </c>
      <c r="N9" s="44">
        <v>0.16347100000000001</v>
      </c>
      <c r="O9" s="43" t="s">
        <v>405</v>
      </c>
      <c r="P9" s="43" t="s">
        <v>406</v>
      </c>
      <c r="Q9" s="43">
        <v>70</v>
      </c>
      <c r="R9" s="43">
        <v>10</v>
      </c>
      <c r="S9" s="43" t="s">
        <v>407</v>
      </c>
      <c r="T9" s="43" t="s">
        <v>410</v>
      </c>
      <c r="U9" s="43" t="s">
        <v>411</v>
      </c>
      <c r="V9" s="45">
        <v>0.19295699999999999</v>
      </c>
      <c r="W9" s="45">
        <v>0.78300000000000003</v>
      </c>
      <c r="X9" s="45">
        <f t="shared" si="0"/>
        <v>6.8448036030989996E-3</v>
      </c>
    </row>
    <row r="10" spans="1:24" x14ac:dyDescent="0.2">
      <c r="A10" s="43">
        <v>2</v>
      </c>
      <c r="B10" s="43">
        <v>4</v>
      </c>
      <c r="C10" s="43" t="s">
        <v>430</v>
      </c>
      <c r="D10" s="43" t="s">
        <v>431</v>
      </c>
      <c r="E10" s="43" t="s">
        <v>432</v>
      </c>
      <c r="F10" s="43" t="s">
        <v>433</v>
      </c>
      <c r="G10" s="43">
        <v>17239</v>
      </c>
      <c r="H10" s="43">
        <v>17240</v>
      </c>
      <c r="I10" s="43">
        <v>17229</v>
      </c>
      <c r="J10" s="43">
        <v>4110</v>
      </c>
      <c r="K10" s="43">
        <v>4110</v>
      </c>
      <c r="L10" s="43" t="s">
        <v>372</v>
      </c>
      <c r="M10" s="43" t="s">
        <v>426</v>
      </c>
      <c r="N10" s="44">
        <v>8.1704700000000005E-2</v>
      </c>
      <c r="O10" s="43" t="s">
        <v>405</v>
      </c>
      <c r="P10" s="43" t="s">
        <v>406</v>
      </c>
      <c r="Q10" s="43">
        <v>5</v>
      </c>
      <c r="R10" s="43">
        <v>40</v>
      </c>
      <c r="S10" s="43" t="s">
        <v>412</v>
      </c>
      <c r="T10" s="43" t="s">
        <v>413</v>
      </c>
      <c r="U10" s="43" t="s">
        <v>414</v>
      </c>
      <c r="V10" s="45">
        <v>9.3119999999999994E-2</v>
      </c>
      <c r="W10" s="45">
        <v>0.78300000000000003</v>
      </c>
      <c r="X10" s="45">
        <f t="shared" si="0"/>
        <v>1.6510101410879999E-3</v>
      </c>
    </row>
    <row r="11" spans="1:24" x14ac:dyDescent="0.2">
      <c r="A11" s="43">
        <v>2</v>
      </c>
      <c r="B11" s="43">
        <v>4</v>
      </c>
      <c r="C11" s="43" t="s">
        <v>430</v>
      </c>
      <c r="D11" s="43" t="s">
        <v>431</v>
      </c>
      <c r="E11" s="43" t="s">
        <v>432</v>
      </c>
      <c r="F11" s="43" t="s">
        <v>433</v>
      </c>
      <c r="G11" s="43">
        <v>21272</v>
      </c>
      <c r="H11" s="43">
        <v>21273</v>
      </c>
      <c r="I11" s="43">
        <v>23201</v>
      </c>
      <c r="J11" s="43">
        <v>5300</v>
      </c>
      <c r="K11" s="43">
        <v>5300</v>
      </c>
      <c r="L11" s="43" t="s">
        <v>372</v>
      </c>
      <c r="M11" s="43" t="s">
        <v>426</v>
      </c>
      <c r="N11" s="44">
        <v>0.26635999999999999</v>
      </c>
      <c r="O11" s="43" t="s">
        <v>405</v>
      </c>
      <c r="P11" s="43" t="s">
        <v>406</v>
      </c>
      <c r="Q11" s="43">
        <v>9</v>
      </c>
      <c r="R11" s="43">
        <v>50</v>
      </c>
      <c r="S11" s="43" t="s">
        <v>438</v>
      </c>
      <c r="T11" s="43" t="s">
        <v>439</v>
      </c>
      <c r="U11" s="43" t="s">
        <v>440</v>
      </c>
      <c r="V11" s="45">
        <v>0.128413</v>
      </c>
      <c r="W11" s="45">
        <v>0.78300000000000003</v>
      </c>
      <c r="X11" s="45">
        <f t="shared" si="0"/>
        <v>7.4222868095599982E-3</v>
      </c>
    </row>
    <row r="12" spans="1:24" x14ac:dyDescent="0.2">
      <c r="A12" s="43">
        <v>2</v>
      </c>
      <c r="B12" s="43">
        <v>4</v>
      </c>
      <c r="C12" s="43" t="s">
        <v>430</v>
      </c>
      <c r="D12" s="43" t="s">
        <v>431</v>
      </c>
      <c r="E12" s="43" t="s">
        <v>432</v>
      </c>
      <c r="F12" s="43" t="s">
        <v>433</v>
      </c>
      <c r="G12" s="43">
        <v>55508</v>
      </c>
      <c r="H12" s="43">
        <v>55509</v>
      </c>
      <c r="I12" s="43">
        <v>55444</v>
      </c>
      <c r="J12" s="43">
        <v>1200</v>
      </c>
      <c r="K12" s="43">
        <v>1200</v>
      </c>
      <c r="L12" s="43" t="s">
        <v>372</v>
      </c>
      <c r="M12" s="43" t="s">
        <v>426</v>
      </c>
      <c r="N12" s="44">
        <v>0.19174099999999999</v>
      </c>
      <c r="O12" s="43" t="s">
        <v>405</v>
      </c>
      <c r="P12" s="43" t="s">
        <v>406</v>
      </c>
      <c r="Q12" s="43">
        <v>19</v>
      </c>
      <c r="R12" s="43">
        <v>10</v>
      </c>
      <c r="S12" s="43" t="s">
        <v>407</v>
      </c>
      <c r="T12" s="43" t="s">
        <v>441</v>
      </c>
      <c r="U12" s="43" t="s">
        <v>437</v>
      </c>
      <c r="V12" s="45">
        <v>0.60924900000000004</v>
      </c>
      <c r="W12" s="45">
        <v>0.78300000000000003</v>
      </c>
      <c r="X12" s="45">
        <f t="shared" si="0"/>
        <v>2.5349508714452997E-2</v>
      </c>
    </row>
    <row r="13" spans="1:24" x14ac:dyDescent="0.2">
      <c r="A13" s="43">
        <v>2</v>
      </c>
      <c r="B13" s="43">
        <v>4</v>
      </c>
      <c r="C13" s="43" t="s">
        <v>430</v>
      </c>
      <c r="D13" s="43" t="s">
        <v>431</v>
      </c>
      <c r="E13" s="43" t="s">
        <v>432</v>
      </c>
      <c r="F13" s="43" t="s">
        <v>433</v>
      </c>
      <c r="G13" s="43">
        <v>55511</v>
      </c>
      <c r="H13" s="43">
        <v>55512</v>
      </c>
      <c r="I13" s="43">
        <v>55447</v>
      </c>
      <c r="J13" s="43">
        <v>1200</v>
      </c>
      <c r="K13" s="43">
        <v>1200</v>
      </c>
      <c r="L13" s="43" t="s">
        <v>372</v>
      </c>
      <c r="M13" s="43" t="s">
        <v>426</v>
      </c>
      <c r="N13" s="44">
        <v>5.8811000000000002E-2</v>
      </c>
      <c r="O13" s="43" t="s">
        <v>405</v>
      </c>
      <c r="P13" s="43" t="s">
        <v>406</v>
      </c>
      <c r="Q13" s="43">
        <v>19</v>
      </c>
      <c r="R13" s="43">
        <v>10</v>
      </c>
      <c r="S13" s="43" t="s">
        <v>407</v>
      </c>
      <c r="T13" s="43" t="s">
        <v>441</v>
      </c>
      <c r="U13" s="43" t="s">
        <v>437</v>
      </c>
      <c r="V13" s="45">
        <v>0.60924900000000004</v>
      </c>
      <c r="W13" s="45">
        <v>0.78300000000000003</v>
      </c>
      <c r="X13" s="45">
        <f t="shared" si="0"/>
        <v>7.7752278177629997E-3</v>
      </c>
    </row>
    <row r="14" spans="1:24" x14ac:dyDescent="0.2">
      <c r="A14" s="43">
        <v>2</v>
      </c>
      <c r="B14" s="43">
        <v>4</v>
      </c>
      <c r="C14" s="43" t="s">
        <v>430</v>
      </c>
      <c r="D14" s="43" t="s">
        <v>431</v>
      </c>
      <c r="E14" s="43" t="s">
        <v>432</v>
      </c>
      <c r="F14" s="43" t="s">
        <v>433</v>
      </c>
      <c r="G14" s="43">
        <v>55598</v>
      </c>
      <c r="H14" s="43">
        <v>55599</v>
      </c>
      <c r="I14" s="43">
        <v>55534</v>
      </c>
      <c r="J14" s="43">
        <v>1400</v>
      </c>
      <c r="K14" s="43">
        <v>1400</v>
      </c>
      <c r="L14" s="43" t="s">
        <v>372</v>
      </c>
      <c r="M14" s="43" t="s">
        <v>426</v>
      </c>
      <c r="N14" s="44">
        <v>0.34942800000000002</v>
      </c>
      <c r="O14" s="43" t="s">
        <v>405</v>
      </c>
      <c r="P14" s="43" t="s">
        <v>406</v>
      </c>
      <c r="Q14" s="43">
        <v>3</v>
      </c>
      <c r="R14" s="43">
        <v>10</v>
      </c>
      <c r="S14" s="43" t="s">
        <v>407</v>
      </c>
      <c r="T14" s="43" t="s">
        <v>408</v>
      </c>
      <c r="U14" s="43" t="s">
        <v>408</v>
      </c>
      <c r="V14" s="45">
        <v>1.7750239999999999</v>
      </c>
      <c r="W14" s="45">
        <v>0.78300000000000003</v>
      </c>
      <c r="X14" s="45">
        <f t="shared" si="0"/>
        <v>0.13459274972102397</v>
      </c>
    </row>
    <row r="15" spans="1:24" x14ac:dyDescent="0.2">
      <c r="A15" s="43">
        <v>2</v>
      </c>
      <c r="B15" s="43">
        <v>4</v>
      </c>
      <c r="C15" s="43" t="s">
        <v>430</v>
      </c>
      <c r="D15" s="43" t="s">
        <v>431</v>
      </c>
      <c r="E15" s="43" t="s">
        <v>432</v>
      </c>
      <c r="F15" s="43" t="s">
        <v>433</v>
      </c>
      <c r="G15" s="43">
        <v>55681</v>
      </c>
      <c r="H15" s="43">
        <v>55682</v>
      </c>
      <c r="I15" s="43">
        <v>55607</v>
      </c>
      <c r="J15" s="43">
        <v>1900</v>
      </c>
      <c r="K15" s="43">
        <v>1900</v>
      </c>
      <c r="L15" s="43" t="s">
        <v>372</v>
      </c>
      <c r="M15" s="43" t="s">
        <v>426</v>
      </c>
      <c r="N15" s="44">
        <v>4.9490899999999997E-3</v>
      </c>
      <c r="O15" s="43" t="s">
        <v>405</v>
      </c>
      <c r="P15" s="43" t="s">
        <v>406</v>
      </c>
      <c r="Q15" s="43">
        <v>70</v>
      </c>
      <c r="R15" s="43">
        <v>10</v>
      </c>
      <c r="S15" s="43" t="s">
        <v>407</v>
      </c>
      <c r="T15" s="43" t="s">
        <v>410</v>
      </c>
      <c r="U15" s="43" t="s">
        <v>411</v>
      </c>
      <c r="V15" s="45">
        <v>0.19295699999999999</v>
      </c>
      <c r="W15" s="45">
        <v>0.78300000000000003</v>
      </c>
      <c r="X15" s="45">
        <f t="shared" si="0"/>
        <v>2.0722665833120996E-4</v>
      </c>
    </row>
    <row r="16" spans="1:24" x14ac:dyDescent="0.2">
      <c r="A16" s="43">
        <v>2</v>
      </c>
      <c r="B16" s="43">
        <v>4</v>
      </c>
      <c r="C16" s="43" t="s">
        <v>430</v>
      </c>
      <c r="D16" s="43" t="s">
        <v>431</v>
      </c>
      <c r="E16" s="43" t="s">
        <v>432</v>
      </c>
      <c r="F16" s="43" t="s">
        <v>433</v>
      </c>
      <c r="G16" s="43">
        <v>56067</v>
      </c>
      <c r="H16" s="43">
        <v>56068</v>
      </c>
      <c r="I16" s="43">
        <v>56003</v>
      </c>
      <c r="J16" s="43">
        <v>6300</v>
      </c>
      <c r="K16" s="43">
        <v>6300</v>
      </c>
      <c r="L16" s="43" t="s">
        <v>372</v>
      </c>
      <c r="M16" s="43" t="s">
        <v>426</v>
      </c>
      <c r="N16" s="44">
        <v>0.147096</v>
      </c>
      <c r="O16" s="43" t="s">
        <v>405</v>
      </c>
      <c r="P16" s="43" t="s">
        <v>406</v>
      </c>
      <c r="Q16" s="43">
        <v>15</v>
      </c>
      <c r="R16" s="43">
        <v>60</v>
      </c>
      <c r="S16" s="43" t="s">
        <v>417</v>
      </c>
      <c r="T16" s="43" t="s">
        <v>419</v>
      </c>
      <c r="U16" s="43" t="s">
        <v>419</v>
      </c>
      <c r="V16" s="45">
        <v>0.75712800000000002</v>
      </c>
      <c r="W16" s="45">
        <v>0.78300000000000003</v>
      </c>
      <c r="X16" s="45">
        <f t="shared" si="0"/>
        <v>2.4167398562495997E-2</v>
      </c>
    </row>
    <row r="17" spans="1:24" x14ac:dyDescent="0.2">
      <c r="A17" s="43">
        <v>2</v>
      </c>
      <c r="B17" s="43">
        <v>4</v>
      </c>
      <c r="C17" s="43" t="s">
        <v>430</v>
      </c>
      <c r="D17" s="43" t="s">
        <v>431</v>
      </c>
      <c r="E17" s="43" t="s">
        <v>432</v>
      </c>
      <c r="F17" s="43" t="s">
        <v>433</v>
      </c>
      <c r="G17" s="43">
        <v>56331</v>
      </c>
      <c r="H17" s="43">
        <v>56332</v>
      </c>
      <c r="I17" s="43">
        <v>56267</v>
      </c>
      <c r="J17" s="43">
        <v>6460</v>
      </c>
      <c r="K17" s="43">
        <v>6460</v>
      </c>
      <c r="L17" s="43" t="s">
        <v>372</v>
      </c>
      <c r="M17" s="43" t="s">
        <v>426</v>
      </c>
      <c r="N17" s="44">
        <v>2.1148900000000002E-2</v>
      </c>
      <c r="O17" s="43" t="s">
        <v>405</v>
      </c>
      <c r="P17" s="43" t="s">
        <v>406</v>
      </c>
      <c r="Q17" s="43">
        <v>16</v>
      </c>
      <c r="R17" s="43">
        <v>60</v>
      </c>
      <c r="S17" s="43" t="s">
        <v>417</v>
      </c>
      <c r="T17" s="43" t="s">
        <v>442</v>
      </c>
      <c r="U17" s="43" t="s">
        <v>443</v>
      </c>
      <c r="V17" s="45">
        <v>0.78656000000000004</v>
      </c>
      <c r="W17" s="45">
        <v>0.78300000000000003</v>
      </c>
      <c r="X17" s="45">
        <f t="shared" si="0"/>
        <v>3.609768696128E-3</v>
      </c>
    </row>
    <row r="18" spans="1:24" x14ac:dyDescent="0.2">
      <c r="N18" s="44">
        <f>SUM(N2:N17)</f>
        <v>4.5991968900000009</v>
      </c>
      <c r="X18" s="45">
        <f>SUM(X2:X17)</f>
        <v>0.74699001017378097</v>
      </c>
    </row>
    <row r="20" spans="1:24" x14ac:dyDescent="0.2">
      <c r="A20" s="43" t="s">
        <v>377</v>
      </c>
      <c r="B20" s="43" t="s">
        <v>378</v>
      </c>
      <c r="C20" s="43" t="s">
        <v>379</v>
      </c>
      <c r="D20" s="43" t="s">
        <v>380</v>
      </c>
      <c r="E20" s="43" t="s">
        <v>381</v>
      </c>
      <c r="F20" s="43" t="s">
        <v>382</v>
      </c>
      <c r="G20" s="43" t="s">
        <v>383</v>
      </c>
      <c r="H20" s="43" t="s">
        <v>384</v>
      </c>
      <c r="I20" s="43" t="s">
        <v>385</v>
      </c>
      <c r="J20" s="43" t="s">
        <v>386</v>
      </c>
      <c r="K20" s="43" t="s">
        <v>387</v>
      </c>
      <c r="L20" s="43" t="s">
        <v>388</v>
      </c>
      <c r="M20" s="43" t="s">
        <v>389</v>
      </c>
      <c r="N20" s="44" t="s">
        <v>391</v>
      </c>
      <c r="O20" s="43" t="s">
        <v>392</v>
      </c>
      <c r="P20" s="43" t="s">
        <v>393</v>
      </c>
      <c r="Q20" s="43" t="s">
        <v>394</v>
      </c>
      <c r="R20" s="43" t="s">
        <v>395</v>
      </c>
      <c r="S20" s="43" t="s">
        <v>396</v>
      </c>
      <c r="T20" s="43" t="s">
        <v>397</v>
      </c>
      <c r="U20" s="43" t="s">
        <v>398</v>
      </c>
      <c r="V20" s="45" t="s">
        <v>589</v>
      </c>
      <c r="W20" s="45" t="s">
        <v>590</v>
      </c>
      <c r="X20" s="45" t="s">
        <v>591</v>
      </c>
    </row>
    <row r="21" spans="1:24" x14ac:dyDescent="0.2">
      <c r="A21" s="43">
        <v>2</v>
      </c>
      <c r="B21" s="43">
        <v>4</v>
      </c>
      <c r="C21" s="43" t="s">
        <v>430</v>
      </c>
      <c r="D21" s="43" t="s">
        <v>431</v>
      </c>
      <c r="E21" s="43" t="s">
        <v>432</v>
      </c>
      <c r="F21" s="43" t="s">
        <v>433</v>
      </c>
      <c r="G21" s="43">
        <v>1590</v>
      </c>
      <c r="H21" s="43">
        <v>1591</v>
      </c>
      <c r="I21" s="43">
        <v>1551</v>
      </c>
      <c r="J21" s="43">
        <v>1110</v>
      </c>
      <c r="K21" s="43">
        <v>1110</v>
      </c>
      <c r="L21" s="43" t="s">
        <v>372</v>
      </c>
      <c r="M21" s="43" t="s">
        <v>426</v>
      </c>
      <c r="N21" s="44">
        <v>0.13341500000000001</v>
      </c>
      <c r="O21" s="43" t="s">
        <v>405</v>
      </c>
      <c r="P21" s="43" t="s">
        <v>406</v>
      </c>
      <c r="Q21" s="43">
        <v>2</v>
      </c>
      <c r="R21" s="43">
        <v>10</v>
      </c>
      <c r="S21" s="43" t="s">
        <v>407</v>
      </c>
      <c r="T21" s="43" t="s">
        <v>434</v>
      </c>
      <c r="U21" s="43" t="s">
        <v>435</v>
      </c>
      <c r="V21" s="45">
        <v>11.234235</v>
      </c>
      <c r="W21" s="45">
        <v>0.6</v>
      </c>
      <c r="X21" s="45">
        <f t="shared" ref="X21:X36" si="1">N21*V21*(1-W21)</f>
        <v>0.5995261850100001</v>
      </c>
    </row>
    <row r="22" spans="1:24" x14ac:dyDescent="0.2">
      <c r="A22" s="43">
        <v>2</v>
      </c>
      <c r="B22" s="43">
        <v>4</v>
      </c>
      <c r="C22" s="43" t="s">
        <v>430</v>
      </c>
      <c r="D22" s="43" t="s">
        <v>431</v>
      </c>
      <c r="E22" s="43" t="s">
        <v>432</v>
      </c>
      <c r="F22" s="43" t="s">
        <v>433</v>
      </c>
      <c r="G22" s="43">
        <v>3059</v>
      </c>
      <c r="H22" s="43">
        <v>3060</v>
      </c>
      <c r="I22" s="43">
        <v>2988</v>
      </c>
      <c r="J22" s="43">
        <v>1210</v>
      </c>
      <c r="K22" s="43">
        <v>1210</v>
      </c>
      <c r="L22" s="43" t="s">
        <v>372</v>
      </c>
      <c r="M22" s="43" t="s">
        <v>426</v>
      </c>
      <c r="N22" s="44">
        <v>1.7736700000000001</v>
      </c>
      <c r="O22" s="43" t="s">
        <v>405</v>
      </c>
      <c r="P22" s="43" t="s">
        <v>406</v>
      </c>
      <c r="Q22" s="43">
        <v>19</v>
      </c>
      <c r="R22" s="43">
        <v>10</v>
      </c>
      <c r="S22" s="43" t="s">
        <v>407</v>
      </c>
      <c r="T22" s="43" t="s">
        <v>436</v>
      </c>
      <c r="U22" s="43" t="s">
        <v>437</v>
      </c>
      <c r="V22" s="45">
        <v>23.305396999999999</v>
      </c>
      <c r="W22" s="45">
        <v>0.6</v>
      </c>
      <c r="X22" s="45">
        <f t="shared" si="1"/>
        <v>16.534433398796001</v>
      </c>
    </row>
    <row r="23" spans="1:24" x14ac:dyDescent="0.2">
      <c r="A23" s="43">
        <v>2</v>
      </c>
      <c r="B23" s="43">
        <v>4</v>
      </c>
      <c r="C23" s="43" t="s">
        <v>430</v>
      </c>
      <c r="D23" s="43" t="s">
        <v>431</v>
      </c>
      <c r="E23" s="43" t="s">
        <v>432</v>
      </c>
      <c r="F23" s="43" t="s">
        <v>433</v>
      </c>
      <c r="G23" s="43">
        <v>3060</v>
      </c>
      <c r="H23" s="43">
        <v>3061</v>
      </c>
      <c r="I23" s="43">
        <v>2989</v>
      </c>
      <c r="J23" s="43">
        <v>1210</v>
      </c>
      <c r="K23" s="43">
        <v>1210</v>
      </c>
      <c r="L23" s="43" t="s">
        <v>372</v>
      </c>
      <c r="M23" s="43" t="s">
        <v>426</v>
      </c>
      <c r="N23" s="44">
        <v>0.70408000000000004</v>
      </c>
      <c r="O23" s="43" t="s">
        <v>405</v>
      </c>
      <c r="P23" s="43" t="s">
        <v>406</v>
      </c>
      <c r="Q23" s="43">
        <v>19</v>
      </c>
      <c r="R23" s="43">
        <v>10</v>
      </c>
      <c r="S23" s="43" t="s">
        <v>407</v>
      </c>
      <c r="T23" s="43" t="s">
        <v>436</v>
      </c>
      <c r="U23" s="43" t="s">
        <v>437</v>
      </c>
      <c r="V23" s="45">
        <v>23.305396999999999</v>
      </c>
      <c r="W23" s="45">
        <v>0.6</v>
      </c>
      <c r="X23" s="45">
        <f t="shared" si="1"/>
        <v>6.5635455679040007</v>
      </c>
    </row>
    <row r="24" spans="1:24" x14ac:dyDescent="0.2">
      <c r="A24" s="43">
        <v>2</v>
      </c>
      <c r="B24" s="43">
        <v>4</v>
      </c>
      <c r="C24" s="43" t="s">
        <v>430</v>
      </c>
      <c r="D24" s="43" t="s">
        <v>431</v>
      </c>
      <c r="E24" s="43" t="s">
        <v>432</v>
      </c>
      <c r="F24" s="43" t="s">
        <v>433</v>
      </c>
      <c r="G24" s="43">
        <v>3061</v>
      </c>
      <c r="H24" s="43">
        <v>3062</v>
      </c>
      <c r="I24" s="43">
        <v>2990</v>
      </c>
      <c r="J24" s="43">
        <v>1210</v>
      </c>
      <c r="K24" s="43">
        <v>1210</v>
      </c>
      <c r="L24" s="43" t="s">
        <v>372</v>
      </c>
      <c r="M24" s="43" t="s">
        <v>426</v>
      </c>
      <c r="N24" s="44">
        <v>0.222611</v>
      </c>
      <c r="O24" s="43" t="s">
        <v>405</v>
      </c>
      <c r="P24" s="43" t="s">
        <v>406</v>
      </c>
      <c r="Q24" s="43">
        <v>19</v>
      </c>
      <c r="R24" s="43">
        <v>10</v>
      </c>
      <c r="S24" s="43" t="s">
        <v>407</v>
      </c>
      <c r="T24" s="43" t="s">
        <v>436</v>
      </c>
      <c r="U24" s="43" t="s">
        <v>437</v>
      </c>
      <c r="V24" s="45">
        <v>23.305396999999999</v>
      </c>
      <c r="W24" s="45">
        <v>0.6</v>
      </c>
      <c r="X24" s="45">
        <f t="shared" si="1"/>
        <v>2.0752150926268</v>
      </c>
    </row>
    <row r="25" spans="1:24" x14ac:dyDescent="0.2">
      <c r="A25" s="43">
        <v>2</v>
      </c>
      <c r="B25" s="43">
        <v>4</v>
      </c>
      <c r="C25" s="43" t="s">
        <v>430</v>
      </c>
      <c r="D25" s="43" t="s">
        <v>431</v>
      </c>
      <c r="E25" s="43" t="s">
        <v>432</v>
      </c>
      <c r="F25" s="43" t="s">
        <v>433</v>
      </c>
      <c r="G25" s="43">
        <v>4526</v>
      </c>
      <c r="H25" s="43">
        <v>4527</v>
      </c>
      <c r="I25" s="43">
        <v>4495</v>
      </c>
      <c r="J25" s="43">
        <v>1400</v>
      </c>
      <c r="K25" s="43">
        <v>1400</v>
      </c>
      <c r="L25" s="43" t="s">
        <v>372</v>
      </c>
      <c r="M25" s="43" t="s">
        <v>426</v>
      </c>
      <c r="N25" s="44">
        <v>0.15601100000000001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408</v>
      </c>
      <c r="U25" s="43" t="s">
        <v>408</v>
      </c>
      <c r="V25" s="45">
        <v>7.8337940000000001</v>
      </c>
      <c r="W25" s="45">
        <v>0.6</v>
      </c>
      <c r="X25" s="45">
        <f t="shared" si="1"/>
        <v>0.48886321429360002</v>
      </c>
    </row>
    <row r="26" spans="1:24" x14ac:dyDescent="0.2">
      <c r="A26" s="43">
        <v>2</v>
      </c>
      <c r="B26" s="43">
        <v>4</v>
      </c>
      <c r="C26" s="43" t="s">
        <v>430</v>
      </c>
      <c r="D26" s="43" t="s">
        <v>431</v>
      </c>
      <c r="E26" s="43" t="s">
        <v>432</v>
      </c>
      <c r="F26" s="43" t="s">
        <v>433</v>
      </c>
      <c r="G26" s="43">
        <v>4527</v>
      </c>
      <c r="H26" s="43">
        <v>4528</v>
      </c>
      <c r="I26" s="43">
        <v>4496</v>
      </c>
      <c r="J26" s="43">
        <v>1400</v>
      </c>
      <c r="K26" s="43">
        <v>1400</v>
      </c>
      <c r="L26" s="43" t="s">
        <v>372</v>
      </c>
      <c r="M26" s="43" t="s">
        <v>426</v>
      </c>
      <c r="N26" s="44">
        <v>0.263876</v>
      </c>
      <c r="O26" s="43" t="s">
        <v>405</v>
      </c>
      <c r="P26" s="43" t="s">
        <v>406</v>
      </c>
      <c r="Q26" s="43">
        <v>3</v>
      </c>
      <c r="R26" s="43">
        <v>10</v>
      </c>
      <c r="S26" s="43" t="s">
        <v>407</v>
      </c>
      <c r="T26" s="43" t="s">
        <v>408</v>
      </c>
      <c r="U26" s="43" t="s">
        <v>408</v>
      </c>
      <c r="V26" s="45">
        <v>7.8337940000000001</v>
      </c>
      <c r="W26" s="45">
        <v>0.6</v>
      </c>
      <c r="X26" s="45">
        <f t="shared" si="1"/>
        <v>0.8268600902176001</v>
      </c>
    </row>
    <row r="27" spans="1:24" x14ac:dyDescent="0.2">
      <c r="A27" s="43">
        <v>2</v>
      </c>
      <c r="B27" s="43">
        <v>4</v>
      </c>
      <c r="C27" s="43" t="s">
        <v>430</v>
      </c>
      <c r="D27" s="43" t="s">
        <v>431</v>
      </c>
      <c r="E27" s="43" t="s">
        <v>432</v>
      </c>
      <c r="F27" s="43" t="s">
        <v>433</v>
      </c>
      <c r="G27" s="43">
        <v>6155</v>
      </c>
      <c r="H27" s="43">
        <v>6156</v>
      </c>
      <c r="I27" s="43">
        <v>6112</v>
      </c>
      <c r="J27" s="43">
        <v>1900</v>
      </c>
      <c r="K27" s="43">
        <v>1900</v>
      </c>
      <c r="L27" s="43" t="s">
        <v>372</v>
      </c>
      <c r="M27" s="43" t="s">
        <v>426</v>
      </c>
      <c r="N27" s="44">
        <v>6.0824200000000002E-2</v>
      </c>
      <c r="O27" s="43" t="s">
        <v>405</v>
      </c>
      <c r="P27" s="43" t="s">
        <v>406</v>
      </c>
      <c r="Q27" s="43">
        <v>70</v>
      </c>
      <c r="R27" s="43">
        <v>10</v>
      </c>
      <c r="S27" s="43" t="s">
        <v>407</v>
      </c>
      <c r="T27" s="43" t="s">
        <v>410</v>
      </c>
      <c r="U27" s="43" t="s">
        <v>411</v>
      </c>
      <c r="V27" s="45">
        <v>1.1817740000000001</v>
      </c>
      <c r="W27" s="45">
        <v>0.6</v>
      </c>
      <c r="X27" s="45">
        <f t="shared" si="1"/>
        <v>2.8752183252320002E-2</v>
      </c>
    </row>
    <row r="28" spans="1:24" x14ac:dyDescent="0.2">
      <c r="A28" s="43">
        <v>2</v>
      </c>
      <c r="B28" s="43">
        <v>4</v>
      </c>
      <c r="C28" s="43" t="s">
        <v>430</v>
      </c>
      <c r="D28" s="43" t="s">
        <v>431</v>
      </c>
      <c r="E28" s="43" t="s">
        <v>432</v>
      </c>
      <c r="F28" s="43" t="s">
        <v>433</v>
      </c>
      <c r="G28" s="43">
        <v>6156</v>
      </c>
      <c r="H28" s="43">
        <v>6157</v>
      </c>
      <c r="I28" s="43">
        <v>6113</v>
      </c>
      <c r="J28" s="43">
        <v>1900</v>
      </c>
      <c r="K28" s="43">
        <v>1900</v>
      </c>
      <c r="L28" s="43" t="s">
        <v>372</v>
      </c>
      <c r="M28" s="43" t="s">
        <v>426</v>
      </c>
      <c r="N28" s="44">
        <v>0.16347100000000001</v>
      </c>
      <c r="O28" s="43" t="s">
        <v>405</v>
      </c>
      <c r="P28" s="43" t="s">
        <v>406</v>
      </c>
      <c r="Q28" s="43">
        <v>70</v>
      </c>
      <c r="R28" s="43">
        <v>10</v>
      </c>
      <c r="S28" s="43" t="s">
        <v>407</v>
      </c>
      <c r="T28" s="43" t="s">
        <v>410</v>
      </c>
      <c r="U28" s="43" t="s">
        <v>411</v>
      </c>
      <c r="V28" s="45">
        <v>1.1817740000000001</v>
      </c>
      <c r="W28" s="45">
        <v>0.6</v>
      </c>
      <c r="X28" s="45">
        <f t="shared" si="1"/>
        <v>7.7274311021600012E-2</v>
      </c>
    </row>
    <row r="29" spans="1:24" x14ac:dyDescent="0.2">
      <c r="A29" s="43">
        <v>2</v>
      </c>
      <c r="B29" s="43">
        <v>4</v>
      </c>
      <c r="C29" s="43" t="s">
        <v>430</v>
      </c>
      <c r="D29" s="43" t="s">
        <v>431</v>
      </c>
      <c r="E29" s="43" t="s">
        <v>432</v>
      </c>
      <c r="F29" s="43" t="s">
        <v>433</v>
      </c>
      <c r="G29" s="43">
        <v>17239</v>
      </c>
      <c r="H29" s="43">
        <v>17240</v>
      </c>
      <c r="I29" s="43">
        <v>17229</v>
      </c>
      <c r="J29" s="43">
        <v>4110</v>
      </c>
      <c r="K29" s="43">
        <v>4110</v>
      </c>
      <c r="L29" s="43" t="s">
        <v>372</v>
      </c>
      <c r="M29" s="43" t="s">
        <v>426</v>
      </c>
      <c r="N29" s="44">
        <v>8.1704700000000005E-2</v>
      </c>
      <c r="O29" s="43" t="s">
        <v>405</v>
      </c>
      <c r="P29" s="43" t="s">
        <v>406</v>
      </c>
      <c r="Q29" s="43">
        <v>5</v>
      </c>
      <c r="R29" s="43">
        <v>40</v>
      </c>
      <c r="S29" s="43" t="s">
        <v>412</v>
      </c>
      <c r="T29" s="43" t="s">
        <v>413</v>
      </c>
      <c r="U29" s="43" t="s">
        <v>414</v>
      </c>
      <c r="V29" s="45">
        <v>8.1290569999999995</v>
      </c>
      <c r="W29" s="45">
        <v>0.6</v>
      </c>
      <c r="X29" s="45">
        <f t="shared" si="1"/>
        <v>0.26567286538716001</v>
      </c>
    </row>
    <row r="30" spans="1:24" x14ac:dyDescent="0.2">
      <c r="A30" s="43">
        <v>2</v>
      </c>
      <c r="B30" s="43">
        <v>4</v>
      </c>
      <c r="C30" s="43" t="s">
        <v>430</v>
      </c>
      <c r="D30" s="43" t="s">
        <v>431</v>
      </c>
      <c r="E30" s="43" t="s">
        <v>432</v>
      </c>
      <c r="F30" s="43" t="s">
        <v>433</v>
      </c>
      <c r="G30" s="43">
        <v>21272</v>
      </c>
      <c r="H30" s="43">
        <v>21273</v>
      </c>
      <c r="I30" s="43">
        <v>23201</v>
      </c>
      <c r="J30" s="43">
        <v>5300</v>
      </c>
      <c r="K30" s="43">
        <v>5300</v>
      </c>
      <c r="L30" s="43" t="s">
        <v>372</v>
      </c>
      <c r="M30" s="43" t="s">
        <v>426</v>
      </c>
      <c r="N30" s="44">
        <v>0.26635999999999999</v>
      </c>
      <c r="O30" s="43" t="s">
        <v>405</v>
      </c>
      <c r="P30" s="43" t="s">
        <v>406</v>
      </c>
      <c r="Q30" s="43">
        <v>9</v>
      </c>
      <c r="R30" s="43">
        <v>50</v>
      </c>
      <c r="S30" s="43" t="s">
        <v>438</v>
      </c>
      <c r="T30" s="43" t="s">
        <v>439</v>
      </c>
      <c r="U30" s="43" t="s">
        <v>440</v>
      </c>
      <c r="V30" s="45">
        <v>2.201031</v>
      </c>
      <c r="W30" s="45">
        <v>0.6</v>
      </c>
      <c r="X30" s="45">
        <f t="shared" si="1"/>
        <v>0.234506646864</v>
      </c>
    </row>
    <row r="31" spans="1:24" x14ac:dyDescent="0.2">
      <c r="A31" s="43">
        <v>2</v>
      </c>
      <c r="B31" s="43">
        <v>4</v>
      </c>
      <c r="C31" s="43" t="s">
        <v>430</v>
      </c>
      <c r="D31" s="43" t="s">
        <v>431</v>
      </c>
      <c r="E31" s="43" t="s">
        <v>432</v>
      </c>
      <c r="F31" s="43" t="s">
        <v>433</v>
      </c>
      <c r="G31" s="43">
        <v>55508</v>
      </c>
      <c r="H31" s="43">
        <v>55509</v>
      </c>
      <c r="I31" s="43">
        <v>55444</v>
      </c>
      <c r="J31" s="43">
        <v>1200</v>
      </c>
      <c r="K31" s="43">
        <v>1200</v>
      </c>
      <c r="L31" s="43" t="s">
        <v>372</v>
      </c>
      <c r="M31" s="43" t="s">
        <v>426</v>
      </c>
      <c r="N31" s="44">
        <v>0.19174099999999999</v>
      </c>
      <c r="O31" s="43" t="s">
        <v>405</v>
      </c>
      <c r="P31" s="43" t="s">
        <v>406</v>
      </c>
      <c r="Q31" s="43">
        <v>19</v>
      </c>
      <c r="R31" s="43">
        <v>10</v>
      </c>
      <c r="S31" s="43" t="s">
        <v>407</v>
      </c>
      <c r="T31" s="43" t="s">
        <v>441</v>
      </c>
      <c r="U31" s="43" t="s">
        <v>437</v>
      </c>
      <c r="V31" s="45">
        <v>23.305396999999999</v>
      </c>
      <c r="W31" s="45">
        <v>0.6</v>
      </c>
      <c r="X31" s="45">
        <f t="shared" si="1"/>
        <v>1.7874400504708001</v>
      </c>
    </row>
    <row r="32" spans="1:24" x14ac:dyDescent="0.2">
      <c r="A32" s="43">
        <v>2</v>
      </c>
      <c r="B32" s="43">
        <v>4</v>
      </c>
      <c r="C32" s="43" t="s">
        <v>430</v>
      </c>
      <c r="D32" s="43" t="s">
        <v>431</v>
      </c>
      <c r="E32" s="43" t="s">
        <v>432</v>
      </c>
      <c r="F32" s="43" t="s">
        <v>433</v>
      </c>
      <c r="G32" s="43">
        <v>55511</v>
      </c>
      <c r="H32" s="43">
        <v>55512</v>
      </c>
      <c r="I32" s="43">
        <v>55447</v>
      </c>
      <c r="J32" s="43">
        <v>1200</v>
      </c>
      <c r="K32" s="43">
        <v>1200</v>
      </c>
      <c r="L32" s="43" t="s">
        <v>372</v>
      </c>
      <c r="M32" s="43" t="s">
        <v>426</v>
      </c>
      <c r="N32" s="44">
        <v>5.8811000000000002E-2</v>
      </c>
      <c r="O32" s="43" t="s">
        <v>405</v>
      </c>
      <c r="P32" s="43" t="s">
        <v>406</v>
      </c>
      <c r="Q32" s="43">
        <v>19</v>
      </c>
      <c r="R32" s="43">
        <v>10</v>
      </c>
      <c r="S32" s="43" t="s">
        <v>407</v>
      </c>
      <c r="T32" s="43" t="s">
        <v>441</v>
      </c>
      <c r="U32" s="43" t="s">
        <v>437</v>
      </c>
      <c r="V32" s="45">
        <v>23.305396999999999</v>
      </c>
      <c r="W32" s="45">
        <v>0.6</v>
      </c>
      <c r="X32" s="45">
        <f t="shared" si="1"/>
        <v>0.54824548118680005</v>
      </c>
    </row>
    <row r="33" spans="1:24" x14ac:dyDescent="0.2">
      <c r="A33" s="43">
        <v>2</v>
      </c>
      <c r="B33" s="43">
        <v>4</v>
      </c>
      <c r="C33" s="43" t="s">
        <v>430</v>
      </c>
      <c r="D33" s="43" t="s">
        <v>431</v>
      </c>
      <c r="E33" s="43" t="s">
        <v>432</v>
      </c>
      <c r="F33" s="43" t="s">
        <v>433</v>
      </c>
      <c r="G33" s="43">
        <v>55598</v>
      </c>
      <c r="H33" s="43">
        <v>55599</v>
      </c>
      <c r="I33" s="43">
        <v>55534</v>
      </c>
      <c r="J33" s="43">
        <v>1400</v>
      </c>
      <c r="K33" s="43">
        <v>1400</v>
      </c>
      <c r="L33" s="43" t="s">
        <v>372</v>
      </c>
      <c r="M33" s="43" t="s">
        <v>426</v>
      </c>
      <c r="N33" s="44">
        <v>0.34942800000000002</v>
      </c>
      <c r="O33" s="43" t="s">
        <v>405</v>
      </c>
      <c r="P33" s="43" t="s">
        <v>406</v>
      </c>
      <c r="Q33" s="43">
        <v>3</v>
      </c>
      <c r="R33" s="43">
        <v>10</v>
      </c>
      <c r="S33" s="43" t="s">
        <v>407</v>
      </c>
      <c r="T33" s="43" t="s">
        <v>408</v>
      </c>
      <c r="U33" s="43" t="s">
        <v>408</v>
      </c>
      <c r="V33" s="45">
        <v>7.8337940000000001</v>
      </c>
      <c r="W33" s="45">
        <v>0.6</v>
      </c>
      <c r="X33" s="45">
        <f t="shared" si="1"/>
        <v>1.0949387879328001</v>
      </c>
    </row>
    <row r="34" spans="1:24" x14ac:dyDescent="0.2">
      <c r="A34" s="43">
        <v>2</v>
      </c>
      <c r="B34" s="43">
        <v>4</v>
      </c>
      <c r="C34" s="43" t="s">
        <v>430</v>
      </c>
      <c r="D34" s="43" t="s">
        <v>431</v>
      </c>
      <c r="E34" s="43" t="s">
        <v>432</v>
      </c>
      <c r="F34" s="43" t="s">
        <v>433</v>
      </c>
      <c r="G34" s="43">
        <v>55681</v>
      </c>
      <c r="H34" s="43">
        <v>55682</v>
      </c>
      <c r="I34" s="43">
        <v>55607</v>
      </c>
      <c r="J34" s="43">
        <v>1900</v>
      </c>
      <c r="K34" s="43">
        <v>1900</v>
      </c>
      <c r="L34" s="43" t="s">
        <v>372</v>
      </c>
      <c r="M34" s="43" t="s">
        <v>426</v>
      </c>
      <c r="N34" s="44">
        <v>4.9490899999999997E-3</v>
      </c>
      <c r="O34" s="43" t="s">
        <v>405</v>
      </c>
      <c r="P34" s="43" t="s">
        <v>406</v>
      </c>
      <c r="Q34" s="43">
        <v>70</v>
      </c>
      <c r="R34" s="43">
        <v>10</v>
      </c>
      <c r="S34" s="43" t="s">
        <v>407</v>
      </c>
      <c r="T34" s="43" t="s">
        <v>410</v>
      </c>
      <c r="U34" s="43" t="s">
        <v>411</v>
      </c>
      <c r="V34" s="45">
        <v>1.1817740000000001</v>
      </c>
      <c r="W34" s="45">
        <v>0.6</v>
      </c>
      <c r="X34" s="45">
        <f t="shared" si="1"/>
        <v>2.339482354264E-3</v>
      </c>
    </row>
    <row r="35" spans="1:24" x14ac:dyDescent="0.2">
      <c r="A35" s="43">
        <v>2</v>
      </c>
      <c r="B35" s="43">
        <v>4</v>
      </c>
      <c r="C35" s="43" t="s">
        <v>430</v>
      </c>
      <c r="D35" s="43" t="s">
        <v>431</v>
      </c>
      <c r="E35" s="43" t="s">
        <v>432</v>
      </c>
      <c r="F35" s="43" t="s">
        <v>433</v>
      </c>
      <c r="G35" s="43">
        <v>56067</v>
      </c>
      <c r="H35" s="43">
        <v>56068</v>
      </c>
      <c r="I35" s="43">
        <v>56003</v>
      </c>
      <c r="J35" s="43">
        <v>6300</v>
      </c>
      <c r="K35" s="43">
        <v>6300</v>
      </c>
      <c r="L35" s="43" t="s">
        <v>372</v>
      </c>
      <c r="M35" s="43" t="s">
        <v>426</v>
      </c>
      <c r="N35" s="44">
        <v>0.147096</v>
      </c>
      <c r="O35" s="43" t="s">
        <v>405</v>
      </c>
      <c r="P35" s="43" t="s">
        <v>406</v>
      </c>
      <c r="Q35" s="43">
        <v>15</v>
      </c>
      <c r="R35" s="43">
        <v>60</v>
      </c>
      <c r="S35" s="43" t="s">
        <v>417</v>
      </c>
      <c r="T35" s="43" t="s">
        <v>419</v>
      </c>
      <c r="U35" s="43" t="s">
        <v>419</v>
      </c>
      <c r="V35" s="45">
        <v>6.8155330000000003</v>
      </c>
      <c r="W35" s="45">
        <v>0.6</v>
      </c>
      <c r="X35" s="45">
        <f t="shared" si="1"/>
        <v>0.40101505686720007</v>
      </c>
    </row>
    <row r="36" spans="1:24" x14ac:dyDescent="0.2">
      <c r="A36" s="43">
        <v>2</v>
      </c>
      <c r="B36" s="43">
        <v>4</v>
      </c>
      <c r="C36" s="43" t="s">
        <v>430</v>
      </c>
      <c r="D36" s="43" t="s">
        <v>431</v>
      </c>
      <c r="E36" s="43" t="s">
        <v>432</v>
      </c>
      <c r="F36" s="43" t="s">
        <v>433</v>
      </c>
      <c r="G36" s="43">
        <v>56331</v>
      </c>
      <c r="H36" s="43">
        <v>56332</v>
      </c>
      <c r="I36" s="43">
        <v>56267</v>
      </c>
      <c r="J36" s="43">
        <v>6460</v>
      </c>
      <c r="K36" s="43">
        <v>6460</v>
      </c>
      <c r="L36" s="43" t="s">
        <v>372</v>
      </c>
      <c r="M36" s="43" t="s">
        <v>426</v>
      </c>
      <c r="N36" s="44">
        <v>2.1148900000000002E-2</v>
      </c>
      <c r="O36" s="43" t="s">
        <v>405</v>
      </c>
      <c r="P36" s="43" t="s">
        <v>406</v>
      </c>
      <c r="Q36" s="43">
        <v>16</v>
      </c>
      <c r="R36" s="43">
        <v>60</v>
      </c>
      <c r="S36" s="43" t="s">
        <v>417</v>
      </c>
      <c r="T36" s="43" t="s">
        <v>442</v>
      </c>
      <c r="U36" s="43" t="s">
        <v>443</v>
      </c>
      <c r="V36" s="45">
        <v>7.079313</v>
      </c>
      <c r="W36" s="45">
        <v>0.6</v>
      </c>
      <c r="X36" s="45">
        <f t="shared" si="1"/>
        <v>5.988787308228001E-2</v>
      </c>
    </row>
    <row r="37" spans="1:24" x14ac:dyDescent="0.2">
      <c r="X37" s="45">
        <f>SUM(X21:X36)</f>
        <v>31.588516287267218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2</vt:i4>
      </vt:variant>
    </vt:vector>
  </HeadingPairs>
  <TitlesOfParts>
    <vt:vector size="40" baseType="lpstr">
      <vt:lpstr>Summary</vt:lpstr>
      <vt:lpstr>Ineligible projects</vt:lpstr>
      <vt:lpstr>Wet detention pond calcs</vt:lpstr>
      <vt:lpstr>Retention calcs</vt:lpstr>
      <vt:lpstr>407143-6</vt:lpstr>
      <vt:lpstr>239266-3 Pond2</vt:lpstr>
      <vt:lpstr>239266-3 Pond 1</vt:lpstr>
      <vt:lpstr>239266-3 Pond3</vt:lpstr>
      <vt:lpstr>239266-4 Pond4</vt:lpstr>
      <vt:lpstr>407143-5 Pond3</vt:lpstr>
      <vt:lpstr>407143-5 Pond4</vt:lpstr>
      <vt:lpstr>407143-4 Pond1</vt:lpstr>
      <vt:lpstr>407143-4 Pond2</vt:lpstr>
      <vt:lpstr>239535-F</vt:lpstr>
      <vt:lpstr>416518-1 Pond1</vt:lpstr>
      <vt:lpstr>416518-1 Pond2</vt:lpstr>
      <vt:lpstr>239682-1 Pond 1</vt:lpstr>
      <vt:lpstr>239682-1 Pond2</vt:lpstr>
      <vt:lpstr>239682-1 Pond3</vt:lpstr>
      <vt:lpstr>239682-1 Pond4</vt:lpstr>
      <vt:lpstr>418403-2 Pond1and2</vt:lpstr>
      <vt:lpstr>239416-F</vt:lpstr>
      <vt:lpstr>239416-A</vt:lpstr>
      <vt:lpstr>239416-B and C</vt:lpstr>
      <vt:lpstr>239416-D</vt:lpstr>
      <vt:lpstr>239416-E</vt:lpstr>
      <vt:lpstr>239454-A</vt:lpstr>
      <vt:lpstr>239454-B</vt:lpstr>
      <vt:lpstr>239653-A</vt:lpstr>
      <vt:lpstr>239635-B</vt:lpstr>
      <vt:lpstr>239633-A</vt:lpstr>
      <vt:lpstr>239633-B</vt:lpstr>
      <vt:lpstr>239633-C</vt:lpstr>
      <vt:lpstr>239633-D</vt:lpstr>
      <vt:lpstr>242436-A</vt:lpstr>
      <vt:lpstr>242484-A</vt:lpstr>
      <vt:lpstr>405515-AandB</vt:lpstr>
      <vt:lpstr>410732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</cp:lastModifiedBy>
  <cp:lastPrinted>2014-02-17T14:03:41Z</cp:lastPrinted>
  <dcterms:created xsi:type="dcterms:W3CDTF">2006-03-30T19:10:57Z</dcterms:created>
  <dcterms:modified xsi:type="dcterms:W3CDTF">2014-04-02T16:22:54Z</dcterms:modified>
</cp:coreProperties>
</file>