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PCS\BASINS\Lake_Okeechobee\Projects\Project Calculations\10222014\"/>
    </mc:Choice>
  </mc:AlternateContent>
  <bookViews>
    <workbookView xWindow="0" yWindow="0" windowWidth="19200" windowHeight="11580"/>
  </bookViews>
  <sheets>
    <sheet name="MOST RECENT_10-29-2014" sheetId="8" r:id="rId1"/>
    <sheet name="2014 TC_STA_Rpt" sheetId="3" r:id="rId2"/>
    <sheet name="Calcs" sheetId="1" r:id="rId3"/>
    <sheet name="Calcs (2)" sheetId="4" r:id="rId4"/>
    <sheet name="Calcs (3)" sheetId="5" r:id="rId5"/>
    <sheet name="Calcs (4)" sheetId="6" r:id="rId6"/>
    <sheet name="Summary" sheetId="7" r:id="rId7"/>
  </sheets>
  <definedNames>
    <definedName name="_xlnm.Print_Area" localSheetId="1">'2014 TC_STA_Rpt'!$A$1:$F$16</definedName>
    <definedName name="_xlnm.Print_Area" localSheetId="6">Summary!$D$4:$W$13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8" l="1"/>
  <c r="J6" i="8"/>
  <c r="J5" i="8"/>
  <c r="K4" i="8"/>
  <c r="J4" i="8"/>
  <c r="J3" i="8"/>
  <c r="H7" i="8"/>
  <c r="H6" i="8"/>
  <c r="H5" i="8"/>
  <c r="I4" i="8"/>
  <c r="H4" i="8"/>
  <c r="H3" i="8" l="1"/>
  <c r="F14" i="3" l="1"/>
  <c r="E22" i="6"/>
  <c r="E23" i="6" s="1"/>
  <c r="D22" i="6"/>
  <c r="D23" i="6" s="1"/>
  <c r="C22" i="6"/>
  <c r="C23" i="6" s="1"/>
  <c r="B22" i="6"/>
  <c r="B23" i="6" s="1"/>
  <c r="E22" i="5"/>
  <c r="E23" i="5" s="1"/>
  <c r="D22" i="5"/>
  <c r="D23" i="5" s="1"/>
  <c r="C22" i="5"/>
  <c r="C23" i="5" s="1"/>
  <c r="B22" i="5"/>
  <c r="B23" i="5" s="1"/>
  <c r="E22" i="4"/>
  <c r="E23" i="4" s="1"/>
  <c r="D22" i="4"/>
  <c r="D23" i="4" s="1"/>
  <c r="C22" i="4"/>
  <c r="C23" i="4" s="1"/>
  <c r="B22" i="4"/>
  <c r="B23" i="4" s="1"/>
  <c r="E18" i="1"/>
  <c r="E19" i="1" s="1"/>
  <c r="D18" i="1"/>
  <c r="D19" i="1" s="1"/>
  <c r="C18" i="1"/>
  <c r="C19" i="1" s="1"/>
  <c r="B18" i="1"/>
  <c r="B19" i="1" s="1"/>
  <c r="C23" i="1"/>
  <c r="E22" i="1"/>
  <c r="E23" i="1" s="1"/>
  <c r="D22" i="1"/>
  <c r="D23" i="1" s="1"/>
  <c r="C22" i="1"/>
  <c r="B22" i="1"/>
  <c r="B23" i="1" s="1"/>
  <c r="E5" i="6" l="1"/>
  <c r="E10" i="6" s="1"/>
  <c r="D5" i="6"/>
  <c r="D10" i="6" s="1"/>
  <c r="C5" i="6"/>
  <c r="C10" i="6" s="1"/>
  <c r="B5" i="6"/>
  <c r="B10" i="6" s="1"/>
  <c r="E5" i="5"/>
  <c r="E10" i="5" s="1"/>
  <c r="D5" i="5"/>
  <c r="D10" i="5" s="1"/>
  <c r="C5" i="5"/>
  <c r="C10" i="5" s="1"/>
  <c r="B5" i="5"/>
  <c r="B10" i="5" s="1"/>
  <c r="E5" i="4"/>
  <c r="E10" i="4" s="1"/>
  <c r="D5" i="4"/>
  <c r="D10" i="4" s="1"/>
  <c r="C5" i="4"/>
  <c r="C10" i="4" s="1"/>
  <c r="B5" i="4"/>
  <c r="B10" i="4" s="1"/>
  <c r="E5" i="1"/>
  <c r="E10" i="1" s="1"/>
  <c r="D5" i="1"/>
  <c r="D10" i="1" s="1"/>
  <c r="C5" i="1"/>
  <c r="C10" i="1" s="1"/>
  <c r="B5" i="1"/>
  <c r="B10" i="1" s="1"/>
  <c r="E8" i="1"/>
  <c r="E9" i="1" s="1"/>
  <c r="E15" i="3"/>
  <c r="D15" i="3"/>
  <c r="C15" i="3"/>
  <c r="B15" i="3"/>
  <c r="E12" i="3"/>
  <c r="D12" i="3"/>
  <c r="C12" i="3"/>
  <c r="B12" i="3"/>
  <c r="E10" i="3"/>
  <c r="D10" i="3"/>
  <c r="C10" i="3"/>
  <c r="B10" i="3"/>
  <c r="E5" i="3"/>
  <c r="D5" i="3"/>
  <c r="C5" i="3"/>
  <c r="B5" i="3"/>
  <c r="E7" i="3"/>
  <c r="E16" i="3" s="1"/>
  <c r="D7" i="3"/>
  <c r="D16" i="3" s="1"/>
  <c r="C7" i="3"/>
  <c r="C16" i="3" s="1"/>
  <c r="B7" i="3"/>
  <c r="F7" i="3" l="1"/>
  <c r="F16" i="3" s="1"/>
  <c r="F12" i="3"/>
  <c r="B16" i="3"/>
  <c r="C8" i="3"/>
  <c r="C14" i="3"/>
  <c r="D8" i="3"/>
  <c r="D14" i="3"/>
  <c r="E8" i="3"/>
  <c r="E14" i="3"/>
  <c r="B8" i="3"/>
  <c r="B14" i="3"/>
  <c r="E14" i="1"/>
  <c r="E15" i="1" s="1"/>
  <c r="C8" i="6"/>
  <c r="D8" i="6"/>
  <c r="B8" i="6"/>
  <c r="E8" i="6"/>
  <c r="B8" i="5"/>
  <c r="C8" i="5"/>
  <c r="D8" i="5"/>
  <c r="E8" i="5"/>
  <c r="B8" i="4"/>
  <c r="C8" i="4"/>
  <c r="D8" i="4"/>
  <c r="E8" i="4"/>
  <c r="B8" i="1"/>
  <c r="C8" i="1"/>
  <c r="D8" i="1"/>
  <c r="B14" i="1" l="1"/>
  <c r="C14" i="1"/>
  <c r="C15" i="1" s="1"/>
  <c r="D14" i="1"/>
  <c r="D15" i="1" s="1"/>
  <c r="E19" i="6"/>
  <c r="E18" i="6"/>
  <c r="E14" i="6"/>
  <c r="E15" i="6" s="1"/>
  <c r="E9" i="6"/>
  <c r="B14" i="6"/>
  <c r="B9" i="6"/>
  <c r="B18" i="6"/>
  <c r="B19" i="6" s="1"/>
  <c r="B15" i="6"/>
  <c r="C18" i="6"/>
  <c r="C19" i="6" s="1"/>
  <c r="C14" i="6"/>
  <c r="C15" i="6" s="1"/>
  <c r="C9" i="6"/>
  <c r="D18" i="6"/>
  <c r="D19" i="6" s="1"/>
  <c r="D14" i="6"/>
  <c r="D15" i="6" s="1"/>
  <c r="D9" i="6"/>
  <c r="B18" i="5"/>
  <c r="B19" i="5" s="1"/>
  <c r="B14" i="5"/>
  <c r="B15" i="5" s="1"/>
  <c r="B9" i="5"/>
  <c r="E18" i="5"/>
  <c r="E19" i="5" s="1"/>
  <c r="E14" i="5"/>
  <c r="E15" i="5" s="1"/>
  <c r="E9" i="5"/>
  <c r="D18" i="5"/>
  <c r="D19" i="5" s="1"/>
  <c r="D15" i="5"/>
  <c r="D14" i="5"/>
  <c r="D9" i="5"/>
  <c r="C18" i="5"/>
  <c r="C19" i="5" s="1"/>
  <c r="C14" i="5"/>
  <c r="C15" i="5" s="1"/>
  <c r="C9" i="5"/>
  <c r="E19" i="4"/>
  <c r="E18" i="4"/>
  <c r="E14" i="4"/>
  <c r="E15" i="4" s="1"/>
  <c r="E9" i="4"/>
  <c r="D18" i="4"/>
  <c r="D19" i="4" s="1"/>
  <c r="D14" i="4"/>
  <c r="D15" i="4" s="1"/>
  <c r="D9" i="4"/>
  <c r="C18" i="4"/>
  <c r="C19" i="4" s="1"/>
  <c r="C15" i="4"/>
  <c r="C14" i="4"/>
  <c r="C9" i="4"/>
  <c r="B19" i="4"/>
  <c r="B18" i="4"/>
  <c r="B14" i="4"/>
  <c r="B15" i="4" s="1"/>
  <c r="B9" i="4"/>
  <c r="D9" i="1"/>
  <c r="C9" i="1"/>
  <c r="B9" i="1"/>
  <c r="B15" i="1"/>
</calcChain>
</file>

<file path=xl/sharedStrings.xml><?xml version="1.0" encoding="utf-8"?>
<sst xmlns="http://schemas.openxmlformats.org/spreadsheetml/2006/main" count="170" uniqueCount="72">
  <si>
    <t>Parameter</t>
  </si>
  <si>
    <t>Period of operation, days</t>
  </si>
  <si>
    <t>Total inflow, ac-ft</t>
  </si>
  <si>
    <t>Hydraulic loading rate, cm/d</t>
  </si>
  <si>
    <t>WY2009</t>
  </si>
  <si>
    <t>WY2011</t>
  </si>
  <si>
    <t>WY2012</t>
  </si>
  <si>
    <t>WY2013</t>
  </si>
  <si>
    <t>Inflow TP, ug/L</t>
  </si>
  <si>
    <t>Total Load In, MT</t>
  </si>
  <si>
    <t>AC</t>
  </si>
  <si>
    <t>Area</t>
  </si>
  <si>
    <t>TP mass load rate, g/m2/d</t>
  </si>
  <si>
    <t>Total outflow, ac-ft</t>
  </si>
  <si>
    <t>Outflow/Inflow, %</t>
  </si>
  <si>
    <t>Outflow TP, ug/L</t>
  </si>
  <si>
    <t>Total Load Out, MT</t>
  </si>
  <si>
    <t>HRT, d</t>
  </si>
  <si>
    <t>TP mass removed, MT</t>
  </si>
  <si>
    <t>TP Conc reduction</t>
  </si>
  <si>
    <t>TP Load Reduction</t>
  </si>
  <si>
    <t>Scen 2</t>
  </si>
  <si>
    <t>Scen 3</t>
  </si>
  <si>
    <t>Scen 4</t>
  </si>
  <si>
    <t>Scen 1</t>
  </si>
  <si>
    <t>STA acreage</t>
  </si>
  <si>
    <t>Assumed % TP load reduction</t>
  </si>
  <si>
    <t>TP is annual geometric mean at Taylor Cr at Cemetary Rd, 2008, 2009, 2010, 2011</t>
  </si>
  <si>
    <t>TP removed, MT</t>
  </si>
  <si>
    <t>38% mass removal</t>
  </si>
  <si>
    <t>Total</t>
  </si>
  <si>
    <t>20% mass removal</t>
  </si>
  <si>
    <t>28.7% mass removal</t>
  </si>
  <si>
    <t>Design efficiency</t>
  </si>
  <si>
    <t>Measured efficiency</t>
  </si>
  <si>
    <t>Minimum efficiency</t>
  </si>
  <si>
    <t>1. Input TP concentrations are annual geometeric means for 2011, 2010, 2009, 2008 at station Taylor Creek at Cemetary Rd</t>
  </si>
  <si>
    <t>2. Assumes annual period of operation is 365 days</t>
  </si>
  <si>
    <t>3. Assumes treatment area of 100 acres</t>
  </si>
  <si>
    <r>
      <t xml:space="preserve">Annual TP Geomean, </t>
    </r>
    <r>
      <rPr>
        <sz val="14"/>
        <color theme="1"/>
        <rFont val="Calibri"/>
        <family val="2"/>
      </rPr>
      <t>µ</t>
    </r>
    <r>
      <rPr>
        <sz val="14"/>
        <color theme="1"/>
        <rFont val="Calibri"/>
        <family val="2"/>
        <scheme val="minor"/>
      </rPr>
      <t>g/L</t>
    </r>
  </si>
  <si>
    <t>Summary of Options</t>
  </si>
  <si>
    <t>Facility</t>
  </si>
  <si>
    <t>Area (Acres)</t>
  </si>
  <si>
    <t>FDOT to provide Design, Const. and Maintenance</t>
  </si>
  <si>
    <t>Phosphorous Removal (kg/yr)</t>
  </si>
  <si>
    <t>Regional Pond Opt A</t>
  </si>
  <si>
    <t>Yes</t>
  </si>
  <si>
    <t>Regional Pond Opt B</t>
  </si>
  <si>
    <t>Yes/No</t>
  </si>
  <si>
    <t>168-788</t>
  </si>
  <si>
    <t>STA – Option 1</t>
  </si>
  <si>
    <t>No</t>
  </si>
  <si>
    <t>Up to 727</t>
  </si>
  <si>
    <t>Biosorption - Option 2</t>
  </si>
  <si>
    <t>0*</t>
  </si>
  <si>
    <t>Up to 176</t>
  </si>
  <si>
    <t>Rehydration – Option 3</t>
  </si>
  <si>
    <t>Up to 144</t>
  </si>
  <si>
    <t>*May be located in existing SFWMD Easement</t>
  </si>
  <si>
    <t>Phosphorous Removal (MT/yr)</t>
  </si>
  <si>
    <t>.168-.788</t>
  </si>
  <si>
    <t>Up to .727</t>
  </si>
  <si>
    <t>Up to .176</t>
  </si>
  <si>
    <t>Up to .144</t>
  </si>
  <si>
    <t>Attenuation Factor</t>
  </si>
  <si>
    <t>Sub-basin</t>
  </si>
  <si>
    <t>TP Reduction w/Attenuation (kg/yr)</t>
  </si>
  <si>
    <t>TP Reduction w/Attenuation (MT/yr)</t>
  </si>
  <si>
    <t>Taylor Creek  - S131</t>
  </si>
  <si>
    <t>Range</t>
  </si>
  <si>
    <t>121.248-663.496</t>
  </si>
  <si>
    <t>0.121-0.663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</si>
</sst>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%"/>
    <numFmt numFmtId="166" formatCode="###0;###0"/>
    <numFmt numFmtId="167" formatCode="###0.0;#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2" fontId="0" fillId="0" borderId="0" xfId="0" applyNumberFormat="1"/>
    <xf numFmtId="0" fontId="0" fillId="0" borderId="0" xfId="0" applyFill="1"/>
    <xf numFmtId="0" fontId="0" fillId="2" borderId="0" xfId="0" applyFill="1"/>
    <xf numFmtId="0" fontId="0" fillId="0" borderId="0" xfId="0" applyAlignment="1">
      <alignment horizontal="right"/>
    </xf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" fontId="0" fillId="0" borderId="0" xfId="0" applyNumberFormat="1"/>
    <xf numFmtId="2" fontId="0" fillId="0" borderId="0" xfId="0" applyNumberFormat="1" applyBorder="1"/>
    <xf numFmtId="2" fontId="0" fillId="0" borderId="1" xfId="0" applyNumberFormat="1" applyBorder="1"/>
    <xf numFmtId="0" fontId="0" fillId="0" borderId="2" xfId="0" applyBorder="1"/>
    <xf numFmtId="2" fontId="0" fillId="0" borderId="6" xfId="0" applyNumberFormat="1" applyBorder="1"/>
    <xf numFmtId="0" fontId="0" fillId="0" borderId="0" xfId="0" applyBorder="1"/>
    <xf numFmtId="0" fontId="0" fillId="0" borderId="6" xfId="0" applyBorder="1"/>
    <xf numFmtId="9" fontId="0" fillId="0" borderId="0" xfId="1" applyFont="1" applyBorder="1"/>
    <xf numFmtId="9" fontId="0" fillId="0" borderId="9" xfId="1" applyFont="1" applyBorder="1"/>
    <xf numFmtId="0" fontId="0" fillId="0" borderId="15" xfId="0" applyBorder="1"/>
    <xf numFmtId="0" fontId="0" fillId="2" borderId="15" xfId="0" applyFill="1" applyBorder="1"/>
    <xf numFmtId="164" fontId="0" fillId="0" borderId="0" xfId="0" applyNumberFormat="1" applyBorder="1"/>
    <xf numFmtId="0" fontId="0" fillId="0" borderId="15" xfId="0" applyFill="1" applyBorder="1"/>
    <xf numFmtId="165" fontId="0" fillId="0" borderId="0" xfId="1" applyNumberFormat="1" applyFont="1" applyBorder="1"/>
    <xf numFmtId="0" fontId="0" fillId="2" borderId="16" xfId="0" applyFill="1" applyBorder="1"/>
    <xf numFmtId="165" fontId="0" fillId="0" borderId="7" xfId="1" applyNumberFormat="1" applyFont="1" applyBorder="1"/>
    <xf numFmtId="165" fontId="0" fillId="0" borderId="8" xfId="1" applyNumberFormat="1" applyFont="1" applyBorder="1"/>
    <xf numFmtId="0" fontId="0" fillId="0" borderId="18" xfId="0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0" fillId="0" borderId="0" xfId="0" applyFont="1"/>
    <xf numFmtId="0" fontId="0" fillId="0" borderId="20" xfId="0" applyFont="1" applyBorder="1"/>
    <xf numFmtId="0" fontId="5" fillId="0" borderId="0" xfId="0" applyFont="1" applyAlignment="1">
      <alignment horizontal="left" vertical="top"/>
    </xf>
    <xf numFmtId="0" fontId="7" fillId="0" borderId="19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6" fontId="7" fillId="0" borderId="19" xfId="0" applyNumberFormat="1" applyFont="1" applyBorder="1" applyAlignment="1">
      <alignment horizontal="center" vertical="top" wrapText="1"/>
    </xf>
    <xf numFmtId="166" fontId="7" fillId="0" borderId="2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top" wrapText="1"/>
    </xf>
    <xf numFmtId="167" fontId="7" fillId="0" borderId="19" xfId="0" applyNumberFormat="1" applyFont="1" applyBorder="1" applyAlignment="1">
      <alignment horizontal="center" vertical="top" wrapText="1"/>
    </xf>
    <xf numFmtId="0" fontId="0" fillId="0" borderId="0" xfId="0" applyFont="1" applyBorder="1"/>
    <xf numFmtId="164" fontId="0" fillId="0" borderId="20" xfId="0" applyNumberFormat="1" applyFont="1" applyBorder="1"/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8" fillId="0" borderId="20" xfId="0" applyFont="1" applyFill="1" applyBorder="1" applyAlignment="1">
      <alignment horizontal="center" vertical="center" wrapText="1"/>
    </xf>
    <xf numFmtId="164" fontId="0" fillId="0" borderId="2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2" fillId="0" borderId="15" xfId="0" applyFont="1" applyBorder="1" applyAlignment="1">
      <alignment horizontal="center" textRotation="90" wrapText="1"/>
    </xf>
    <xf numFmtId="0" fontId="2" fillId="0" borderId="16" xfId="0" applyFont="1" applyBorder="1" applyAlignment="1">
      <alignment horizontal="center" textRotation="90" wrapText="1"/>
    </xf>
    <xf numFmtId="9" fontId="2" fillId="0" borderId="3" xfId="1" applyFont="1" applyBorder="1" applyAlignment="1">
      <alignment horizontal="center" vertical="center" wrapText="1"/>
    </xf>
    <xf numFmtId="9" fontId="2" fillId="0" borderId="10" xfId="1" applyFont="1" applyBorder="1" applyAlignment="1">
      <alignment horizontal="center" vertical="center" wrapText="1"/>
    </xf>
    <xf numFmtId="9" fontId="2" fillId="0" borderId="13" xfId="1" applyFont="1" applyBorder="1" applyAlignment="1">
      <alignment horizontal="center" vertical="center" wrapText="1"/>
    </xf>
    <xf numFmtId="9" fontId="2" fillId="0" borderId="9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590550</xdr:colOff>
      <xdr:row>43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8025"/>
          <a:ext cx="7153275" cy="5124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3" sqref="J13"/>
    </sheetView>
  </sheetViews>
  <sheetFormatPr defaultColWidth="8.85546875" defaultRowHeight="15" x14ac:dyDescent="0.25"/>
  <cols>
    <col min="1" max="1" width="47.42578125" style="37" bestFit="1" customWidth="1"/>
    <col min="2" max="2" width="8" style="47" bestFit="1" customWidth="1"/>
    <col min="3" max="3" width="19.7109375" style="47" bestFit="1" customWidth="1"/>
    <col min="4" max="4" width="23.28515625" style="47" bestFit="1" customWidth="1"/>
    <col min="5" max="5" width="16.140625" style="47" customWidth="1"/>
    <col min="6" max="6" width="19" style="37" customWidth="1"/>
    <col min="7" max="7" width="13.140625" style="37" bestFit="1" customWidth="1"/>
    <col min="8" max="8" width="10.5703125" style="37" customWidth="1"/>
    <col min="9" max="9" width="8.85546875" style="37" customWidth="1"/>
    <col min="10" max="10" width="11.85546875" style="37" customWidth="1"/>
    <col min="11" max="16384" width="8.85546875" style="37"/>
  </cols>
  <sheetData>
    <row r="1" spans="1:12" x14ac:dyDescent="0.25">
      <c r="A1" s="39" t="s">
        <v>40</v>
      </c>
      <c r="B1" s="45"/>
      <c r="C1" s="45"/>
      <c r="D1" s="45"/>
      <c r="E1" s="45"/>
    </row>
    <row r="2" spans="1:12" s="56" customFormat="1" ht="45" x14ac:dyDescent="0.25">
      <c r="A2" s="52" t="s">
        <v>41</v>
      </c>
      <c r="B2" s="52" t="s">
        <v>42</v>
      </c>
      <c r="C2" s="52" t="s">
        <v>43</v>
      </c>
      <c r="D2" s="53" t="s">
        <v>44</v>
      </c>
      <c r="E2" s="54" t="s">
        <v>59</v>
      </c>
      <c r="F2" s="55" t="s">
        <v>65</v>
      </c>
      <c r="G2" s="55" t="s">
        <v>64</v>
      </c>
      <c r="H2" s="57" t="s">
        <v>66</v>
      </c>
      <c r="I2" s="58"/>
      <c r="J2" s="61" t="s">
        <v>67</v>
      </c>
      <c r="K2" s="61"/>
    </row>
    <row r="3" spans="1:12" x14ac:dyDescent="0.25">
      <c r="A3" s="41" t="s">
        <v>45</v>
      </c>
      <c r="B3" s="42">
        <v>26</v>
      </c>
      <c r="C3" s="40" t="s">
        <v>46</v>
      </c>
      <c r="D3" s="43">
        <v>496</v>
      </c>
      <c r="E3" s="46">
        <v>0.496</v>
      </c>
      <c r="F3" s="38" t="s">
        <v>68</v>
      </c>
      <c r="G3" s="38">
        <v>0.158</v>
      </c>
      <c r="H3" s="59">
        <f>D3*(1-G3)</f>
        <v>417.63200000000001</v>
      </c>
      <c r="I3" s="60"/>
      <c r="J3" s="62">
        <f>H3*0.001</f>
        <v>0.417632</v>
      </c>
      <c r="K3" s="62"/>
    </row>
    <row r="4" spans="1:12" x14ac:dyDescent="0.25">
      <c r="A4" s="41" t="s">
        <v>47</v>
      </c>
      <c r="B4" s="42">
        <v>26</v>
      </c>
      <c r="C4" s="40" t="s">
        <v>48</v>
      </c>
      <c r="D4" s="48" t="s">
        <v>49</v>
      </c>
      <c r="E4" s="46" t="s">
        <v>60</v>
      </c>
      <c r="F4" s="38" t="s">
        <v>68</v>
      </c>
      <c r="G4" s="38">
        <v>0.158</v>
      </c>
      <c r="H4" s="51">
        <f>168*(1-G4)</f>
        <v>141.45599999999999</v>
      </c>
      <c r="I4" s="38">
        <f>788*(1-G4)</f>
        <v>663.49599999999998</v>
      </c>
      <c r="J4" s="51">
        <f>H4*0.001</f>
        <v>0.141456</v>
      </c>
      <c r="K4" s="51">
        <f>I4*0.001</f>
        <v>0.66349599999999997</v>
      </c>
    </row>
    <row r="5" spans="1:12" x14ac:dyDescent="0.25">
      <c r="A5" s="41" t="s">
        <v>50</v>
      </c>
      <c r="B5" s="42">
        <v>60</v>
      </c>
      <c r="C5" s="40" t="s">
        <v>51</v>
      </c>
      <c r="D5" s="48" t="s">
        <v>52</v>
      </c>
      <c r="E5" s="46" t="s">
        <v>61</v>
      </c>
      <c r="F5" s="38" t="s">
        <v>68</v>
      </c>
      <c r="G5" s="38">
        <v>0.158</v>
      </c>
      <c r="H5" s="59">
        <f>727*(1-G5)</f>
        <v>612.13400000000001</v>
      </c>
      <c r="I5" s="60"/>
      <c r="J5" s="62">
        <f>H5*0.001</f>
        <v>0.61213400000000007</v>
      </c>
      <c r="K5" s="62"/>
    </row>
    <row r="6" spans="1:12" x14ac:dyDescent="0.25">
      <c r="A6" s="41" t="s">
        <v>53</v>
      </c>
      <c r="B6" s="40" t="s">
        <v>54</v>
      </c>
      <c r="C6" s="40" t="s">
        <v>51</v>
      </c>
      <c r="D6" s="48" t="s">
        <v>55</v>
      </c>
      <c r="E6" s="46" t="s">
        <v>62</v>
      </c>
      <c r="F6" s="38" t="s">
        <v>68</v>
      </c>
      <c r="G6" s="38">
        <v>0.158</v>
      </c>
      <c r="H6" s="59">
        <f>176*(1-G6)</f>
        <v>148.19200000000001</v>
      </c>
      <c r="I6" s="60"/>
      <c r="J6" s="62">
        <f>H6*0.001</f>
        <v>0.14819200000000002</v>
      </c>
      <c r="K6" s="62"/>
    </row>
    <row r="7" spans="1:12" x14ac:dyDescent="0.25">
      <c r="A7" s="41" t="s">
        <v>56</v>
      </c>
      <c r="B7" s="49">
        <v>162.5</v>
      </c>
      <c r="C7" s="40" t="s">
        <v>51</v>
      </c>
      <c r="D7" s="48" t="s">
        <v>57</v>
      </c>
      <c r="E7" s="46" t="s">
        <v>63</v>
      </c>
      <c r="F7" s="38" t="s">
        <v>68</v>
      </c>
      <c r="G7" s="38">
        <v>0.158</v>
      </c>
      <c r="H7" s="59">
        <f>144*(1-G7)</f>
        <v>121.24799999999999</v>
      </c>
      <c r="I7" s="60"/>
      <c r="J7" s="62">
        <f>H7*0.001</f>
        <v>0.12124799999999999</v>
      </c>
      <c r="K7" s="62"/>
    </row>
    <row r="8" spans="1:12" x14ac:dyDescent="0.25">
      <c r="A8" s="44" t="s">
        <v>58</v>
      </c>
      <c r="B8" s="45"/>
      <c r="C8" s="45"/>
      <c r="D8" s="45"/>
      <c r="E8" s="45"/>
      <c r="G8" s="50"/>
      <c r="H8" s="50"/>
    </row>
    <row r="9" spans="1:12" x14ac:dyDescent="0.25">
      <c r="G9" s="50"/>
      <c r="H9" s="50"/>
      <c r="I9" s="50"/>
    </row>
    <row r="10" spans="1:12" x14ac:dyDescent="0.25">
      <c r="H10" s="73" t="s">
        <v>70</v>
      </c>
      <c r="I10" s="73"/>
      <c r="J10" s="73" t="s">
        <v>71</v>
      </c>
      <c r="K10" s="73"/>
      <c r="L10" s="37" t="s">
        <v>69</v>
      </c>
    </row>
  </sheetData>
  <mergeCells count="12">
    <mergeCell ref="H10:I10"/>
    <mergeCell ref="J10:K10"/>
    <mergeCell ref="J2:K2"/>
    <mergeCell ref="J3:K3"/>
    <mergeCell ref="J5:K5"/>
    <mergeCell ref="J6:K6"/>
    <mergeCell ref="J7:K7"/>
    <mergeCell ref="H2:I2"/>
    <mergeCell ref="H3:I3"/>
    <mergeCell ref="H5:I5"/>
    <mergeCell ref="H6:I6"/>
    <mergeCell ref="H7:I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L6" sqref="L6"/>
    </sheetView>
  </sheetViews>
  <sheetFormatPr defaultRowHeight="15" x14ac:dyDescent="0.25"/>
  <cols>
    <col min="1" max="1" width="26.42578125" bestFit="1" customWidth="1"/>
    <col min="2" max="5" width="15.7109375" customWidth="1"/>
    <col min="9" max="9" width="6.5703125" customWidth="1"/>
  </cols>
  <sheetData>
    <row r="1" spans="1:10" x14ac:dyDescent="0.25">
      <c r="A1" s="25" t="s">
        <v>0</v>
      </c>
      <c r="B1" s="26" t="s">
        <v>4</v>
      </c>
      <c r="C1" s="26" t="s">
        <v>5</v>
      </c>
      <c r="D1" s="26" t="s">
        <v>6</v>
      </c>
      <c r="E1" s="26" t="s">
        <v>7</v>
      </c>
      <c r="F1" s="27" t="s">
        <v>30</v>
      </c>
      <c r="H1" t="s">
        <v>11</v>
      </c>
      <c r="I1">
        <v>118</v>
      </c>
      <c r="J1" t="s">
        <v>10</v>
      </c>
    </row>
    <row r="2" spans="1:10" x14ac:dyDescent="0.25">
      <c r="A2" s="17"/>
      <c r="B2" s="13"/>
      <c r="C2" s="13"/>
      <c r="D2" s="13"/>
      <c r="E2" s="13"/>
      <c r="F2" s="14"/>
    </row>
    <row r="3" spans="1:10" x14ac:dyDescent="0.25">
      <c r="A3" s="17" t="s">
        <v>1</v>
      </c>
      <c r="B3" s="13">
        <v>244</v>
      </c>
      <c r="C3" s="13">
        <v>235</v>
      </c>
      <c r="D3" s="13">
        <v>366</v>
      </c>
      <c r="E3" s="13">
        <v>276</v>
      </c>
      <c r="F3" s="14"/>
    </row>
    <row r="4" spans="1:10" x14ac:dyDescent="0.25">
      <c r="A4" s="17" t="s">
        <v>2</v>
      </c>
      <c r="B4" s="13">
        <v>9218</v>
      </c>
      <c r="C4" s="13">
        <v>6988</v>
      </c>
      <c r="D4" s="13">
        <v>13188</v>
      </c>
      <c r="E4" s="13">
        <v>5810</v>
      </c>
      <c r="F4" s="14"/>
    </row>
    <row r="5" spans="1:10" x14ac:dyDescent="0.25">
      <c r="A5" s="18" t="s">
        <v>3</v>
      </c>
      <c r="B5" s="9">
        <f>B4/$I$1/3.2808*100/B3</f>
        <v>9.758546004847453</v>
      </c>
      <c r="C5" s="9">
        <f>C4/$I$1/3.2808*100/C3</f>
        <v>7.6810973689669426</v>
      </c>
      <c r="D5" s="9">
        <f>D4/$I$1/3.2808*100/D3</f>
        <v>9.3075652500128889</v>
      </c>
      <c r="E5" s="9">
        <f>E4/$I$1/3.2808*100/E3</f>
        <v>5.4375753324119884</v>
      </c>
      <c r="F5" s="14"/>
    </row>
    <row r="6" spans="1:10" x14ac:dyDescent="0.25">
      <c r="A6" s="17" t="s">
        <v>8</v>
      </c>
      <c r="B6" s="13">
        <v>408</v>
      </c>
      <c r="C6" s="13">
        <v>167</v>
      </c>
      <c r="D6" s="13">
        <v>341</v>
      </c>
      <c r="E6" s="13">
        <v>368</v>
      </c>
      <c r="F6" s="14"/>
    </row>
    <row r="7" spans="1:10" x14ac:dyDescent="0.25">
      <c r="A7" s="18" t="s">
        <v>9</v>
      </c>
      <c r="B7" s="9">
        <f>B4*43560*28.31685*B6/(1000000000000)</f>
        <v>4.6390566743547845</v>
      </c>
      <c r="C7" s="9">
        <f t="shared" ref="C7:E7" si="0">C4*43560*28.31685*C6/(1000000000000)</f>
        <v>1.439468543734056</v>
      </c>
      <c r="D7" s="9">
        <f t="shared" si="0"/>
        <v>5.5471017070964885</v>
      </c>
      <c r="E7" s="9">
        <f t="shared" si="0"/>
        <v>2.6372831646268797</v>
      </c>
      <c r="F7" s="12">
        <f>SUM(B7:E7)</f>
        <v>14.262910089812209</v>
      </c>
    </row>
    <row r="8" spans="1:10" x14ac:dyDescent="0.25">
      <c r="A8" s="18" t="s">
        <v>12</v>
      </c>
      <c r="B8" s="19">
        <f>B7*1000*1000/($I$1*4046.825)/B3</f>
        <v>3.9814697489699867E-2</v>
      </c>
      <c r="C8" s="19">
        <f>C7*1000*1000/($I$1*4046.825)/C3</f>
        <v>1.2827377768411233E-2</v>
      </c>
      <c r="D8" s="19">
        <f>D7*1000*1000/($I$1*4046.825)/D3</f>
        <v>3.173866181797428E-2</v>
      </c>
      <c r="E8" s="19">
        <f>E7*1000*1000/($I$1*4046.825)/E3</f>
        <v>2.0010191678577899E-2</v>
      </c>
      <c r="F8" s="14"/>
    </row>
    <row r="9" spans="1:10" x14ac:dyDescent="0.25">
      <c r="A9" s="20" t="s">
        <v>13</v>
      </c>
      <c r="B9" s="13">
        <v>8767</v>
      </c>
      <c r="C9" s="13">
        <v>6257</v>
      </c>
      <c r="D9" s="13">
        <v>12208</v>
      </c>
      <c r="E9" s="13">
        <v>5762</v>
      </c>
      <c r="F9" s="14"/>
    </row>
    <row r="10" spans="1:10" x14ac:dyDescent="0.25">
      <c r="A10" s="18" t="s">
        <v>14</v>
      </c>
      <c r="B10" s="15">
        <f>B9/B4</f>
        <v>0.95107398568019097</v>
      </c>
      <c r="C10" s="15">
        <f t="shared" ref="C10:E10" si="1">C9/C4</f>
        <v>0.89539210074413278</v>
      </c>
      <c r="D10" s="15">
        <f t="shared" si="1"/>
        <v>0.92569002123142252</v>
      </c>
      <c r="E10" s="15">
        <f t="shared" si="1"/>
        <v>0.9917383820998279</v>
      </c>
      <c r="F10" s="14"/>
    </row>
    <row r="11" spans="1:10" x14ac:dyDescent="0.25">
      <c r="A11" s="20" t="s">
        <v>15</v>
      </c>
      <c r="B11" s="13">
        <v>295</v>
      </c>
      <c r="C11" s="13">
        <v>68</v>
      </c>
      <c r="D11" s="13">
        <v>292</v>
      </c>
      <c r="E11" s="13">
        <v>289</v>
      </c>
      <c r="F11" s="14"/>
    </row>
    <row r="12" spans="1:10" x14ac:dyDescent="0.25">
      <c r="A12" s="18" t="s">
        <v>16</v>
      </c>
      <c r="B12" s="9">
        <f>B9*43560*28.31685*B11/(1000000000000)</f>
        <v>3.1901112885222895</v>
      </c>
      <c r="C12" s="9">
        <f t="shared" ref="C12:E12" si="2">C9*43560*28.31685*C11/(1000000000000)</f>
        <v>0.52481698147533595</v>
      </c>
      <c r="D12" s="9">
        <f t="shared" si="2"/>
        <v>4.3970376408456957</v>
      </c>
      <c r="E12" s="9">
        <f t="shared" si="2"/>
        <v>2.054016405762948</v>
      </c>
      <c r="F12" s="12">
        <f>SUM(B12:E12)</f>
        <v>10.165982316606268</v>
      </c>
    </row>
    <row r="13" spans="1:10" x14ac:dyDescent="0.25">
      <c r="A13" s="20" t="s">
        <v>17</v>
      </c>
      <c r="B13" s="13">
        <v>6.34</v>
      </c>
      <c r="C13" s="13">
        <v>7.75</v>
      </c>
      <c r="D13" s="13">
        <v>6.52</v>
      </c>
      <c r="E13" s="13">
        <v>9.7200000000000006</v>
      </c>
      <c r="F13" s="14"/>
    </row>
    <row r="14" spans="1:10" x14ac:dyDescent="0.25">
      <c r="A14" s="18" t="s">
        <v>18</v>
      </c>
      <c r="B14" s="9">
        <f>B7-B12</f>
        <v>1.448945385832495</v>
      </c>
      <c r="C14" s="9">
        <f t="shared" ref="C14:E14" si="3">C7-C12</f>
        <v>0.91465156225872002</v>
      </c>
      <c r="D14" s="9">
        <f t="shared" si="3"/>
        <v>1.1500640662507928</v>
      </c>
      <c r="E14" s="9">
        <f t="shared" si="3"/>
        <v>0.58326675886393176</v>
      </c>
      <c r="F14" s="12">
        <f>SUM(B14:E14)</f>
        <v>4.0969277732059393</v>
      </c>
    </row>
    <row r="15" spans="1:10" x14ac:dyDescent="0.25">
      <c r="A15" s="18" t="s">
        <v>19</v>
      </c>
      <c r="B15" s="21">
        <f>(B6-B11)/B6</f>
        <v>0.27696078431372551</v>
      </c>
      <c r="C15" s="21">
        <f t="shared" ref="C15:E15" si="4">(C6-C11)/C6</f>
        <v>0.59281437125748504</v>
      </c>
      <c r="D15" s="21">
        <f t="shared" si="4"/>
        <v>0.14369501466275661</v>
      </c>
      <c r="E15" s="21">
        <f t="shared" si="4"/>
        <v>0.21467391304347827</v>
      </c>
      <c r="F15" s="14"/>
    </row>
    <row r="16" spans="1:10" ht="15.75" thickBot="1" x14ac:dyDescent="0.3">
      <c r="A16" s="22" t="s">
        <v>20</v>
      </c>
      <c r="B16" s="23">
        <f>(B7-B12)/B7</f>
        <v>0.31233621133417583</v>
      </c>
      <c r="C16" s="23">
        <f t="shared" ref="C16:F16" si="5">(C7-C12)/C7</f>
        <v>0.635409204487419</v>
      </c>
      <c r="D16" s="23">
        <f t="shared" si="5"/>
        <v>0.20732701994259434</v>
      </c>
      <c r="E16" s="23">
        <f t="shared" si="5"/>
        <v>0.22116197710095031</v>
      </c>
      <c r="F16" s="24">
        <f t="shared" si="5"/>
        <v>0.28724346906823156</v>
      </c>
    </row>
  </sheetData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workbookViewId="0">
      <selection activeCell="D8" sqref="D8"/>
    </sheetView>
  </sheetViews>
  <sheetFormatPr defaultRowHeight="15" x14ac:dyDescent="0.25"/>
  <cols>
    <col min="1" max="1" width="27.5703125" bestFit="1" customWidth="1"/>
  </cols>
  <sheetData>
    <row r="1" spans="1:13" x14ac:dyDescent="0.25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13" x14ac:dyDescent="0.25">
      <c r="A3" t="s">
        <v>25</v>
      </c>
      <c r="B3">
        <v>100</v>
      </c>
      <c r="C3">
        <v>100</v>
      </c>
      <c r="D3">
        <v>100</v>
      </c>
      <c r="E3">
        <v>100</v>
      </c>
    </row>
    <row r="4" spans="1:13" x14ac:dyDescent="0.25">
      <c r="A4" t="s">
        <v>1</v>
      </c>
      <c r="B4">
        <v>365</v>
      </c>
      <c r="C4">
        <v>365</v>
      </c>
      <c r="D4">
        <v>365</v>
      </c>
      <c r="E4">
        <v>365</v>
      </c>
    </row>
    <row r="5" spans="1:13" x14ac:dyDescent="0.25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13" x14ac:dyDescent="0.25">
      <c r="A6" s="2" t="s">
        <v>3</v>
      </c>
      <c r="B6" s="1">
        <v>6</v>
      </c>
      <c r="C6" s="1">
        <v>8</v>
      </c>
      <c r="D6" s="1">
        <v>10</v>
      </c>
      <c r="E6" s="1">
        <v>12</v>
      </c>
      <c r="I6" s="11"/>
      <c r="J6" s="63" t="s">
        <v>3</v>
      </c>
      <c r="K6" s="63"/>
      <c r="L6" s="63"/>
      <c r="M6" s="63"/>
    </row>
    <row r="7" spans="1:13" x14ac:dyDescent="0.25">
      <c r="A7" t="s">
        <v>8</v>
      </c>
      <c r="B7">
        <v>439</v>
      </c>
      <c r="C7">
        <v>439</v>
      </c>
      <c r="D7">
        <v>439</v>
      </c>
      <c r="E7">
        <v>439</v>
      </c>
      <c r="I7" s="16">
        <v>0.38</v>
      </c>
      <c r="J7" s="10">
        <v>6</v>
      </c>
      <c r="K7" s="10">
        <v>8</v>
      </c>
      <c r="L7" s="10">
        <v>10</v>
      </c>
      <c r="M7" s="10">
        <v>12</v>
      </c>
    </row>
    <row r="8" spans="1:13" x14ac:dyDescent="0.25">
      <c r="A8" s="3" t="s">
        <v>9</v>
      </c>
      <c r="B8" s="1">
        <f>B5*43560*28.31685*B7/(1000000000000)</f>
        <v>3.890641390538581</v>
      </c>
      <c r="C8" s="1">
        <f>C5*43560*28.31685*C7/(1000000000000)</f>
        <v>5.1875218540514423</v>
      </c>
      <c r="D8" s="1">
        <f>D5*43560*28.31685*D7/(1000000000000)</f>
        <v>6.4844023175643004</v>
      </c>
      <c r="E8" s="1">
        <f>E5*43560*28.31685*E7/(1000000000000)</f>
        <v>7.7812827810771621</v>
      </c>
      <c r="H8" s="64" t="s">
        <v>28</v>
      </c>
      <c r="I8" s="11">
        <v>439</v>
      </c>
      <c r="J8" s="9">
        <v>1.478443728404661</v>
      </c>
      <c r="K8" s="9">
        <v>1.971258304539548</v>
      </c>
      <c r="L8" s="9">
        <v>2.4640728806744345</v>
      </c>
      <c r="M8" s="9">
        <v>2.956887456809322</v>
      </c>
    </row>
    <row r="9" spans="1:13" x14ac:dyDescent="0.25">
      <c r="A9" s="3" t="s">
        <v>12</v>
      </c>
      <c r="B9" s="5">
        <f>B8*1000*1000/(B3*4046.825)/B4</f>
        <v>2.6339887395495528E-2</v>
      </c>
      <c r="C9" s="5">
        <f t="shared" ref="C9:E9" si="1">C8*1000*1000/(C3*4046.825)/C4</f>
        <v>3.5119849860660711E-2</v>
      </c>
      <c r="D9" s="5">
        <f t="shared" si="1"/>
        <v>4.389981232582587E-2</v>
      </c>
      <c r="E9" s="5">
        <f t="shared" si="1"/>
        <v>5.2679774790991056E-2</v>
      </c>
      <c r="H9" s="64"/>
      <c r="I9" s="11"/>
      <c r="J9" s="13"/>
      <c r="K9" s="13"/>
      <c r="L9" s="13"/>
      <c r="M9" s="13"/>
    </row>
    <row r="10" spans="1:13" x14ac:dyDescent="0.25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  <c r="H10" s="64"/>
      <c r="I10" s="11"/>
      <c r="J10" s="13"/>
      <c r="K10" s="13"/>
      <c r="L10" s="13"/>
      <c r="M10" s="13"/>
    </row>
    <row r="11" spans="1:13" x14ac:dyDescent="0.25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  <c r="H11" s="64"/>
      <c r="I11" s="11"/>
      <c r="J11" s="13"/>
      <c r="K11" s="13"/>
      <c r="L11" s="13"/>
      <c r="M11" s="13"/>
    </row>
    <row r="12" spans="1:13" x14ac:dyDescent="0.25">
      <c r="A12" s="2"/>
      <c r="B12" s="6"/>
      <c r="C12" s="6"/>
      <c r="D12" s="6"/>
      <c r="E12" s="6"/>
    </row>
    <row r="13" spans="1:13" x14ac:dyDescent="0.25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13" x14ac:dyDescent="0.25">
      <c r="A14" s="3" t="s">
        <v>16</v>
      </c>
      <c r="B14" s="1">
        <f>B8*(1-B13)</f>
        <v>2.4121976621339201</v>
      </c>
      <c r="C14" s="1">
        <f>C8*(1-C13)</f>
        <v>3.2162635495118943</v>
      </c>
      <c r="D14" s="1">
        <f>D8*(1-D13)</f>
        <v>4.0203294368898659</v>
      </c>
      <c r="E14" s="1">
        <f>E8*(1-E13)</f>
        <v>4.8243953242678401</v>
      </c>
    </row>
    <row r="15" spans="1:13" x14ac:dyDescent="0.25">
      <c r="A15" s="3" t="s">
        <v>18</v>
      </c>
      <c r="B15" s="9">
        <f>B8-B14</f>
        <v>1.478443728404661</v>
      </c>
      <c r="C15" s="9">
        <f>C8-C14</f>
        <v>1.971258304539548</v>
      </c>
      <c r="D15" s="9">
        <f>D8-D14</f>
        <v>2.4640728806744345</v>
      </c>
      <c r="E15" s="9">
        <f>E8-E14</f>
        <v>2.956887456809322</v>
      </c>
    </row>
    <row r="16" spans="1:13" x14ac:dyDescent="0.25">
      <c r="A16" s="2"/>
      <c r="B16" s="7"/>
      <c r="C16" s="7"/>
      <c r="D16" s="7"/>
      <c r="E16" s="7"/>
    </row>
    <row r="17" spans="1:5" x14ac:dyDescent="0.25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25">
      <c r="A18" s="3" t="s">
        <v>16</v>
      </c>
      <c r="B18" s="1">
        <f t="shared" ref="B18:E18" si="3">B$8*(1-B17)</f>
        <v>3.1125131124308649</v>
      </c>
      <c r="C18" s="1">
        <f t="shared" si="3"/>
        <v>4.1500174832411538</v>
      </c>
      <c r="D18" s="1">
        <f t="shared" si="3"/>
        <v>5.1875218540514405</v>
      </c>
      <c r="E18" s="1">
        <f t="shared" si="3"/>
        <v>6.2250262248617299</v>
      </c>
    </row>
    <row r="19" spans="1:5" x14ac:dyDescent="0.25">
      <c r="A19" s="3" t="s">
        <v>18</v>
      </c>
      <c r="B19" s="9">
        <f t="shared" ref="B19:E19" si="4">B$8-B18</f>
        <v>0.77812827810771612</v>
      </c>
      <c r="C19" s="9">
        <f t="shared" si="4"/>
        <v>1.0375043708102885</v>
      </c>
      <c r="D19" s="9">
        <f t="shared" si="4"/>
        <v>1.2968804635128599</v>
      </c>
      <c r="E19" s="9">
        <f t="shared" si="4"/>
        <v>1.5562565562154322</v>
      </c>
    </row>
    <row r="21" spans="1:5" x14ac:dyDescent="0.25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25">
      <c r="A22" s="3" t="s">
        <v>16</v>
      </c>
      <c r="B22" s="1">
        <f>B$8*(1-B21)</f>
        <v>2.7740273114540086</v>
      </c>
      <c r="C22" s="1">
        <f t="shared" ref="C22:E22" si="5">C$8*(1-C21)</f>
        <v>3.6987030819386786</v>
      </c>
      <c r="D22" s="1">
        <f t="shared" si="5"/>
        <v>4.6233788524233468</v>
      </c>
      <c r="E22" s="1">
        <f t="shared" si="5"/>
        <v>5.5480546229080172</v>
      </c>
    </row>
    <row r="23" spans="1:5" x14ac:dyDescent="0.25">
      <c r="A23" s="3" t="s">
        <v>18</v>
      </c>
      <c r="B23" s="9">
        <f>B$8-B22</f>
        <v>1.1166140790845724</v>
      </c>
      <c r="C23" s="9">
        <f t="shared" ref="C23:E23" si="6">C$8-C22</f>
        <v>1.4888187721127637</v>
      </c>
      <c r="D23" s="9">
        <f t="shared" si="6"/>
        <v>1.8610234651409536</v>
      </c>
      <c r="E23" s="9">
        <f t="shared" si="6"/>
        <v>2.2332281581691449</v>
      </c>
    </row>
    <row r="24" spans="1:5" x14ac:dyDescent="0.25">
      <c r="A24" s="3"/>
      <c r="B24" s="9"/>
      <c r="C24" s="9"/>
      <c r="D24" s="9"/>
      <c r="E24" s="9"/>
    </row>
    <row r="25" spans="1:5" x14ac:dyDescent="0.25">
      <c r="A25" s="3"/>
      <c r="B25" s="9"/>
      <c r="C25" s="9"/>
      <c r="D25" s="9"/>
      <c r="E25" s="9"/>
    </row>
    <row r="26" spans="1:5" x14ac:dyDescent="0.25">
      <c r="A26" s="3"/>
      <c r="B26" s="9"/>
      <c r="C26" s="9"/>
      <c r="D26" s="9"/>
      <c r="E26" s="9"/>
    </row>
    <row r="27" spans="1:5" x14ac:dyDescent="0.25">
      <c r="A27" s="2" t="s">
        <v>27</v>
      </c>
    </row>
    <row r="28" spans="1:5" x14ac:dyDescent="0.25">
      <c r="A28" s="2"/>
    </row>
    <row r="29" spans="1:5" x14ac:dyDescent="0.25">
      <c r="A29" s="2"/>
      <c r="B29" s="8"/>
      <c r="C29" s="8"/>
      <c r="D29" s="8"/>
      <c r="E29" s="8"/>
    </row>
    <row r="30" spans="1:5" x14ac:dyDescent="0.25">
      <c r="A30" s="2"/>
      <c r="B30" s="1"/>
      <c r="C30" s="1"/>
      <c r="D30" s="1"/>
      <c r="E30" s="1"/>
    </row>
    <row r="31" spans="1:5" x14ac:dyDescent="0.25">
      <c r="A31" s="2"/>
    </row>
    <row r="32" spans="1:5" x14ac:dyDescent="0.25">
      <c r="A32" s="2"/>
      <c r="B32" s="1"/>
      <c r="C32" s="1"/>
      <c r="D32" s="1"/>
      <c r="E32" s="1"/>
    </row>
    <row r="33" spans="1:5" x14ac:dyDescent="0.25">
      <c r="A33" s="2"/>
      <c r="B33" s="5"/>
      <c r="C33" s="5"/>
      <c r="D33" s="5"/>
      <c r="E33" s="5"/>
    </row>
    <row r="34" spans="1:5" x14ac:dyDescent="0.25">
      <c r="A34" s="2"/>
      <c r="B34" s="8"/>
      <c r="C34" s="8"/>
      <c r="D34" s="8"/>
      <c r="E34" s="8"/>
    </row>
    <row r="35" spans="1:5" x14ac:dyDescent="0.25">
      <c r="A35" s="2"/>
      <c r="B35" s="6"/>
      <c r="C35" s="6"/>
      <c r="D35" s="6"/>
      <c r="E35" s="6"/>
    </row>
    <row r="36" spans="1:5" x14ac:dyDescent="0.25">
      <c r="A36" s="2"/>
      <c r="B36" s="6"/>
      <c r="C36" s="6"/>
      <c r="D36" s="6"/>
      <c r="E36" s="6"/>
    </row>
    <row r="37" spans="1:5" x14ac:dyDescent="0.25">
      <c r="A37" s="2"/>
      <c r="B37" s="6"/>
      <c r="C37" s="6"/>
      <c r="D37" s="6"/>
      <c r="E37" s="6"/>
    </row>
    <row r="38" spans="1:5" x14ac:dyDescent="0.25">
      <c r="A38" s="2"/>
      <c r="B38" s="1"/>
      <c r="C38" s="1"/>
      <c r="D38" s="1"/>
      <c r="E38" s="1"/>
    </row>
    <row r="39" spans="1:5" x14ac:dyDescent="0.25">
      <c r="A39" s="2"/>
      <c r="B39" s="1"/>
      <c r="C39" s="1"/>
      <c r="D39" s="1"/>
      <c r="E39" s="1"/>
    </row>
    <row r="40" spans="1:5" x14ac:dyDescent="0.25">
      <c r="A40" s="2"/>
      <c r="B40" s="7"/>
      <c r="C40" s="7"/>
      <c r="D40" s="7"/>
      <c r="E40" s="7"/>
    </row>
    <row r="41" spans="1:5" x14ac:dyDescent="0.25">
      <c r="A41" s="2"/>
      <c r="B41" s="6"/>
      <c r="C41" s="6"/>
      <c r="D41" s="6"/>
      <c r="E41" s="6"/>
    </row>
    <row r="42" spans="1:5" x14ac:dyDescent="0.25">
      <c r="A42" s="2"/>
      <c r="B42" s="1"/>
      <c r="C42" s="1"/>
      <c r="D42" s="1"/>
      <c r="E42" s="1"/>
    </row>
    <row r="43" spans="1:5" x14ac:dyDescent="0.25">
      <c r="A43" s="2"/>
      <c r="B43" s="1"/>
      <c r="C43" s="1"/>
      <c r="D43" s="1"/>
      <c r="E43" s="1"/>
    </row>
    <row r="44" spans="1:5" x14ac:dyDescent="0.25">
      <c r="A44" s="2"/>
    </row>
    <row r="45" spans="1:5" x14ac:dyDescent="0.25">
      <c r="A45" s="2"/>
    </row>
    <row r="46" spans="1:5" x14ac:dyDescent="0.25">
      <c r="A46" s="2"/>
    </row>
    <row r="47" spans="1:5" x14ac:dyDescent="0.25">
      <c r="A47" s="2"/>
    </row>
    <row r="48" spans="1:5" x14ac:dyDescent="0.25">
      <c r="A48" s="2"/>
    </row>
    <row r="49" spans="1:1" x14ac:dyDescent="0.25">
      <c r="A49" s="2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</sheetData>
  <mergeCells count="2">
    <mergeCell ref="J6:M6"/>
    <mergeCell ref="H8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23" sqref="B23:E23"/>
    </sheetView>
  </sheetViews>
  <sheetFormatPr defaultRowHeight="15" x14ac:dyDescent="0.25"/>
  <cols>
    <col min="1" max="1" width="26.42578125" bestFit="1" customWidth="1"/>
  </cols>
  <sheetData>
    <row r="1" spans="1:5" x14ac:dyDescent="0.25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5" x14ac:dyDescent="0.25">
      <c r="A3" t="s">
        <v>25</v>
      </c>
      <c r="B3">
        <v>100</v>
      </c>
      <c r="C3">
        <v>100</v>
      </c>
      <c r="D3">
        <v>100</v>
      </c>
      <c r="E3">
        <v>100</v>
      </c>
    </row>
    <row r="4" spans="1:5" x14ac:dyDescent="0.25">
      <c r="A4" t="s">
        <v>1</v>
      </c>
      <c r="B4">
        <v>365</v>
      </c>
      <c r="C4">
        <v>365</v>
      </c>
      <c r="D4">
        <v>365</v>
      </c>
      <c r="E4">
        <v>365</v>
      </c>
    </row>
    <row r="5" spans="1:5" x14ac:dyDescent="0.25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5" x14ac:dyDescent="0.25">
      <c r="A6" s="2" t="s">
        <v>3</v>
      </c>
      <c r="B6" s="1">
        <v>6</v>
      </c>
      <c r="C6" s="1">
        <v>8</v>
      </c>
      <c r="D6" s="1">
        <v>10</v>
      </c>
      <c r="E6" s="1">
        <v>12</v>
      </c>
    </row>
    <row r="7" spans="1:5" x14ac:dyDescent="0.25">
      <c r="A7" t="s">
        <v>8</v>
      </c>
      <c r="B7">
        <v>343</v>
      </c>
      <c r="C7">
        <v>343</v>
      </c>
      <c r="D7">
        <v>343</v>
      </c>
      <c r="E7">
        <v>343</v>
      </c>
    </row>
    <row r="8" spans="1:5" x14ac:dyDescent="0.25">
      <c r="A8" s="3" t="s">
        <v>9</v>
      </c>
      <c r="B8" s="1">
        <f>B5*43560*28.31685*B7/(1000000000000)</f>
        <v>3.0398405397602124</v>
      </c>
      <c r="C8" s="1">
        <f>C5*43560*28.31685*C7/(1000000000000)</f>
        <v>4.0531207196802841</v>
      </c>
      <c r="D8" s="1">
        <f>D5*43560*28.31685*D7/(1000000000000)</f>
        <v>5.0664008996003531</v>
      </c>
      <c r="E8" s="1">
        <f>E5*43560*28.31685*E7/(1000000000000)</f>
        <v>6.0796810795204248</v>
      </c>
    </row>
    <row r="9" spans="1:5" x14ac:dyDescent="0.25">
      <c r="A9" s="3" t="s">
        <v>12</v>
      </c>
      <c r="B9" s="5">
        <f>B8*1000*1000/(B3*4046.825)/B4</f>
        <v>2.0579912019715183E-2</v>
      </c>
      <c r="C9" s="5">
        <f t="shared" ref="C9:E9" si="1">C8*1000*1000/(C3*4046.825)/C4</f>
        <v>2.7439882692953589E-2</v>
      </c>
      <c r="D9" s="5">
        <f t="shared" si="1"/>
        <v>3.4299853366191971E-2</v>
      </c>
      <c r="E9" s="5">
        <f t="shared" si="1"/>
        <v>4.1159824039430366E-2</v>
      </c>
    </row>
    <row r="10" spans="1:5" x14ac:dyDescent="0.25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</row>
    <row r="11" spans="1:5" x14ac:dyDescent="0.25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</row>
    <row r="12" spans="1:5" x14ac:dyDescent="0.25">
      <c r="A12" s="2"/>
      <c r="B12" s="6"/>
      <c r="C12" s="6"/>
      <c r="D12" s="6"/>
      <c r="E12" s="6"/>
    </row>
    <row r="13" spans="1:5" x14ac:dyDescent="0.25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5" x14ac:dyDescent="0.25">
      <c r="A14" s="3" t="s">
        <v>16</v>
      </c>
      <c r="B14" s="1">
        <f>B8*(1-B13)</f>
        <v>1.8847011346513316</v>
      </c>
      <c r="C14" s="1">
        <f t="shared" ref="C14:E14" si="3">C8*(1-C13)</f>
        <v>2.5129348462017762</v>
      </c>
      <c r="D14" s="1">
        <f t="shared" si="3"/>
        <v>3.141168557752219</v>
      </c>
      <c r="E14" s="1">
        <f t="shared" si="3"/>
        <v>3.7694022693026632</v>
      </c>
    </row>
    <row r="15" spans="1:5" x14ac:dyDescent="0.25">
      <c r="A15" s="3" t="s">
        <v>18</v>
      </c>
      <c r="B15" s="1">
        <f>B8-B14</f>
        <v>1.1551394051088808</v>
      </c>
      <c r="C15" s="1">
        <f t="shared" ref="C15:E15" si="4">C8-C14</f>
        <v>1.5401858734785079</v>
      </c>
      <c r="D15" s="1">
        <f t="shared" si="4"/>
        <v>1.9252323418481341</v>
      </c>
      <c r="E15" s="1">
        <f t="shared" si="4"/>
        <v>2.3102788102177616</v>
      </c>
    </row>
    <row r="16" spans="1:5" x14ac:dyDescent="0.25">
      <c r="A16" s="2"/>
      <c r="B16" s="7"/>
      <c r="C16" s="7"/>
      <c r="D16" s="7"/>
      <c r="E16" s="7"/>
    </row>
    <row r="17" spans="1:5" x14ac:dyDescent="0.25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25">
      <c r="A18" s="3" t="s">
        <v>16</v>
      </c>
      <c r="B18" s="1">
        <f>B8*(1-B17)</f>
        <v>2.4318724318081699</v>
      </c>
      <c r="C18" s="1">
        <f t="shared" ref="C18:E18" si="5">C8*(1-C17)</f>
        <v>3.2424965757442274</v>
      </c>
      <c r="D18" s="1">
        <f t="shared" si="5"/>
        <v>4.0531207196802823</v>
      </c>
      <c r="E18" s="1">
        <f t="shared" si="5"/>
        <v>4.8637448636163398</v>
      </c>
    </row>
    <row r="19" spans="1:5" x14ac:dyDescent="0.25">
      <c r="A19" s="3" t="s">
        <v>18</v>
      </c>
      <c r="B19" s="1">
        <f>B8-B18</f>
        <v>0.60796810795204248</v>
      </c>
      <c r="C19" s="1">
        <f t="shared" ref="C19:E19" si="6">C8-C18</f>
        <v>0.81062414393605664</v>
      </c>
      <c r="D19" s="1">
        <f t="shared" si="6"/>
        <v>1.0132801799200708</v>
      </c>
      <c r="E19" s="1">
        <f t="shared" si="6"/>
        <v>1.215936215904085</v>
      </c>
    </row>
    <row r="21" spans="1:5" x14ac:dyDescent="0.25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25">
      <c r="A22" s="3" t="s">
        <v>16</v>
      </c>
      <c r="B22" s="1">
        <f>B$8*(1-B21)</f>
        <v>2.1674063048490315</v>
      </c>
      <c r="C22" s="1">
        <f t="shared" ref="C22:E22" si="7">C$8*(1-C21)</f>
        <v>2.8898750731320431</v>
      </c>
      <c r="D22" s="1">
        <f t="shared" si="7"/>
        <v>3.6123438414150524</v>
      </c>
      <c r="E22" s="1">
        <f t="shared" si="7"/>
        <v>4.334812609698063</v>
      </c>
    </row>
    <row r="23" spans="1:5" x14ac:dyDescent="0.25">
      <c r="A23" s="3" t="s">
        <v>18</v>
      </c>
      <c r="B23" s="9">
        <f>B$8-B22</f>
        <v>0.87243423491118088</v>
      </c>
      <c r="C23" s="9">
        <f t="shared" ref="C23:E23" si="8">C$8-C22</f>
        <v>1.163245646548241</v>
      </c>
      <c r="D23" s="9">
        <f t="shared" si="8"/>
        <v>1.4540570581853007</v>
      </c>
      <c r="E23" s="9">
        <f t="shared" si="8"/>
        <v>1.7448684698223618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3" workbookViewId="0">
      <selection activeCell="B23" sqref="B23:E23"/>
    </sheetView>
  </sheetViews>
  <sheetFormatPr defaultRowHeight="15" x14ac:dyDescent="0.25"/>
  <cols>
    <col min="1" max="1" width="27.5703125" bestFit="1" customWidth="1"/>
  </cols>
  <sheetData>
    <row r="1" spans="1:5" x14ac:dyDescent="0.25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5" x14ac:dyDescent="0.25">
      <c r="A3" t="s">
        <v>25</v>
      </c>
      <c r="B3">
        <v>100</v>
      </c>
      <c r="C3">
        <v>100</v>
      </c>
      <c r="D3">
        <v>100</v>
      </c>
      <c r="E3">
        <v>100</v>
      </c>
    </row>
    <row r="4" spans="1:5" x14ac:dyDescent="0.25">
      <c r="A4" t="s">
        <v>1</v>
      </c>
      <c r="B4">
        <v>365</v>
      </c>
      <c r="C4">
        <v>365</v>
      </c>
      <c r="D4">
        <v>365</v>
      </c>
      <c r="E4">
        <v>365</v>
      </c>
    </row>
    <row r="5" spans="1:5" x14ac:dyDescent="0.25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5" x14ac:dyDescent="0.25">
      <c r="A6" s="2" t="s">
        <v>3</v>
      </c>
      <c r="B6" s="1">
        <v>6</v>
      </c>
      <c r="C6" s="1">
        <v>8</v>
      </c>
      <c r="D6" s="1">
        <v>10</v>
      </c>
      <c r="E6" s="1">
        <v>12</v>
      </c>
    </row>
    <row r="7" spans="1:5" x14ac:dyDescent="0.25">
      <c r="A7" t="s">
        <v>8</v>
      </c>
      <c r="B7">
        <v>334</v>
      </c>
      <c r="C7">
        <v>334</v>
      </c>
      <c r="D7">
        <v>334</v>
      </c>
      <c r="E7">
        <v>334</v>
      </c>
    </row>
    <row r="8" spans="1:5" x14ac:dyDescent="0.25">
      <c r="A8" s="3" t="s">
        <v>9</v>
      </c>
      <c r="B8" s="1">
        <f>B5*43560*28.31685*B7/(1000000000000)</f>
        <v>2.9600779599997402</v>
      </c>
      <c r="C8" s="1">
        <f>C5*43560*28.31685*C7/(1000000000000)</f>
        <v>3.9467706133329878</v>
      </c>
      <c r="D8" s="1">
        <f>D5*43560*28.31685*D7/(1000000000000)</f>
        <v>4.9334632666662337</v>
      </c>
      <c r="E8" s="1">
        <f>E5*43560*28.31685*E7/(1000000000000)</f>
        <v>5.9201559199994804</v>
      </c>
    </row>
    <row r="9" spans="1:5" x14ac:dyDescent="0.25">
      <c r="A9" s="3" t="s">
        <v>12</v>
      </c>
      <c r="B9" s="5">
        <f>B8*1000*1000/(B3*4046.825)/B4</f>
        <v>2.0039914328235781E-2</v>
      </c>
      <c r="C9" s="5">
        <f t="shared" ref="C9:E9" si="1">C8*1000*1000/(C3*4046.825)/C4</f>
        <v>2.6719885770981038E-2</v>
      </c>
      <c r="D9" s="5">
        <f t="shared" si="1"/>
        <v>3.3399857213726292E-2</v>
      </c>
      <c r="E9" s="5">
        <f t="shared" si="1"/>
        <v>4.0079828656471563E-2</v>
      </c>
    </row>
    <row r="10" spans="1:5" x14ac:dyDescent="0.25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</row>
    <row r="11" spans="1:5" x14ac:dyDescent="0.25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</row>
    <row r="12" spans="1:5" x14ac:dyDescent="0.25">
      <c r="A12" s="2"/>
      <c r="B12" s="6"/>
      <c r="C12" s="6"/>
      <c r="D12" s="6"/>
      <c r="E12" s="6"/>
    </row>
    <row r="13" spans="1:5" x14ac:dyDescent="0.25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5" x14ac:dyDescent="0.25">
      <c r="A14" s="3" t="s">
        <v>16</v>
      </c>
      <c r="B14" s="1">
        <f>B8*(1-B13)</f>
        <v>1.835248335199839</v>
      </c>
      <c r="C14" s="1">
        <f t="shared" ref="C14:E14" si="3">C8*(1-C13)</f>
        <v>2.4469977802664524</v>
      </c>
      <c r="D14" s="1">
        <f t="shared" si="3"/>
        <v>3.058747225333065</v>
      </c>
      <c r="E14" s="1">
        <f t="shared" si="3"/>
        <v>3.670496670399678</v>
      </c>
    </row>
    <row r="15" spans="1:5" x14ac:dyDescent="0.25">
      <c r="A15" s="3" t="s">
        <v>18</v>
      </c>
      <c r="B15" s="1">
        <f>B8-B14</f>
        <v>1.1248296247999012</v>
      </c>
      <c r="C15" s="1">
        <f t="shared" ref="C15:E15" si="4">C8-C14</f>
        <v>1.4997728330665354</v>
      </c>
      <c r="D15" s="1">
        <f t="shared" si="4"/>
        <v>1.8747160413331687</v>
      </c>
      <c r="E15" s="1">
        <f t="shared" si="4"/>
        <v>2.2496592495998025</v>
      </c>
    </row>
    <row r="16" spans="1:5" x14ac:dyDescent="0.25">
      <c r="A16" s="2"/>
      <c r="B16" s="7"/>
      <c r="C16" s="7"/>
      <c r="D16" s="7"/>
      <c r="E16" s="7"/>
    </row>
    <row r="17" spans="1:5" x14ac:dyDescent="0.25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25">
      <c r="A18" s="3" t="s">
        <v>16</v>
      </c>
      <c r="B18" s="1">
        <f>B8*(1-B17)</f>
        <v>2.3680623679997921</v>
      </c>
      <c r="C18" s="1">
        <f t="shared" ref="C18:E18" si="5">C8*(1-C17)</f>
        <v>3.1574164906663906</v>
      </c>
      <c r="D18" s="1">
        <f t="shared" si="5"/>
        <v>3.946770613332987</v>
      </c>
      <c r="E18" s="1">
        <f t="shared" si="5"/>
        <v>4.7361247359995842</v>
      </c>
    </row>
    <row r="19" spans="1:5" x14ac:dyDescent="0.25">
      <c r="A19" s="3" t="s">
        <v>18</v>
      </c>
      <c r="B19" s="1">
        <f>B8-B18</f>
        <v>0.59201559199994813</v>
      </c>
      <c r="C19" s="1">
        <f t="shared" ref="C19:E19" si="6">C8-C18</f>
        <v>0.78935412266659721</v>
      </c>
      <c r="D19" s="1">
        <f t="shared" si="6"/>
        <v>0.98669265333324674</v>
      </c>
      <c r="E19" s="1">
        <f t="shared" si="6"/>
        <v>1.1840311839998963</v>
      </c>
    </row>
    <row r="21" spans="1:5" x14ac:dyDescent="0.25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25">
      <c r="A22" s="3" t="s">
        <v>16</v>
      </c>
      <c r="B22" s="1">
        <f>B$8*(1-B21)</f>
        <v>2.1105355854798149</v>
      </c>
      <c r="C22" s="1">
        <f t="shared" ref="C22:E22" si="7">C$8*(1-C21)</f>
        <v>2.8140474473064208</v>
      </c>
      <c r="D22" s="1">
        <f t="shared" si="7"/>
        <v>3.5175593091330248</v>
      </c>
      <c r="E22" s="1">
        <f t="shared" si="7"/>
        <v>4.2210711709596298</v>
      </c>
    </row>
    <row r="23" spans="1:5" x14ac:dyDescent="0.25">
      <c r="A23" s="3" t="s">
        <v>18</v>
      </c>
      <c r="B23" s="9">
        <f>B$8-B22</f>
        <v>0.84954237451992531</v>
      </c>
      <c r="C23" s="9">
        <f t="shared" ref="C23:E23" si="8">C$8-C22</f>
        <v>1.1327231660265671</v>
      </c>
      <c r="D23" s="9">
        <f t="shared" si="8"/>
        <v>1.4159039575332089</v>
      </c>
      <c r="E23" s="9">
        <f t="shared" si="8"/>
        <v>1.6990847490398506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15" sqref="D15"/>
    </sheetView>
  </sheetViews>
  <sheetFormatPr defaultRowHeight="15" x14ac:dyDescent="0.25"/>
  <cols>
    <col min="1" max="1" width="27.5703125" bestFit="1" customWidth="1"/>
  </cols>
  <sheetData>
    <row r="1" spans="1:5" x14ac:dyDescent="0.25">
      <c r="A1" t="s">
        <v>0</v>
      </c>
      <c r="B1" s="4" t="s">
        <v>24</v>
      </c>
      <c r="C1" s="4" t="s">
        <v>21</v>
      </c>
      <c r="D1" s="4" t="s">
        <v>22</v>
      </c>
      <c r="E1" s="4" t="s">
        <v>23</v>
      </c>
    </row>
    <row r="3" spans="1:5" x14ac:dyDescent="0.25">
      <c r="A3" t="s">
        <v>25</v>
      </c>
      <c r="B3">
        <v>100</v>
      </c>
      <c r="C3">
        <v>100</v>
      </c>
      <c r="D3">
        <v>100</v>
      </c>
      <c r="E3">
        <v>100</v>
      </c>
    </row>
    <row r="4" spans="1:5" x14ac:dyDescent="0.25">
      <c r="A4" t="s">
        <v>1</v>
      </c>
      <c r="B4">
        <v>365</v>
      </c>
      <c r="C4">
        <v>365</v>
      </c>
      <c r="D4">
        <v>365</v>
      </c>
      <c r="E4">
        <v>365</v>
      </c>
    </row>
    <row r="5" spans="1:5" x14ac:dyDescent="0.25">
      <c r="A5" s="3" t="s">
        <v>2</v>
      </c>
      <c r="B5" s="8">
        <f>B6*B4/100*3.2808*B3</f>
        <v>7184.9520000000002</v>
      </c>
      <c r="C5" s="8">
        <f t="shared" ref="C5:E5" si="0">C6*C4/100*3.2808*C3</f>
        <v>9579.9360000000015</v>
      </c>
      <c r="D5" s="8">
        <f t="shared" si="0"/>
        <v>11974.92</v>
      </c>
      <c r="E5" s="8">
        <f t="shared" si="0"/>
        <v>14369.904</v>
      </c>
    </row>
    <row r="6" spans="1:5" x14ac:dyDescent="0.25">
      <c r="A6" s="2" t="s">
        <v>3</v>
      </c>
      <c r="B6" s="1">
        <v>6</v>
      </c>
      <c r="C6" s="1">
        <v>8</v>
      </c>
      <c r="D6" s="1">
        <v>10</v>
      </c>
      <c r="E6" s="1">
        <v>12</v>
      </c>
    </row>
    <row r="7" spans="1:5" x14ac:dyDescent="0.25">
      <c r="A7" t="s">
        <v>8</v>
      </c>
      <c r="B7">
        <v>298</v>
      </c>
      <c r="C7">
        <v>298</v>
      </c>
      <c r="D7">
        <v>298</v>
      </c>
      <c r="E7">
        <v>298</v>
      </c>
    </row>
    <row r="8" spans="1:5" x14ac:dyDescent="0.25">
      <c r="A8" s="3" t="s">
        <v>9</v>
      </c>
      <c r="B8" s="1">
        <f>B5*43560*28.31685*B7/(1000000000000)</f>
        <v>2.6410276409578519</v>
      </c>
      <c r="C8" s="1">
        <f>C5*43560*28.31685*C7/(1000000000000)</f>
        <v>3.5213701879438037</v>
      </c>
      <c r="D8" s="1">
        <f>D5*43560*28.31685*D7/(1000000000000)</f>
        <v>4.4017127349297533</v>
      </c>
      <c r="E8" s="1">
        <f>E5*43560*28.31685*E7/(1000000000000)</f>
        <v>5.2820552819157038</v>
      </c>
    </row>
    <row r="9" spans="1:5" x14ac:dyDescent="0.25">
      <c r="A9" s="3" t="s">
        <v>12</v>
      </c>
      <c r="B9" s="5">
        <f>B8*1000*1000/(B3*4046.825)/B4</f>
        <v>1.7879923562318146E-2</v>
      </c>
      <c r="C9" s="5">
        <f t="shared" ref="C9:E9" si="1">C8*1000*1000/(C3*4046.825)/C4</f>
        <v>2.3839898083090869E-2</v>
      </c>
      <c r="D9" s="5">
        <f t="shared" si="1"/>
        <v>2.9799872603863579E-2</v>
      </c>
      <c r="E9" s="5">
        <f t="shared" si="1"/>
        <v>3.5759847124636292E-2</v>
      </c>
    </row>
    <row r="10" spans="1:5" x14ac:dyDescent="0.25">
      <c r="A10" s="2" t="s">
        <v>13</v>
      </c>
      <c r="B10" s="8">
        <f>B5*B11</f>
        <v>6825.7043999999996</v>
      </c>
      <c r="C10" s="8">
        <f t="shared" ref="C10:E10" si="2">C5*C11</f>
        <v>9100.9392000000007</v>
      </c>
      <c r="D10" s="8">
        <f t="shared" si="2"/>
        <v>11376.173999999999</v>
      </c>
      <c r="E10" s="8">
        <f t="shared" si="2"/>
        <v>13651.408799999999</v>
      </c>
    </row>
    <row r="11" spans="1:5" x14ac:dyDescent="0.25">
      <c r="A11" s="2" t="s">
        <v>14</v>
      </c>
      <c r="B11" s="6">
        <v>0.95</v>
      </c>
      <c r="C11" s="6">
        <v>0.95</v>
      </c>
      <c r="D11" s="6">
        <v>0.95</v>
      </c>
      <c r="E11" s="6">
        <v>0.95</v>
      </c>
    </row>
    <row r="12" spans="1:5" x14ac:dyDescent="0.25">
      <c r="A12" s="2"/>
      <c r="B12" s="6"/>
      <c r="C12" s="6"/>
      <c r="D12" s="6"/>
      <c r="E12" s="6"/>
    </row>
    <row r="13" spans="1:5" x14ac:dyDescent="0.25">
      <c r="A13" s="2" t="s">
        <v>26</v>
      </c>
      <c r="B13" s="6">
        <v>0.38</v>
      </c>
      <c r="C13" s="6">
        <v>0.38</v>
      </c>
      <c r="D13" s="6">
        <v>0.38</v>
      </c>
      <c r="E13" s="6">
        <v>0.38</v>
      </c>
    </row>
    <row r="14" spans="1:5" x14ac:dyDescent="0.25">
      <c r="A14" s="3" t="s">
        <v>16</v>
      </c>
      <c r="B14" s="1">
        <f>B8*(1-B13)</f>
        <v>1.6374371373938681</v>
      </c>
      <c r="C14" s="1">
        <f t="shared" ref="C14:E14" si="3">C8*(1-C13)</f>
        <v>2.1832495165251582</v>
      </c>
      <c r="D14" s="1">
        <f t="shared" si="3"/>
        <v>2.729061895656447</v>
      </c>
      <c r="E14" s="1">
        <f t="shared" si="3"/>
        <v>3.2748742747877362</v>
      </c>
    </row>
    <row r="15" spans="1:5" x14ac:dyDescent="0.25">
      <c r="A15" s="3" t="s">
        <v>18</v>
      </c>
      <c r="B15" s="1">
        <f>B8-B14</f>
        <v>1.0035905035639838</v>
      </c>
      <c r="C15" s="1">
        <f t="shared" ref="C15:E15" si="4">C8-C14</f>
        <v>1.3381206714186455</v>
      </c>
      <c r="D15" s="1">
        <f t="shared" si="4"/>
        <v>1.6726508392733064</v>
      </c>
      <c r="E15" s="1">
        <f t="shared" si="4"/>
        <v>2.0071810071279677</v>
      </c>
    </row>
    <row r="16" spans="1:5" x14ac:dyDescent="0.25">
      <c r="A16" s="2"/>
      <c r="B16" s="7"/>
      <c r="C16" s="7"/>
      <c r="D16" s="7"/>
      <c r="E16" s="7"/>
    </row>
    <row r="17" spans="1:5" x14ac:dyDescent="0.25">
      <c r="A17" s="2" t="s">
        <v>26</v>
      </c>
      <c r="B17" s="6">
        <v>0.2</v>
      </c>
      <c r="C17" s="6">
        <v>0.2</v>
      </c>
      <c r="D17" s="6">
        <v>0.2</v>
      </c>
      <c r="E17" s="6">
        <v>0.2</v>
      </c>
    </row>
    <row r="18" spans="1:5" x14ac:dyDescent="0.25">
      <c r="A18" s="3" t="s">
        <v>16</v>
      </c>
      <c r="B18" s="1">
        <f>B8*(1-B17)</f>
        <v>2.1128221127662816</v>
      </c>
      <c r="C18" s="1">
        <f t="shared" ref="C18:E18" si="5">C8*(1-C17)</f>
        <v>2.8170961503550433</v>
      </c>
      <c r="D18" s="1">
        <f t="shared" si="5"/>
        <v>3.5213701879438029</v>
      </c>
      <c r="E18" s="1">
        <f t="shared" si="5"/>
        <v>4.2256442255325632</v>
      </c>
    </row>
    <row r="19" spans="1:5" x14ac:dyDescent="0.25">
      <c r="A19" s="3" t="s">
        <v>18</v>
      </c>
      <c r="B19" s="1">
        <f>B8-B18</f>
        <v>0.52820552819157029</v>
      </c>
      <c r="C19" s="1">
        <f t="shared" ref="C19:E19" si="6">C8-C18</f>
        <v>0.70427403758876039</v>
      </c>
      <c r="D19" s="1">
        <f t="shared" si="6"/>
        <v>0.88034254698595049</v>
      </c>
      <c r="E19" s="1">
        <f t="shared" si="6"/>
        <v>1.0564110563831406</v>
      </c>
    </row>
    <row r="21" spans="1:5" x14ac:dyDescent="0.25">
      <c r="A21" s="2" t="s">
        <v>26</v>
      </c>
      <c r="B21" s="7">
        <v>0.28699999999999998</v>
      </c>
      <c r="C21" s="7">
        <v>0.28699999999999998</v>
      </c>
      <c r="D21" s="7">
        <v>0.28699999999999998</v>
      </c>
      <c r="E21" s="7">
        <v>0.28699999999999998</v>
      </c>
    </row>
    <row r="22" spans="1:5" x14ac:dyDescent="0.25">
      <c r="A22" s="3" t="s">
        <v>16</v>
      </c>
      <c r="B22" s="1">
        <f>B$8*(1-B21)</f>
        <v>1.8830527080029487</v>
      </c>
      <c r="C22" s="1">
        <f t="shared" ref="C22:E22" si="7">C$8*(1-C21)</f>
        <v>2.5107369440039324</v>
      </c>
      <c r="D22" s="1">
        <f t="shared" si="7"/>
        <v>3.1384211800049147</v>
      </c>
      <c r="E22" s="1">
        <f t="shared" si="7"/>
        <v>3.7661054160058973</v>
      </c>
    </row>
    <row r="23" spans="1:5" x14ac:dyDescent="0.25">
      <c r="A23" s="3" t="s">
        <v>18</v>
      </c>
      <c r="B23" s="9">
        <f>B$8-B22</f>
        <v>0.75797493295490326</v>
      </c>
      <c r="C23" s="9">
        <f t="shared" ref="C23:E23" si="8">C$8-C22</f>
        <v>1.0106332439398713</v>
      </c>
      <c r="D23" s="9">
        <f t="shared" si="8"/>
        <v>1.2632915549248387</v>
      </c>
      <c r="E23" s="9">
        <f t="shared" si="8"/>
        <v>1.5159498659098065</v>
      </c>
    </row>
    <row r="26" spans="1:5" x14ac:dyDescent="0.25">
      <c r="A26" s="3"/>
      <c r="B26" s="8"/>
      <c r="C26" s="8"/>
      <c r="D26" s="8"/>
      <c r="E26" s="8"/>
    </row>
    <row r="27" spans="1:5" x14ac:dyDescent="0.25">
      <c r="A27" s="2"/>
      <c r="B27" s="1"/>
      <c r="C27" s="1"/>
      <c r="D27" s="1"/>
      <c r="E27" s="1"/>
    </row>
    <row r="29" spans="1:5" x14ac:dyDescent="0.25">
      <c r="A29" s="3"/>
      <c r="B29" s="1"/>
      <c r="C29" s="1"/>
      <c r="D29" s="1"/>
      <c r="E29" s="1"/>
    </row>
    <row r="30" spans="1:5" x14ac:dyDescent="0.25">
      <c r="A30" s="3"/>
      <c r="B30" s="5"/>
      <c r="C30" s="5"/>
      <c r="D30" s="5"/>
      <c r="E30" s="5"/>
    </row>
    <row r="31" spans="1:5" x14ac:dyDescent="0.25">
      <c r="A31" s="2"/>
      <c r="B31" s="8"/>
      <c r="C31" s="8"/>
      <c r="D31" s="8"/>
      <c r="E31" s="8"/>
    </row>
    <row r="32" spans="1:5" x14ac:dyDescent="0.25">
      <c r="A32" s="2"/>
      <c r="B32" s="6"/>
      <c r="C32" s="6"/>
      <c r="D32" s="6"/>
      <c r="E32" s="6"/>
    </row>
    <row r="33" spans="1:5" x14ac:dyDescent="0.25">
      <c r="A33" s="2"/>
      <c r="B33" s="6"/>
      <c r="C33" s="6"/>
      <c r="D33" s="6"/>
      <c r="E33" s="6"/>
    </row>
    <row r="34" spans="1:5" x14ac:dyDescent="0.25">
      <c r="A34" s="2"/>
      <c r="B34" s="6"/>
      <c r="C34" s="6"/>
      <c r="D34" s="6"/>
      <c r="E34" s="6"/>
    </row>
    <row r="35" spans="1:5" x14ac:dyDescent="0.25">
      <c r="A35" s="3"/>
      <c r="B35" s="1"/>
      <c r="C35" s="1"/>
      <c r="D35" s="1"/>
      <c r="E35" s="1"/>
    </row>
    <row r="36" spans="1:5" x14ac:dyDescent="0.25">
      <c r="A36" s="3"/>
      <c r="B36" s="1"/>
      <c r="C36" s="1"/>
      <c r="D36" s="1"/>
      <c r="E36" s="1"/>
    </row>
    <row r="37" spans="1:5" x14ac:dyDescent="0.25">
      <c r="A37" s="2"/>
      <c r="B37" s="7"/>
      <c r="C37" s="7"/>
      <c r="D37" s="7"/>
      <c r="E37" s="7"/>
    </row>
    <row r="38" spans="1:5" x14ac:dyDescent="0.25">
      <c r="A38" s="2"/>
      <c r="B38" s="6"/>
      <c r="C38" s="6"/>
      <c r="D38" s="6"/>
      <c r="E38" s="6"/>
    </row>
    <row r="39" spans="1:5" x14ac:dyDescent="0.25">
      <c r="A39" s="3"/>
      <c r="B39" s="1"/>
      <c r="C39" s="1"/>
      <c r="D39" s="1"/>
      <c r="E39" s="1"/>
    </row>
    <row r="40" spans="1:5" x14ac:dyDescent="0.25">
      <c r="A40" s="3"/>
      <c r="B40" s="1"/>
      <c r="C40" s="1"/>
      <c r="D40" s="1"/>
      <c r="E4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W23"/>
  <sheetViews>
    <sheetView topLeftCell="A3" workbookViewId="0">
      <selection activeCell="O16" sqref="O16"/>
    </sheetView>
  </sheetViews>
  <sheetFormatPr defaultRowHeight="15" x14ac:dyDescent="0.25"/>
  <cols>
    <col min="3" max="3" width="13.85546875" customWidth="1"/>
    <col min="4" max="4" width="6.42578125" customWidth="1"/>
  </cols>
  <sheetData>
    <row r="3" spans="4:23" ht="15.75" thickBot="1" x14ac:dyDescent="0.3"/>
    <row r="4" spans="4:23" ht="22.5" customHeight="1" x14ac:dyDescent="0.3">
      <c r="D4" s="67" t="s">
        <v>29</v>
      </c>
      <c r="E4" s="68"/>
      <c r="F4" s="71" t="s">
        <v>3</v>
      </c>
      <c r="G4" s="71"/>
      <c r="H4" s="71"/>
      <c r="I4" s="72"/>
      <c r="J4" s="28"/>
      <c r="K4" s="67" t="s">
        <v>32</v>
      </c>
      <c r="L4" s="68"/>
      <c r="M4" s="71" t="s">
        <v>3</v>
      </c>
      <c r="N4" s="71"/>
      <c r="O4" s="71"/>
      <c r="P4" s="72"/>
      <c r="Q4" s="28"/>
      <c r="R4" s="67" t="s">
        <v>31</v>
      </c>
      <c r="S4" s="68"/>
      <c r="T4" s="71" t="s">
        <v>3</v>
      </c>
      <c r="U4" s="71"/>
      <c r="V4" s="71"/>
      <c r="W4" s="72"/>
    </row>
    <row r="5" spans="4:23" ht="22.5" customHeight="1" x14ac:dyDescent="0.3">
      <c r="D5" s="69"/>
      <c r="E5" s="70"/>
      <c r="F5" s="29">
        <v>6</v>
      </c>
      <c r="G5" s="29">
        <v>8</v>
      </c>
      <c r="H5" s="29">
        <v>10</v>
      </c>
      <c r="I5" s="30">
        <v>12</v>
      </c>
      <c r="J5" s="28"/>
      <c r="K5" s="69"/>
      <c r="L5" s="70"/>
      <c r="M5" s="29">
        <v>6</v>
      </c>
      <c r="N5" s="29">
        <v>8</v>
      </c>
      <c r="O5" s="29">
        <v>10</v>
      </c>
      <c r="P5" s="30">
        <v>12</v>
      </c>
      <c r="Q5" s="28"/>
      <c r="R5" s="69"/>
      <c r="S5" s="70"/>
      <c r="T5" s="29">
        <v>6</v>
      </c>
      <c r="U5" s="29">
        <v>8</v>
      </c>
      <c r="V5" s="29">
        <v>10</v>
      </c>
      <c r="W5" s="30">
        <v>12</v>
      </c>
    </row>
    <row r="6" spans="4:23" ht="22.5" customHeight="1" x14ac:dyDescent="0.3">
      <c r="D6" s="65" t="s">
        <v>39</v>
      </c>
      <c r="E6" s="31">
        <v>439</v>
      </c>
      <c r="F6" s="32">
        <v>1.478443728404661</v>
      </c>
      <c r="G6" s="32">
        <v>1.971258304539548</v>
      </c>
      <c r="H6" s="32">
        <v>2.4640728806744345</v>
      </c>
      <c r="I6" s="33">
        <v>2.956887456809322</v>
      </c>
      <c r="J6" s="28"/>
      <c r="K6" s="65" t="s">
        <v>39</v>
      </c>
      <c r="L6" s="31">
        <v>439</v>
      </c>
      <c r="M6" s="32">
        <v>1.1166140790845724</v>
      </c>
      <c r="N6" s="32">
        <v>1.4888187721127637</v>
      </c>
      <c r="O6" s="32">
        <v>1.8610234651409536</v>
      </c>
      <c r="P6" s="33">
        <v>2.2332281581691449</v>
      </c>
      <c r="Q6" s="28"/>
      <c r="R6" s="65" t="s">
        <v>39</v>
      </c>
      <c r="S6" s="31">
        <v>439</v>
      </c>
      <c r="T6" s="32">
        <v>0.77812827810771612</v>
      </c>
      <c r="U6" s="32">
        <v>1.0375043708102885</v>
      </c>
      <c r="V6" s="32">
        <v>1.2968804635128599</v>
      </c>
      <c r="W6" s="33">
        <v>1.5562565562154322</v>
      </c>
    </row>
    <row r="7" spans="4:23" ht="22.5" customHeight="1" x14ac:dyDescent="0.3">
      <c r="D7" s="65"/>
      <c r="E7" s="31">
        <v>343</v>
      </c>
      <c r="F7" s="32">
        <v>1.1551394051088808</v>
      </c>
      <c r="G7" s="32">
        <v>1.5401858734785079</v>
      </c>
      <c r="H7" s="32">
        <v>1.9252323418481341</v>
      </c>
      <c r="I7" s="33">
        <v>2.3102788102177616</v>
      </c>
      <c r="J7" s="28"/>
      <c r="K7" s="65"/>
      <c r="L7" s="31">
        <v>343</v>
      </c>
      <c r="M7" s="32">
        <v>0.87243423491118088</v>
      </c>
      <c r="N7" s="32">
        <v>1.163245646548241</v>
      </c>
      <c r="O7" s="32">
        <v>1.4540570581853007</v>
      </c>
      <c r="P7" s="33">
        <v>1.7448684698223618</v>
      </c>
      <c r="Q7" s="28"/>
      <c r="R7" s="65"/>
      <c r="S7" s="31">
        <v>343</v>
      </c>
      <c r="T7" s="32">
        <v>0.60796810795204248</v>
      </c>
      <c r="U7" s="32">
        <v>0.81062414393605664</v>
      </c>
      <c r="V7" s="32">
        <v>1.0132801799200708</v>
      </c>
      <c r="W7" s="33">
        <v>1.215936215904085</v>
      </c>
    </row>
    <row r="8" spans="4:23" ht="22.5" customHeight="1" x14ac:dyDescent="0.3">
      <c r="D8" s="65"/>
      <c r="E8" s="31">
        <v>334</v>
      </c>
      <c r="F8" s="32">
        <v>1.1248296247999012</v>
      </c>
      <c r="G8" s="32">
        <v>1.4997728330665354</v>
      </c>
      <c r="H8" s="32">
        <v>1.8747160413331687</v>
      </c>
      <c r="I8" s="33">
        <v>2.2496592495998025</v>
      </c>
      <c r="J8" s="28"/>
      <c r="K8" s="65"/>
      <c r="L8" s="31">
        <v>334</v>
      </c>
      <c r="M8" s="32">
        <v>0.84954237451992531</v>
      </c>
      <c r="N8" s="32">
        <v>1.1327231660265671</v>
      </c>
      <c r="O8" s="32">
        <v>1.4159039575332089</v>
      </c>
      <c r="P8" s="33">
        <v>1.6990847490398506</v>
      </c>
      <c r="Q8" s="28"/>
      <c r="R8" s="65"/>
      <c r="S8" s="31">
        <v>334</v>
      </c>
      <c r="T8" s="32">
        <v>0.59201559199994813</v>
      </c>
      <c r="U8" s="32">
        <v>0.78935412266659721</v>
      </c>
      <c r="V8" s="32">
        <v>0.98669265333324674</v>
      </c>
      <c r="W8" s="33">
        <v>1.1840311839998963</v>
      </c>
    </row>
    <row r="9" spans="4:23" ht="22.5" customHeight="1" thickBot="1" x14ac:dyDescent="0.35">
      <c r="D9" s="66"/>
      <c r="E9" s="34">
        <v>298</v>
      </c>
      <c r="F9" s="35">
        <v>1.0035905035639838</v>
      </c>
      <c r="G9" s="35">
        <v>1.3381206714186455</v>
      </c>
      <c r="H9" s="35">
        <v>1.6726508392733064</v>
      </c>
      <c r="I9" s="36">
        <v>2.0071810071279677</v>
      </c>
      <c r="J9" s="28"/>
      <c r="K9" s="66"/>
      <c r="L9" s="34">
        <v>298</v>
      </c>
      <c r="M9" s="35">
        <v>0.75797493295490326</v>
      </c>
      <c r="N9" s="35">
        <v>1.0106332439398713</v>
      </c>
      <c r="O9" s="35">
        <v>1.2632915549248387</v>
      </c>
      <c r="P9" s="36">
        <v>1.5159498659098065</v>
      </c>
      <c r="Q9" s="28"/>
      <c r="R9" s="66"/>
      <c r="S9" s="34">
        <v>298</v>
      </c>
      <c r="T9" s="35">
        <v>0.52820552819157029</v>
      </c>
      <c r="U9" s="35">
        <v>0.70427403758876039</v>
      </c>
      <c r="V9" s="35">
        <v>0.88034254698595049</v>
      </c>
      <c r="W9" s="36">
        <v>1.0564110563831406</v>
      </c>
    </row>
    <row r="10" spans="4:23" ht="16.5" customHeight="1" x14ac:dyDescent="0.3">
      <c r="D10" s="28" t="s">
        <v>33</v>
      </c>
      <c r="E10" s="28"/>
      <c r="F10" s="28"/>
      <c r="G10" s="28"/>
      <c r="H10" s="28"/>
      <c r="I10" s="28"/>
      <c r="J10" s="28"/>
      <c r="K10" s="28" t="s">
        <v>34</v>
      </c>
      <c r="L10" s="28"/>
      <c r="M10" s="28"/>
      <c r="N10" s="28"/>
      <c r="O10" s="28"/>
      <c r="P10" s="28"/>
      <c r="Q10" s="28"/>
      <c r="R10" s="28" t="s">
        <v>35</v>
      </c>
      <c r="S10" s="28"/>
      <c r="T10" s="28"/>
      <c r="U10" s="28"/>
      <c r="V10" s="28"/>
      <c r="W10" s="28"/>
    </row>
    <row r="11" spans="4:23" ht="22.5" customHeight="1" x14ac:dyDescent="0.3">
      <c r="D11" s="28" t="s">
        <v>36</v>
      </c>
    </row>
    <row r="12" spans="4:23" ht="22.5" customHeight="1" x14ac:dyDescent="0.3">
      <c r="D12" s="28" t="s">
        <v>37</v>
      </c>
    </row>
    <row r="13" spans="4:23" ht="22.5" customHeight="1" x14ac:dyDescent="0.3">
      <c r="D13" s="28" t="s">
        <v>38</v>
      </c>
    </row>
    <row r="14" spans="4:23" ht="22.5" customHeight="1" x14ac:dyDescent="0.25"/>
    <row r="15" spans="4:23" ht="22.5" customHeight="1" x14ac:dyDescent="0.25"/>
    <row r="16" spans="4:23" ht="22.5" customHeight="1" x14ac:dyDescent="0.25"/>
    <row r="18" ht="22.5" customHeight="1" x14ac:dyDescent="0.25"/>
    <row r="19" ht="22.5" customHeight="1" x14ac:dyDescent="0.25"/>
    <row r="20" ht="22.5" customHeight="1" x14ac:dyDescent="0.25"/>
    <row r="21" ht="22.5" customHeight="1" x14ac:dyDescent="0.25"/>
    <row r="22" ht="22.5" customHeight="1" x14ac:dyDescent="0.25"/>
    <row r="23" ht="22.5" customHeight="1" x14ac:dyDescent="0.25"/>
  </sheetData>
  <mergeCells count="9">
    <mergeCell ref="D6:D9"/>
    <mergeCell ref="D4:E5"/>
    <mergeCell ref="F4:I4"/>
    <mergeCell ref="R4:S5"/>
    <mergeCell ref="T4:W4"/>
    <mergeCell ref="R6:R9"/>
    <mergeCell ref="K4:L5"/>
    <mergeCell ref="M4:P4"/>
    <mergeCell ref="K6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MOST RECENT_10-29-2014</vt:lpstr>
      <vt:lpstr>2014 TC_STA_Rpt</vt:lpstr>
      <vt:lpstr>Calcs</vt:lpstr>
      <vt:lpstr>Calcs (2)</vt:lpstr>
      <vt:lpstr>Calcs (3)</vt:lpstr>
      <vt:lpstr>Calcs (4)</vt:lpstr>
      <vt:lpstr>Summary</vt:lpstr>
      <vt:lpstr>'2014 TC_STA_Rpt'!Print_Area</vt:lpstr>
      <vt:lpstr>Summary!Print_Area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JHearn</dc:creator>
  <cp:lastModifiedBy>Davis, Sara</cp:lastModifiedBy>
  <cp:lastPrinted>2014-07-22T10:01:13Z</cp:lastPrinted>
  <dcterms:created xsi:type="dcterms:W3CDTF">2014-07-21T18:36:06Z</dcterms:created>
  <dcterms:modified xsi:type="dcterms:W3CDTF">2014-10-29T19:52:24Z</dcterms:modified>
</cp:coreProperties>
</file>