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Loads by Basin" sheetId="6" r:id="rId1"/>
    <sheet name="Loads by Entity" sheetId="7" r:id="rId2"/>
    <sheet name="TN de minimus" sheetId="8" r:id="rId3"/>
    <sheet name="TP de minimus" sheetId="9" r:id="rId4"/>
    <sheet name="Relative Contribution of Load" sheetId="1" r:id="rId5"/>
    <sheet name="Target Load per Acre" sheetId="5" r:id="rId6"/>
    <sheet name="Target Calcs" sheetId="3" r:id="rId7"/>
  </sheets>
  <calcPr calcId="125725"/>
</workbook>
</file>

<file path=xl/calcChain.xml><?xml version="1.0" encoding="utf-8"?>
<calcChain xmlns="http://schemas.openxmlformats.org/spreadsheetml/2006/main">
  <c r="B9" i="7"/>
  <c r="C9"/>
  <c r="D9"/>
  <c r="F15" i="1" l="1"/>
  <c r="C15"/>
  <c r="D14" i="9"/>
  <c r="D3"/>
  <c r="D4"/>
  <c r="D5"/>
  <c r="D6"/>
  <c r="D7"/>
  <c r="D8"/>
  <c r="D9"/>
  <c r="D10"/>
  <c r="D11"/>
  <c r="D12"/>
  <c r="D13"/>
  <c r="D2"/>
  <c r="C14"/>
  <c r="B14"/>
  <c r="C6"/>
  <c r="B6"/>
  <c r="C11"/>
  <c r="B11"/>
  <c r="C4"/>
  <c r="B4"/>
  <c r="C3"/>
  <c r="B3"/>
  <c r="C12"/>
  <c r="B12"/>
  <c r="C9"/>
  <c r="B9"/>
  <c r="C10"/>
  <c r="B10"/>
  <c r="C8"/>
  <c r="B8"/>
  <c r="C5"/>
  <c r="B5"/>
  <c r="C13"/>
  <c r="B13"/>
  <c r="C7"/>
  <c r="B7"/>
  <c r="C2"/>
  <c r="B2"/>
  <c r="D14" i="8"/>
  <c r="D3"/>
  <c r="D4"/>
  <c r="D5"/>
  <c r="D6"/>
  <c r="D7"/>
  <c r="D8"/>
  <c r="D9"/>
  <c r="D10"/>
  <c r="D11"/>
  <c r="D12"/>
  <c r="D13"/>
  <c r="D2"/>
  <c r="C5"/>
  <c r="B5"/>
  <c r="C11"/>
  <c r="B11"/>
  <c r="C4"/>
  <c r="B4"/>
  <c r="C3"/>
  <c r="B3"/>
  <c r="C13"/>
  <c r="B13"/>
  <c r="C9"/>
  <c r="B9"/>
  <c r="C10"/>
  <c r="B10"/>
  <c r="C8"/>
  <c r="B8"/>
  <c r="C6"/>
  <c r="B6"/>
  <c r="C12"/>
  <c r="B12"/>
  <c r="C7"/>
  <c r="B7"/>
  <c r="C2"/>
  <c r="C14" s="1"/>
  <c r="B2"/>
  <c r="B14" s="1"/>
  <c r="C14" i="7"/>
  <c r="D14"/>
  <c r="B14"/>
  <c r="C13"/>
  <c r="D13"/>
  <c r="B13"/>
  <c r="C12"/>
  <c r="D12"/>
  <c r="B12"/>
  <c r="C11"/>
  <c r="D11"/>
  <c r="B11"/>
  <c r="D10"/>
  <c r="C10"/>
  <c r="B10"/>
  <c r="C8"/>
  <c r="D8"/>
  <c r="B8"/>
  <c r="C7"/>
  <c r="D7"/>
  <c r="B7"/>
  <c r="C6"/>
  <c r="D6"/>
  <c r="B6"/>
  <c r="C5"/>
  <c r="D5"/>
  <c r="B5"/>
  <c r="C4"/>
  <c r="D4"/>
  <c r="B4"/>
  <c r="C3"/>
  <c r="D3"/>
  <c r="D15" s="1"/>
  <c r="D20" s="1"/>
  <c r="B3"/>
  <c r="C2"/>
  <c r="D2"/>
  <c r="B2"/>
  <c r="C15"/>
  <c r="C20" s="1"/>
  <c r="E32" i="5"/>
  <c r="B32"/>
  <c r="E14"/>
  <c r="B14"/>
  <c r="E14" i="1"/>
  <c r="B14"/>
  <c r="B15" i="7" l="1"/>
  <c r="B17" s="1"/>
  <c r="B20" s="1"/>
  <c r="I4" i="3"/>
  <c r="H4"/>
  <c r="G27" i="5"/>
  <c r="D27"/>
  <c r="G31"/>
  <c r="D31"/>
  <c r="D26"/>
  <c r="F26" s="1"/>
  <c r="G26" s="1"/>
  <c r="D25"/>
  <c r="F25" s="1"/>
  <c r="G25" s="1"/>
  <c r="G30"/>
  <c r="D30"/>
  <c r="G24"/>
  <c r="D24"/>
  <c r="G29"/>
  <c r="D29"/>
  <c r="G23"/>
  <c r="D23"/>
  <c r="D22"/>
  <c r="F22" s="1"/>
  <c r="G22" s="1"/>
  <c r="G28"/>
  <c r="D28"/>
  <c r="D21"/>
  <c r="F21" s="1"/>
  <c r="G21" s="1"/>
  <c r="D20"/>
  <c r="D32" s="1"/>
  <c r="D9"/>
  <c r="F9" s="1"/>
  <c r="G9" s="1"/>
  <c r="G13"/>
  <c r="D13"/>
  <c r="D8"/>
  <c r="F8" s="1"/>
  <c r="G8" s="1"/>
  <c r="D7"/>
  <c r="F7" s="1"/>
  <c r="G7" s="1"/>
  <c r="G12"/>
  <c r="D12"/>
  <c r="G6"/>
  <c r="D6"/>
  <c r="G11"/>
  <c r="D11"/>
  <c r="D5"/>
  <c r="F5" s="1"/>
  <c r="G5" s="1"/>
  <c r="D4"/>
  <c r="F4" s="1"/>
  <c r="G4" s="1"/>
  <c r="G10"/>
  <c r="D10"/>
  <c r="D3"/>
  <c r="F3" s="1"/>
  <c r="G3" s="1"/>
  <c r="D2"/>
  <c r="I2" i="3"/>
  <c r="I5" s="1"/>
  <c r="D2" s="1"/>
  <c r="E2" s="1"/>
  <c r="H2"/>
  <c r="F2" i="5" l="1"/>
  <c r="F14" s="1"/>
  <c r="F16" s="1"/>
  <c r="D14"/>
  <c r="H5" i="3"/>
  <c r="B2" s="1"/>
  <c r="C2" s="1"/>
  <c r="F20" i="5"/>
  <c r="F32" l="1"/>
  <c r="F34" s="1"/>
  <c r="G2"/>
  <c r="G20"/>
  <c r="G10" i="1" l="1"/>
  <c r="G11"/>
  <c r="G12"/>
  <c r="G13"/>
  <c r="D10"/>
  <c r="D11"/>
  <c r="D12"/>
  <c r="D13"/>
  <c r="B18"/>
  <c r="B17"/>
  <c r="F5"/>
  <c r="G5" s="1"/>
  <c r="C3"/>
  <c r="D3" s="1"/>
  <c r="F2" l="1"/>
  <c r="F8"/>
  <c r="G8" s="1"/>
  <c r="F6"/>
  <c r="G6" s="1"/>
  <c r="F4"/>
  <c r="G4" s="1"/>
  <c r="F3"/>
  <c r="G3" s="1"/>
  <c r="F9"/>
  <c r="G9" s="1"/>
  <c r="F7"/>
  <c r="G7" s="1"/>
  <c r="C2"/>
  <c r="C8"/>
  <c r="D8" s="1"/>
  <c r="C6"/>
  <c r="D6" s="1"/>
  <c r="C4"/>
  <c r="D4" s="1"/>
  <c r="C9"/>
  <c r="D9" s="1"/>
  <c r="C7"/>
  <c r="D7" s="1"/>
  <c r="C5"/>
  <c r="D5" s="1"/>
  <c r="C14" l="1"/>
  <c r="F14"/>
  <c r="G2"/>
  <c r="D2"/>
</calcChain>
</file>

<file path=xl/sharedStrings.xml><?xml version="1.0" encoding="utf-8"?>
<sst xmlns="http://schemas.openxmlformats.org/spreadsheetml/2006/main" count="192" uniqueCount="64">
  <si>
    <t>Entity</t>
  </si>
  <si>
    <t>TN Starting Load (lbs/yr)</t>
  </si>
  <si>
    <t>TN Reduction Required (lbs/yr)</t>
  </si>
  <si>
    <t>% TN Reduction</t>
  </si>
  <si>
    <t>TP Starting Load (lbs/yr)</t>
  </si>
  <si>
    <t>TP Required Reduction (lbs/yr)</t>
  </si>
  <si>
    <t>% TP Reduction</t>
  </si>
  <si>
    <t>Agriculture</t>
  </si>
  <si>
    <t>Deltona</t>
  </si>
  <si>
    <t>FDOT</t>
  </si>
  <si>
    <t>Lake Mary</t>
  </si>
  <si>
    <t>Orange City</t>
  </si>
  <si>
    <t>Sanford</t>
  </si>
  <si>
    <t>Seminole County</t>
  </si>
  <si>
    <t>Turnpike</t>
  </si>
  <si>
    <t>Volusia County</t>
  </si>
  <si>
    <t>Total</t>
  </si>
  <si>
    <t>N/A</t>
  </si>
  <si>
    <t>TMDL Required Reduction</t>
  </si>
  <si>
    <t>TN</t>
  </si>
  <si>
    <t>TP</t>
  </si>
  <si>
    <t>Deland</t>
  </si>
  <si>
    <t>Lake Helen</t>
  </si>
  <si>
    <t>Acres</t>
  </si>
  <si>
    <t>TN Target (lbs/acre/yr)</t>
  </si>
  <si>
    <t>Target Load (lbs/yr)</t>
  </si>
  <si>
    <t>TN Required Reduction (lbs/yr)</t>
  </si>
  <si>
    <t>TP Target (lbs/acre/yr)</t>
  </si>
  <si>
    <t>Notes</t>
  </si>
  <si>
    <t>Allowable load for the watershed input from the TMDL</t>
  </si>
  <si>
    <t>Calculated from the TMDL spreadsheet</t>
  </si>
  <si>
    <t>Difference in the natural loads between the TMDL and spreadsheet</t>
  </si>
  <si>
    <t>Allowable load for the anthropogenic watershed sources</t>
  </si>
  <si>
    <t>Effective Anthropogenic Acres</t>
  </si>
  <si>
    <t>Target TN Load (lbs/yr)</t>
  </si>
  <si>
    <t>Target TN Load/Acre (lbs/ac/yr)</t>
  </si>
  <si>
    <t>Target TP Load (lbs/yr)</t>
  </si>
  <si>
    <t>Target TP Load/Acre (lbs/ac/yr)</t>
  </si>
  <si>
    <t>Load Source</t>
  </si>
  <si>
    <t>TN Load (lbs/yr)</t>
  </si>
  <si>
    <t>TP Load (lbs/yr)</t>
  </si>
  <si>
    <t>TMDL required reduction</t>
  </si>
  <si>
    <r>
      <t>Deland -</t>
    </r>
    <r>
      <rPr>
        <i/>
        <sz val="10"/>
        <rFont val="Arial"/>
        <family val="2"/>
      </rPr>
      <t xml:space="preserve"> de minimus</t>
    </r>
  </si>
  <si>
    <r>
      <t xml:space="preserve">Lake Helen - </t>
    </r>
    <r>
      <rPr>
        <i/>
        <sz val="10"/>
        <rFont val="Arial"/>
        <family val="2"/>
      </rPr>
      <t>de minimus</t>
    </r>
  </si>
  <si>
    <r>
      <t xml:space="preserve">Orange City - </t>
    </r>
    <r>
      <rPr>
        <i/>
        <sz val="10"/>
        <rFont val="Arial"/>
        <family val="2"/>
      </rPr>
      <t>de minimus</t>
    </r>
  </si>
  <si>
    <r>
      <t xml:space="preserve">Turnpike - </t>
    </r>
    <r>
      <rPr>
        <i/>
        <sz val="10"/>
        <rFont val="Arial"/>
        <family val="2"/>
      </rPr>
      <t>de minimus</t>
    </r>
  </si>
  <si>
    <t>Basin</t>
  </si>
  <si>
    <t>Effective Acres</t>
  </si>
  <si>
    <t>TN Load</t>
  </si>
  <si>
    <t>TP Load</t>
  </si>
  <si>
    <t>Harney</t>
  </si>
  <si>
    <t>Monroe</t>
  </si>
  <si>
    <t>Natural Background</t>
  </si>
  <si>
    <t>Subbasin 14</t>
  </si>
  <si>
    <t>TMDL</t>
  </si>
  <si>
    <t>Difference</t>
  </si>
  <si>
    <t>% Total</t>
  </si>
  <si>
    <t>required reduction allocated</t>
  </si>
  <si>
    <r>
      <t xml:space="preserve">Note: shaded cells represent </t>
    </r>
    <r>
      <rPr>
        <i/>
        <sz val="10"/>
        <color theme="1"/>
        <rFont val="Arial"/>
        <family val="2"/>
      </rPr>
      <t>de minimus</t>
    </r>
    <r>
      <rPr>
        <sz val="10"/>
        <color theme="1"/>
        <rFont val="Arial"/>
        <family val="2"/>
      </rPr>
      <t xml:space="preserve"> entities.</t>
    </r>
  </si>
  <si>
    <t>DeBary</t>
  </si>
  <si>
    <t>TMDL Allowable Load</t>
  </si>
  <si>
    <t>Natural Areas Load</t>
  </si>
  <si>
    <t>Anthropogenic Target</t>
  </si>
  <si>
    <t>Diff from TMDL for Natural Areas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</si>
</sst>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.0"/>
    <numFmt numFmtId="166" formatCode="#,##0.0_);\(#,##0.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50">
    <xf numFmtId="0" fontId="0" fillId="0" borderId="0" xfId="0"/>
    <xf numFmtId="0" fontId="20" fillId="33" borderId="10" xfId="42" applyFont="1" applyFill="1" applyBorder="1" applyAlignment="1">
      <alignment horizontal="center" vertical="center" wrapText="1"/>
    </xf>
    <xf numFmtId="1" fontId="20" fillId="33" borderId="10" xfId="42" applyNumberFormat="1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 wrapText="1" shrinkToFit="1"/>
    </xf>
    <xf numFmtId="0" fontId="22" fillId="0" borderId="0" xfId="0" applyFont="1"/>
    <xf numFmtId="166" fontId="19" fillId="0" borderId="0" xfId="43" applyNumberFormat="1" applyFont="1" applyFill="1" applyBorder="1" applyAlignment="1">
      <alignment horizontal="center" vertical="center" wrapText="1"/>
    </xf>
    <xf numFmtId="0" fontId="20" fillId="0" borderId="10" xfId="42" applyFont="1" applyFill="1" applyBorder="1" applyAlignment="1">
      <alignment horizontal="left" vertical="center" wrapText="1"/>
    </xf>
    <xf numFmtId="0" fontId="20" fillId="34" borderId="10" xfId="42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1" fontId="20" fillId="34" borderId="10" xfId="42" applyNumberFormat="1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wrapText="1"/>
    </xf>
    <xf numFmtId="165" fontId="20" fillId="0" borderId="10" xfId="42" applyNumberFormat="1" applyFont="1" applyFill="1" applyBorder="1" applyAlignment="1">
      <alignment horizontal="left" vertical="center" wrapText="1"/>
    </xf>
    <xf numFmtId="166" fontId="19" fillId="0" borderId="10" xfId="43" applyNumberFormat="1" applyFont="1" applyFill="1" applyBorder="1" applyAlignment="1">
      <alignment horizontal="right" vertical="center" wrapText="1"/>
    </xf>
    <xf numFmtId="166" fontId="19" fillId="0" borderId="11" xfId="43" applyNumberFormat="1" applyFont="1" applyFill="1" applyBorder="1" applyAlignment="1">
      <alignment horizontal="right" vertical="center" wrapText="1"/>
    </xf>
    <xf numFmtId="165" fontId="22" fillId="0" borderId="10" xfId="0" applyNumberFormat="1" applyFont="1" applyBorder="1"/>
    <xf numFmtId="165" fontId="23" fillId="0" borderId="10" xfId="0" applyNumberFormat="1" applyFont="1" applyBorder="1"/>
    <xf numFmtId="165" fontId="23" fillId="0" borderId="10" xfId="0" applyNumberFormat="1" applyFont="1" applyBorder="1" applyAlignment="1">
      <alignment horizontal="right"/>
    </xf>
    <xf numFmtId="166" fontId="21" fillId="0" borderId="10" xfId="43" applyNumberFormat="1" applyFont="1" applyFill="1" applyBorder="1" applyAlignment="1">
      <alignment horizontal="right" vertical="center" wrapText="1"/>
    </xf>
    <xf numFmtId="164" fontId="19" fillId="0" borderId="10" xfId="43" applyNumberFormat="1" applyFont="1" applyFill="1" applyBorder="1" applyAlignment="1">
      <alignment horizontal="right" vertical="center" wrapText="1"/>
    </xf>
    <xf numFmtId="165" fontId="20" fillId="0" borderId="10" xfId="42" applyNumberFormat="1" applyFont="1" applyFill="1" applyBorder="1" applyAlignment="1">
      <alignment horizontal="right" vertical="center"/>
    </xf>
    <xf numFmtId="164" fontId="22" fillId="0" borderId="10" xfId="0" applyNumberFormat="1" applyFont="1" applyBorder="1"/>
    <xf numFmtId="4" fontId="22" fillId="0" borderId="10" xfId="0" applyNumberFormat="1" applyFont="1" applyBorder="1"/>
    <xf numFmtId="165" fontId="22" fillId="0" borderId="0" xfId="0" applyNumberFormat="1" applyFont="1"/>
    <xf numFmtId="164" fontId="22" fillId="0" borderId="0" xfId="0" applyNumberFormat="1" applyFont="1"/>
    <xf numFmtId="0" fontId="18" fillId="0" borderId="10" xfId="42" applyFont="1" applyFill="1" applyBorder="1" applyAlignment="1">
      <alignment horizontal="left" vertical="center" wrapText="1"/>
    </xf>
    <xf numFmtId="0" fontId="18" fillId="0" borderId="11" xfId="42" applyFont="1" applyFill="1" applyBorder="1" applyAlignment="1">
      <alignment horizontal="left" vertical="center" wrapText="1"/>
    </xf>
    <xf numFmtId="0" fontId="18" fillId="0" borderId="10" xfId="42" applyFont="1" applyFill="1" applyBorder="1" applyAlignment="1">
      <alignment vertical="center" wrapText="1"/>
    </xf>
    <xf numFmtId="165" fontId="18" fillId="0" borderId="10" xfId="42" applyNumberFormat="1" applyFont="1" applyFill="1" applyBorder="1" applyAlignment="1">
      <alignment horizontal="right" vertical="center"/>
    </xf>
    <xf numFmtId="164" fontId="18" fillId="0" borderId="10" xfId="42" applyNumberFormat="1" applyFont="1" applyFill="1" applyBorder="1" applyAlignment="1">
      <alignment horizontal="right" vertical="center"/>
    </xf>
    <xf numFmtId="165" fontId="18" fillId="0" borderId="11" xfId="42" applyNumberFormat="1" applyFont="1" applyFill="1" applyBorder="1" applyAlignment="1">
      <alignment horizontal="right" vertical="center"/>
    </xf>
    <xf numFmtId="165" fontId="18" fillId="0" borderId="0" xfId="42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22" fillId="35" borderId="10" xfId="0" applyFont="1" applyFill="1" applyBorder="1"/>
    <xf numFmtId="165" fontId="22" fillId="35" borderId="10" xfId="0" applyNumberFormat="1" applyFont="1" applyFill="1" applyBorder="1"/>
    <xf numFmtId="0" fontId="22" fillId="0" borderId="10" xfId="0" applyFont="1" applyBorder="1"/>
    <xf numFmtId="0" fontId="22" fillId="0" borderId="10" xfId="0" applyFont="1" applyFill="1" applyBorder="1"/>
    <xf numFmtId="165" fontId="22" fillId="0" borderId="10" xfId="0" applyNumberFormat="1" applyFont="1" applyFill="1" applyBorder="1"/>
    <xf numFmtId="0" fontId="25" fillId="0" borderId="10" xfId="0" applyFont="1" applyFill="1" applyBorder="1"/>
    <xf numFmtId="165" fontId="25" fillId="0" borderId="10" xfId="0" applyNumberFormat="1" applyFont="1" applyBorder="1"/>
    <xf numFmtId="0" fontId="22" fillId="0" borderId="0" xfId="0" applyFont="1" applyFill="1" applyBorder="1"/>
    <xf numFmtId="165" fontId="22" fillId="0" borderId="0" xfId="0" applyNumberFormat="1" applyFont="1" applyBorder="1"/>
    <xf numFmtId="165" fontId="25" fillId="0" borderId="0" xfId="0" applyNumberFormat="1" applyFont="1" applyBorder="1"/>
    <xf numFmtId="0" fontId="23" fillId="0" borderId="10" xfId="0" applyFont="1" applyFill="1" applyBorder="1" applyAlignment="1">
      <alignment horizontal="center"/>
    </xf>
    <xf numFmtId="164" fontId="22" fillId="35" borderId="10" xfId="0" applyNumberFormat="1" applyFont="1" applyFill="1" applyBorder="1"/>
    <xf numFmtId="164" fontId="25" fillId="0" borderId="10" xfId="0" applyNumberFormat="1" applyFont="1" applyBorder="1"/>
    <xf numFmtId="165" fontId="18" fillId="0" borderId="10" xfId="42" applyNumberFormat="1" applyFont="1" applyFill="1" applyBorder="1" applyAlignment="1">
      <alignment vertical="center" wrapText="1"/>
    </xf>
    <xf numFmtId="165" fontId="18" fillId="0" borderId="10" xfId="42" applyNumberFormat="1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2" fontId="22" fillId="0" borderId="10" xfId="0" applyNumberFormat="1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_City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A4" sqref="A4"/>
    </sheetView>
  </sheetViews>
  <sheetFormatPr defaultRowHeight="12.75"/>
  <cols>
    <col min="1" max="1" width="17.5703125" style="4" bestFit="1" customWidth="1"/>
    <col min="2" max="2" width="7.140625" style="4" bestFit="1" customWidth="1"/>
    <col min="3" max="3" width="14.42578125" style="4" bestFit="1" customWidth="1"/>
    <col min="4" max="4" width="9.140625" style="4"/>
    <col min="5" max="5" width="8.5703125" style="4" bestFit="1" customWidth="1"/>
    <col min="6" max="16384" width="9.140625" style="4"/>
  </cols>
  <sheetData>
    <row r="1" spans="1:5">
      <c r="A1" s="32" t="s">
        <v>0</v>
      </c>
      <c r="B1" s="32" t="s">
        <v>46</v>
      </c>
      <c r="C1" s="32" t="s">
        <v>47</v>
      </c>
      <c r="D1" s="32" t="s">
        <v>48</v>
      </c>
      <c r="E1" s="32" t="s">
        <v>49</v>
      </c>
    </row>
    <row r="2" spans="1:5">
      <c r="A2" s="33" t="s">
        <v>7</v>
      </c>
      <c r="B2" s="33" t="s">
        <v>50</v>
      </c>
      <c r="C2" s="34">
        <v>16107.8</v>
      </c>
      <c r="D2" s="34">
        <v>103483.98180656218</v>
      </c>
      <c r="E2" s="34">
        <v>25534.963172115309</v>
      </c>
    </row>
    <row r="3" spans="1:5">
      <c r="A3" s="33" t="s">
        <v>7</v>
      </c>
      <c r="B3" s="33" t="s">
        <v>51</v>
      </c>
      <c r="C3" s="34">
        <v>4142.48189139839</v>
      </c>
      <c r="D3" s="34">
        <v>26684.221780879514</v>
      </c>
      <c r="E3" s="34">
        <v>4435.445590003972</v>
      </c>
    </row>
    <row r="4" spans="1:5">
      <c r="A4" s="35" t="s">
        <v>59</v>
      </c>
      <c r="B4" s="35" t="s">
        <v>51</v>
      </c>
      <c r="C4" s="15">
        <v>3720.2661615323809</v>
      </c>
      <c r="D4" s="15">
        <v>19906.509126613691</v>
      </c>
      <c r="E4" s="15">
        <v>3148.9562612624563</v>
      </c>
    </row>
    <row r="5" spans="1:5">
      <c r="A5" s="33" t="s">
        <v>21</v>
      </c>
      <c r="B5" s="33" t="s">
        <v>50</v>
      </c>
      <c r="C5" s="34">
        <v>37.501369842163143</v>
      </c>
      <c r="D5" s="34">
        <v>192.03752830274121</v>
      </c>
      <c r="E5" s="34">
        <v>14.799190374376188</v>
      </c>
    </row>
    <row r="6" spans="1:5">
      <c r="A6" s="35" t="s">
        <v>8</v>
      </c>
      <c r="B6" s="35" t="s">
        <v>50</v>
      </c>
      <c r="C6" s="15">
        <v>1255.6715837139561</v>
      </c>
      <c r="D6" s="15">
        <v>9061.6621842857039</v>
      </c>
      <c r="E6" s="15">
        <v>1423.4616672622299</v>
      </c>
    </row>
    <row r="7" spans="1:5">
      <c r="A7" s="35" t="s">
        <v>8</v>
      </c>
      <c r="B7" s="35" t="s">
        <v>51</v>
      </c>
      <c r="C7" s="15">
        <v>2933.8163747663884</v>
      </c>
      <c r="D7" s="15">
        <v>16338.109554355979</v>
      </c>
      <c r="E7" s="15">
        <v>2704.7613920588046</v>
      </c>
    </row>
    <row r="8" spans="1:5">
      <c r="A8" s="33" t="s">
        <v>9</v>
      </c>
      <c r="B8" s="33" t="s">
        <v>50</v>
      </c>
      <c r="C8" s="34">
        <v>781.90681429263827</v>
      </c>
      <c r="D8" s="34">
        <v>3752.0588221240278</v>
      </c>
      <c r="E8" s="34">
        <v>453.96829117328349</v>
      </c>
    </row>
    <row r="9" spans="1:5">
      <c r="A9" s="33" t="s">
        <v>9</v>
      </c>
      <c r="B9" s="33" t="s">
        <v>51</v>
      </c>
      <c r="C9" s="34">
        <v>980.44034949417835</v>
      </c>
      <c r="D9" s="34">
        <v>6359.8912471534159</v>
      </c>
      <c r="E9" s="34">
        <v>871.3749742021181</v>
      </c>
    </row>
    <row r="10" spans="1:5">
      <c r="A10" s="35" t="s">
        <v>22</v>
      </c>
      <c r="B10" s="35" t="s">
        <v>50</v>
      </c>
      <c r="C10" s="15">
        <v>347.83160496475551</v>
      </c>
      <c r="D10" s="15">
        <v>2052.385712380621</v>
      </c>
      <c r="E10" s="15">
        <v>297.03895088774584</v>
      </c>
    </row>
    <row r="11" spans="1:5">
      <c r="A11" s="33" t="s">
        <v>10</v>
      </c>
      <c r="B11" s="33" t="s">
        <v>51</v>
      </c>
      <c r="C11" s="34">
        <v>1639.1667255175255</v>
      </c>
      <c r="D11" s="34">
        <v>6572.0306123126975</v>
      </c>
      <c r="E11" s="34">
        <v>948.93926958357883</v>
      </c>
    </row>
    <row r="12" spans="1:5">
      <c r="A12" s="35" t="s">
        <v>52</v>
      </c>
      <c r="B12" s="35" t="s">
        <v>50</v>
      </c>
      <c r="C12" s="15">
        <v>113480.4131041931</v>
      </c>
      <c r="D12" s="15">
        <v>350420.85740209353</v>
      </c>
      <c r="E12" s="15">
        <v>14036.049309676206</v>
      </c>
    </row>
    <row r="13" spans="1:5">
      <c r="A13" s="35" t="s">
        <v>52</v>
      </c>
      <c r="B13" s="35" t="s">
        <v>51</v>
      </c>
      <c r="C13" s="15">
        <v>23624.107085813834</v>
      </c>
      <c r="D13" s="15">
        <v>59185.991025434349</v>
      </c>
      <c r="E13" s="15">
        <v>2118.1113106304915</v>
      </c>
    </row>
    <row r="14" spans="1:5">
      <c r="A14" s="33" t="s">
        <v>11</v>
      </c>
      <c r="B14" s="33" t="s">
        <v>51</v>
      </c>
      <c r="C14" s="34">
        <v>18.875386641490891</v>
      </c>
      <c r="D14" s="34">
        <v>105.44933433112568</v>
      </c>
      <c r="E14" s="34">
        <v>16.559034056797969</v>
      </c>
    </row>
    <row r="15" spans="1:5">
      <c r="A15" s="35" t="s">
        <v>12</v>
      </c>
      <c r="B15" s="35" t="s">
        <v>51</v>
      </c>
      <c r="C15" s="15">
        <v>4764.6013123999173</v>
      </c>
      <c r="D15" s="15">
        <v>41398.399361603995</v>
      </c>
      <c r="E15" s="15">
        <v>6490.8387554586916</v>
      </c>
    </row>
    <row r="16" spans="1:5">
      <c r="A16" s="33" t="s">
        <v>13</v>
      </c>
      <c r="B16" s="33" t="s">
        <v>50</v>
      </c>
      <c r="C16" s="34">
        <v>3128.2403283060403</v>
      </c>
      <c r="D16" s="34">
        <v>14963.996863510762</v>
      </c>
      <c r="E16" s="34">
        <v>2233.335956416829</v>
      </c>
    </row>
    <row r="17" spans="1:5">
      <c r="A17" s="33" t="s">
        <v>13</v>
      </c>
      <c r="B17" s="33" t="s">
        <v>51</v>
      </c>
      <c r="C17" s="34">
        <v>2899.0018591954818</v>
      </c>
      <c r="D17" s="34">
        <v>19141.088995231559</v>
      </c>
      <c r="E17" s="34">
        <v>2899.3264577867262</v>
      </c>
    </row>
    <row r="18" spans="1:5">
      <c r="A18" s="35" t="s">
        <v>14</v>
      </c>
      <c r="B18" s="35" t="s">
        <v>51</v>
      </c>
      <c r="C18" s="15">
        <v>342.50210756883627</v>
      </c>
      <c r="D18" s="15">
        <v>1240.1330029656931</v>
      </c>
      <c r="E18" s="15">
        <v>108.48735646919368</v>
      </c>
    </row>
    <row r="19" spans="1:5">
      <c r="A19" s="33" t="s">
        <v>15</v>
      </c>
      <c r="B19" s="33" t="s">
        <v>50</v>
      </c>
      <c r="C19" s="34">
        <v>4042.9012563016463</v>
      </c>
      <c r="D19" s="34">
        <v>19273.143417850479</v>
      </c>
      <c r="E19" s="34">
        <v>2667.1995813020621</v>
      </c>
    </row>
    <row r="20" spans="1:5">
      <c r="A20" s="33" t="s">
        <v>15</v>
      </c>
      <c r="B20" s="33" t="s">
        <v>51</v>
      </c>
      <c r="C20" s="34">
        <v>1313.3255477702567</v>
      </c>
      <c r="D20" s="34">
        <v>7238.4455462370533</v>
      </c>
      <c r="E20" s="34">
        <v>1161.542733644857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activeCell="B15" sqref="B15:D15"/>
    </sheetView>
  </sheetViews>
  <sheetFormatPr defaultRowHeight="12.75"/>
  <cols>
    <col min="1" max="1" width="17.5703125" style="4" bestFit="1" customWidth="1"/>
    <col min="2" max="2" width="14.42578125" style="4" bestFit="1" customWidth="1"/>
    <col min="3" max="3" width="9.7109375" style="4" bestFit="1" customWidth="1"/>
    <col min="4" max="4" width="8.7109375" style="4" bestFit="1" customWidth="1"/>
    <col min="5" max="16384" width="9.140625" style="4"/>
  </cols>
  <sheetData>
    <row r="1" spans="1:4">
      <c r="A1" s="32" t="s">
        <v>0</v>
      </c>
      <c r="B1" s="32" t="s">
        <v>47</v>
      </c>
      <c r="C1" s="32" t="s">
        <v>48</v>
      </c>
      <c r="D1" s="32" t="s">
        <v>49</v>
      </c>
    </row>
    <row r="2" spans="1:4">
      <c r="A2" s="36" t="s">
        <v>7</v>
      </c>
      <c r="B2" s="37">
        <f>'Loads by Basin'!C2+'Loads by Basin'!C3</f>
        <v>20250.28189139839</v>
      </c>
      <c r="C2" s="37">
        <f>'Loads by Basin'!D2+'Loads by Basin'!D3</f>
        <v>130168.20358744169</v>
      </c>
      <c r="D2" s="37">
        <f>'Loads by Basin'!E2+'Loads by Basin'!E3</f>
        <v>29970.408762119281</v>
      </c>
    </row>
    <row r="3" spans="1:4">
      <c r="A3" s="36" t="s">
        <v>59</v>
      </c>
      <c r="B3" s="37">
        <f>'Loads by Basin'!C4</f>
        <v>3720.2661615323809</v>
      </c>
      <c r="C3" s="37">
        <f>'Loads by Basin'!D4</f>
        <v>19906.509126613691</v>
      </c>
      <c r="D3" s="37">
        <f>'Loads by Basin'!E4</f>
        <v>3148.9562612624563</v>
      </c>
    </row>
    <row r="4" spans="1:4">
      <c r="A4" s="36" t="s">
        <v>21</v>
      </c>
      <c r="B4" s="37">
        <f>'Loads by Basin'!C5</f>
        <v>37.501369842163143</v>
      </c>
      <c r="C4" s="37">
        <f>'Loads by Basin'!D5</f>
        <v>192.03752830274121</v>
      </c>
      <c r="D4" s="37">
        <f>'Loads by Basin'!E5</f>
        <v>14.799190374376188</v>
      </c>
    </row>
    <row r="5" spans="1:4">
      <c r="A5" s="36" t="s">
        <v>8</v>
      </c>
      <c r="B5" s="37">
        <f>'Loads by Basin'!C6+'Loads by Basin'!C7</f>
        <v>4189.4879584803448</v>
      </c>
      <c r="C5" s="37">
        <f>'Loads by Basin'!D6+'Loads by Basin'!D7</f>
        <v>25399.771738641684</v>
      </c>
      <c r="D5" s="37">
        <f>'Loads by Basin'!E6+'Loads by Basin'!E7</f>
        <v>4128.2230593210343</v>
      </c>
    </row>
    <row r="6" spans="1:4">
      <c r="A6" s="36" t="s">
        <v>9</v>
      </c>
      <c r="B6" s="37">
        <f>'Loads by Basin'!C8+'Loads by Basin'!C9</f>
        <v>1762.3471637868165</v>
      </c>
      <c r="C6" s="37">
        <f>'Loads by Basin'!D8+'Loads by Basin'!D9</f>
        <v>10111.950069277444</v>
      </c>
      <c r="D6" s="37">
        <f>'Loads by Basin'!E8+'Loads by Basin'!E9</f>
        <v>1325.3432653754016</v>
      </c>
    </row>
    <row r="7" spans="1:4">
      <c r="A7" s="36" t="s">
        <v>22</v>
      </c>
      <c r="B7" s="37">
        <f>'Loads by Basin'!C10</f>
        <v>347.83160496475551</v>
      </c>
      <c r="C7" s="37">
        <f>'Loads by Basin'!D10</f>
        <v>2052.385712380621</v>
      </c>
      <c r="D7" s="37">
        <f>'Loads by Basin'!E10</f>
        <v>297.03895088774584</v>
      </c>
    </row>
    <row r="8" spans="1:4">
      <c r="A8" s="36" t="s">
        <v>10</v>
      </c>
      <c r="B8" s="37">
        <f>'Loads by Basin'!C11</f>
        <v>1639.1667255175255</v>
      </c>
      <c r="C8" s="37">
        <f>'Loads by Basin'!D11</f>
        <v>6572.0306123126975</v>
      </c>
      <c r="D8" s="37">
        <f>'Loads by Basin'!E11</f>
        <v>948.93926958357883</v>
      </c>
    </row>
    <row r="9" spans="1:4">
      <c r="A9" s="36" t="s">
        <v>52</v>
      </c>
      <c r="B9" s="37">
        <f>'Loads by Basin'!C12+'Loads by Basin'!C13</f>
        <v>137104.52019000694</v>
      </c>
      <c r="C9" s="37">
        <f>'Loads by Basin'!D12+'Loads by Basin'!D13</f>
        <v>409606.84842752788</v>
      </c>
      <c r="D9" s="37">
        <f>'Loads by Basin'!E12+'Loads by Basin'!E13</f>
        <v>16154.160620306697</v>
      </c>
    </row>
    <row r="10" spans="1:4">
      <c r="A10" s="36" t="s">
        <v>11</v>
      </c>
      <c r="B10" s="37">
        <f>'Loads by Basin'!C14</f>
        <v>18.875386641490891</v>
      </c>
      <c r="C10" s="37">
        <f>'Loads by Basin'!D14</f>
        <v>105.44933433112568</v>
      </c>
      <c r="D10" s="37">
        <f>'Loads by Basin'!E14</f>
        <v>16.559034056797969</v>
      </c>
    </row>
    <row r="11" spans="1:4">
      <c r="A11" s="36" t="s">
        <v>12</v>
      </c>
      <c r="B11" s="37">
        <f>'Loads by Basin'!C15</f>
        <v>4764.6013123999173</v>
      </c>
      <c r="C11" s="37">
        <f>'Loads by Basin'!D15</f>
        <v>41398.399361603995</v>
      </c>
      <c r="D11" s="37">
        <f>'Loads by Basin'!E15</f>
        <v>6490.8387554586916</v>
      </c>
    </row>
    <row r="12" spans="1:4">
      <c r="A12" s="36" t="s">
        <v>13</v>
      </c>
      <c r="B12" s="37">
        <f>'Loads by Basin'!C16+'Loads by Basin'!C17</f>
        <v>6027.2421875015225</v>
      </c>
      <c r="C12" s="37">
        <f>'Loads by Basin'!D16+'Loads by Basin'!D17</f>
        <v>34105.085858742321</v>
      </c>
      <c r="D12" s="37">
        <f>'Loads by Basin'!E16+'Loads by Basin'!E17</f>
        <v>5132.6624142035553</v>
      </c>
    </row>
    <row r="13" spans="1:4">
      <c r="A13" s="36" t="s">
        <v>14</v>
      </c>
      <c r="B13" s="37">
        <f>'Loads by Basin'!C18</f>
        <v>342.50210756883627</v>
      </c>
      <c r="C13" s="37">
        <f>'Loads by Basin'!D18</f>
        <v>1240.1330029656931</v>
      </c>
      <c r="D13" s="37">
        <f>'Loads by Basin'!E18</f>
        <v>108.48735646919368</v>
      </c>
    </row>
    <row r="14" spans="1:4">
      <c r="A14" s="36" t="s">
        <v>15</v>
      </c>
      <c r="B14" s="37">
        <f>'Loads by Basin'!C19+'Loads by Basin'!C20</f>
        <v>5356.2268040719027</v>
      </c>
      <c r="C14" s="37">
        <f>'Loads by Basin'!D19+'Loads by Basin'!D20</f>
        <v>26511.588964087532</v>
      </c>
      <c r="D14" s="37">
        <f>'Loads by Basin'!E19+'Loads by Basin'!E20</f>
        <v>3828.7423149469191</v>
      </c>
    </row>
    <row r="15" spans="1:4">
      <c r="A15" s="38" t="s">
        <v>16</v>
      </c>
      <c r="B15" s="39">
        <f>SUM(B2:B14)</f>
        <v>185560.85086371296</v>
      </c>
      <c r="C15" s="39">
        <f t="shared" ref="C15:D15" si="0">SUM(C2:C14)</f>
        <v>707370.39332422917</v>
      </c>
      <c r="D15" s="39">
        <f t="shared" si="0"/>
        <v>71565.159254365746</v>
      </c>
    </row>
    <row r="16" spans="1:4">
      <c r="A16" s="40" t="s">
        <v>53</v>
      </c>
      <c r="B16" s="41">
        <v>24151.9</v>
      </c>
      <c r="C16" s="42"/>
      <c r="D16" s="42"/>
    </row>
    <row r="17" spans="1:4">
      <c r="A17" s="40"/>
      <c r="B17" s="41">
        <f>SUM(B15:B16)</f>
        <v>209712.75086371295</v>
      </c>
      <c r="C17" s="42"/>
      <c r="D17" s="42"/>
    </row>
    <row r="18" spans="1:4">
      <c r="C18" s="24"/>
      <c r="D18" s="24"/>
    </row>
    <row r="19" spans="1:4">
      <c r="A19" s="35" t="s">
        <v>54</v>
      </c>
      <c r="B19" s="15">
        <v>216486</v>
      </c>
      <c r="C19" s="15">
        <v>718907</v>
      </c>
      <c r="D19" s="15">
        <v>73961</v>
      </c>
    </row>
    <row r="20" spans="1:4">
      <c r="A20" s="36" t="s">
        <v>55</v>
      </c>
      <c r="B20" s="21">
        <f>1-(B17/B19)</f>
        <v>3.1287238603360246E-2</v>
      </c>
      <c r="C20" s="21">
        <f>1-(C15/C19)</f>
        <v>1.6047425711212759E-2</v>
      </c>
      <c r="D20" s="21">
        <f>1-(D15/D19)</f>
        <v>3.2393298436125151E-2</v>
      </c>
    </row>
    <row r="28" spans="1:4">
      <c r="B28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A14" sqref="A14:D14"/>
    </sheetView>
  </sheetViews>
  <sheetFormatPr defaultRowHeight="12.75"/>
  <cols>
    <col min="1" max="1" width="18.5703125" style="4" bestFit="1" customWidth="1"/>
    <col min="2" max="2" width="14.28515625" style="4" bestFit="1" customWidth="1"/>
    <col min="3" max="3" width="9.7109375" style="4" bestFit="1" customWidth="1"/>
    <col min="4" max="16384" width="9.140625" style="4"/>
  </cols>
  <sheetData>
    <row r="1" spans="1:4">
      <c r="A1" s="32" t="s">
        <v>0</v>
      </c>
      <c r="B1" s="32" t="s">
        <v>47</v>
      </c>
      <c r="C1" s="32" t="s">
        <v>48</v>
      </c>
      <c r="D1" s="43" t="s">
        <v>56</v>
      </c>
    </row>
    <row r="2" spans="1:4">
      <c r="A2" s="36" t="s">
        <v>7</v>
      </c>
      <c r="B2" s="37">
        <f>'Loads by Basin'!C2+'Loads by Basin'!C3</f>
        <v>20250.28189139839</v>
      </c>
      <c r="C2" s="37">
        <f>'Loads by Basin'!D2+'Loads by Basin'!D3</f>
        <v>130168.20358744169</v>
      </c>
      <c r="D2" s="21">
        <f>C2/$C$14</f>
        <v>0.43715292156599961</v>
      </c>
    </row>
    <row r="3" spans="1:4">
      <c r="A3" s="36" t="s">
        <v>12</v>
      </c>
      <c r="B3" s="37">
        <f>'Loads by Basin'!C15</f>
        <v>4764.6013123999173</v>
      </c>
      <c r="C3" s="37">
        <f>'Loads by Basin'!D15</f>
        <v>41398.399361603995</v>
      </c>
      <c r="D3" s="21">
        <f t="shared" ref="D3:D13" si="0">C3/$C$14</f>
        <v>0.13903112073697846</v>
      </c>
    </row>
    <row r="4" spans="1:4">
      <c r="A4" s="36" t="s">
        <v>13</v>
      </c>
      <c r="B4" s="37">
        <f>'Loads by Basin'!C16+'Loads by Basin'!C17</f>
        <v>6027.2421875015225</v>
      </c>
      <c r="C4" s="37">
        <f>'Loads by Basin'!D16+'Loads by Basin'!D17</f>
        <v>34105.085858742321</v>
      </c>
      <c r="D4" s="21">
        <f t="shared" si="0"/>
        <v>0.11453747929611023</v>
      </c>
    </row>
    <row r="5" spans="1:4">
      <c r="A5" s="36" t="s">
        <v>15</v>
      </c>
      <c r="B5" s="37">
        <f>'Loads by Basin'!C19+'Loads by Basin'!C20</f>
        <v>5356.2268040719027</v>
      </c>
      <c r="C5" s="37">
        <f>'Loads by Basin'!D19+'Loads by Basin'!D20</f>
        <v>26511.588964087532</v>
      </c>
      <c r="D5" s="21">
        <f t="shared" si="0"/>
        <v>8.9035711115290489E-2</v>
      </c>
    </row>
    <row r="6" spans="1:4">
      <c r="A6" s="36" t="s">
        <v>8</v>
      </c>
      <c r="B6" s="37">
        <f>'Loads by Basin'!C6+'Loads by Basin'!C7</f>
        <v>4189.4879584803448</v>
      </c>
      <c r="C6" s="37">
        <f>'Loads by Basin'!D6+'Loads by Basin'!D7</f>
        <v>25399.771738641684</v>
      </c>
      <c r="D6" s="21">
        <f t="shared" si="0"/>
        <v>8.5301818083383066E-2</v>
      </c>
    </row>
    <row r="7" spans="1:4">
      <c r="A7" s="36" t="s">
        <v>59</v>
      </c>
      <c r="B7" s="37">
        <f>'Loads by Basin'!C4</f>
        <v>3720.2661615323809</v>
      </c>
      <c r="C7" s="37">
        <f>'Loads by Basin'!D4</f>
        <v>19906.509126613691</v>
      </c>
      <c r="D7" s="21">
        <f t="shared" si="0"/>
        <v>6.6853412608046295E-2</v>
      </c>
    </row>
    <row r="8" spans="1:4">
      <c r="A8" s="36" t="s">
        <v>9</v>
      </c>
      <c r="B8" s="37">
        <f>'Loads by Basin'!C8+'Loads by Basin'!C9</f>
        <v>1762.3471637868165</v>
      </c>
      <c r="C8" s="37">
        <f>'Loads by Basin'!D8+'Loads by Basin'!D9</f>
        <v>10111.950069277444</v>
      </c>
      <c r="D8" s="21">
        <f t="shared" si="0"/>
        <v>3.3959664447121729E-2</v>
      </c>
    </row>
    <row r="9" spans="1:4">
      <c r="A9" s="36" t="s">
        <v>10</v>
      </c>
      <c r="B9" s="37">
        <f>'Loads by Basin'!C11</f>
        <v>1639.1667255175255</v>
      </c>
      <c r="C9" s="37">
        <f>'Loads by Basin'!D11</f>
        <v>6572.0306123126975</v>
      </c>
      <c r="D9" s="21">
        <f t="shared" si="0"/>
        <v>2.2071306998284943E-2</v>
      </c>
    </row>
    <row r="10" spans="1:4">
      <c r="A10" s="33" t="s">
        <v>22</v>
      </c>
      <c r="B10" s="34">
        <f>'Loads by Basin'!C10</f>
        <v>347.83160496475551</v>
      </c>
      <c r="C10" s="34">
        <f>'Loads by Basin'!D10</f>
        <v>2052.385712380621</v>
      </c>
      <c r="D10" s="44">
        <f t="shared" si="0"/>
        <v>6.8926695277376033E-3</v>
      </c>
    </row>
    <row r="11" spans="1:4">
      <c r="A11" s="33" t="s">
        <v>14</v>
      </c>
      <c r="B11" s="34">
        <f>'Loads by Basin'!C18</f>
        <v>342.50210756883627</v>
      </c>
      <c r="C11" s="34">
        <f>'Loads by Basin'!D18</f>
        <v>1240.1330029656931</v>
      </c>
      <c r="D11" s="44">
        <f t="shared" si="0"/>
        <v>4.1648248223129999E-3</v>
      </c>
    </row>
    <row r="12" spans="1:4">
      <c r="A12" s="33" t="s">
        <v>21</v>
      </c>
      <c r="B12" s="34">
        <f>'Loads by Basin'!C5</f>
        <v>37.501369842163143</v>
      </c>
      <c r="C12" s="34">
        <f>'Loads by Basin'!D5</f>
        <v>192.03752830274121</v>
      </c>
      <c r="D12" s="44">
        <f t="shared" si="0"/>
        <v>6.4493297313934761E-4</v>
      </c>
    </row>
    <row r="13" spans="1:4">
      <c r="A13" s="33" t="s">
        <v>11</v>
      </c>
      <c r="B13" s="34">
        <f>'Loads by Basin'!C14</f>
        <v>18.875386641490891</v>
      </c>
      <c r="C13" s="34">
        <f>'Loads by Basin'!D14</f>
        <v>105.44933433112568</v>
      </c>
      <c r="D13" s="44">
        <f t="shared" si="0"/>
        <v>3.5413782559482772E-4</v>
      </c>
    </row>
    <row r="14" spans="1:4">
      <c r="A14" s="38" t="s">
        <v>16</v>
      </c>
      <c r="B14" s="39">
        <f>SUM(B2:B13)</f>
        <v>48456.330673706034</v>
      </c>
      <c r="C14" s="39">
        <f>SUM(C2:C13)</f>
        <v>297763.54489670135</v>
      </c>
      <c r="D14" s="45">
        <f>SUM(D2:D13)</f>
        <v>0.99999999999999967</v>
      </c>
    </row>
    <row r="16" spans="1:4">
      <c r="A16" s="40" t="s">
        <v>58</v>
      </c>
    </row>
    <row r="20" spans="2:2">
      <c r="B20" s="24"/>
    </row>
  </sheetData>
  <sortState ref="A2:C15">
    <sortCondition descending="1" ref="C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A14" sqref="A14:D14"/>
    </sheetView>
  </sheetViews>
  <sheetFormatPr defaultRowHeight="12.75"/>
  <cols>
    <col min="1" max="1" width="18.5703125" style="4" bestFit="1" customWidth="1"/>
    <col min="2" max="2" width="14.28515625" style="4" bestFit="1" customWidth="1"/>
    <col min="3" max="16384" width="9.140625" style="4"/>
  </cols>
  <sheetData>
    <row r="1" spans="1:4">
      <c r="A1" s="32" t="s">
        <v>0</v>
      </c>
      <c r="B1" s="32" t="s">
        <v>47</v>
      </c>
      <c r="C1" s="32" t="s">
        <v>49</v>
      </c>
      <c r="D1" s="43" t="s">
        <v>56</v>
      </c>
    </row>
    <row r="2" spans="1:4">
      <c r="A2" s="36" t="s">
        <v>7</v>
      </c>
      <c r="B2" s="37">
        <f>'Loads by Basin'!C2+'Loads by Basin'!C3</f>
        <v>20250.28189139839</v>
      </c>
      <c r="C2" s="37">
        <f>'Loads by Basin'!E2+'Loads by Basin'!E3</f>
        <v>29970.408762119281</v>
      </c>
      <c r="D2" s="21">
        <f>C2/$C$14</f>
        <v>0.54087472705640083</v>
      </c>
    </row>
    <row r="3" spans="1:4">
      <c r="A3" s="36" t="s">
        <v>12</v>
      </c>
      <c r="B3" s="37">
        <f>'Loads by Basin'!C15</f>
        <v>4764.6013123999173</v>
      </c>
      <c r="C3" s="37">
        <f>'Loads by Basin'!E15</f>
        <v>6490.8387554586916</v>
      </c>
      <c r="D3" s="21">
        <f t="shared" ref="D3:D13" si="0">C3/$C$14</f>
        <v>0.11713989849424984</v>
      </c>
    </row>
    <row r="4" spans="1:4">
      <c r="A4" s="36" t="s">
        <v>13</v>
      </c>
      <c r="B4" s="37">
        <f>'Loads by Basin'!C16+'Loads by Basin'!C17</f>
        <v>6027.2421875015225</v>
      </c>
      <c r="C4" s="37">
        <f>'Loads by Basin'!E16+'Loads by Basin'!E17</f>
        <v>5132.6624142035553</v>
      </c>
      <c r="D4" s="21">
        <f t="shared" si="0"/>
        <v>9.262894625127191E-2</v>
      </c>
    </row>
    <row r="5" spans="1:4">
      <c r="A5" s="36" t="s">
        <v>8</v>
      </c>
      <c r="B5" s="37">
        <f>'Loads by Basin'!C6+'Loads by Basin'!C7</f>
        <v>4189.4879584803448</v>
      </c>
      <c r="C5" s="37">
        <f>'Loads by Basin'!E6+'Loads by Basin'!E7</f>
        <v>4128.2230593210343</v>
      </c>
      <c r="D5" s="21">
        <f t="shared" si="0"/>
        <v>7.4501870767287939E-2</v>
      </c>
    </row>
    <row r="6" spans="1:4">
      <c r="A6" s="36" t="s">
        <v>15</v>
      </c>
      <c r="B6" s="37">
        <f>'Loads by Basin'!C19+'Loads by Basin'!C20</f>
        <v>5356.2268040719027</v>
      </c>
      <c r="C6" s="37">
        <f>'Loads by Basin'!E19+'Loads by Basin'!E20</f>
        <v>3828.7423149469191</v>
      </c>
      <c r="D6" s="21">
        <f t="shared" si="0"/>
        <v>6.9097154163064237E-2</v>
      </c>
    </row>
    <row r="7" spans="1:4">
      <c r="A7" s="36" t="s">
        <v>59</v>
      </c>
      <c r="B7" s="37">
        <f>'Loads by Basin'!C4</f>
        <v>3720.2661615323809</v>
      </c>
      <c r="C7" s="37">
        <f>'Loads by Basin'!E4</f>
        <v>3148.9562612624563</v>
      </c>
      <c r="D7" s="21">
        <f t="shared" si="0"/>
        <v>5.6829083374918869E-2</v>
      </c>
    </row>
    <row r="8" spans="1:4">
      <c r="A8" s="36" t="s">
        <v>9</v>
      </c>
      <c r="B8" s="37">
        <f>'Loads by Basin'!C8+'Loads by Basin'!C9</f>
        <v>1762.3471637868165</v>
      </c>
      <c r="C8" s="37">
        <f>'Loads by Basin'!E8+'Loads by Basin'!E9</f>
        <v>1325.3432653754016</v>
      </c>
      <c r="D8" s="21">
        <f t="shared" si="0"/>
        <v>2.391841508087825E-2</v>
      </c>
    </row>
    <row r="9" spans="1:4">
      <c r="A9" s="36" t="s">
        <v>10</v>
      </c>
      <c r="B9" s="37">
        <f>'Loads by Basin'!C11</f>
        <v>1639.1667255175255</v>
      </c>
      <c r="C9" s="37">
        <f>'Loads by Basin'!E11</f>
        <v>948.93926958357883</v>
      </c>
      <c r="D9" s="21">
        <f t="shared" si="0"/>
        <v>1.7125467740628338E-2</v>
      </c>
    </row>
    <row r="10" spans="1:4">
      <c r="A10" s="33" t="s">
        <v>22</v>
      </c>
      <c r="B10" s="34">
        <f>'Loads by Basin'!C10</f>
        <v>347.83160496475551</v>
      </c>
      <c r="C10" s="34">
        <f>'Loads by Basin'!E10</f>
        <v>297.03895088774584</v>
      </c>
      <c r="D10" s="44">
        <f t="shared" si="0"/>
        <v>5.3606496581919986E-3</v>
      </c>
    </row>
    <row r="11" spans="1:4">
      <c r="A11" s="33" t="s">
        <v>14</v>
      </c>
      <c r="B11" s="34">
        <f>'Loads by Basin'!C18</f>
        <v>342.50210756883627</v>
      </c>
      <c r="C11" s="34">
        <f>'Loads by Basin'!E18</f>
        <v>108.48735646919368</v>
      </c>
      <c r="D11" s="44">
        <f t="shared" si="0"/>
        <v>1.9578668340857266E-3</v>
      </c>
    </row>
    <row r="12" spans="1:4">
      <c r="A12" s="33" t="s">
        <v>11</v>
      </c>
      <c r="B12" s="34">
        <f>'Loads by Basin'!C14</f>
        <v>18.875386641490891</v>
      </c>
      <c r="C12" s="34">
        <f>'Loads by Basin'!E14</f>
        <v>16.559034056797969</v>
      </c>
      <c r="D12" s="44">
        <f t="shared" si="0"/>
        <v>2.9884020257703423E-4</v>
      </c>
    </row>
    <row r="13" spans="1:4">
      <c r="A13" s="33" t="s">
        <v>21</v>
      </c>
      <c r="B13" s="34">
        <f>'Loads by Basin'!C5</f>
        <v>37.501369842163143</v>
      </c>
      <c r="C13" s="34">
        <f>'Loads by Basin'!E5</f>
        <v>14.799190374376188</v>
      </c>
      <c r="D13" s="44">
        <f t="shared" si="0"/>
        <v>2.670803764449697E-4</v>
      </c>
    </row>
    <row r="14" spans="1:4">
      <c r="A14" s="38" t="s">
        <v>16</v>
      </c>
      <c r="B14" s="39">
        <f>SUM(B2:B13)</f>
        <v>48456.330673706034</v>
      </c>
      <c r="C14" s="39">
        <f>SUM(C2:C13)</f>
        <v>55410.998634059033</v>
      </c>
      <c r="D14" s="45">
        <f>SUM(D2:D13)</f>
        <v>1.0000000000000002</v>
      </c>
    </row>
    <row r="16" spans="1:4">
      <c r="A16" s="40" t="s">
        <v>58</v>
      </c>
    </row>
  </sheetData>
  <sortState ref="A2:C14">
    <sortCondition descending="1"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E40" sqref="E40"/>
    </sheetView>
  </sheetViews>
  <sheetFormatPr defaultRowHeight="12.75"/>
  <cols>
    <col min="1" max="1" width="23" style="4" bestFit="1" customWidth="1"/>
    <col min="2" max="2" width="12.140625" style="4" bestFit="1" customWidth="1"/>
    <col min="3" max="3" width="13.28515625" style="4" bestFit="1" customWidth="1"/>
    <col min="4" max="4" width="10.7109375" style="4" customWidth="1"/>
    <col min="5" max="5" width="13.28515625" style="4" customWidth="1"/>
    <col min="6" max="6" width="12.28515625" style="4" customWidth="1"/>
    <col min="7" max="7" width="11.7109375" style="4" customWidth="1"/>
    <col min="8" max="16384" width="9.140625" style="4"/>
  </cols>
  <sheetData>
    <row r="1" spans="1:7" ht="40.5" customHeight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>
      <c r="A2" s="27" t="s">
        <v>7</v>
      </c>
      <c r="B2" s="13">
        <v>130168.2</v>
      </c>
      <c r="C2" s="13">
        <f t="shared" ref="C2:C9" si="0">(B2/$B$14)*$B$17</f>
        <v>40710.307990065943</v>
      </c>
      <c r="D2" s="19">
        <f>C2/B2</f>
        <v>0.31275156290143019</v>
      </c>
      <c r="E2" s="28">
        <v>29970.400000000001</v>
      </c>
      <c r="F2" s="28">
        <f t="shared" ref="F2:F9" si="1">(E2/$E$14)*$B$18</f>
        <v>9908.2988653856919</v>
      </c>
      <c r="G2" s="29">
        <f>F2/E2</f>
        <v>0.33060282363217347</v>
      </c>
    </row>
    <row r="3" spans="1:7">
      <c r="A3" s="25" t="s">
        <v>59</v>
      </c>
      <c r="B3" s="13">
        <v>19906.5</v>
      </c>
      <c r="C3" s="13">
        <f t="shared" si="0"/>
        <v>6225.7889868973198</v>
      </c>
      <c r="D3" s="19">
        <f t="shared" ref="D3:D9" si="2">C3/B3</f>
        <v>0.31275156290143019</v>
      </c>
      <c r="E3" s="28">
        <v>3149</v>
      </c>
      <c r="F3" s="28">
        <f t="shared" si="1"/>
        <v>1041.0682916177143</v>
      </c>
      <c r="G3" s="29">
        <f t="shared" ref="G3:G9" si="3">F3/E3</f>
        <v>0.33060282363217347</v>
      </c>
    </row>
    <row r="4" spans="1:7">
      <c r="A4" s="27" t="s">
        <v>8</v>
      </c>
      <c r="B4" s="13">
        <v>25399.8</v>
      </c>
      <c r="C4" s="13">
        <f t="shared" si="0"/>
        <v>7943.8271473837449</v>
      </c>
      <c r="D4" s="19">
        <f t="shared" si="2"/>
        <v>0.31275156290143014</v>
      </c>
      <c r="E4" s="28">
        <v>4128.2</v>
      </c>
      <c r="F4" s="28">
        <f t="shared" si="1"/>
        <v>1364.7945765183383</v>
      </c>
      <c r="G4" s="29">
        <f t="shared" si="3"/>
        <v>0.33060282363217341</v>
      </c>
    </row>
    <row r="5" spans="1:7">
      <c r="A5" s="25" t="s">
        <v>9</v>
      </c>
      <c r="B5" s="13">
        <v>10112</v>
      </c>
      <c r="C5" s="13">
        <f t="shared" si="0"/>
        <v>3162.5438040592621</v>
      </c>
      <c r="D5" s="19">
        <f t="shared" si="2"/>
        <v>0.31275156290143019</v>
      </c>
      <c r="E5" s="28">
        <v>1325.3</v>
      </c>
      <c r="F5" s="28">
        <f t="shared" si="1"/>
        <v>438.14792215971943</v>
      </c>
      <c r="G5" s="29">
        <f t="shared" si="3"/>
        <v>0.33060282363217341</v>
      </c>
    </row>
    <row r="6" spans="1:7">
      <c r="A6" s="26" t="s">
        <v>10</v>
      </c>
      <c r="B6" s="14">
        <v>6572</v>
      </c>
      <c r="C6" s="13">
        <f t="shared" si="0"/>
        <v>2055.4032713881993</v>
      </c>
      <c r="D6" s="19">
        <f t="shared" si="2"/>
        <v>0.31275156290143019</v>
      </c>
      <c r="E6" s="30">
        <v>948.9</v>
      </c>
      <c r="F6" s="28">
        <f t="shared" si="1"/>
        <v>313.70901934456936</v>
      </c>
      <c r="G6" s="29">
        <f t="shared" si="3"/>
        <v>0.33060282363217341</v>
      </c>
    </row>
    <row r="7" spans="1:7">
      <c r="A7" s="26" t="s">
        <v>12</v>
      </c>
      <c r="B7" s="14">
        <v>41398.400000000001</v>
      </c>
      <c r="C7" s="13">
        <f t="shared" si="0"/>
        <v>12947.414301618568</v>
      </c>
      <c r="D7" s="19">
        <f t="shared" si="2"/>
        <v>0.31275156290143019</v>
      </c>
      <c r="E7" s="30">
        <v>6490.8</v>
      </c>
      <c r="F7" s="28">
        <f t="shared" si="1"/>
        <v>2145.8768076317115</v>
      </c>
      <c r="G7" s="29">
        <f t="shared" si="3"/>
        <v>0.33060282363217347</v>
      </c>
    </row>
    <row r="8" spans="1:7">
      <c r="A8" s="26" t="s">
        <v>13</v>
      </c>
      <c r="B8" s="14">
        <v>34105.1</v>
      </c>
      <c r="C8" s="13">
        <f t="shared" si="0"/>
        <v>10666.423327909566</v>
      </c>
      <c r="D8" s="19">
        <f t="shared" si="2"/>
        <v>0.31275156290143019</v>
      </c>
      <c r="E8" s="30">
        <v>5132.7</v>
      </c>
      <c r="F8" s="28">
        <f t="shared" si="1"/>
        <v>1696.8851128568567</v>
      </c>
      <c r="G8" s="29">
        <f t="shared" si="3"/>
        <v>0.33060282363217347</v>
      </c>
    </row>
    <row r="9" spans="1:7">
      <c r="A9" s="26" t="s">
        <v>15</v>
      </c>
      <c r="B9" s="14">
        <v>26511.599999999999</v>
      </c>
      <c r="C9" s="13">
        <f t="shared" si="0"/>
        <v>8291.5443350175556</v>
      </c>
      <c r="D9" s="19">
        <f t="shared" si="2"/>
        <v>0.31275156290143019</v>
      </c>
      <c r="E9" s="30">
        <v>3828.7</v>
      </c>
      <c r="F9" s="28">
        <f t="shared" si="1"/>
        <v>1265.7790308405024</v>
      </c>
      <c r="G9" s="29">
        <f t="shared" si="3"/>
        <v>0.33060282363217347</v>
      </c>
    </row>
    <row r="10" spans="1:7">
      <c r="A10" s="25" t="s">
        <v>42</v>
      </c>
      <c r="B10" s="13">
        <v>192</v>
      </c>
      <c r="C10" s="13">
        <v>0</v>
      </c>
      <c r="D10" s="19">
        <f>C10/B10</f>
        <v>0</v>
      </c>
      <c r="E10" s="28">
        <v>14.8</v>
      </c>
      <c r="F10" s="28">
        <v>0</v>
      </c>
      <c r="G10" s="29">
        <f>F10/E10</f>
        <v>0</v>
      </c>
    </row>
    <row r="11" spans="1:7">
      <c r="A11" s="26" t="s">
        <v>43</v>
      </c>
      <c r="B11" s="14">
        <v>2052.4</v>
      </c>
      <c r="C11" s="13">
        <v>0</v>
      </c>
      <c r="D11" s="19">
        <f>C11/B11</f>
        <v>0</v>
      </c>
      <c r="E11" s="30">
        <v>297</v>
      </c>
      <c r="F11" s="28">
        <v>0</v>
      </c>
      <c r="G11" s="29">
        <f>F11/E11</f>
        <v>0</v>
      </c>
    </row>
    <row r="12" spans="1:7">
      <c r="A12" s="26" t="s">
        <v>44</v>
      </c>
      <c r="B12" s="14">
        <v>105.4</v>
      </c>
      <c r="C12" s="13">
        <v>0</v>
      </c>
      <c r="D12" s="19">
        <f>C12/B12</f>
        <v>0</v>
      </c>
      <c r="E12" s="30">
        <v>16.600000000000001</v>
      </c>
      <c r="F12" s="28">
        <v>0</v>
      </c>
      <c r="G12" s="29">
        <f>F12/E12</f>
        <v>0</v>
      </c>
    </row>
    <row r="13" spans="1:7">
      <c r="A13" s="26" t="s">
        <v>45</v>
      </c>
      <c r="B13" s="14">
        <v>1240.0999999999999</v>
      </c>
      <c r="C13" s="13">
        <v>0</v>
      </c>
      <c r="D13" s="19">
        <f>C13/B13</f>
        <v>0</v>
      </c>
      <c r="E13" s="30">
        <v>108.5</v>
      </c>
      <c r="F13" s="28">
        <v>0</v>
      </c>
      <c r="G13" s="29">
        <f>F13/E13</f>
        <v>0</v>
      </c>
    </row>
    <row r="14" spans="1:7">
      <c r="A14" s="6" t="s">
        <v>16</v>
      </c>
      <c r="B14" s="18">
        <f>SUM(B2:B13)</f>
        <v>297763.5</v>
      </c>
      <c r="C14" s="18">
        <f>SUM(C2:C13)</f>
        <v>92003.25316434016</v>
      </c>
      <c r="D14" s="20" t="s">
        <v>17</v>
      </c>
      <c r="E14" s="18">
        <f>SUM(E2:E13)</f>
        <v>55410.9</v>
      </c>
      <c r="F14" s="18">
        <f>SUM(F2:F13)</f>
        <v>18174.559626355105</v>
      </c>
      <c r="G14" s="20" t="s">
        <v>17</v>
      </c>
    </row>
    <row r="15" spans="1:7">
      <c r="C15" s="24">
        <f>C14/B17</f>
        <v>0.98794378760324897</v>
      </c>
      <c r="D15" s="4" t="s">
        <v>57</v>
      </c>
      <c r="F15" s="24">
        <f>F14/B18</f>
        <v>0.99211526973934738</v>
      </c>
      <c r="G15" s="4" t="s">
        <v>57</v>
      </c>
    </row>
    <row r="16" spans="1:7">
      <c r="A16" s="4" t="s">
        <v>18</v>
      </c>
    </row>
    <row r="17" spans="1:2">
      <c r="A17" s="4" t="s">
        <v>19</v>
      </c>
      <c r="B17" s="5">
        <f>46732+46394</f>
        <v>93126</v>
      </c>
    </row>
    <row r="18" spans="1:2">
      <c r="A18" s="4" t="s">
        <v>20</v>
      </c>
      <c r="B18" s="31">
        <f>7126+11193</f>
        <v>18319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E38" sqref="E38"/>
    </sheetView>
  </sheetViews>
  <sheetFormatPr defaultRowHeight="12.75"/>
  <cols>
    <col min="1" max="1" width="22.85546875" style="4" bestFit="1" customWidth="1"/>
    <col min="2" max="2" width="9.140625" style="4"/>
    <col min="3" max="3" width="11.5703125" style="4" bestFit="1" customWidth="1"/>
    <col min="4" max="4" width="10.85546875" style="4" customWidth="1"/>
    <col min="5" max="5" width="11.42578125" style="4" customWidth="1"/>
    <col min="6" max="6" width="12.28515625" style="4" bestFit="1" customWidth="1"/>
    <col min="7" max="7" width="10.140625" style="4" bestFit="1" customWidth="1"/>
    <col min="8" max="16384" width="9.140625" style="4"/>
  </cols>
  <sheetData>
    <row r="1" spans="1:7" ht="38.25">
      <c r="A1" s="7" t="s">
        <v>0</v>
      </c>
      <c r="B1" s="8" t="s">
        <v>23</v>
      </c>
      <c r="C1" s="9" t="s">
        <v>24</v>
      </c>
      <c r="D1" s="9" t="s">
        <v>25</v>
      </c>
      <c r="E1" s="10" t="s">
        <v>1</v>
      </c>
      <c r="F1" s="11" t="s">
        <v>26</v>
      </c>
      <c r="G1" s="9" t="s">
        <v>3</v>
      </c>
    </row>
    <row r="2" spans="1:7">
      <c r="A2" s="46" t="s">
        <v>7</v>
      </c>
      <c r="B2" s="15">
        <v>20250.3</v>
      </c>
      <c r="C2" s="22">
        <v>4.34</v>
      </c>
      <c r="D2" s="15">
        <f>B2*C2</f>
        <v>87886.301999999996</v>
      </c>
      <c r="E2" s="13">
        <v>130168.2</v>
      </c>
      <c r="F2" s="15">
        <f>E2-D2</f>
        <v>42281.898000000001</v>
      </c>
      <c r="G2" s="21">
        <f>F2/E2</f>
        <v>0.32482509553024475</v>
      </c>
    </row>
    <row r="3" spans="1:7">
      <c r="A3" s="47" t="s">
        <v>59</v>
      </c>
      <c r="B3" s="15">
        <v>3720.3</v>
      </c>
      <c r="C3" s="22">
        <v>4.34</v>
      </c>
      <c r="D3" s="15">
        <f t="shared" ref="D3:D9" si="0">B3*C3</f>
        <v>16146.102000000001</v>
      </c>
      <c r="E3" s="13">
        <v>19906.5</v>
      </c>
      <c r="F3" s="15">
        <f t="shared" ref="F3:F9" si="1">E3-D3</f>
        <v>3760.3979999999992</v>
      </c>
      <c r="G3" s="21">
        <f t="shared" ref="G3:G9" si="2">F3/E3</f>
        <v>0.18890302162610198</v>
      </c>
    </row>
    <row r="4" spans="1:7">
      <c r="A4" s="46" t="s">
        <v>8</v>
      </c>
      <c r="B4" s="15">
        <v>4189.5</v>
      </c>
      <c r="C4" s="22">
        <v>4.34</v>
      </c>
      <c r="D4" s="15">
        <f t="shared" si="0"/>
        <v>18182.43</v>
      </c>
      <c r="E4" s="13">
        <v>25399.8</v>
      </c>
      <c r="F4" s="15">
        <f t="shared" si="1"/>
        <v>7217.369999999999</v>
      </c>
      <c r="G4" s="21">
        <f t="shared" si="2"/>
        <v>0.28415066260364252</v>
      </c>
    </row>
    <row r="5" spans="1:7">
      <c r="A5" s="47" t="s">
        <v>9</v>
      </c>
      <c r="B5" s="15">
        <v>1762.3</v>
      </c>
      <c r="C5" s="22">
        <v>4.34</v>
      </c>
      <c r="D5" s="15">
        <f t="shared" si="0"/>
        <v>7648.3819999999996</v>
      </c>
      <c r="E5" s="13">
        <v>10112</v>
      </c>
      <c r="F5" s="15">
        <f t="shared" si="1"/>
        <v>2463.6180000000004</v>
      </c>
      <c r="G5" s="21">
        <f t="shared" si="2"/>
        <v>0.24363310917721523</v>
      </c>
    </row>
    <row r="6" spans="1:7">
      <c r="A6" s="47" t="s">
        <v>10</v>
      </c>
      <c r="B6" s="15">
        <v>1639.2</v>
      </c>
      <c r="C6" s="22">
        <v>4.34</v>
      </c>
      <c r="D6" s="15">
        <f t="shared" si="0"/>
        <v>7114.1279999999997</v>
      </c>
      <c r="E6" s="14">
        <v>6572</v>
      </c>
      <c r="F6" s="15">
        <v>0</v>
      </c>
      <c r="G6" s="21">
        <f t="shared" si="2"/>
        <v>0</v>
      </c>
    </row>
    <row r="7" spans="1:7">
      <c r="A7" s="47" t="s">
        <v>12</v>
      </c>
      <c r="B7" s="15">
        <v>4764.6000000000004</v>
      </c>
      <c r="C7" s="22">
        <v>4.34</v>
      </c>
      <c r="D7" s="15">
        <f t="shared" si="0"/>
        <v>20678.364000000001</v>
      </c>
      <c r="E7" s="14">
        <v>41398.400000000001</v>
      </c>
      <c r="F7" s="15">
        <f t="shared" si="1"/>
        <v>20720.036</v>
      </c>
      <c r="G7" s="21">
        <f t="shared" si="2"/>
        <v>0.50050330447553526</v>
      </c>
    </row>
    <row r="8" spans="1:7">
      <c r="A8" s="47" t="s">
        <v>13</v>
      </c>
      <c r="B8" s="15">
        <v>6027.2</v>
      </c>
      <c r="C8" s="22">
        <v>4.34</v>
      </c>
      <c r="D8" s="15">
        <f t="shared" si="0"/>
        <v>26158.047999999999</v>
      </c>
      <c r="E8" s="14">
        <v>34105.1</v>
      </c>
      <c r="F8" s="15">
        <f t="shared" si="1"/>
        <v>7947.0519999999997</v>
      </c>
      <c r="G8" s="21">
        <f t="shared" si="2"/>
        <v>0.2330165283198114</v>
      </c>
    </row>
    <row r="9" spans="1:7">
      <c r="A9" s="47" t="s">
        <v>15</v>
      </c>
      <c r="B9" s="15">
        <v>5356.2</v>
      </c>
      <c r="C9" s="22">
        <v>4.34</v>
      </c>
      <c r="D9" s="15">
        <f t="shared" si="0"/>
        <v>23245.907999999999</v>
      </c>
      <c r="E9" s="14">
        <v>26511.599999999999</v>
      </c>
      <c r="F9" s="15">
        <f t="shared" si="1"/>
        <v>3265.6919999999991</v>
      </c>
      <c r="G9" s="21">
        <f t="shared" si="2"/>
        <v>0.12317974018920017</v>
      </c>
    </row>
    <row r="10" spans="1:7">
      <c r="A10" s="25" t="s">
        <v>42</v>
      </c>
      <c r="B10" s="15">
        <v>37.5</v>
      </c>
      <c r="C10" s="22">
        <v>4.34</v>
      </c>
      <c r="D10" s="15">
        <f>B10*C10</f>
        <v>162.75</v>
      </c>
      <c r="E10" s="13">
        <v>192</v>
      </c>
      <c r="F10" s="15">
        <v>0</v>
      </c>
      <c r="G10" s="21">
        <f>F10/E10</f>
        <v>0</v>
      </c>
    </row>
    <row r="11" spans="1:7">
      <c r="A11" s="26" t="s">
        <v>43</v>
      </c>
      <c r="B11" s="15">
        <v>347.8</v>
      </c>
      <c r="C11" s="22">
        <v>4.34</v>
      </c>
      <c r="D11" s="15">
        <f>B11*C11</f>
        <v>1509.452</v>
      </c>
      <c r="E11" s="14">
        <v>2052.4</v>
      </c>
      <c r="F11" s="15">
        <v>0</v>
      </c>
      <c r="G11" s="21">
        <f>F11/E11</f>
        <v>0</v>
      </c>
    </row>
    <row r="12" spans="1:7">
      <c r="A12" s="26" t="s">
        <v>44</v>
      </c>
      <c r="B12" s="15">
        <v>18.899999999999999</v>
      </c>
      <c r="C12" s="22">
        <v>4.34</v>
      </c>
      <c r="D12" s="15">
        <f>B12*C12</f>
        <v>82.025999999999996</v>
      </c>
      <c r="E12" s="14">
        <v>105.4</v>
      </c>
      <c r="F12" s="15">
        <v>0</v>
      </c>
      <c r="G12" s="21">
        <f>F12/E12</f>
        <v>0</v>
      </c>
    </row>
    <row r="13" spans="1:7">
      <c r="A13" s="26" t="s">
        <v>45</v>
      </c>
      <c r="B13" s="15">
        <v>342.5</v>
      </c>
      <c r="C13" s="22">
        <v>4.34</v>
      </c>
      <c r="D13" s="15">
        <f>B13*C13</f>
        <v>1486.45</v>
      </c>
      <c r="E13" s="14">
        <v>1240.0999999999999</v>
      </c>
      <c r="F13" s="15">
        <v>0</v>
      </c>
      <c r="G13" s="21">
        <f>F13/E13</f>
        <v>0</v>
      </c>
    </row>
    <row r="14" spans="1:7">
      <c r="A14" s="12" t="s">
        <v>16</v>
      </c>
      <c r="B14" s="16">
        <f>SUM(B2:B13)</f>
        <v>48456.299999999996</v>
      </c>
      <c r="C14" s="17" t="s">
        <v>17</v>
      </c>
      <c r="D14" s="16">
        <f>SUM(D2:D13)</f>
        <v>210300.34200000003</v>
      </c>
      <c r="E14" s="17">
        <f>SUM(E2:E13)</f>
        <v>297763.5</v>
      </c>
      <c r="F14" s="16">
        <f>SUM(F2:F13)</f>
        <v>87656.063999999998</v>
      </c>
      <c r="G14" s="17" t="s">
        <v>17</v>
      </c>
    </row>
    <row r="15" spans="1:7">
      <c r="F15" s="23">
        <v>93126</v>
      </c>
      <c r="G15" s="4" t="s">
        <v>41</v>
      </c>
    </row>
    <row r="16" spans="1:7">
      <c r="F16" s="24">
        <f>F14/F15</f>
        <v>0.94126306294697504</v>
      </c>
      <c r="G16" s="4" t="s">
        <v>57</v>
      </c>
    </row>
    <row r="19" spans="1:7" ht="38.25">
      <c r="A19" s="7" t="s">
        <v>0</v>
      </c>
      <c r="B19" s="8" t="s">
        <v>23</v>
      </c>
      <c r="C19" s="9" t="s">
        <v>27</v>
      </c>
      <c r="D19" s="9" t="s">
        <v>25</v>
      </c>
      <c r="E19" s="10" t="s">
        <v>4</v>
      </c>
      <c r="F19" s="11" t="s">
        <v>5</v>
      </c>
      <c r="G19" s="9" t="s">
        <v>6</v>
      </c>
    </row>
    <row r="20" spans="1:7">
      <c r="A20" s="46" t="s">
        <v>7</v>
      </c>
      <c r="B20" s="15">
        <v>20250.3</v>
      </c>
      <c r="C20" s="22">
        <v>0.8</v>
      </c>
      <c r="D20" s="15">
        <f>B20*C20</f>
        <v>16200.24</v>
      </c>
      <c r="E20" s="28">
        <v>29970.400000000001</v>
      </c>
      <c r="F20" s="15">
        <f>E20-D20</f>
        <v>13770.160000000002</v>
      </c>
      <c r="G20" s="21">
        <f>F20/E20</f>
        <v>0.4594586658836719</v>
      </c>
    </row>
    <row r="21" spans="1:7">
      <c r="A21" s="47" t="s">
        <v>59</v>
      </c>
      <c r="B21" s="15">
        <v>3720.3</v>
      </c>
      <c r="C21" s="22">
        <v>0.8</v>
      </c>
      <c r="D21" s="15">
        <f t="shared" ref="D21:D27" si="3">B21*C21</f>
        <v>2976.2400000000002</v>
      </c>
      <c r="E21" s="28">
        <v>3149</v>
      </c>
      <c r="F21" s="15">
        <f>E21-D21</f>
        <v>172.75999999999976</v>
      </c>
      <c r="G21" s="21">
        <f t="shared" ref="G21:G27" si="4">F21/E21</f>
        <v>5.4861860908224758E-2</v>
      </c>
    </row>
    <row r="22" spans="1:7">
      <c r="A22" s="46" t="s">
        <v>8</v>
      </c>
      <c r="B22" s="15">
        <v>4189.5</v>
      </c>
      <c r="C22" s="22">
        <v>0.8</v>
      </c>
      <c r="D22" s="15">
        <f t="shared" si="3"/>
        <v>3351.6000000000004</v>
      </c>
      <c r="E22" s="28">
        <v>4128.2</v>
      </c>
      <c r="F22" s="15">
        <f>E22-D22</f>
        <v>776.59999999999945</v>
      </c>
      <c r="G22" s="21">
        <f t="shared" si="4"/>
        <v>0.18812073058475837</v>
      </c>
    </row>
    <row r="23" spans="1:7">
      <c r="A23" s="47" t="s">
        <v>9</v>
      </c>
      <c r="B23" s="15">
        <v>1762.3</v>
      </c>
      <c r="C23" s="22">
        <v>0.8</v>
      </c>
      <c r="D23" s="15">
        <f t="shared" si="3"/>
        <v>1409.8400000000001</v>
      </c>
      <c r="E23" s="28">
        <v>1325.3</v>
      </c>
      <c r="F23" s="15">
        <v>0</v>
      </c>
      <c r="G23" s="21">
        <f t="shared" si="4"/>
        <v>0</v>
      </c>
    </row>
    <row r="24" spans="1:7">
      <c r="A24" s="47" t="s">
        <v>10</v>
      </c>
      <c r="B24" s="15">
        <v>1639.2</v>
      </c>
      <c r="C24" s="22">
        <v>0.8</v>
      </c>
      <c r="D24" s="15">
        <f t="shared" si="3"/>
        <v>1311.3600000000001</v>
      </c>
      <c r="E24" s="30">
        <v>948.9</v>
      </c>
      <c r="F24" s="15">
        <v>0</v>
      </c>
      <c r="G24" s="21">
        <f t="shared" si="4"/>
        <v>0</v>
      </c>
    </row>
    <row r="25" spans="1:7">
      <c r="A25" s="47" t="s">
        <v>12</v>
      </c>
      <c r="B25" s="15">
        <v>4764.6000000000004</v>
      </c>
      <c r="C25" s="22">
        <v>0.8</v>
      </c>
      <c r="D25" s="15">
        <f t="shared" si="3"/>
        <v>3811.6800000000003</v>
      </c>
      <c r="E25" s="30">
        <v>6490.8</v>
      </c>
      <c r="F25" s="15">
        <f>E25-D25</f>
        <v>2679.12</v>
      </c>
      <c r="G25" s="21">
        <f t="shared" si="4"/>
        <v>0.41275651691625065</v>
      </c>
    </row>
    <row r="26" spans="1:7">
      <c r="A26" s="47" t="s">
        <v>13</v>
      </c>
      <c r="B26" s="15">
        <v>6027.2</v>
      </c>
      <c r="C26" s="22">
        <v>0.8</v>
      </c>
      <c r="D26" s="15">
        <f t="shared" si="3"/>
        <v>4821.76</v>
      </c>
      <c r="E26" s="30">
        <v>5132.7</v>
      </c>
      <c r="F26" s="15">
        <f>E26-D26</f>
        <v>310.9399999999996</v>
      </c>
      <c r="G26" s="21">
        <f t="shared" si="4"/>
        <v>6.0580201453425998E-2</v>
      </c>
    </row>
    <row r="27" spans="1:7">
      <c r="A27" s="47" t="s">
        <v>15</v>
      </c>
      <c r="B27" s="15">
        <v>5356.2</v>
      </c>
      <c r="C27" s="22">
        <v>0.8</v>
      </c>
      <c r="D27" s="15">
        <f t="shared" si="3"/>
        <v>4284.96</v>
      </c>
      <c r="E27" s="30">
        <v>3828.7</v>
      </c>
      <c r="F27" s="15">
        <v>0</v>
      </c>
      <c r="G27" s="21">
        <f t="shared" si="4"/>
        <v>0</v>
      </c>
    </row>
    <row r="28" spans="1:7">
      <c r="A28" s="25" t="s">
        <v>42</v>
      </c>
      <c r="B28" s="15">
        <v>37.5</v>
      </c>
      <c r="C28" s="22">
        <v>0.8</v>
      </c>
      <c r="D28" s="15">
        <f>B28*C28</f>
        <v>30</v>
      </c>
      <c r="E28" s="28">
        <v>14.8</v>
      </c>
      <c r="F28" s="15">
        <v>0</v>
      </c>
      <c r="G28" s="21">
        <f>F28/E28</f>
        <v>0</v>
      </c>
    </row>
    <row r="29" spans="1:7">
      <c r="A29" s="26" t="s">
        <v>43</v>
      </c>
      <c r="B29" s="15">
        <v>347.8</v>
      </c>
      <c r="C29" s="22">
        <v>0.8</v>
      </c>
      <c r="D29" s="15">
        <f>B29*C29</f>
        <v>278.24</v>
      </c>
      <c r="E29" s="30">
        <v>297</v>
      </c>
      <c r="F29" s="15">
        <v>0</v>
      </c>
      <c r="G29" s="21">
        <f>F29/E29</f>
        <v>0</v>
      </c>
    </row>
    <row r="30" spans="1:7">
      <c r="A30" s="26" t="s">
        <v>44</v>
      </c>
      <c r="B30" s="15">
        <v>18.899999999999999</v>
      </c>
      <c r="C30" s="22">
        <v>0.8</v>
      </c>
      <c r="D30" s="15">
        <f>B30*C30</f>
        <v>15.12</v>
      </c>
      <c r="E30" s="30">
        <v>16.600000000000001</v>
      </c>
      <c r="F30" s="15">
        <v>0</v>
      </c>
      <c r="G30" s="21">
        <f>F30/E30</f>
        <v>0</v>
      </c>
    </row>
    <row r="31" spans="1:7">
      <c r="A31" s="26" t="s">
        <v>45</v>
      </c>
      <c r="B31" s="15">
        <v>342.5</v>
      </c>
      <c r="C31" s="22">
        <v>0.8</v>
      </c>
      <c r="D31" s="15">
        <f>B31*C31</f>
        <v>274</v>
      </c>
      <c r="E31" s="30">
        <v>108.5</v>
      </c>
      <c r="F31" s="15">
        <v>0</v>
      </c>
      <c r="G31" s="21">
        <f>F31/E31</f>
        <v>0</v>
      </c>
    </row>
    <row r="32" spans="1:7">
      <c r="A32" s="12" t="s">
        <v>16</v>
      </c>
      <c r="B32" s="16">
        <f>SUM(B20:B31)</f>
        <v>48456.299999999996</v>
      </c>
      <c r="C32" s="17" t="s">
        <v>17</v>
      </c>
      <c r="D32" s="16">
        <f>SUM(D20:D31)</f>
        <v>38765.040000000001</v>
      </c>
      <c r="E32" s="18">
        <f>SUM(E20:E31)</f>
        <v>55410.9</v>
      </c>
      <c r="F32" s="16">
        <f>SUM(F20:F31)</f>
        <v>17709.579999999998</v>
      </c>
      <c r="G32" s="17" t="s">
        <v>17</v>
      </c>
    </row>
    <row r="33" spans="6:7">
      <c r="F33" s="23">
        <v>18319</v>
      </c>
      <c r="G33" s="4" t="s">
        <v>41</v>
      </c>
    </row>
    <row r="34" spans="6:7">
      <c r="F34" s="24">
        <f>F32/F33</f>
        <v>0.96673290026748171</v>
      </c>
      <c r="G34" s="4" t="s">
        <v>57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I39" sqref="I39"/>
    </sheetView>
  </sheetViews>
  <sheetFormatPr defaultRowHeight="12.75"/>
  <cols>
    <col min="1" max="1" width="15.42578125" style="4" customWidth="1"/>
    <col min="2" max="2" width="11" style="4" customWidth="1"/>
    <col min="3" max="3" width="12.28515625" style="4" customWidth="1"/>
    <col min="4" max="4" width="9.5703125" style="4" customWidth="1"/>
    <col min="5" max="5" width="11.85546875" style="4" customWidth="1"/>
    <col min="6" max="6" width="11.7109375" style="4" customWidth="1"/>
    <col min="7" max="7" width="28.140625" style="4" bestFit="1" customWidth="1"/>
    <col min="8" max="8" width="13.28515625" style="4" customWidth="1"/>
    <col min="9" max="9" width="9.140625" style="4"/>
    <col min="10" max="10" width="61.85546875" style="4" bestFit="1" customWidth="1"/>
    <col min="11" max="16384" width="9.140625" style="4"/>
  </cols>
  <sheetData>
    <row r="1" spans="1:10" ht="38.25">
      <c r="A1" s="48" t="s">
        <v>33</v>
      </c>
      <c r="B1" s="48" t="s">
        <v>34</v>
      </c>
      <c r="C1" s="48" t="s">
        <v>35</v>
      </c>
      <c r="D1" s="48" t="s">
        <v>36</v>
      </c>
      <c r="E1" s="48" t="s">
        <v>37</v>
      </c>
      <c r="G1" s="32" t="s">
        <v>38</v>
      </c>
      <c r="H1" s="48" t="s">
        <v>39</v>
      </c>
      <c r="I1" s="48" t="s">
        <v>40</v>
      </c>
      <c r="J1" s="32" t="s">
        <v>28</v>
      </c>
    </row>
    <row r="2" spans="1:10">
      <c r="A2" s="15">
        <v>48456.3</v>
      </c>
      <c r="B2" s="15">
        <f>H5</f>
        <v>210073.5086</v>
      </c>
      <c r="C2" s="49">
        <f>B2/A2</f>
        <v>4.3353188047787388</v>
      </c>
      <c r="D2" s="15">
        <f>I5</f>
        <v>38946.349200000004</v>
      </c>
      <c r="E2" s="49">
        <f>D2/A2</f>
        <v>0.80374170541291845</v>
      </c>
      <c r="G2" s="35" t="s">
        <v>60</v>
      </c>
      <c r="H2" s="15">
        <f>455012+170769</f>
        <v>625781</v>
      </c>
      <c r="I2" s="15">
        <f>37203+18439</f>
        <v>55642</v>
      </c>
      <c r="J2" s="15" t="s">
        <v>29</v>
      </c>
    </row>
    <row r="3" spans="1:10">
      <c r="G3" s="35" t="s">
        <v>61</v>
      </c>
      <c r="H3" s="15">
        <v>409606.8</v>
      </c>
      <c r="I3" s="15">
        <v>16154.2</v>
      </c>
      <c r="J3" s="15" t="s">
        <v>30</v>
      </c>
    </row>
    <row r="4" spans="1:10">
      <c r="G4" s="36" t="s">
        <v>63</v>
      </c>
      <c r="H4" s="15">
        <f>10536.6*0.579</f>
        <v>6100.6913999999997</v>
      </c>
      <c r="I4" s="15">
        <f>2395.8*0.226</f>
        <v>541.45080000000007</v>
      </c>
      <c r="J4" s="15" t="s">
        <v>31</v>
      </c>
    </row>
    <row r="5" spans="1:10">
      <c r="G5" s="35" t="s">
        <v>62</v>
      </c>
      <c r="H5" s="15">
        <f>H2-H3-H4</f>
        <v>210073.5086</v>
      </c>
      <c r="I5" s="15">
        <f>I2-I3-I4</f>
        <v>38946.349200000004</v>
      </c>
      <c r="J5" s="15" t="s">
        <v>32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Loads by Basin</vt:lpstr>
      <vt:lpstr>Loads by Entity</vt:lpstr>
      <vt:lpstr>TN de minimus</vt:lpstr>
      <vt:lpstr>TP de minimus</vt:lpstr>
      <vt:lpstr>Relative Contribution of Load</vt:lpstr>
      <vt:lpstr>Target Load per Acre</vt:lpstr>
      <vt:lpstr>Target Calcs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2011-06-07T16:32:06Z</dcterms:created>
  <dcterms:modified xsi:type="dcterms:W3CDTF">2011-07-11T16:04:13Z</dcterms:modified>
</cp:coreProperties>
</file>