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Projects\01 Credits\"/>
    </mc:Choice>
  </mc:AlternateContent>
  <bookViews>
    <workbookView xWindow="30075" yWindow="630" windowWidth="24000" windowHeight="8985" activeTab="1"/>
  </bookViews>
  <sheets>
    <sheet name="Shoreline Revegetation" sheetId="5" r:id="rId1"/>
    <sheet name="Project credits" sheetId="4" r:id="rId2"/>
    <sheet name="Calculations" sheetId="10" r:id="rId3"/>
    <sheet name="South Lake Triplet" sheetId="6" r:id="rId4"/>
    <sheet name="Park Drive" sheetId="9" r:id="rId5"/>
    <sheet name="Whole Lake" sheetId="8" r:id="rId6"/>
    <sheet name="Whole Lake_Additional" sheetId="11" r:id="rId7"/>
    <sheet name="Golf Club Alum" sheetId="7" r:id="rId8"/>
    <sheet name="Lake Concord Park South" sheetId="12" r:id="rId9"/>
    <sheet name="Triplet Lake Drive" sheetId="14" r:id="rId10"/>
    <sheet name="North Oxford Road" sheetId="13" r:id="rId11"/>
    <sheet name="Concord Drive" sheetId="15" r:id="rId12"/>
  </sheets>
  <definedNames>
    <definedName name="_xlnm._FilterDatabase" localSheetId="1" hidden="1">'Project credits'!$A$1:$J$7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6" i="4" l="1"/>
  <c r="M16" i="4"/>
  <c r="P12" i="4" l="1"/>
  <c r="M12" i="4"/>
  <c r="B16" i="10"/>
  <c r="B15" i="10"/>
  <c r="P10" i="4" l="1"/>
  <c r="M10" i="4"/>
  <c r="D10" i="10"/>
  <c r="B10" i="10"/>
  <c r="D9" i="10"/>
  <c r="B9" i="10"/>
  <c r="F10" i="10" l="1"/>
  <c r="O9" i="4" s="1"/>
  <c r="F9" i="10"/>
  <c r="L9" i="4" s="1"/>
  <c r="M9" i="4" l="1"/>
  <c r="N12" i="4"/>
  <c r="K12" i="4"/>
  <c r="V13" i="15"/>
  <c r="U13" i="15"/>
  <c r="C14" i="15"/>
  <c r="X11" i="15"/>
  <c r="X10" i="15"/>
  <c r="W11" i="15"/>
  <c r="W10" i="15"/>
  <c r="V11" i="15"/>
  <c r="V10" i="15"/>
  <c r="U11" i="15"/>
  <c r="U10" i="15"/>
  <c r="Q11" i="15"/>
  <c r="Q10" i="15"/>
  <c r="P11" i="15"/>
  <c r="P10" i="15"/>
  <c r="O11" i="15"/>
  <c r="O10" i="15"/>
  <c r="N11" i="15"/>
  <c r="N10" i="15"/>
  <c r="K11" i="15"/>
  <c r="K10" i="15"/>
  <c r="J11" i="15"/>
  <c r="J10" i="15"/>
  <c r="X7" i="15"/>
  <c r="X6" i="15"/>
  <c r="W7" i="15"/>
  <c r="W6" i="15"/>
  <c r="V7" i="15"/>
  <c r="V6" i="15"/>
  <c r="U7" i="15"/>
  <c r="U6" i="15"/>
  <c r="Q7" i="15"/>
  <c r="Q6" i="15"/>
  <c r="P7" i="15"/>
  <c r="P6" i="15"/>
  <c r="O7" i="15"/>
  <c r="O6" i="15"/>
  <c r="N7" i="15"/>
  <c r="N6" i="15"/>
  <c r="K7" i="15"/>
  <c r="K6" i="15"/>
  <c r="J7" i="15"/>
  <c r="J6" i="15"/>
  <c r="X3" i="15"/>
  <c r="W3" i="15"/>
  <c r="V3" i="15"/>
  <c r="U3" i="15"/>
  <c r="Q3" i="15"/>
  <c r="P3" i="15"/>
  <c r="O3" i="15"/>
  <c r="N3" i="15"/>
  <c r="K3" i="15"/>
  <c r="J3" i="15"/>
  <c r="N10" i="4"/>
  <c r="K10" i="4"/>
  <c r="C8" i="14"/>
  <c r="X6" i="14"/>
  <c r="W6" i="14"/>
  <c r="V6" i="14"/>
  <c r="U6" i="14"/>
  <c r="Q6" i="14"/>
  <c r="P6" i="14"/>
  <c r="O6" i="14"/>
  <c r="N6" i="14"/>
  <c r="K6" i="14"/>
  <c r="J6" i="14"/>
  <c r="X3" i="14"/>
  <c r="W3" i="14"/>
  <c r="V3" i="14"/>
  <c r="U3" i="14"/>
  <c r="Q3" i="14"/>
  <c r="P3" i="14"/>
  <c r="O3" i="14"/>
  <c r="N3" i="14"/>
  <c r="K3" i="14"/>
  <c r="J3" i="14"/>
  <c r="V6" i="13"/>
  <c r="U6" i="13"/>
  <c r="N11" i="4"/>
  <c r="P11" i="4" s="1"/>
  <c r="K11" i="4"/>
  <c r="M11" i="4" s="1"/>
  <c r="X4" i="13"/>
  <c r="X5" i="13"/>
  <c r="X3" i="13"/>
  <c r="W4" i="13"/>
  <c r="W5" i="13"/>
  <c r="W3" i="13"/>
  <c r="V4" i="13"/>
  <c r="V5" i="13"/>
  <c r="V3" i="13"/>
  <c r="U4" i="13"/>
  <c r="U5" i="13"/>
  <c r="U3" i="13"/>
  <c r="Q4" i="13"/>
  <c r="Q5" i="13"/>
  <c r="Q3" i="13"/>
  <c r="P4" i="13"/>
  <c r="P5" i="13"/>
  <c r="P3" i="13"/>
  <c r="O4" i="13"/>
  <c r="O5" i="13"/>
  <c r="O3" i="13"/>
  <c r="N4" i="13"/>
  <c r="N5" i="13"/>
  <c r="N3" i="13"/>
  <c r="K4" i="13"/>
  <c r="K5" i="13"/>
  <c r="K3" i="13"/>
  <c r="J4" i="13"/>
  <c r="J5" i="13"/>
  <c r="J3" i="13"/>
  <c r="C6" i="13"/>
  <c r="N9" i="4"/>
  <c r="P9" i="4" s="1"/>
  <c r="V9" i="12"/>
  <c r="U9" i="12"/>
  <c r="K9" i="4"/>
  <c r="X4" i="12"/>
  <c r="X5" i="12"/>
  <c r="X6" i="12"/>
  <c r="X7" i="12"/>
  <c r="X8" i="12"/>
  <c r="X3" i="12"/>
  <c r="W4" i="12"/>
  <c r="W5" i="12"/>
  <c r="W6" i="12"/>
  <c r="W7" i="12"/>
  <c r="W8" i="12"/>
  <c r="W3" i="12"/>
  <c r="V4" i="12"/>
  <c r="V5" i="12"/>
  <c r="V6" i="12"/>
  <c r="V7" i="12"/>
  <c r="V8" i="12"/>
  <c r="V3" i="12"/>
  <c r="U4" i="12"/>
  <c r="U5" i="12"/>
  <c r="U6" i="12"/>
  <c r="U7" i="12"/>
  <c r="U8" i="12"/>
  <c r="U3" i="12"/>
  <c r="Q4" i="12"/>
  <c r="Q5" i="12"/>
  <c r="Q6" i="12"/>
  <c r="Q7" i="12"/>
  <c r="Q8" i="12"/>
  <c r="Q3" i="12"/>
  <c r="P4" i="12"/>
  <c r="P5" i="12"/>
  <c r="P6" i="12"/>
  <c r="P7" i="12"/>
  <c r="P8" i="12"/>
  <c r="P3" i="12"/>
  <c r="O4" i="12"/>
  <c r="O5" i="12"/>
  <c r="O6" i="12"/>
  <c r="O7" i="12"/>
  <c r="O8" i="12"/>
  <c r="O3" i="12"/>
  <c r="N4" i="12"/>
  <c r="N5" i="12"/>
  <c r="N6" i="12"/>
  <c r="N7" i="12"/>
  <c r="N8" i="12"/>
  <c r="N3" i="12"/>
  <c r="K4" i="12"/>
  <c r="K5" i="12"/>
  <c r="K6" i="12"/>
  <c r="K7" i="12"/>
  <c r="K8" i="12"/>
  <c r="K3" i="12"/>
  <c r="J4" i="12"/>
  <c r="J5" i="12"/>
  <c r="J6" i="12"/>
  <c r="J7" i="12"/>
  <c r="J8" i="12"/>
  <c r="J3" i="12"/>
  <c r="C9" i="12"/>
  <c r="H12" i="4"/>
  <c r="F12" i="4"/>
  <c r="H11" i="4"/>
  <c r="F9" i="4"/>
  <c r="M4" i="4"/>
  <c r="C13" i="11"/>
  <c r="D11" i="11"/>
  <c r="D10" i="11"/>
  <c r="D9" i="11"/>
  <c r="D8" i="11"/>
  <c r="D7" i="11"/>
  <c r="D6" i="11"/>
  <c r="D5" i="11"/>
  <c r="D4" i="11"/>
  <c r="P4" i="4"/>
  <c r="D13" i="11" l="1"/>
  <c r="P8" i="4" l="1"/>
  <c r="M8" i="4"/>
  <c r="N3" i="4" l="1"/>
  <c r="K3" i="4"/>
  <c r="V5" i="9"/>
  <c r="U5" i="9"/>
  <c r="X4" i="9"/>
  <c r="X3" i="9"/>
  <c r="W4" i="9"/>
  <c r="W3" i="9"/>
  <c r="V4" i="9"/>
  <c r="V3" i="9"/>
  <c r="U4" i="9"/>
  <c r="U3" i="9"/>
  <c r="Q4" i="9"/>
  <c r="Q3" i="9"/>
  <c r="P4" i="9"/>
  <c r="P3" i="9"/>
  <c r="O4" i="9"/>
  <c r="O3" i="9"/>
  <c r="N4" i="9"/>
  <c r="N3" i="9"/>
  <c r="K4" i="9"/>
  <c r="K3" i="9"/>
  <c r="J4" i="9"/>
  <c r="J3" i="9"/>
  <c r="A3" i="10" l="1"/>
  <c r="V11" i="8"/>
  <c r="U11" i="8"/>
  <c r="X4" i="8"/>
  <c r="X5" i="8"/>
  <c r="X6" i="8"/>
  <c r="X7" i="8"/>
  <c r="X8" i="8"/>
  <c r="X9" i="8"/>
  <c r="X10" i="8"/>
  <c r="X3" i="8"/>
  <c r="W4" i="8"/>
  <c r="W5" i="8"/>
  <c r="W6" i="8"/>
  <c r="W7" i="8"/>
  <c r="W8" i="8"/>
  <c r="W9" i="8"/>
  <c r="W10" i="8"/>
  <c r="W3" i="8"/>
  <c r="V4" i="8"/>
  <c r="V5" i="8"/>
  <c r="V6" i="8"/>
  <c r="V7" i="8"/>
  <c r="V8" i="8"/>
  <c r="V9" i="8"/>
  <c r="V10" i="8"/>
  <c r="V3" i="8"/>
  <c r="U4" i="8"/>
  <c r="U5" i="8"/>
  <c r="U6" i="8"/>
  <c r="U7" i="8"/>
  <c r="U8" i="8"/>
  <c r="U9" i="8"/>
  <c r="U10" i="8"/>
  <c r="U3" i="8"/>
  <c r="Q4" i="8"/>
  <c r="Q5" i="8"/>
  <c r="Q6" i="8"/>
  <c r="Q7" i="8"/>
  <c r="Q8" i="8"/>
  <c r="Q9" i="8"/>
  <c r="Q10" i="8"/>
  <c r="Q3" i="8"/>
  <c r="P4" i="8"/>
  <c r="P5" i="8"/>
  <c r="P6" i="8"/>
  <c r="P7" i="8"/>
  <c r="P8" i="8"/>
  <c r="P9" i="8"/>
  <c r="P10" i="8"/>
  <c r="P3" i="8"/>
  <c r="O4" i="8"/>
  <c r="O5" i="8"/>
  <c r="O6" i="8"/>
  <c r="O7" i="8"/>
  <c r="O8" i="8"/>
  <c r="O9" i="8"/>
  <c r="O10" i="8"/>
  <c r="O3" i="8"/>
  <c r="N4" i="8"/>
  <c r="N5" i="8"/>
  <c r="N6" i="8"/>
  <c r="N7" i="8"/>
  <c r="N8" i="8"/>
  <c r="N9" i="8"/>
  <c r="N10" i="8"/>
  <c r="N3" i="8"/>
  <c r="K4" i="8"/>
  <c r="K5" i="8"/>
  <c r="K6" i="8"/>
  <c r="K7" i="8"/>
  <c r="K8" i="8"/>
  <c r="K9" i="8"/>
  <c r="K10" i="8"/>
  <c r="K3" i="8"/>
  <c r="J4" i="8"/>
  <c r="J5" i="8"/>
  <c r="J6" i="8"/>
  <c r="J7" i="8"/>
  <c r="J8" i="8"/>
  <c r="J9" i="8"/>
  <c r="J10" i="8"/>
  <c r="J3" i="8"/>
  <c r="V4" i="6"/>
  <c r="U4" i="6"/>
  <c r="U26" i="7"/>
  <c r="V26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3" i="7"/>
  <c r="U4" i="7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3" i="7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3" i="7"/>
  <c r="N2" i="4"/>
  <c r="K2" i="4"/>
  <c r="V3" i="6"/>
  <c r="X3" i="6" s="1"/>
  <c r="U3" i="6"/>
  <c r="P3" i="6"/>
  <c r="O3" i="6"/>
  <c r="Q3" i="6" s="1"/>
  <c r="N3" i="6"/>
  <c r="K3" i="6"/>
  <c r="J3" i="6"/>
  <c r="W3" i="6" s="1"/>
  <c r="O2" i="4" l="1"/>
  <c r="L2" i="4"/>
  <c r="L3" i="4"/>
  <c r="M3" i="4" s="1"/>
  <c r="O3" i="4"/>
  <c r="P3" i="4" s="1"/>
  <c r="P2" i="4"/>
  <c r="M2" i="4"/>
  <c r="P6" i="4"/>
  <c r="M6" i="4"/>
  <c r="P7" i="4"/>
  <c r="P5" i="4"/>
  <c r="M7" i="4"/>
  <c r="M5" i="4"/>
  <c r="P18" i="4" l="1"/>
  <c r="M18" i="4"/>
</calcChain>
</file>

<file path=xl/sharedStrings.xml><?xml version="1.0" encoding="utf-8"?>
<sst xmlns="http://schemas.openxmlformats.org/spreadsheetml/2006/main" count="622" uniqueCount="165">
  <si>
    <t>Project Number</t>
  </si>
  <si>
    <t>Project Description</t>
  </si>
  <si>
    <t>Completed</t>
  </si>
  <si>
    <t>Envisioned, but Not Funded</t>
  </si>
  <si>
    <t>Ongoing</t>
  </si>
  <si>
    <t xml:space="preserve">Project Name </t>
  </si>
  <si>
    <t>Start Date</t>
  </si>
  <si>
    <t>Completion Date</t>
  </si>
  <si>
    <t>Cost</t>
  </si>
  <si>
    <t>Cost Annual O&amp;M</t>
  </si>
  <si>
    <t>Acres Treated</t>
  </si>
  <si>
    <t>Project Type</t>
  </si>
  <si>
    <t>Status</t>
  </si>
  <si>
    <t>Street Sweeping</t>
  </si>
  <si>
    <t>-</t>
  </si>
  <si>
    <t>Education Efforts</t>
  </si>
  <si>
    <t>Education</t>
  </si>
  <si>
    <t>C-07</t>
  </si>
  <si>
    <t>North Lake Triplet Shoreline Revegetation</t>
  </si>
  <si>
    <t>Remove existing nuisance vegetation from the north and west shores of North Lake Triplet and replace with beneficial species; install reverse berm and swale</t>
  </si>
  <si>
    <t>Swales</t>
  </si>
  <si>
    <t>C-17</t>
  </si>
  <si>
    <t>C-20</t>
  </si>
  <si>
    <t>Park Drive Drainage/Wetland Improvements</t>
  </si>
  <si>
    <t>Stormwater retention</t>
  </si>
  <si>
    <t>C-21</t>
  </si>
  <si>
    <t>Whole Lake Alum Treatment</t>
  </si>
  <si>
    <t>Retention area on Lots 10A &amp; 11 on north side of Park Drive</t>
  </si>
  <si>
    <t>101.9 (lake acreage only)</t>
  </si>
  <si>
    <t>Alum treatment</t>
  </si>
  <si>
    <t>C-22</t>
  </si>
  <si>
    <t>Middle Lake Triplet Shoreline Revegetation</t>
  </si>
  <si>
    <t>Remove existing nuisance vegetation from the north shore of Middle Lake Triplet and replace with beneficial species</t>
  </si>
  <si>
    <t>C-27</t>
  </si>
  <si>
    <t>C-28</t>
  </si>
  <si>
    <t>FYN, landscape and irrigation ordinances, PSAs, pamphlets/presentations, website, illicit discharge program</t>
  </si>
  <si>
    <t>C-30</t>
  </si>
  <si>
    <t>Structures Cleaning</t>
  </si>
  <si>
    <t>729 cubic feet of solids collected from catch basins, baffle boxes, and other structures per year</t>
  </si>
  <si>
    <t>TBD - Tentative 01/2018</t>
  </si>
  <si>
    <t>TBD - Tentative 09/2019</t>
  </si>
  <si>
    <t>N/A</t>
  </si>
  <si>
    <t>Shoreline restoration</t>
  </si>
  <si>
    <t>C-31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</si>
  <si>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</si>
  <si>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</si>
  <si>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</si>
  <si>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</si>
  <si>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</si>
  <si>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</si>
  <si>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Total</t>
  </si>
  <si>
    <t>lb/ac/yr before atten</t>
  </si>
  <si>
    <t>C*H (lb/yr)</t>
  </si>
  <si>
    <t>C*I (lb/yr)</t>
  </si>
  <si>
    <t>delivery ratio in watershed</t>
  </si>
  <si>
    <t>H*L (lb/ac/yr after atten)</t>
  </si>
  <si>
    <t>I*M (lb/ac/yr after atten)</t>
  </si>
  <si>
    <t>C*N</t>
  </si>
  <si>
    <t>C*O</t>
  </si>
  <si>
    <t>lb/ac/yr to Jesup</t>
  </si>
  <si>
    <t>R*S (lb/yr to Jesup)</t>
  </si>
  <si>
    <t>R*T (lb/yr to Jesup)</t>
  </si>
  <si>
    <t>U/J</t>
  </si>
  <si>
    <t>V/K</t>
  </si>
  <si>
    <t>comb_sws</t>
  </si>
  <si>
    <t>lc_class_t</t>
  </si>
  <si>
    <t>area</t>
  </si>
  <si>
    <t>FID2</t>
  </si>
  <si>
    <t>sws</t>
  </si>
  <si>
    <t>landuse</t>
  </si>
  <si>
    <t>landname</t>
  </si>
  <si>
    <t>TN_B</t>
  </si>
  <si>
    <t>TP_B</t>
  </si>
  <si>
    <t>TN_B_load</t>
  </si>
  <si>
    <t>TP_B_load</t>
  </si>
  <si>
    <t>TN_deliver</t>
  </si>
  <si>
    <t>TP_deliver</t>
  </si>
  <si>
    <t>TN_A</t>
  </si>
  <si>
    <t>TP_A</t>
  </si>
  <si>
    <t>TN_A_load</t>
  </si>
  <si>
    <t>TP_A_load</t>
  </si>
  <si>
    <t>Area_AC_</t>
  </si>
  <si>
    <t>TNlandtoLa</t>
  </si>
  <si>
    <t>TPlandtoLa</t>
  </si>
  <si>
    <t>TN_load_to</t>
  </si>
  <si>
    <t>TP_load_to</t>
  </si>
  <si>
    <t>TN_cummula</t>
  </si>
  <si>
    <t>TP_cummula</t>
  </si>
  <si>
    <t>MDR</t>
  </si>
  <si>
    <t>LDR</t>
  </si>
  <si>
    <t>HDR</t>
  </si>
  <si>
    <t>IND</t>
  </si>
  <si>
    <t>OPE</t>
  </si>
  <si>
    <t>AGR</t>
  </si>
  <si>
    <t>RAN</t>
  </si>
  <si>
    <t>FOR</t>
  </si>
  <si>
    <t>WAT</t>
  </si>
  <si>
    <t>WET</t>
  </si>
  <si>
    <t>inch</t>
  </si>
  <si>
    <t>Total Required Reductions</t>
  </si>
  <si>
    <t>Remaining Reductions</t>
  </si>
  <si>
    <t>(credit)</t>
  </si>
  <si>
    <t xml:space="preserve">Monthly street sweeping, approximately 25,704 cubic feet of material collected annually based upon 2015 values </t>
  </si>
  <si>
    <t>Construction of bioswales and other drainage improvements</t>
  </si>
  <si>
    <t>Bioswales</t>
  </si>
  <si>
    <t>South Lake Triplet/Park Street</t>
  </si>
  <si>
    <t xml:space="preserve">Evaluation/ Conceptual Design </t>
  </si>
  <si>
    <t>Execution of whole lake alum treatments to directly treat Queens Mirror Lake and the Triplet Lake chain to address loads due to groundwater seepage and internal recycling</t>
  </si>
  <si>
    <t>Queens Mirror Nutrient Reduction Facility</t>
  </si>
  <si>
    <t>Treatment of runoff from upstream areas prior to entering Queens Mirror Lake</t>
  </si>
  <si>
    <t>530 South Lake Triplet Drive Bioswales</t>
  </si>
  <si>
    <t>Chemical treatment</t>
  </si>
  <si>
    <t>Street sweeping</t>
  </si>
  <si>
    <t>BMP clean out</t>
  </si>
  <si>
    <t>Per Table 5-12 of Queens Mirror Study by ERD</t>
  </si>
  <si>
    <t>Lake</t>
  </si>
  <si>
    <t>Source</t>
  </si>
  <si>
    <t>TN kg/yr</t>
  </si>
  <si>
    <t>TN lbs/yr</t>
  </si>
  <si>
    <t>Queens Mirror</t>
  </si>
  <si>
    <t>Internal Recycling</t>
  </si>
  <si>
    <t>Groundwater Seepage</t>
  </si>
  <si>
    <t>South Lake Triplet</t>
  </si>
  <si>
    <t>Middle Lake Triplet</t>
  </si>
  <si>
    <t>North Lake Triplet</t>
  </si>
  <si>
    <t>TOTAL</t>
  </si>
  <si>
    <t>C-32</t>
  </si>
  <si>
    <t>C-33</t>
  </si>
  <si>
    <t>C-34</t>
  </si>
  <si>
    <t>C-35</t>
  </si>
  <si>
    <t>Lake Concord Park (South Phase)</t>
  </si>
  <si>
    <t>New development with wet detention</t>
  </si>
  <si>
    <t>Wet detention</t>
  </si>
  <si>
    <t>New stormwater treatment for existing road</t>
  </si>
  <si>
    <t>Dry bioretention pond + dry biodetention pond</t>
  </si>
  <si>
    <t>Road diet with addition of bioswales</t>
  </si>
  <si>
    <t>Concord Drive Improvements</t>
  </si>
  <si>
    <t>Wet detention + bioswales</t>
  </si>
  <si>
    <t>Construction Substantially Complete</t>
  </si>
  <si>
    <t>Under Construction</t>
  </si>
  <si>
    <t>Funded &amp; Under Design</t>
  </si>
  <si>
    <t>Tentative - 12/2018</t>
  </si>
  <si>
    <t>Triplet Lake Drive Signature Street</t>
  </si>
  <si>
    <t>North Oxford Road Complete Street Improvements</t>
  </si>
  <si>
    <t xml:space="preserve"> detention</t>
  </si>
  <si>
    <t>retention</t>
  </si>
  <si>
    <t>swale</t>
  </si>
  <si>
    <t>treatment train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</si>
  <si>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</si>
  <si>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</si>
  <si>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</si>
  <si>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</si>
  <si>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</si>
  <si>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</si>
  <si>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</si>
  <si>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>Lake Concord Park (South)</t>
  </si>
  <si>
    <t>10%/74%</t>
  </si>
  <si>
    <t>wet detention</t>
  </si>
  <si>
    <t>Concord Drive</t>
  </si>
  <si>
    <t>38%/33.3%</t>
  </si>
  <si>
    <t>9%/61.8%</t>
  </si>
  <si>
    <t>C-36</t>
  </si>
  <si>
    <t>Credits for Missing BMPs</t>
  </si>
  <si>
    <t>BMPs missing from the model</t>
  </si>
  <si>
    <t>Various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</si>
</sst>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#,##0.0"/>
    <numFmt numFmtId="165" formatCode="0.0%"/>
    <numFmt numFmtId="166" formatCode="0.00000000000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44" fontId="4" fillId="2" borderId="1" xfId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5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4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4" fillId="2" borderId="1" xfId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/>
    <xf numFmtId="165" fontId="4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165" fontId="5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64" fontId="0" fillId="0" borderId="0" xfId="0" applyNumberFormat="1"/>
    <xf numFmtId="165" fontId="5" fillId="0" borderId="0" xfId="0" applyNumberFormat="1" applyFont="1" applyAlignment="1">
      <alignment horizontal="right"/>
    </xf>
    <xf numFmtId="0" fontId="0" fillId="0" borderId="1" xfId="0" applyFill="1" applyBorder="1"/>
    <xf numFmtId="3" fontId="5" fillId="0" borderId="0" xfId="0" applyNumberFormat="1" applyFont="1" applyFill="1" applyBorder="1" applyAlignment="1">
      <alignment horizontal="left" wrapText="1"/>
    </xf>
    <xf numFmtId="164" fontId="5" fillId="0" borderId="0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44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165" fontId="0" fillId="0" borderId="0" xfId="0" applyNumberFormat="1"/>
    <xf numFmtId="167" fontId="5" fillId="0" borderId="1" xfId="0" applyNumberFormat="1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B6" sqref="B6"/>
    </sheetView>
  </sheetViews>
  <sheetFormatPr defaultRowHeight="15" x14ac:dyDescent="0.25"/>
  <cols>
    <col min="2" max="2" width="19.140625" customWidth="1"/>
    <col min="3" max="3" width="31.28515625" customWidth="1"/>
    <col min="5" max="5" width="10.5703125" customWidth="1"/>
    <col min="6" max="6" width="10.42578125" bestFit="1" customWidth="1"/>
  </cols>
  <sheetData>
    <row r="1" spans="1:10" ht="39" x14ac:dyDescent="0.25">
      <c r="A1" s="2" t="s">
        <v>0</v>
      </c>
      <c r="B1" s="2" t="s">
        <v>5</v>
      </c>
      <c r="C1" s="2" t="s">
        <v>1</v>
      </c>
      <c r="D1" s="2" t="s">
        <v>6</v>
      </c>
      <c r="E1" s="2" t="s">
        <v>7</v>
      </c>
      <c r="F1" s="3" t="s">
        <v>8</v>
      </c>
      <c r="G1" s="3" t="s">
        <v>9</v>
      </c>
      <c r="H1" s="4" t="s">
        <v>10</v>
      </c>
      <c r="I1" s="2" t="s">
        <v>11</v>
      </c>
      <c r="J1" s="2" t="s">
        <v>12</v>
      </c>
    </row>
    <row r="2" spans="1:10" s="10" customFormat="1" ht="63.75" x14ac:dyDescent="0.2">
      <c r="A2" s="5" t="s">
        <v>17</v>
      </c>
      <c r="B2" s="5" t="s">
        <v>18</v>
      </c>
      <c r="C2" s="5" t="s">
        <v>19</v>
      </c>
      <c r="D2" s="39">
        <v>39417</v>
      </c>
      <c r="E2" s="39">
        <v>42248</v>
      </c>
      <c r="F2" s="40">
        <v>80000</v>
      </c>
      <c r="G2" s="15">
        <v>0</v>
      </c>
      <c r="H2" s="16">
        <v>3.7</v>
      </c>
      <c r="I2" s="7" t="s">
        <v>20</v>
      </c>
      <c r="J2" s="7" t="s">
        <v>2</v>
      </c>
    </row>
    <row r="3" spans="1:10" s="10" customFormat="1" ht="51" x14ac:dyDescent="0.2">
      <c r="A3" s="5" t="s">
        <v>30</v>
      </c>
      <c r="B3" s="5" t="s">
        <v>31</v>
      </c>
      <c r="C3" s="5" t="s">
        <v>32</v>
      </c>
      <c r="D3" s="39">
        <v>41671</v>
      </c>
      <c r="E3" s="39">
        <v>41883</v>
      </c>
      <c r="F3" s="40">
        <v>140000</v>
      </c>
      <c r="G3" s="15">
        <v>0</v>
      </c>
      <c r="H3" s="16">
        <v>3.4</v>
      </c>
      <c r="I3" s="7" t="s">
        <v>42</v>
      </c>
      <c r="J3" s="7" t="s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opLeftCell="G1" workbookViewId="0">
      <selection activeCell="V6" activeCellId="1" sqref="V3 V6"/>
    </sheetView>
  </sheetViews>
  <sheetFormatPr defaultRowHeight="15" x14ac:dyDescent="0.25"/>
  <cols>
    <col min="1" max="1" width="10.140625" style="31" bestFit="1" customWidth="1"/>
    <col min="2" max="2" width="9.28515625" style="31" bestFit="1" customWidth="1"/>
    <col min="3" max="3" width="14.7109375" style="32" bestFit="1" customWidth="1"/>
    <col min="4" max="4" width="4.85546875" style="31" bestFit="1" customWidth="1"/>
    <col min="5" max="5" width="4.28515625" style="31" bestFit="1" customWidth="1"/>
    <col min="6" max="6" width="8" style="31" bestFit="1" customWidth="1"/>
    <col min="7" max="7" width="9.85546875" style="31" bestFit="1" customWidth="1"/>
    <col min="8" max="9" width="13.7109375" style="32" bestFit="1" customWidth="1"/>
    <col min="10" max="10" width="17.85546875" style="32" bestFit="1" customWidth="1"/>
    <col min="11" max="11" width="15.7109375" style="32" bestFit="1" customWidth="1"/>
    <col min="12" max="15" width="13.7109375" style="32" bestFit="1" customWidth="1"/>
    <col min="16" max="16" width="16.7109375" style="32" bestFit="1" customWidth="1"/>
    <col min="17" max="17" width="14.7109375" style="32" bestFit="1" customWidth="1"/>
    <col min="18" max="20" width="13.7109375" style="32" bestFit="1" customWidth="1"/>
    <col min="21" max="21" width="16.7109375" style="32" bestFit="1" customWidth="1"/>
    <col min="22" max="22" width="14.7109375" style="32" bestFit="1" customWidth="1"/>
    <col min="23" max="24" width="13.7109375" style="32" bestFit="1" customWidth="1"/>
    <col min="25" max="25" width="10.28515625" bestFit="1" customWidth="1"/>
  </cols>
  <sheetData>
    <row r="1" spans="1:25" x14ac:dyDescent="0.25">
      <c r="H1" s="32" t="s">
        <v>51</v>
      </c>
      <c r="I1" s="32" t="s">
        <v>51</v>
      </c>
      <c r="J1" s="32" t="s">
        <v>52</v>
      </c>
      <c r="K1" s="32" t="s">
        <v>53</v>
      </c>
      <c r="L1" s="32" t="s">
        <v>54</v>
      </c>
      <c r="M1" s="32" t="s">
        <v>54</v>
      </c>
      <c r="N1" s="32" t="s">
        <v>55</v>
      </c>
      <c r="O1" s="32" t="s">
        <v>56</v>
      </c>
      <c r="P1" s="32" t="s">
        <v>57</v>
      </c>
      <c r="Q1" s="32" t="s">
        <v>58</v>
      </c>
      <c r="S1" s="32" t="s">
        <v>59</v>
      </c>
      <c r="T1" s="32" t="s">
        <v>59</v>
      </c>
      <c r="U1" s="32" t="s">
        <v>60</v>
      </c>
      <c r="V1" s="32" t="s">
        <v>61</v>
      </c>
      <c r="W1" s="32" t="s">
        <v>62</v>
      </c>
      <c r="X1" s="32" t="s">
        <v>63</v>
      </c>
    </row>
    <row r="2" spans="1:25" x14ac:dyDescent="0.25">
      <c r="A2" s="31" t="s">
        <v>64</v>
      </c>
      <c r="B2" s="31" t="s">
        <v>65</v>
      </c>
      <c r="C2" s="32" t="s">
        <v>66</v>
      </c>
      <c r="D2" s="31" t="s">
        <v>67</v>
      </c>
      <c r="E2" s="31" t="s">
        <v>68</v>
      </c>
      <c r="F2" s="31" t="s">
        <v>69</v>
      </c>
      <c r="G2" s="31" t="s">
        <v>70</v>
      </c>
      <c r="H2" s="32" t="s">
        <v>71</v>
      </c>
      <c r="I2" s="32" t="s">
        <v>72</v>
      </c>
      <c r="J2" s="32" t="s">
        <v>73</v>
      </c>
      <c r="K2" s="32" t="s">
        <v>74</v>
      </c>
      <c r="L2" s="32" t="s">
        <v>75</v>
      </c>
      <c r="M2" s="32" t="s">
        <v>76</v>
      </c>
      <c r="N2" s="32" t="s">
        <v>77</v>
      </c>
      <c r="O2" s="32" t="s">
        <v>78</v>
      </c>
      <c r="P2" s="32" t="s">
        <v>79</v>
      </c>
      <c r="Q2" s="32" t="s">
        <v>80</v>
      </c>
      <c r="R2" s="32" t="s">
        <v>81</v>
      </c>
      <c r="S2" s="32" t="s">
        <v>82</v>
      </c>
      <c r="T2" s="32" t="s">
        <v>83</v>
      </c>
      <c r="U2" s="32" t="s">
        <v>84</v>
      </c>
      <c r="V2" s="32" t="s">
        <v>85</v>
      </c>
      <c r="W2" s="32" t="s">
        <v>86</v>
      </c>
      <c r="X2" s="32" t="s">
        <v>87</v>
      </c>
    </row>
    <row r="3" spans="1:25" x14ac:dyDescent="0.25">
      <c r="A3" s="31">
        <v>10</v>
      </c>
      <c r="B3" s="31">
        <v>2</v>
      </c>
      <c r="C3" s="32">
        <v>7.2282665254299996</v>
      </c>
      <c r="D3" s="31">
        <v>11</v>
      </c>
      <c r="E3" s="31">
        <v>10</v>
      </c>
      <c r="F3" s="31">
        <v>2</v>
      </c>
      <c r="G3" s="31" t="s">
        <v>88</v>
      </c>
      <c r="H3" s="32">
        <v>8.9212698019999994</v>
      </c>
      <c r="I3" s="32">
        <v>0.434</v>
      </c>
      <c r="J3" s="32">
        <f>C3*H3</f>
        <v>64.485315874126115</v>
      </c>
      <c r="K3" s="32">
        <f>C3*I3</f>
        <v>3.1370676720366197</v>
      </c>
      <c r="L3" s="32">
        <v>0.218</v>
      </c>
      <c r="M3" s="32">
        <v>0.108</v>
      </c>
      <c r="N3" s="32">
        <f>H3*L3</f>
        <v>1.944836816836</v>
      </c>
      <c r="O3" s="32">
        <f>I3*M3</f>
        <v>4.6871999999999997E-2</v>
      </c>
      <c r="P3" s="32">
        <f>C3*N3</f>
        <v>14.057798860559494</v>
      </c>
      <c r="Q3" s="32">
        <f>C3*O3</f>
        <v>0.33880330857995494</v>
      </c>
      <c r="R3" s="32">
        <v>7.2282665254299996</v>
      </c>
      <c r="S3" s="32">
        <v>0.92900000000000005</v>
      </c>
      <c r="T3" s="32">
        <v>2.4E-2</v>
      </c>
      <c r="U3" s="32">
        <f>R3*S3</f>
        <v>6.7150596021244704</v>
      </c>
      <c r="V3" s="32">
        <f>R3*T3</f>
        <v>0.17347839661032</v>
      </c>
      <c r="W3" s="32">
        <f>U3/J3</f>
        <v>0.10413315824073989</v>
      </c>
      <c r="X3" s="32">
        <f>V3/K3</f>
        <v>5.5299539170506916E-2</v>
      </c>
      <c r="Y3" s="41" t="s">
        <v>144</v>
      </c>
    </row>
    <row r="5" spans="1:25" x14ac:dyDescent="0.25">
      <c r="A5" s="31" t="s">
        <v>64</v>
      </c>
      <c r="B5" s="31" t="s">
        <v>65</v>
      </c>
      <c r="C5" s="32" t="s">
        <v>66</v>
      </c>
      <c r="D5" s="31" t="s">
        <v>67</v>
      </c>
      <c r="E5" s="31" t="s">
        <v>68</v>
      </c>
      <c r="F5" s="31" t="s">
        <v>69</v>
      </c>
      <c r="G5" s="31" t="s">
        <v>70</v>
      </c>
      <c r="H5" s="32" t="s">
        <v>71</v>
      </c>
      <c r="I5" s="32" t="s">
        <v>72</v>
      </c>
      <c r="J5" s="32" t="s">
        <v>73</v>
      </c>
      <c r="K5" s="32" t="s">
        <v>74</v>
      </c>
      <c r="L5" s="32" t="s">
        <v>75</v>
      </c>
      <c r="M5" s="32" t="s">
        <v>76</v>
      </c>
      <c r="N5" s="32" t="s">
        <v>77</v>
      </c>
      <c r="O5" s="32" t="s">
        <v>78</v>
      </c>
      <c r="P5" s="32" t="s">
        <v>79</v>
      </c>
      <c r="Q5" s="32" t="s">
        <v>80</v>
      </c>
      <c r="R5" s="32" t="s">
        <v>81</v>
      </c>
      <c r="S5" s="32" t="s">
        <v>82</v>
      </c>
      <c r="T5" s="32" t="s">
        <v>83</v>
      </c>
      <c r="U5" s="32" t="s">
        <v>84</v>
      </c>
      <c r="V5" s="32" t="s">
        <v>85</v>
      </c>
      <c r="W5" s="32" t="s">
        <v>86</v>
      </c>
      <c r="X5" s="32" t="s">
        <v>87</v>
      </c>
    </row>
    <row r="6" spans="1:25" x14ac:dyDescent="0.25">
      <c r="A6" s="31">
        <v>10</v>
      </c>
      <c r="B6" s="31">
        <v>2</v>
      </c>
      <c r="C6" s="32">
        <v>3.57462688768</v>
      </c>
      <c r="D6" s="31">
        <v>11</v>
      </c>
      <c r="E6" s="31">
        <v>10</v>
      </c>
      <c r="F6" s="31">
        <v>2</v>
      </c>
      <c r="G6" s="31" t="s">
        <v>88</v>
      </c>
      <c r="H6" s="32">
        <v>8.9212698019999994</v>
      </c>
      <c r="I6" s="32">
        <v>0.434</v>
      </c>
      <c r="J6" s="32">
        <f>C6*H6</f>
        <v>31.890210906476828</v>
      </c>
      <c r="K6" s="32">
        <f>C6*I6</f>
        <v>1.5513880692531199</v>
      </c>
      <c r="L6" s="32">
        <v>0.218</v>
      </c>
      <c r="M6" s="32">
        <v>0.108</v>
      </c>
      <c r="N6" s="32">
        <f>H6*L6</f>
        <v>1.944836816836</v>
      </c>
      <c r="O6" s="32">
        <f>I6*M6</f>
        <v>4.6871999999999997E-2</v>
      </c>
      <c r="P6" s="32">
        <f>C6*N6</f>
        <v>6.9520659776119489</v>
      </c>
      <c r="Q6" s="32">
        <f>C6*O6</f>
        <v>0.16754991147933695</v>
      </c>
      <c r="R6" s="32">
        <v>3.57462688768</v>
      </c>
      <c r="S6" s="32">
        <v>0.92900000000000005</v>
      </c>
      <c r="T6" s="32">
        <v>2.4E-2</v>
      </c>
      <c r="U6" s="32">
        <f>R6*S6</f>
        <v>3.3208283786547201</v>
      </c>
      <c r="V6" s="32">
        <f>R6*T6</f>
        <v>8.5791045304319996E-2</v>
      </c>
      <c r="W6" s="32">
        <f>U6/J6</f>
        <v>0.10413315824073988</v>
      </c>
      <c r="X6" s="32">
        <f>V6/K6</f>
        <v>5.5299539170506916E-2</v>
      </c>
      <c r="Y6" s="41" t="s">
        <v>145</v>
      </c>
    </row>
    <row r="8" spans="1:25" x14ac:dyDescent="0.25">
      <c r="C8" s="32">
        <f>SUM(C3:C7)</f>
        <v>10.802893413109999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H1" workbookViewId="0">
      <selection activeCell="H1" sqref="A1:XFD1"/>
    </sheetView>
  </sheetViews>
  <sheetFormatPr defaultRowHeight="15" x14ac:dyDescent="0.25"/>
  <cols>
    <col min="1" max="1" width="10.140625" style="31" bestFit="1" customWidth="1"/>
    <col min="2" max="2" width="9.28515625" style="31" bestFit="1" customWidth="1"/>
    <col min="3" max="3" width="13.7109375" style="32" bestFit="1" customWidth="1"/>
    <col min="4" max="4" width="4.85546875" style="31" bestFit="1" customWidth="1"/>
    <col min="5" max="5" width="4.28515625" style="31" bestFit="1" customWidth="1"/>
    <col min="6" max="6" width="8" style="31" bestFit="1" customWidth="1"/>
    <col min="7" max="7" width="9.85546875" style="31" bestFit="1" customWidth="1"/>
    <col min="8" max="8" width="14.7109375" style="32" bestFit="1" customWidth="1"/>
    <col min="9" max="9" width="13.7109375" style="32" bestFit="1" customWidth="1"/>
    <col min="10" max="10" width="16.7109375" style="32" bestFit="1" customWidth="1"/>
    <col min="11" max="11" width="15.7109375" style="32" bestFit="1" customWidth="1"/>
    <col min="12" max="15" width="13.7109375" style="32" bestFit="1" customWidth="1"/>
    <col min="16" max="16" width="16.7109375" style="32" bestFit="1" customWidth="1"/>
    <col min="17" max="17" width="14.7109375" style="32" bestFit="1" customWidth="1"/>
    <col min="18" max="20" width="13.7109375" style="32" bestFit="1" customWidth="1"/>
    <col min="21" max="21" width="15.7109375" style="32" bestFit="1" customWidth="1"/>
    <col min="22" max="22" width="14.7109375" style="32" bestFit="1" customWidth="1"/>
    <col min="23" max="24" width="13.7109375" style="32" bestFit="1" customWidth="1"/>
  </cols>
  <sheetData>
    <row r="1" spans="1:24" x14ac:dyDescent="0.25">
      <c r="H1" s="32" t="s">
        <v>51</v>
      </c>
      <c r="I1" s="32" t="s">
        <v>51</v>
      </c>
      <c r="J1" s="32" t="s">
        <v>52</v>
      </c>
      <c r="K1" s="32" t="s">
        <v>53</v>
      </c>
      <c r="L1" s="32" t="s">
        <v>54</v>
      </c>
      <c r="M1" s="32" t="s">
        <v>54</v>
      </c>
      <c r="N1" s="32" t="s">
        <v>55</v>
      </c>
      <c r="O1" s="32" t="s">
        <v>56</v>
      </c>
      <c r="P1" s="32" t="s">
        <v>57</v>
      </c>
      <c r="Q1" s="32" t="s">
        <v>58</v>
      </c>
      <c r="S1" s="32" t="s">
        <v>59</v>
      </c>
      <c r="T1" s="32" t="s">
        <v>59</v>
      </c>
      <c r="U1" s="32" t="s">
        <v>60</v>
      </c>
      <c r="V1" s="32" t="s">
        <v>61</v>
      </c>
      <c r="W1" s="32" t="s">
        <v>62</v>
      </c>
      <c r="X1" s="32" t="s">
        <v>63</v>
      </c>
    </row>
    <row r="2" spans="1:24" x14ac:dyDescent="0.25">
      <c r="A2" s="31" t="s">
        <v>64</v>
      </c>
      <c r="B2" s="31" t="s">
        <v>65</v>
      </c>
      <c r="C2" s="32" t="s">
        <v>66</v>
      </c>
      <c r="D2" s="31" t="s">
        <v>67</v>
      </c>
      <c r="E2" s="31" t="s">
        <v>68</v>
      </c>
      <c r="F2" s="31" t="s">
        <v>69</v>
      </c>
      <c r="G2" s="31" t="s">
        <v>70</v>
      </c>
      <c r="H2" s="32" t="s">
        <v>71</v>
      </c>
      <c r="I2" s="32" t="s">
        <v>72</v>
      </c>
      <c r="J2" s="32" t="s">
        <v>73</v>
      </c>
      <c r="K2" s="32" t="s">
        <v>74</v>
      </c>
      <c r="L2" s="32" t="s">
        <v>75</v>
      </c>
      <c r="M2" s="32" t="s">
        <v>76</v>
      </c>
      <c r="N2" s="32" t="s">
        <v>77</v>
      </c>
      <c r="O2" s="32" t="s">
        <v>78</v>
      </c>
      <c r="P2" s="32" t="s">
        <v>79</v>
      </c>
      <c r="Q2" s="32" t="s">
        <v>80</v>
      </c>
      <c r="R2" s="32" t="s">
        <v>81</v>
      </c>
      <c r="S2" s="32" t="s">
        <v>82</v>
      </c>
      <c r="T2" s="32" t="s">
        <v>83</v>
      </c>
      <c r="U2" s="32" t="s">
        <v>84</v>
      </c>
      <c r="V2" s="32" t="s">
        <v>85</v>
      </c>
      <c r="W2" s="32" t="s">
        <v>86</v>
      </c>
      <c r="X2" s="32" t="s">
        <v>87</v>
      </c>
    </row>
    <row r="3" spans="1:24" x14ac:dyDescent="0.25">
      <c r="A3" s="31">
        <v>10</v>
      </c>
      <c r="B3" s="31">
        <v>4</v>
      </c>
      <c r="C3" s="32">
        <v>1.5548251989099999</v>
      </c>
      <c r="D3" s="31">
        <v>13</v>
      </c>
      <c r="E3" s="31">
        <v>10</v>
      </c>
      <c r="F3" s="31">
        <v>4</v>
      </c>
      <c r="G3" s="31" t="s">
        <v>91</v>
      </c>
      <c r="H3" s="32">
        <v>13.15277966</v>
      </c>
      <c r="I3" s="32">
        <v>1.1859999999999999</v>
      </c>
      <c r="J3" s="32">
        <f>C3*H3</f>
        <v>20.450273251078901</v>
      </c>
      <c r="K3" s="32">
        <f>C3*I3</f>
        <v>1.8440226859072599</v>
      </c>
      <c r="L3" s="32">
        <v>0.215</v>
      </c>
      <c r="M3" s="32">
        <v>0.107</v>
      </c>
      <c r="N3" s="32">
        <f>H3*L3</f>
        <v>2.8278476269000001</v>
      </c>
      <c r="O3" s="32">
        <f>I3*M3</f>
        <v>0.12690199999999999</v>
      </c>
      <c r="P3" s="32">
        <f>C3*N3</f>
        <v>4.3968087489819636</v>
      </c>
      <c r="Q3" s="32">
        <f>C3*O3</f>
        <v>0.1973104273920768</v>
      </c>
      <c r="R3" s="32">
        <v>1.5548251989099999</v>
      </c>
      <c r="S3" s="32">
        <v>1.3440000000000001</v>
      </c>
      <c r="T3" s="32">
        <v>6.4000000000000001E-2</v>
      </c>
      <c r="U3" s="32">
        <f>R3*S3</f>
        <v>2.08968506733504</v>
      </c>
      <c r="V3" s="32">
        <f>R3*T3</f>
        <v>9.9508812730239996E-2</v>
      </c>
      <c r="W3" s="32">
        <f>U3/J3</f>
        <v>0.10218372349742534</v>
      </c>
      <c r="X3" s="32">
        <f>V3/K3</f>
        <v>5.3962900505902189E-2</v>
      </c>
    </row>
    <row r="4" spans="1:24" x14ac:dyDescent="0.25">
      <c r="A4" s="31">
        <v>10</v>
      </c>
      <c r="B4" s="31">
        <v>10</v>
      </c>
      <c r="C4" s="32">
        <v>0.10621424902</v>
      </c>
      <c r="D4" s="31">
        <v>16</v>
      </c>
      <c r="E4" s="31">
        <v>10</v>
      </c>
      <c r="F4" s="31">
        <v>10</v>
      </c>
      <c r="G4" s="31" t="s">
        <v>94</v>
      </c>
      <c r="H4" s="32">
        <v>3.9064481400000002</v>
      </c>
      <c r="I4" s="32">
        <v>0.157</v>
      </c>
      <c r="J4" s="32">
        <f t="shared" ref="J4:J5" si="0">C4*H4</f>
        <v>0.41492045552567586</v>
      </c>
      <c r="K4" s="32">
        <f t="shared" ref="K4:K5" si="1">C4*I4</f>
        <v>1.6675637096139999E-2</v>
      </c>
      <c r="L4" s="32">
        <v>0.22500000000000001</v>
      </c>
      <c r="M4" s="32">
        <v>0.113</v>
      </c>
      <c r="N4" s="32">
        <f t="shared" ref="N4:N5" si="2">H4*L4</f>
        <v>0.87895083150000008</v>
      </c>
      <c r="O4" s="32">
        <f t="shared" ref="O4:O5" si="3">I4*M4</f>
        <v>1.7741E-2</v>
      </c>
      <c r="P4" s="32">
        <f t="shared" ref="P4:P5" si="4">C4*N4</f>
        <v>9.3357102493277069E-2</v>
      </c>
      <c r="Q4" s="32">
        <f t="shared" ref="Q4:Q5" si="5">C4*O4</f>
        <v>1.8843469918638199E-3</v>
      </c>
      <c r="R4" s="32">
        <v>0.10621424902</v>
      </c>
      <c r="S4" s="32">
        <v>0.42199999999999999</v>
      </c>
      <c r="T4" s="32">
        <v>8.9999999999999993E-3</v>
      </c>
      <c r="U4" s="32">
        <f t="shared" ref="U4:U5" si="6">R4*S4</f>
        <v>4.4822413086439999E-2</v>
      </c>
      <c r="V4" s="32">
        <f t="shared" ref="V4:V5" si="7">R4*T4</f>
        <v>9.5592824117999989E-4</v>
      </c>
      <c r="W4" s="32">
        <f t="shared" ref="W4:W5" si="8">U4/J4</f>
        <v>0.1080265204800594</v>
      </c>
      <c r="X4" s="32">
        <f t="shared" ref="X4:X5" si="9">V4/K4</f>
        <v>5.7324840764331204E-2</v>
      </c>
    </row>
    <row r="5" spans="1:24" x14ac:dyDescent="0.25">
      <c r="A5" s="31">
        <v>10</v>
      </c>
      <c r="B5" s="31">
        <v>11</v>
      </c>
      <c r="C5" s="32">
        <v>1.95212042689E-2</v>
      </c>
      <c r="D5" s="31">
        <v>17</v>
      </c>
      <c r="E5" s="31">
        <v>10</v>
      </c>
      <c r="F5" s="31">
        <v>11</v>
      </c>
      <c r="G5" s="31" t="s">
        <v>95</v>
      </c>
      <c r="H5" s="32">
        <v>1.93980683</v>
      </c>
      <c r="I5" s="32">
        <v>7.6999999999999999E-2</v>
      </c>
      <c r="J5" s="32">
        <f t="shared" si="0"/>
        <v>3.7867365370637375E-2</v>
      </c>
      <c r="K5" s="32">
        <f t="shared" si="1"/>
        <v>1.5031327287053E-3</v>
      </c>
      <c r="L5" s="32">
        <v>0.23899999999999999</v>
      </c>
      <c r="M5" s="32">
        <v>0.122</v>
      </c>
      <c r="N5" s="32">
        <f t="shared" si="2"/>
        <v>0.46361383236999998</v>
      </c>
      <c r="O5" s="32">
        <f t="shared" si="3"/>
        <v>9.3939999999999996E-3</v>
      </c>
      <c r="P5" s="32">
        <f t="shared" si="4"/>
        <v>9.0503003235823318E-3</v>
      </c>
      <c r="Q5" s="32">
        <f t="shared" si="5"/>
        <v>1.8338219290204658E-4</v>
      </c>
      <c r="R5" s="32">
        <v>1.95212042689E-2</v>
      </c>
      <c r="S5" s="32">
        <v>0.22500000000000001</v>
      </c>
      <c r="T5" s="32">
        <v>5.0000000000000001E-3</v>
      </c>
      <c r="U5" s="32">
        <f t="shared" si="6"/>
        <v>4.3922709605024998E-3</v>
      </c>
      <c r="V5" s="32">
        <f t="shared" si="7"/>
        <v>9.7606021344500007E-5</v>
      </c>
      <c r="W5" s="32">
        <f t="shared" si="8"/>
        <v>0.11599093091140421</v>
      </c>
      <c r="X5" s="32">
        <f t="shared" si="9"/>
        <v>6.4935064935064943E-2</v>
      </c>
    </row>
    <row r="6" spans="1:24" x14ac:dyDescent="0.25">
      <c r="C6" s="32">
        <f>SUM(C3:C5)</f>
        <v>1.6805606521988998</v>
      </c>
      <c r="U6" s="32">
        <f>ROUND(SUM(U3:U5),1)</f>
        <v>2.1</v>
      </c>
      <c r="V6" s="32">
        <f>ROUND(SUM(V3:V5),1)</f>
        <v>0.1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topLeftCell="H1" workbookViewId="0">
      <selection activeCell="U13" sqref="U13"/>
    </sheetView>
  </sheetViews>
  <sheetFormatPr defaultRowHeight="15" x14ac:dyDescent="0.25"/>
  <cols>
    <col min="1" max="1" width="10.140625" style="31" bestFit="1" customWidth="1"/>
    <col min="2" max="2" width="9.28515625" style="31" bestFit="1" customWidth="1"/>
    <col min="3" max="3" width="13.7109375" style="32" bestFit="1" customWidth="1"/>
    <col min="4" max="4" width="4.85546875" style="31" bestFit="1" customWidth="1"/>
    <col min="5" max="5" width="4.28515625" style="31" bestFit="1" customWidth="1"/>
    <col min="6" max="6" width="8" style="31" bestFit="1" customWidth="1"/>
    <col min="7" max="7" width="9.85546875" style="31" bestFit="1" customWidth="1"/>
    <col min="8" max="8" width="14.7109375" style="32" bestFit="1" customWidth="1"/>
    <col min="9" max="9" width="13.7109375" style="32" bestFit="1" customWidth="1"/>
    <col min="10" max="10" width="16.7109375" style="32" bestFit="1" customWidth="1"/>
    <col min="11" max="11" width="15.7109375" style="32" bestFit="1" customWidth="1"/>
    <col min="12" max="13" width="13.7109375" style="32" bestFit="1" customWidth="1"/>
    <col min="14" max="14" width="14.7109375" style="32" bestFit="1" customWidth="1"/>
    <col min="15" max="15" width="13.7109375" style="32" bestFit="1" customWidth="1"/>
    <col min="16" max="16" width="16.7109375" style="32" bestFit="1" customWidth="1"/>
    <col min="17" max="17" width="15.7109375" style="32" bestFit="1" customWidth="1"/>
    <col min="18" max="20" width="13.7109375" style="32" bestFit="1" customWidth="1"/>
    <col min="21" max="21" width="16.7109375" style="32" bestFit="1" customWidth="1"/>
    <col min="22" max="22" width="14.7109375" style="32" bestFit="1" customWidth="1"/>
    <col min="23" max="24" width="13.7109375" style="32" bestFit="1" customWidth="1"/>
  </cols>
  <sheetData>
    <row r="1" spans="1:25" x14ac:dyDescent="0.25">
      <c r="H1" s="32" t="s">
        <v>51</v>
      </c>
      <c r="I1" s="32" t="s">
        <v>51</v>
      </c>
      <c r="J1" s="32" t="s">
        <v>52</v>
      </c>
      <c r="K1" s="32" t="s">
        <v>53</v>
      </c>
      <c r="L1" s="32" t="s">
        <v>54</v>
      </c>
      <c r="M1" s="32" t="s">
        <v>54</v>
      </c>
      <c r="N1" s="32" t="s">
        <v>55</v>
      </c>
      <c r="O1" s="32" t="s">
        <v>56</v>
      </c>
      <c r="P1" s="32" t="s">
        <v>57</v>
      </c>
      <c r="Q1" s="32" t="s">
        <v>58</v>
      </c>
      <c r="S1" s="32" t="s">
        <v>59</v>
      </c>
      <c r="T1" s="32" t="s">
        <v>59</v>
      </c>
      <c r="U1" s="32" t="s">
        <v>60</v>
      </c>
      <c r="V1" s="32" t="s">
        <v>61</v>
      </c>
      <c r="W1" s="32" t="s">
        <v>62</v>
      </c>
      <c r="X1" s="32" t="s">
        <v>63</v>
      </c>
    </row>
    <row r="2" spans="1:25" x14ac:dyDescent="0.25">
      <c r="A2" s="31" t="s">
        <v>64</v>
      </c>
      <c r="B2" s="31" t="s">
        <v>65</v>
      </c>
      <c r="C2" s="32" t="s">
        <v>66</v>
      </c>
      <c r="D2" s="31" t="s">
        <v>67</v>
      </c>
      <c r="E2" s="31" t="s">
        <v>68</v>
      </c>
      <c r="F2" s="31" t="s">
        <v>69</v>
      </c>
      <c r="G2" s="31" t="s">
        <v>70</v>
      </c>
      <c r="H2" s="32" t="s">
        <v>71</v>
      </c>
      <c r="I2" s="32" t="s">
        <v>72</v>
      </c>
      <c r="J2" s="32" t="s">
        <v>73</v>
      </c>
      <c r="K2" s="32" t="s">
        <v>74</v>
      </c>
      <c r="L2" s="32" t="s">
        <v>75</v>
      </c>
      <c r="M2" s="32" t="s">
        <v>76</v>
      </c>
      <c r="N2" s="32" t="s">
        <v>77</v>
      </c>
      <c r="O2" s="32" t="s">
        <v>78</v>
      </c>
      <c r="P2" s="32" t="s">
        <v>79</v>
      </c>
      <c r="Q2" s="32" t="s">
        <v>80</v>
      </c>
      <c r="R2" s="32" t="s">
        <v>81</v>
      </c>
      <c r="S2" s="32" t="s">
        <v>82</v>
      </c>
      <c r="T2" s="32" t="s">
        <v>83</v>
      </c>
      <c r="U2" s="32" t="s">
        <v>84</v>
      </c>
      <c r="V2" s="32" t="s">
        <v>85</v>
      </c>
      <c r="W2" s="32" t="s">
        <v>86</v>
      </c>
      <c r="X2" s="32" t="s">
        <v>87</v>
      </c>
    </row>
    <row r="3" spans="1:25" x14ac:dyDescent="0.25">
      <c r="A3" s="31">
        <v>13</v>
      </c>
      <c r="B3" s="31">
        <v>4</v>
      </c>
      <c r="C3" s="32">
        <v>0.48322099035100002</v>
      </c>
      <c r="D3" s="31">
        <v>41</v>
      </c>
      <c r="E3" s="31">
        <v>13</v>
      </c>
      <c r="F3" s="31">
        <v>4</v>
      </c>
      <c r="G3" s="31" t="s">
        <v>91</v>
      </c>
      <c r="H3" s="32">
        <v>26.09263662</v>
      </c>
      <c r="I3" s="32">
        <v>1.754</v>
      </c>
      <c r="J3" s="32">
        <f>C3*H3</f>
        <v>12.608509708385171</v>
      </c>
      <c r="K3" s="32">
        <f>C3*I3</f>
        <v>0.84756961707565404</v>
      </c>
      <c r="L3" s="32">
        <v>0.51800000000000002</v>
      </c>
      <c r="M3" s="32">
        <v>0.32300000000000001</v>
      </c>
      <c r="N3" s="32">
        <f>H3*L3</f>
        <v>13.51598576916</v>
      </c>
      <c r="O3" s="32">
        <f>I3*M3</f>
        <v>0.56654199999999999</v>
      </c>
      <c r="P3" s="32">
        <f>C3*N3</f>
        <v>6.5312080289435182</v>
      </c>
      <c r="Q3" s="32">
        <f>C3*O3</f>
        <v>0.27376498631543628</v>
      </c>
      <c r="R3" s="32">
        <v>0.48322099035100002</v>
      </c>
      <c r="S3" s="32">
        <v>6.43</v>
      </c>
      <c r="T3" s="32">
        <v>0.28499999999999998</v>
      </c>
      <c r="U3" s="32">
        <f>R3*S3</f>
        <v>3.1071109679569302</v>
      </c>
      <c r="V3" s="32">
        <f>R3*T3</f>
        <v>0.13771798225003498</v>
      </c>
      <c r="W3" s="32">
        <f>U3/J3</f>
        <v>0.24642967645022912</v>
      </c>
      <c r="X3" s="32">
        <f>V3/K3</f>
        <v>0.16248574686431011</v>
      </c>
      <c r="Y3" s="41" t="s">
        <v>146</v>
      </c>
    </row>
    <row r="5" spans="1:25" x14ac:dyDescent="0.25">
      <c r="A5" s="31" t="s">
        <v>64</v>
      </c>
      <c r="B5" s="31" t="s">
        <v>65</v>
      </c>
      <c r="C5" s="32" t="s">
        <v>66</v>
      </c>
      <c r="D5" s="31" t="s">
        <v>67</v>
      </c>
      <c r="E5" s="31" t="s">
        <v>68</v>
      </c>
      <c r="F5" s="31" t="s">
        <v>69</v>
      </c>
      <c r="G5" s="31" t="s">
        <v>70</v>
      </c>
      <c r="H5" s="32" t="s">
        <v>71</v>
      </c>
      <c r="I5" s="32" t="s">
        <v>72</v>
      </c>
      <c r="J5" s="32" t="s">
        <v>73</v>
      </c>
      <c r="K5" s="32" t="s">
        <v>74</v>
      </c>
      <c r="L5" s="32" t="s">
        <v>75</v>
      </c>
      <c r="M5" s="32" t="s">
        <v>76</v>
      </c>
      <c r="N5" s="32" t="s">
        <v>77</v>
      </c>
      <c r="O5" s="32" t="s">
        <v>78</v>
      </c>
      <c r="P5" s="32" t="s">
        <v>79</v>
      </c>
      <c r="Q5" s="32" t="s">
        <v>80</v>
      </c>
      <c r="R5" s="32" t="s">
        <v>81</v>
      </c>
      <c r="S5" s="32" t="s">
        <v>82</v>
      </c>
      <c r="T5" s="32" t="s">
        <v>83</v>
      </c>
      <c r="U5" s="32" t="s">
        <v>84</v>
      </c>
      <c r="V5" s="32" t="s">
        <v>85</v>
      </c>
      <c r="W5" s="32" t="s">
        <v>86</v>
      </c>
      <c r="X5" s="32" t="s">
        <v>87</v>
      </c>
    </row>
    <row r="6" spans="1:25" x14ac:dyDescent="0.25">
      <c r="A6" s="31">
        <v>13</v>
      </c>
      <c r="B6" s="31">
        <v>2</v>
      </c>
      <c r="C6" s="32">
        <v>1.3912454995800001</v>
      </c>
      <c r="D6" s="31">
        <v>39</v>
      </c>
      <c r="E6" s="31">
        <v>13</v>
      </c>
      <c r="F6" s="31">
        <v>2</v>
      </c>
      <c r="G6" s="31" t="s">
        <v>88</v>
      </c>
      <c r="H6" s="32">
        <v>18.043627740000002</v>
      </c>
      <c r="I6" s="32">
        <v>0.628</v>
      </c>
      <c r="J6" s="32">
        <f>C6*H6</f>
        <v>25.10311588937185</v>
      </c>
      <c r="K6" s="32">
        <f>C6*I6</f>
        <v>0.87370217373624004</v>
      </c>
      <c r="L6" s="32">
        <v>0.52500000000000002</v>
      </c>
      <c r="M6" s="32">
        <v>0.32600000000000001</v>
      </c>
      <c r="N6" s="32">
        <f>H6*L6</f>
        <v>9.472904563500002</v>
      </c>
      <c r="O6" s="32">
        <f>I6*M6</f>
        <v>0.20472800000000002</v>
      </c>
      <c r="P6" s="32">
        <f>C6*N6</f>
        <v>13.179135841920223</v>
      </c>
      <c r="Q6" s="32">
        <f>C6*O6</f>
        <v>0.2848269086380143</v>
      </c>
      <c r="R6" s="32">
        <v>1.3912454995800001</v>
      </c>
      <c r="S6" s="32">
        <v>4.532</v>
      </c>
      <c r="T6" s="32">
        <v>0.10299999999999999</v>
      </c>
      <c r="U6" s="32">
        <f>R6*S6</f>
        <v>6.3051246040965605</v>
      </c>
      <c r="V6" s="32">
        <f>R6*T6</f>
        <v>0.14329828645674</v>
      </c>
      <c r="W6" s="32">
        <f>U6/J6</f>
        <v>0.25116900355648769</v>
      </c>
      <c r="X6" s="32">
        <f>V6/K6</f>
        <v>0.16401273885350318</v>
      </c>
      <c r="Y6" s="41" t="s">
        <v>147</v>
      </c>
    </row>
    <row r="7" spans="1:25" x14ac:dyDescent="0.25">
      <c r="A7" s="31">
        <v>13</v>
      </c>
      <c r="B7" s="31">
        <v>4</v>
      </c>
      <c r="C7" s="32">
        <v>0.638040722028</v>
      </c>
      <c r="D7" s="31">
        <v>41</v>
      </c>
      <c r="E7" s="31">
        <v>13</v>
      </c>
      <c r="F7" s="31">
        <v>4</v>
      </c>
      <c r="G7" s="31" t="s">
        <v>91</v>
      </c>
      <c r="H7" s="32">
        <v>26.09263662</v>
      </c>
      <c r="I7" s="32">
        <v>1.754</v>
      </c>
      <c r="J7" s="32">
        <f>C7*H7</f>
        <v>16.648164708639033</v>
      </c>
      <c r="K7" s="32">
        <f>C7*I7</f>
        <v>1.1191234264371119</v>
      </c>
      <c r="L7" s="32">
        <v>0.51800000000000002</v>
      </c>
      <c r="M7" s="32">
        <v>0.32300000000000001</v>
      </c>
      <c r="N7" s="32">
        <f>H7*L7</f>
        <v>13.51598576916</v>
      </c>
      <c r="O7" s="32">
        <f>I7*M7</f>
        <v>0.56654199999999999</v>
      </c>
      <c r="P7" s="32">
        <f>C7*N7</f>
        <v>8.623749319075019</v>
      </c>
      <c r="Q7" s="32">
        <f>C7*O7</f>
        <v>0.36147686673918716</v>
      </c>
      <c r="R7" s="32">
        <v>0.638040722028</v>
      </c>
      <c r="S7" s="32">
        <v>6.43</v>
      </c>
      <c r="T7" s="32">
        <v>0.28499999999999998</v>
      </c>
      <c r="U7" s="32">
        <f>R7*S7</f>
        <v>4.1026018426400395</v>
      </c>
      <c r="V7" s="32">
        <f>R7*T7</f>
        <v>0.18184160577797998</v>
      </c>
      <c r="W7" s="32">
        <f>U7/J7</f>
        <v>0.24642967645022909</v>
      </c>
      <c r="X7" s="32">
        <f>V7/K7</f>
        <v>0.16248574686431014</v>
      </c>
    </row>
    <row r="9" spans="1:25" x14ac:dyDescent="0.25">
      <c r="A9" s="31" t="s">
        <v>64</v>
      </c>
      <c r="B9" s="31" t="s">
        <v>65</v>
      </c>
      <c r="C9" s="32" t="s">
        <v>66</v>
      </c>
      <c r="D9" s="31" t="s">
        <v>67</v>
      </c>
      <c r="E9" s="31" t="s">
        <v>68</v>
      </c>
      <c r="F9" s="31" t="s">
        <v>69</v>
      </c>
      <c r="G9" s="31" t="s">
        <v>70</v>
      </c>
      <c r="H9" s="32" t="s">
        <v>71</v>
      </c>
      <c r="I9" s="32" t="s">
        <v>72</v>
      </c>
      <c r="J9" s="32" t="s">
        <v>73</v>
      </c>
      <c r="K9" s="32" t="s">
        <v>74</v>
      </c>
      <c r="L9" s="32" t="s">
        <v>75</v>
      </c>
      <c r="M9" s="32" t="s">
        <v>76</v>
      </c>
      <c r="N9" s="32" t="s">
        <v>77</v>
      </c>
      <c r="O9" s="32" t="s">
        <v>78</v>
      </c>
      <c r="P9" s="32" t="s">
        <v>79</v>
      </c>
      <c r="Q9" s="32" t="s">
        <v>80</v>
      </c>
      <c r="R9" s="32" t="s">
        <v>81</v>
      </c>
      <c r="S9" s="32" t="s">
        <v>82</v>
      </c>
      <c r="T9" s="32" t="s">
        <v>83</v>
      </c>
      <c r="U9" s="32" t="s">
        <v>84</v>
      </c>
      <c r="V9" s="32" t="s">
        <v>85</v>
      </c>
      <c r="W9" s="32" t="s">
        <v>86</v>
      </c>
      <c r="X9" s="32" t="s">
        <v>87</v>
      </c>
      <c r="Y9" s="41" t="s">
        <v>157</v>
      </c>
    </row>
    <row r="10" spans="1:25" x14ac:dyDescent="0.25">
      <c r="A10" s="31">
        <v>13</v>
      </c>
      <c r="B10" s="31">
        <v>2</v>
      </c>
      <c r="C10" s="32">
        <v>2.7371230228200001</v>
      </c>
      <c r="D10" s="31">
        <v>39</v>
      </c>
      <c r="E10" s="31">
        <v>13</v>
      </c>
      <c r="F10" s="31">
        <v>2</v>
      </c>
      <c r="G10" s="31" t="s">
        <v>88</v>
      </c>
      <c r="H10" s="32">
        <v>18.043627740000002</v>
      </c>
      <c r="I10" s="32">
        <v>0.628</v>
      </c>
      <c r="J10" s="32">
        <f>C10*H10</f>
        <v>49.387628902347608</v>
      </c>
      <c r="K10" s="32">
        <f>C10*I10</f>
        <v>1.7189132583309601</v>
      </c>
      <c r="L10" s="32">
        <v>0.52500000000000002</v>
      </c>
      <c r="M10" s="32">
        <v>0.32600000000000001</v>
      </c>
      <c r="N10" s="32">
        <f>H10*L10</f>
        <v>9.472904563500002</v>
      </c>
      <c r="O10" s="32">
        <f>I10*M10</f>
        <v>0.20472800000000002</v>
      </c>
      <c r="P10" s="32">
        <f>C10*N10</f>
        <v>25.9285051737325</v>
      </c>
      <c r="Q10" s="32">
        <f>C10*O10</f>
        <v>0.56036572221589298</v>
      </c>
      <c r="R10" s="32">
        <v>2.7371230228200001</v>
      </c>
      <c r="S10" s="32">
        <v>4.532</v>
      </c>
      <c r="T10" s="32">
        <v>0.10299999999999999</v>
      </c>
      <c r="U10" s="32">
        <f>R10*S10</f>
        <v>12.40464153942024</v>
      </c>
      <c r="V10" s="32">
        <f>R10*T10</f>
        <v>0.28192367135045998</v>
      </c>
      <c r="W10" s="32">
        <f>U10/J10</f>
        <v>0.25116900355648769</v>
      </c>
      <c r="X10" s="32">
        <f>V10/K10</f>
        <v>0.16401273885350318</v>
      </c>
    </row>
    <row r="11" spans="1:25" x14ac:dyDescent="0.25">
      <c r="A11" s="31">
        <v>13</v>
      </c>
      <c r="B11" s="31">
        <v>4</v>
      </c>
      <c r="C11" s="32">
        <v>3.9107856343999998E-2</v>
      </c>
      <c r="D11" s="31">
        <v>41</v>
      </c>
      <c r="E11" s="31">
        <v>13</v>
      </c>
      <c r="F11" s="31">
        <v>4</v>
      </c>
      <c r="G11" s="31" t="s">
        <v>91</v>
      </c>
      <c r="H11" s="32">
        <v>26.09263662</v>
      </c>
      <c r="I11" s="32">
        <v>1.754</v>
      </c>
      <c r="J11" s="32">
        <f>C11*H11</f>
        <v>1.0204270845711536</v>
      </c>
      <c r="K11" s="32">
        <f>C11*I11</f>
        <v>6.8595180027375996E-2</v>
      </c>
      <c r="L11" s="32">
        <v>0.51800000000000002</v>
      </c>
      <c r="M11" s="32">
        <v>0.32300000000000001</v>
      </c>
      <c r="N11" s="32">
        <f>H11*L11</f>
        <v>13.51598576916</v>
      </c>
      <c r="O11" s="32">
        <f>I11*M11</f>
        <v>0.56654199999999999</v>
      </c>
      <c r="P11" s="32">
        <f>C11*N11</f>
        <v>0.5285812298078576</v>
      </c>
      <c r="Q11" s="32">
        <f>C11*O11</f>
        <v>2.2156243148842448E-2</v>
      </c>
      <c r="R11" s="32">
        <v>3.9107856343999998E-2</v>
      </c>
      <c r="S11" s="32">
        <v>6.43</v>
      </c>
      <c r="T11" s="32">
        <v>0.28499999999999998</v>
      </c>
      <c r="U11" s="32">
        <f>R11*S11</f>
        <v>0.25146351629191999</v>
      </c>
      <c r="V11" s="32">
        <f>R11*T11</f>
        <v>1.1145739058039998E-2</v>
      </c>
      <c r="W11" s="32">
        <f>U11/J11</f>
        <v>0.24642967645022915</v>
      </c>
      <c r="X11" s="32">
        <f>V11/K11</f>
        <v>0.16248574686431014</v>
      </c>
    </row>
    <row r="13" spans="1:25" x14ac:dyDescent="0.25">
      <c r="U13" s="32">
        <f>ROUND(SUM(U3:U12),1)</f>
        <v>26.2</v>
      </c>
      <c r="V13" s="32">
        <f>ROUND(SUM(V3:V12),1)</f>
        <v>0.8</v>
      </c>
    </row>
    <row r="14" spans="1:25" x14ac:dyDescent="0.25">
      <c r="C14" s="32">
        <f>SUM(C3:C13)</f>
        <v>5.2887380911229993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pane ySplit="1" topLeftCell="A5" activePane="bottomLeft" state="frozen"/>
      <selection pane="bottomLeft" activeCell="P18" sqref="P18"/>
    </sheetView>
  </sheetViews>
  <sheetFormatPr defaultRowHeight="12.75" x14ac:dyDescent="0.2"/>
  <cols>
    <col min="1" max="1" width="12.7109375" style="14" customWidth="1"/>
    <col min="2" max="2" width="16.140625" style="14" customWidth="1"/>
    <col min="3" max="3" width="20.7109375" style="14" customWidth="1"/>
    <col min="4" max="10" width="12.7109375" style="14" customWidth="1"/>
    <col min="11" max="11" width="11.85546875" style="25" customWidth="1"/>
    <col min="12" max="12" width="11.85546875" style="28" customWidth="1"/>
    <col min="13" max="13" width="9.140625" style="25"/>
    <col min="14" max="14" width="13" style="25" customWidth="1"/>
    <col min="15" max="15" width="11.7109375" style="28" customWidth="1"/>
    <col min="16" max="16" width="9.140625" style="25"/>
    <col min="17" max="16384" width="9.140625" style="14"/>
  </cols>
  <sheetData>
    <row r="1" spans="1:17" ht="25.5" x14ac:dyDescent="0.2">
      <c r="A1" s="19" t="s">
        <v>0</v>
      </c>
      <c r="B1" s="19" t="s">
        <v>5</v>
      </c>
      <c r="C1" s="19" t="s">
        <v>1</v>
      </c>
      <c r="D1" s="19" t="s">
        <v>6</v>
      </c>
      <c r="E1" s="19" t="s">
        <v>7</v>
      </c>
      <c r="F1" s="20" t="s">
        <v>8</v>
      </c>
      <c r="G1" s="20" t="s">
        <v>9</v>
      </c>
      <c r="H1" s="21" t="s">
        <v>10</v>
      </c>
      <c r="I1" s="19" t="s">
        <v>11</v>
      </c>
      <c r="J1" s="19" t="s">
        <v>12</v>
      </c>
      <c r="K1" s="23" t="s">
        <v>44</v>
      </c>
      <c r="L1" s="26" t="s">
        <v>45</v>
      </c>
      <c r="M1" s="23" t="s">
        <v>46</v>
      </c>
      <c r="N1" s="23" t="s">
        <v>47</v>
      </c>
      <c r="O1" s="26" t="s">
        <v>48</v>
      </c>
      <c r="P1" s="23" t="s">
        <v>49</v>
      </c>
      <c r="Q1" s="22"/>
    </row>
    <row r="2" spans="1:17" s="10" customFormat="1" ht="38.25" x14ac:dyDescent="0.2">
      <c r="A2" s="5" t="s">
        <v>21</v>
      </c>
      <c r="B2" s="6" t="s">
        <v>110</v>
      </c>
      <c r="C2" s="6" t="s">
        <v>103</v>
      </c>
      <c r="D2" s="12">
        <v>42005</v>
      </c>
      <c r="E2" s="12">
        <v>42370</v>
      </c>
      <c r="F2" s="13">
        <v>163000</v>
      </c>
      <c r="G2" s="8">
        <v>0</v>
      </c>
      <c r="H2" s="9">
        <v>0.99</v>
      </c>
      <c r="I2" s="7" t="s">
        <v>104</v>
      </c>
      <c r="J2" s="7" t="s">
        <v>2</v>
      </c>
      <c r="K2" s="24">
        <f>'South Lake Triplet'!U3</f>
        <v>0.91700373401666402</v>
      </c>
      <c r="L2" s="27">
        <f>Calculations!A3</f>
        <v>0.74050000000000005</v>
      </c>
      <c r="M2" s="24">
        <f>ROUND(K2*L2,1)</f>
        <v>0.7</v>
      </c>
      <c r="N2" s="24">
        <f>'South Lake Triplet'!V3</f>
        <v>2.3690085701183999E-2</v>
      </c>
      <c r="O2" s="27">
        <f>Calculations!A3</f>
        <v>0.74050000000000005</v>
      </c>
      <c r="P2" s="24">
        <f>ROUND(N2*O2,1)</f>
        <v>0</v>
      </c>
    </row>
    <row r="3" spans="1:17" s="10" customFormat="1" ht="38.25" x14ac:dyDescent="0.2">
      <c r="A3" s="6" t="s">
        <v>22</v>
      </c>
      <c r="B3" s="6" t="s">
        <v>23</v>
      </c>
      <c r="C3" s="6" t="s">
        <v>27</v>
      </c>
      <c r="D3" s="12">
        <v>41609</v>
      </c>
      <c r="E3" s="12" t="s">
        <v>14</v>
      </c>
      <c r="F3" s="13">
        <v>229000</v>
      </c>
      <c r="G3" s="8">
        <v>0</v>
      </c>
      <c r="H3" s="9">
        <v>2.04</v>
      </c>
      <c r="I3" s="7" t="s">
        <v>24</v>
      </c>
      <c r="J3" s="7" t="s">
        <v>106</v>
      </c>
      <c r="K3" s="24">
        <f>'Park Drive'!U5</f>
        <v>2</v>
      </c>
      <c r="L3" s="27">
        <f>Calculations!A3</f>
        <v>0.74050000000000005</v>
      </c>
      <c r="M3" s="24">
        <f>ROUND(K3*L3,1)</f>
        <v>1.5</v>
      </c>
      <c r="N3" s="24">
        <f>'Park Drive'!V5</f>
        <v>0.1</v>
      </c>
      <c r="O3" s="27">
        <f>Calculations!A3</f>
        <v>0.74050000000000005</v>
      </c>
      <c r="P3" s="24">
        <f>ROUND(N3*O3,1)</f>
        <v>0.1</v>
      </c>
    </row>
    <row r="4" spans="1:17" s="10" customFormat="1" ht="102" x14ac:dyDescent="0.2">
      <c r="A4" s="6" t="s">
        <v>25</v>
      </c>
      <c r="B4" s="6" t="s">
        <v>26</v>
      </c>
      <c r="C4" s="6" t="s">
        <v>107</v>
      </c>
      <c r="D4" s="12">
        <v>41153</v>
      </c>
      <c r="E4" s="12">
        <v>42248</v>
      </c>
      <c r="F4" s="13">
        <v>170000</v>
      </c>
      <c r="G4" s="8">
        <v>0</v>
      </c>
      <c r="H4" s="9" t="s">
        <v>28</v>
      </c>
      <c r="I4" s="7" t="s">
        <v>29</v>
      </c>
      <c r="J4" s="7" t="s">
        <v>2</v>
      </c>
      <c r="K4" s="24" t="s">
        <v>41</v>
      </c>
      <c r="L4" s="27" t="s">
        <v>41</v>
      </c>
      <c r="M4" s="24">
        <f>ROUND('Whole Lake_Additional'!D13*0.5*0.353,1)</f>
        <v>120.5</v>
      </c>
      <c r="N4" s="24" t="s">
        <v>41</v>
      </c>
      <c r="O4" s="27" t="s">
        <v>41</v>
      </c>
      <c r="P4" s="24">
        <f>ROUND((5104/10)*0.362,1)</f>
        <v>184.8</v>
      </c>
      <c r="Q4" s="37"/>
    </row>
    <row r="5" spans="1:17" s="10" customFormat="1" ht="76.5" x14ac:dyDescent="0.2">
      <c r="A5" s="5" t="s">
        <v>33</v>
      </c>
      <c r="B5" s="5" t="s">
        <v>13</v>
      </c>
      <c r="C5" s="1" t="s">
        <v>102</v>
      </c>
      <c r="D5" s="12" t="s">
        <v>14</v>
      </c>
      <c r="E5" s="12" t="s">
        <v>14</v>
      </c>
      <c r="F5" s="8">
        <v>0</v>
      </c>
      <c r="G5" s="8">
        <v>0</v>
      </c>
      <c r="H5" s="9">
        <v>0</v>
      </c>
      <c r="I5" s="5" t="s">
        <v>112</v>
      </c>
      <c r="J5" s="7" t="s">
        <v>4</v>
      </c>
      <c r="K5" s="24" t="s">
        <v>41</v>
      </c>
      <c r="L5" s="27" t="s">
        <v>41</v>
      </c>
      <c r="M5" s="24">
        <f>ROUND(1229*0.353,1)</f>
        <v>433.8</v>
      </c>
      <c r="N5" s="24" t="s">
        <v>41</v>
      </c>
      <c r="O5" s="27" t="s">
        <v>41</v>
      </c>
      <c r="P5" s="24">
        <f>ROUND(788*0.362,1)</f>
        <v>285.3</v>
      </c>
    </row>
    <row r="6" spans="1:17" s="10" customFormat="1" ht="76.5" x14ac:dyDescent="0.2">
      <c r="A6" s="5" t="s">
        <v>34</v>
      </c>
      <c r="B6" s="5" t="s">
        <v>15</v>
      </c>
      <c r="C6" s="6" t="s">
        <v>35</v>
      </c>
      <c r="D6" s="7" t="s">
        <v>14</v>
      </c>
      <c r="E6" s="7" t="s">
        <v>14</v>
      </c>
      <c r="F6" s="8">
        <v>0</v>
      </c>
      <c r="G6" s="8">
        <v>0</v>
      </c>
      <c r="H6" s="9">
        <v>0</v>
      </c>
      <c r="I6" s="11" t="s">
        <v>16</v>
      </c>
      <c r="J6" s="7" t="s">
        <v>4</v>
      </c>
      <c r="K6" s="24">
        <v>14642.8</v>
      </c>
      <c r="L6" s="27">
        <v>0.05</v>
      </c>
      <c r="M6" s="24">
        <f>ROUND(K6*L6,1)</f>
        <v>732.1</v>
      </c>
      <c r="N6" s="24">
        <v>985.9</v>
      </c>
      <c r="O6" s="27">
        <v>0.05</v>
      </c>
      <c r="P6" s="24">
        <f>ROUND(N6*O6,1)</f>
        <v>49.3</v>
      </c>
    </row>
    <row r="7" spans="1:17" s="10" customFormat="1" ht="51" x14ac:dyDescent="0.2">
      <c r="A7" s="5" t="s">
        <v>36</v>
      </c>
      <c r="B7" s="5" t="s">
        <v>37</v>
      </c>
      <c r="C7" s="6" t="s">
        <v>38</v>
      </c>
      <c r="D7" s="7" t="s">
        <v>14</v>
      </c>
      <c r="E7" s="7">
        <v>2013</v>
      </c>
      <c r="F7" s="8">
        <v>0</v>
      </c>
      <c r="G7" s="8">
        <v>0</v>
      </c>
      <c r="H7" s="9">
        <v>0</v>
      </c>
      <c r="I7" s="5" t="s">
        <v>113</v>
      </c>
      <c r="J7" s="7" t="s">
        <v>4</v>
      </c>
      <c r="K7" s="24" t="s">
        <v>41</v>
      </c>
      <c r="L7" s="27" t="s">
        <v>41</v>
      </c>
      <c r="M7" s="24">
        <f>ROUND(42*0.353,1)</f>
        <v>14.8</v>
      </c>
      <c r="N7" s="24" t="s">
        <v>41</v>
      </c>
      <c r="O7" s="27" t="s">
        <v>41</v>
      </c>
      <c r="P7" s="24">
        <f>ROUND(26*0.362,1)</f>
        <v>9.4</v>
      </c>
    </row>
    <row r="8" spans="1:17" ht="51" x14ac:dyDescent="0.2">
      <c r="A8" s="17" t="s">
        <v>43</v>
      </c>
      <c r="B8" s="29" t="s">
        <v>108</v>
      </c>
      <c r="C8" s="29" t="s">
        <v>109</v>
      </c>
      <c r="D8" s="30" t="s">
        <v>39</v>
      </c>
      <c r="E8" s="30" t="s">
        <v>40</v>
      </c>
      <c r="F8" s="15">
        <v>701500</v>
      </c>
      <c r="G8" s="15">
        <v>120700</v>
      </c>
      <c r="H8" s="16">
        <v>1528</v>
      </c>
      <c r="I8" s="18" t="s">
        <v>111</v>
      </c>
      <c r="J8" s="18" t="s">
        <v>3</v>
      </c>
      <c r="K8" s="24" t="s">
        <v>41</v>
      </c>
      <c r="L8" s="27" t="s">
        <v>41</v>
      </c>
      <c r="M8" s="24">
        <f>ROUND(2457*0.353,1)</f>
        <v>867.3</v>
      </c>
      <c r="N8" s="24" t="s">
        <v>41</v>
      </c>
      <c r="O8" s="27" t="s">
        <v>41</v>
      </c>
      <c r="P8" s="24">
        <f>ROUND(479*0.362,1)</f>
        <v>173.4</v>
      </c>
    </row>
    <row r="9" spans="1:17" ht="38.25" x14ac:dyDescent="0.2">
      <c r="A9" s="5" t="s">
        <v>126</v>
      </c>
      <c r="B9" s="5" t="s">
        <v>130</v>
      </c>
      <c r="C9" s="29" t="s">
        <v>131</v>
      </c>
      <c r="D9" s="39" t="s">
        <v>14</v>
      </c>
      <c r="E9" s="39">
        <v>42755</v>
      </c>
      <c r="F9" s="15">
        <f>3527309+1275566+1935957+585330</f>
        <v>7324162</v>
      </c>
      <c r="G9" s="15">
        <v>0</v>
      </c>
      <c r="H9" s="16">
        <v>15.02</v>
      </c>
      <c r="I9" s="5" t="s">
        <v>132</v>
      </c>
      <c r="J9" s="7" t="s">
        <v>138</v>
      </c>
      <c r="K9" s="24">
        <f>'Lake Concord Park South'!U9</f>
        <v>11.6</v>
      </c>
      <c r="L9" s="27">
        <f>Calculations!F9</f>
        <v>4.2999999999999983E-2</v>
      </c>
      <c r="M9" s="24">
        <f>ROUND(K9*L9,1)</f>
        <v>0.5</v>
      </c>
      <c r="N9" s="24">
        <f>'Lake Concord Park South'!V9</f>
        <v>0.4</v>
      </c>
      <c r="O9" s="27">
        <f>Calculations!F10</f>
        <v>6.8000000000000171E-2</v>
      </c>
      <c r="P9" s="24">
        <f>ROUND(N9*O9,1)</f>
        <v>0</v>
      </c>
    </row>
    <row r="10" spans="1:17" ht="63.75" x14ac:dyDescent="0.2">
      <c r="A10" s="17" t="s">
        <v>127</v>
      </c>
      <c r="B10" s="5" t="s">
        <v>142</v>
      </c>
      <c r="C10" s="29" t="s">
        <v>133</v>
      </c>
      <c r="D10" s="39" t="s">
        <v>14</v>
      </c>
      <c r="E10" s="39">
        <v>42755</v>
      </c>
      <c r="F10" s="15">
        <v>3092425</v>
      </c>
      <c r="G10" s="15">
        <v>0</v>
      </c>
      <c r="H10" s="16">
        <v>10.8</v>
      </c>
      <c r="I10" s="5" t="s">
        <v>134</v>
      </c>
      <c r="J10" s="7" t="s">
        <v>138</v>
      </c>
      <c r="K10" s="24">
        <f>ROUND('Triplet Lake Drive'!U3+'Triplet Lake Drive'!U6,1)</f>
        <v>10</v>
      </c>
      <c r="L10" s="27" t="s">
        <v>156</v>
      </c>
      <c r="M10" s="43">
        <f>ROUND(('Triplet Lake Drive'!U3*0.1)+('Triplet Lake Drive'!U6*0.7405),1)</f>
        <v>3.1</v>
      </c>
      <c r="N10" s="24">
        <f>ROUND('Triplet Lake Drive'!V3+'Triplet Lake Drive'!V6,1)</f>
        <v>0.3</v>
      </c>
      <c r="O10" s="27" t="s">
        <v>156</v>
      </c>
      <c r="P10" s="24">
        <f>ROUND(('Triplet Lake Drive'!V3*0.1)+('Triplet Lake Drive'!V6*0.7405),1)</f>
        <v>0.1</v>
      </c>
    </row>
    <row r="11" spans="1:17" ht="38.25" x14ac:dyDescent="0.2">
      <c r="A11" s="5" t="s">
        <v>128</v>
      </c>
      <c r="B11" s="5" t="s">
        <v>143</v>
      </c>
      <c r="C11" s="29" t="s">
        <v>135</v>
      </c>
      <c r="D11" s="39" t="s">
        <v>14</v>
      </c>
      <c r="E11" s="39">
        <v>42948</v>
      </c>
      <c r="F11" s="15">
        <v>2134100</v>
      </c>
      <c r="G11" s="15">
        <v>0</v>
      </c>
      <c r="H11" s="16">
        <f>73255/43560</f>
        <v>1.6817033976124884</v>
      </c>
      <c r="I11" s="5" t="s">
        <v>104</v>
      </c>
      <c r="J11" s="7" t="s">
        <v>139</v>
      </c>
      <c r="K11" s="24">
        <f>'North Oxford Road'!U6</f>
        <v>2.1</v>
      </c>
      <c r="L11" s="27">
        <v>0.38</v>
      </c>
      <c r="M11" s="24">
        <f>ROUND(K11*L11,1)</f>
        <v>0.8</v>
      </c>
      <c r="N11" s="24">
        <f>'North Oxford Road'!V6</f>
        <v>0.1</v>
      </c>
      <c r="O11" s="27">
        <v>0.09</v>
      </c>
      <c r="P11" s="24">
        <f>ROUND(N11*O11,1)</f>
        <v>0</v>
      </c>
    </row>
    <row r="12" spans="1:17" ht="38.25" x14ac:dyDescent="0.2">
      <c r="A12" s="17" t="s">
        <v>129</v>
      </c>
      <c r="B12" s="5" t="s">
        <v>136</v>
      </c>
      <c r="C12" s="29" t="s">
        <v>133</v>
      </c>
      <c r="D12" s="39" t="s">
        <v>14</v>
      </c>
      <c r="E12" s="39" t="s">
        <v>141</v>
      </c>
      <c r="F12" s="15">
        <f>1060000+77551+6015+121018</f>
        <v>1264584</v>
      </c>
      <c r="G12" s="15">
        <v>0</v>
      </c>
      <c r="H12" s="16">
        <f>+(88456+121015+21063)/43560</f>
        <v>5.292332415059688</v>
      </c>
      <c r="I12" s="5" t="s">
        <v>137</v>
      </c>
      <c r="J12" s="7" t="s">
        <v>140</v>
      </c>
      <c r="K12" s="24">
        <f>'Concord Drive'!U13</f>
        <v>26.2</v>
      </c>
      <c r="L12" s="27" t="s">
        <v>159</v>
      </c>
      <c r="M12" s="24">
        <f>ROUND(('Concord Drive'!U3*0.38)+(('Concord Drive'!U6+'Concord Drive'!U7+'Concord Drive'!U10+'Concord Drive'!U11)*Calculations!B15),1)</f>
        <v>8.9</v>
      </c>
      <c r="N12" s="24">
        <f>'Concord Drive'!V13</f>
        <v>0.8</v>
      </c>
      <c r="O12" s="27" t="s">
        <v>160</v>
      </c>
      <c r="P12" s="24">
        <f>ROUND(('Concord Drive'!V3*0.09)+(('Concord Drive'!V6+'Concord Drive'!V7+'Concord Drive'!V10+'Concord Drive'!V11)*Calculations!B16),1)</f>
        <v>0.4</v>
      </c>
    </row>
    <row r="13" spans="1:17" ht="25.5" x14ac:dyDescent="0.2">
      <c r="A13" s="17" t="s">
        <v>161</v>
      </c>
      <c r="B13" s="18" t="s">
        <v>162</v>
      </c>
      <c r="C13" s="18" t="s">
        <v>163</v>
      </c>
      <c r="D13" s="44" t="s">
        <v>14</v>
      </c>
      <c r="E13" s="44" t="s">
        <v>14</v>
      </c>
      <c r="F13" s="15">
        <v>0</v>
      </c>
      <c r="G13" s="15">
        <v>0</v>
      </c>
      <c r="H13" s="16"/>
      <c r="I13" s="5" t="s">
        <v>164</v>
      </c>
      <c r="J13" s="7" t="s">
        <v>2</v>
      </c>
      <c r="K13" s="24" t="s">
        <v>41</v>
      </c>
      <c r="L13" s="27" t="s">
        <v>41</v>
      </c>
      <c r="M13" s="24">
        <v>33</v>
      </c>
      <c r="N13" s="24" t="s">
        <v>41</v>
      </c>
      <c r="O13" s="27" t="s">
        <v>41</v>
      </c>
      <c r="P13" s="24">
        <v>29.9</v>
      </c>
    </row>
    <row r="14" spans="1:17" x14ac:dyDescent="0.2">
      <c r="M14" s="38"/>
    </row>
    <row r="16" spans="1:17" x14ac:dyDescent="0.2">
      <c r="L16" s="28" t="s">
        <v>50</v>
      </c>
      <c r="M16" s="25">
        <f>SUM(M2:M13)</f>
        <v>2217</v>
      </c>
      <c r="N16" s="28"/>
      <c r="O16" s="25"/>
      <c r="P16" s="25">
        <f>SUM(P2:P13)</f>
        <v>732.69999999999993</v>
      </c>
    </row>
    <row r="17" spans="12:17" x14ac:dyDescent="0.2">
      <c r="L17" s="35" t="s">
        <v>99</v>
      </c>
      <c r="M17" s="25">
        <v>2955.7</v>
      </c>
      <c r="P17" s="25">
        <v>546.70000000000005</v>
      </c>
    </row>
    <row r="18" spans="12:17" x14ac:dyDescent="0.2">
      <c r="L18" s="35" t="s">
        <v>100</v>
      </c>
      <c r="M18" s="25">
        <f>M17-M16</f>
        <v>738.69999999999982</v>
      </c>
      <c r="P18" s="25">
        <f>P17-P16</f>
        <v>-185.99999999999989</v>
      </c>
      <c r="Q18" s="14" t="s">
        <v>101</v>
      </c>
    </row>
  </sheetData>
  <pageMargins left="0.7" right="0.7" top="0.75" bottom="0.75" header="0.3" footer="0.3"/>
  <pageSetup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B15" sqref="B15"/>
    </sheetView>
  </sheetViews>
  <sheetFormatPr defaultRowHeight="15" x14ac:dyDescent="0.25"/>
  <cols>
    <col min="1" max="1" width="20.28515625" customWidth="1"/>
  </cols>
  <sheetData>
    <row r="1" spans="1:6" x14ac:dyDescent="0.25">
      <c r="A1" t="s">
        <v>105</v>
      </c>
    </row>
    <row r="2" spans="1:6" x14ac:dyDescent="0.25">
      <c r="A2">
        <v>1</v>
      </c>
      <c r="B2" t="s">
        <v>98</v>
      </c>
    </row>
    <row r="3" spans="1:6" x14ac:dyDescent="0.25">
      <c r="A3">
        <f>0.3178 * LN(A2) + 0.7405</f>
        <v>0.74050000000000005</v>
      </c>
    </row>
    <row r="6" spans="1:6" x14ac:dyDescent="0.25">
      <c r="A6" s="41" t="s">
        <v>155</v>
      </c>
    </row>
    <row r="7" spans="1:6" x14ac:dyDescent="0.25">
      <c r="B7" t="s">
        <v>148</v>
      </c>
      <c r="D7" t="s">
        <v>149</v>
      </c>
      <c r="F7" t="s">
        <v>150</v>
      </c>
    </row>
    <row r="8" spans="1:6" x14ac:dyDescent="0.25">
      <c r="A8" t="s">
        <v>151</v>
      </c>
      <c r="B8">
        <v>54</v>
      </c>
      <c r="C8" t="s">
        <v>152</v>
      </c>
      <c r="D8">
        <v>21</v>
      </c>
      <c r="E8" t="s">
        <v>152</v>
      </c>
    </row>
    <row r="9" spans="1:6" x14ac:dyDescent="0.25">
      <c r="A9" t="s">
        <v>153</v>
      </c>
      <c r="B9" s="42">
        <f>(ROUND((43.75*B8)/(4.38+B8),1))/100</f>
        <v>0.40500000000000003</v>
      </c>
      <c r="C9" s="42"/>
      <c r="D9" s="42">
        <f>(ROUND((43.75*D8)/(4.38+D8),1))/100</f>
        <v>0.36200000000000004</v>
      </c>
      <c r="E9" s="42"/>
      <c r="F9" s="42">
        <f>B9-D9</f>
        <v>4.2999999999999983E-2</v>
      </c>
    </row>
    <row r="10" spans="1:6" x14ac:dyDescent="0.25">
      <c r="A10" t="s">
        <v>154</v>
      </c>
      <c r="B10" s="42">
        <f>(ROUND(44.53+6.146*LN(B8)+0.145*(LN(B8)^2),1))/100</f>
        <v>0.71400000000000008</v>
      </c>
      <c r="C10" s="42"/>
      <c r="D10" s="42">
        <f>(ROUND(44.53+6.146*LN(D8)+0.145*(LN(D8)^2),1))/100</f>
        <v>0.64599999999999991</v>
      </c>
      <c r="E10" s="42"/>
      <c r="F10" s="42">
        <f>B10-D10</f>
        <v>6.8000000000000171E-2</v>
      </c>
    </row>
    <row r="13" spans="1:6" x14ac:dyDescent="0.25">
      <c r="A13" s="41" t="s">
        <v>158</v>
      </c>
    </row>
    <row r="14" spans="1:6" x14ac:dyDescent="0.25">
      <c r="A14" t="s">
        <v>151</v>
      </c>
      <c r="B14">
        <v>14</v>
      </c>
      <c r="C14" t="s">
        <v>152</v>
      </c>
    </row>
    <row r="15" spans="1:6" x14ac:dyDescent="0.25">
      <c r="A15" t="s">
        <v>153</v>
      </c>
      <c r="B15" s="42">
        <f>(ROUND((43.75*B14)/(4.38+B14),1))/100</f>
        <v>0.33299999999999996</v>
      </c>
      <c r="C15" s="42"/>
    </row>
    <row r="16" spans="1:6" x14ac:dyDescent="0.25">
      <c r="A16" t="s">
        <v>154</v>
      </c>
      <c r="B16" s="42">
        <f>(ROUND(44.53+6.146*LN(B14)+0.145*(LN(B14)^2),1))/100</f>
        <v>0.61799999999999999</v>
      </c>
      <c r="C16" s="4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topLeftCell="N1" workbookViewId="0">
      <selection activeCell="V4" sqref="V4"/>
    </sheetView>
  </sheetViews>
  <sheetFormatPr defaultRowHeight="15" x14ac:dyDescent="0.25"/>
  <cols>
    <col min="1" max="1" width="10.140625" style="31" bestFit="1" customWidth="1"/>
    <col min="2" max="2" width="9.28515625" style="31" bestFit="1" customWidth="1"/>
    <col min="3" max="3" width="13.7109375" style="32" bestFit="1" customWidth="1"/>
    <col min="4" max="4" width="4.85546875" style="31" bestFit="1" customWidth="1"/>
    <col min="5" max="5" width="4.28515625" style="31" bestFit="1" customWidth="1"/>
    <col min="6" max="6" width="8" style="31" bestFit="1" customWidth="1"/>
    <col min="7" max="7" width="9.85546875" style="31" bestFit="1" customWidth="1"/>
    <col min="8" max="9" width="19.85546875" style="32" bestFit="1" customWidth="1"/>
    <col min="10" max="10" width="17.85546875" style="32" bestFit="1" customWidth="1"/>
    <col min="11" max="11" width="15.7109375" style="32" bestFit="1" customWidth="1"/>
    <col min="12" max="13" width="25.28515625" style="32" bestFit="1" customWidth="1"/>
    <col min="14" max="14" width="23.28515625" style="32" bestFit="1" customWidth="1"/>
    <col min="15" max="15" width="23.42578125" style="32" bestFit="1" customWidth="1"/>
    <col min="16" max="16" width="16.7109375" style="32" bestFit="1" customWidth="1"/>
    <col min="17" max="17" width="14.7109375" style="32" bestFit="1" customWidth="1"/>
    <col min="18" max="18" width="13.7109375" style="32" bestFit="1" customWidth="1"/>
    <col min="19" max="20" width="15.85546875" style="32" bestFit="1" customWidth="1"/>
    <col min="21" max="22" width="18.28515625" style="32" bestFit="1" customWidth="1"/>
    <col min="23" max="24" width="13.7109375" style="32" bestFit="1" customWidth="1"/>
  </cols>
  <sheetData>
    <row r="1" spans="1:24" x14ac:dyDescent="0.25">
      <c r="H1" s="32" t="s">
        <v>51</v>
      </c>
      <c r="I1" s="32" t="s">
        <v>51</v>
      </c>
      <c r="J1" s="32" t="s">
        <v>52</v>
      </c>
      <c r="K1" s="32" t="s">
        <v>53</v>
      </c>
      <c r="L1" s="32" t="s">
        <v>54</v>
      </c>
      <c r="M1" s="32" t="s">
        <v>54</v>
      </c>
      <c r="N1" s="32" t="s">
        <v>55</v>
      </c>
      <c r="O1" s="32" t="s">
        <v>56</v>
      </c>
      <c r="P1" s="32" t="s">
        <v>57</v>
      </c>
      <c r="Q1" s="32" t="s">
        <v>58</v>
      </c>
      <c r="S1" s="32" t="s">
        <v>59</v>
      </c>
      <c r="T1" s="32" t="s">
        <v>59</v>
      </c>
      <c r="U1" s="32" t="s">
        <v>60</v>
      </c>
      <c r="V1" s="32" t="s">
        <v>61</v>
      </c>
      <c r="W1" s="32" t="s">
        <v>62</v>
      </c>
      <c r="X1" s="32" t="s">
        <v>63</v>
      </c>
    </row>
    <row r="2" spans="1:24" x14ac:dyDescent="0.25">
      <c r="A2" s="31" t="s">
        <v>64</v>
      </c>
      <c r="B2" s="31" t="s">
        <v>65</v>
      </c>
      <c r="C2" s="32" t="s">
        <v>66</v>
      </c>
      <c r="D2" s="31" t="s">
        <v>67</v>
      </c>
      <c r="E2" s="31" t="s">
        <v>68</v>
      </c>
      <c r="F2" s="31" t="s">
        <v>69</v>
      </c>
      <c r="G2" s="31" t="s">
        <v>70</v>
      </c>
      <c r="H2" s="32" t="s">
        <v>71</v>
      </c>
      <c r="I2" s="32" t="s">
        <v>72</v>
      </c>
      <c r="J2" s="32" t="s">
        <v>73</v>
      </c>
      <c r="K2" s="32" t="s">
        <v>74</v>
      </c>
      <c r="L2" s="32" t="s">
        <v>75</v>
      </c>
      <c r="M2" s="32" t="s">
        <v>76</v>
      </c>
      <c r="N2" s="32" t="s">
        <v>77</v>
      </c>
      <c r="O2" s="32" t="s">
        <v>78</v>
      </c>
      <c r="P2" s="32" t="s">
        <v>79</v>
      </c>
      <c r="Q2" s="32" t="s">
        <v>80</v>
      </c>
      <c r="R2" s="32" t="s">
        <v>81</v>
      </c>
      <c r="S2" s="32" t="s">
        <v>82</v>
      </c>
      <c r="T2" s="32" t="s">
        <v>83</v>
      </c>
      <c r="U2" s="32" t="s">
        <v>84</v>
      </c>
      <c r="V2" s="32" t="s">
        <v>85</v>
      </c>
      <c r="W2" s="32" t="s">
        <v>86</v>
      </c>
      <c r="X2" s="32" t="s">
        <v>87</v>
      </c>
    </row>
    <row r="3" spans="1:24" x14ac:dyDescent="0.25">
      <c r="A3" s="31">
        <v>10</v>
      </c>
      <c r="B3" s="31">
        <v>2</v>
      </c>
      <c r="C3" s="32">
        <v>0.98708690421599998</v>
      </c>
      <c r="D3" s="31">
        <v>11</v>
      </c>
      <c r="E3" s="31">
        <v>10</v>
      </c>
      <c r="F3" s="31">
        <v>2</v>
      </c>
      <c r="G3" s="31" t="s">
        <v>88</v>
      </c>
      <c r="H3" s="32">
        <v>8.9212698019999994</v>
      </c>
      <c r="I3" s="32">
        <v>0.434</v>
      </c>
      <c r="J3" s="32">
        <f>C3*H3</f>
        <v>8.8060685905318667</v>
      </c>
      <c r="K3" s="32">
        <f>C3*I3</f>
        <v>0.428395716429744</v>
      </c>
      <c r="L3" s="32">
        <v>0.218</v>
      </c>
      <c r="M3" s="32">
        <v>0.108</v>
      </c>
      <c r="N3" s="32">
        <f>H3*L3</f>
        <v>1.944836816836</v>
      </c>
      <c r="O3" s="32">
        <f>I3*M3</f>
        <v>4.6871999999999997E-2</v>
      </c>
      <c r="P3" s="32">
        <f>C3*N3</f>
        <v>1.919722952735947</v>
      </c>
      <c r="Q3" s="32">
        <f>C3*O3</f>
        <v>4.6266737374412351E-2</v>
      </c>
      <c r="R3" s="32">
        <v>0.98708690421599998</v>
      </c>
      <c r="S3" s="32">
        <v>0.92900000000000005</v>
      </c>
      <c r="T3" s="32">
        <v>2.4E-2</v>
      </c>
      <c r="U3" s="32">
        <f>R3*S3</f>
        <v>0.91700373401666402</v>
      </c>
      <c r="V3" s="32">
        <f>R3*T3</f>
        <v>2.3690085701183999E-2</v>
      </c>
      <c r="W3" s="32">
        <f>U3/J3</f>
        <v>0.10413315824073988</v>
      </c>
      <c r="X3" s="32">
        <f>V3/K3</f>
        <v>5.5299539170506909E-2</v>
      </c>
    </row>
    <row r="4" spans="1:24" x14ac:dyDescent="0.25">
      <c r="U4" s="33">
        <f>ROUND(U3,1)</f>
        <v>0.9</v>
      </c>
      <c r="V4" s="33">
        <f>ROUND(V3,1)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I1" workbookViewId="0">
      <selection activeCell="N23" sqref="N23"/>
    </sheetView>
  </sheetViews>
  <sheetFormatPr defaultRowHeight="15" x14ac:dyDescent="0.25"/>
  <cols>
    <col min="1" max="1" width="10.140625" style="31" bestFit="1" customWidth="1"/>
    <col min="2" max="2" width="9.28515625" style="31" bestFit="1" customWidth="1"/>
    <col min="3" max="3" width="13.7109375" style="32" bestFit="1" customWidth="1"/>
    <col min="4" max="4" width="4.85546875" style="31" bestFit="1" customWidth="1"/>
    <col min="5" max="5" width="4.28515625" style="31" bestFit="1" customWidth="1"/>
    <col min="6" max="6" width="8" style="31" bestFit="1" customWidth="1"/>
    <col min="7" max="7" width="9.85546875" style="31" bestFit="1" customWidth="1"/>
    <col min="8" max="8" width="14.7109375" style="32" bestFit="1" customWidth="1"/>
    <col min="9" max="9" width="13.7109375" style="32" bestFit="1" customWidth="1"/>
    <col min="10" max="10" width="17.85546875" style="32" bestFit="1" customWidth="1"/>
    <col min="11" max="11" width="15.7109375" style="32" bestFit="1" customWidth="1"/>
    <col min="12" max="15" width="13.7109375" style="32" bestFit="1" customWidth="1"/>
    <col min="16" max="16" width="16.7109375" style="32" bestFit="1" customWidth="1"/>
    <col min="17" max="17" width="14.7109375" style="32" bestFit="1" customWidth="1"/>
    <col min="18" max="20" width="13.7109375" style="32" bestFit="1" customWidth="1"/>
    <col min="21" max="21" width="16.7109375" style="32" bestFit="1" customWidth="1"/>
    <col min="22" max="22" width="14.7109375" style="32" bestFit="1" customWidth="1"/>
    <col min="23" max="24" width="13.7109375" style="32" bestFit="1" customWidth="1"/>
  </cols>
  <sheetData>
    <row r="1" spans="1:24" x14ac:dyDescent="0.25">
      <c r="H1" s="32" t="s">
        <v>51</v>
      </c>
      <c r="I1" s="32" t="s">
        <v>51</v>
      </c>
      <c r="J1" s="32" t="s">
        <v>52</v>
      </c>
      <c r="K1" s="32" t="s">
        <v>53</v>
      </c>
      <c r="L1" s="32" t="s">
        <v>54</v>
      </c>
      <c r="M1" s="32" t="s">
        <v>54</v>
      </c>
      <c r="N1" s="32" t="s">
        <v>55</v>
      </c>
      <c r="O1" s="32" t="s">
        <v>56</v>
      </c>
      <c r="P1" s="32" t="s">
        <v>57</v>
      </c>
      <c r="Q1" s="32" t="s">
        <v>58</v>
      </c>
      <c r="S1" s="32" t="s">
        <v>59</v>
      </c>
      <c r="T1" s="32" t="s">
        <v>59</v>
      </c>
      <c r="U1" s="32" t="s">
        <v>60</v>
      </c>
      <c r="V1" s="32" t="s">
        <v>61</v>
      </c>
      <c r="W1" s="32" t="s">
        <v>62</v>
      </c>
      <c r="X1" s="32" t="s">
        <v>63</v>
      </c>
    </row>
    <row r="2" spans="1:24" x14ac:dyDescent="0.25">
      <c r="A2" s="31" t="s">
        <v>64</v>
      </c>
      <c r="B2" s="31" t="s">
        <v>65</v>
      </c>
      <c r="C2" s="32" t="s">
        <v>66</v>
      </c>
      <c r="D2" s="31" t="s">
        <v>67</v>
      </c>
      <c r="E2" s="31" t="s">
        <v>68</v>
      </c>
      <c r="F2" s="31" t="s">
        <v>69</v>
      </c>
      <c r="G2" s="31" t="s">
        <v>70</v>
      </c>
      <c r="H2" s="32" t="s">
        <v>71</v>
      </c>
      <c r="I2" s="32" t="s">
        <v>72</v>
      </c>
      <c r="J2" s="32" t="s">
        <v>73</v>
      </c>
      <c r="K2" s="32" t="s">
        <v>74</v>
      </c>
      <c r="L2" s="32" t="s">
        <v>75</v>
      </c>
      <c r="M2" s="32" t="s">
        <v>76</v>
      </c>
      <c r="N2" s="32" t="s">
        <v>77</v>
      </c>
      <c r="O2" s="32" t="s">
        <v>78</v>
      </c>
      <c r="P2" s="32" t="s">
        <v>79</v>
      </c>
      <c r="Q2" s="32" t="s">
        <v>80</v>
      </c>
      <c r="R2" s="32" t="s">
        <v>81</v>
      </c>
      <c r="S2" s="32" t="s">
        <v>82</v>
      </c>
      <c r="T2" s="32" t="s">
        <v>83</v>
      </c>
      <c r="U2" s="32" t="s">
        <v>84</v>
      </c>
      <c r="V2" s="32" t="s">
        <v>85</v>
      </c>
      <c r="W2" s="32" t="s">
        <v>86</v>
      </c>
      <c r="X2" s="32" t="s">
        <v>87</v>
      </c>
    </row>
    <row r="3" spans="1:24" x14ac:dyDescent="0.25">
      <c r="A3" s="31">
        <v>10</v>
      </c>
      <c r="B3" s="31">
        <v>2</v>
      </c>
      <c r="C3" s="32">
        <v>1.7642726788500001</v>
      </c>
      <c r="D3" s="31">
        <v>11</v>
      </c>
      <c r="E3" s="31">
        <v>10</v>
      </c>
      <c r="F3" s="31">
        <v>2</v>
      </c>
      <c r="G3" s="31" t="s">
        <v>88</v>
      </c>
      <c r="H3" s="32">
        <v>8.9212698019999994</v>
      </c>
      <c r="I3" s="32">
        <v>0.434</v>
      </c>
      <c r="J3" s="32">
        <f>C3*H3</f>
        <v>15.739552572318148</v>
      </c>
      <c r="K3" s="32">
        <f>C3*I3</f>
        <v>0.76569434262089997</v>
      </c>
      <c r="L3" s="32">
        <v>0.218</v>
      </c>
      <c r="M3" s="32">
        <v>0.108</v>
      </c>
      <c r="N3" s="32">
        <f>H3*L3</f>
        <v>1.944836816836</v>
      </c>
      <c r="O3" s="32">
        <f>I3*M3</f>
        <v>4.6871999999999997E-2</v>
      </c>
      <c r="P3" s="32">
        <f>C3*N3</f>
        <v>3.4312224607653565</v>
      </c>
      <c r="Q3" s="32">
        <f>C3*O3</f>
        <v>8.2694989003057204E-2</v>
      </c>
      <c r="R3" s="32">
        <v>1.7642726788500001</v>
      </c>
      <c r="S3" s="32">
        <v>0.92900000000000005</v>
      </c>
      <c r="T3" s="32">
        <v>2.4E-2</v>
      </c>
      <c r="U3" s="32">
        <f>R3*S3</f>
        <v>1.6390093186516501</v>
      </c>
      <c r="V3" s="32">
        <f>R3*T3</f>
        <v>4.2342544292400003E-2</v>
      </c>
      <c r="W3" s="32">
        <f>U3/J3</f>
        <v>0.10413315824073988</v>
      </c>
      <c r="X3" s="32">
        <f>V3/K3</f>
        <v>5.5299539170506916E-2</v>
      </c>
    </row>
    <row r="4" spans="1:24" x14ac:dyDescent="0.25">
      <c r="A4" s="31">
        <v>10</v>
      </c>
      <c r="B4" s="31">
        <v>13</v>
      </c>
      <c r="C4" s="32">
        <v>0.27786110696999999</v>
      </c>
      <c r="D4" s="31">
        <v>19</v>
      </c>
      <c r="E4" s="31">
        <v>10</v>
      </c>
      <c r="F4" s="31">
        <v>13</v>
      </c>
      <c r="G4" s="31" t="s">
        <v>97</v>
      </c>
      <c r="H4" s="32">
        <v>10.90431008</v>
      </c>
      <c r="I4" s="32">
        <v>0.71499999999999997</v>
      </c>
      <c r="J4" s="32">
        <f>C4*H4</f>
        <v>3.0298836695729294</v>
      </c>
      <c r="K4" s="32">
        <f>C4*I4</f>
        <v>0.19867069148354999</v>
      </c>
      <c r="L4" s="32">
        <v>0.218</v>
      </c>
      <c r="M4" s="32">
        <v>0.109</v>
      </c>
      <c r="N4" s="32">
        <f>H4*L4</f>
        <v>2.3771395974399998</v>
      </c>
      <c r="O4" s="32">
        <f>I4*M4</f>
        <v>7.793499999999999E-2</v>
      </c>
      <c r="P4" s="32">
        <f>C4*N4</f>
        <v>0.66051463996689852</v>
      </c>
      <c r="Q4" s="32">
        <f>C4*O4</f>
        <v>2.1655105371706947E-2</v>
      </c>
      <c r="R4" s="32">
        <v>0.27786110696999999</v>
      </c>
      <c r="S4" s="32">
        <v>1.1339999999999999</v>
      </c>
      <c r="T4" s="32">
        <v>3.9E-2</v>
      </c>
      <c r="U4" s="32">
        <f>R4*S4</f>
        <v>0.31509449530397998</v>
      </c>
      <c r="V4" s="32">
        <f>R4*T4</f>
        <v>1.083658317183E-2</v>
      </c>
      <c r="W4" s="32">
        <f>U4/J4</f>
        <v>0.10399557529824022</v>
      </c>
      <c r="X4" s="32">
        <f>V4/K4</f>
        <v>5.454545454545455E-2</v>
      </c>
    </row>
    <row r="5" spans="1:24" x14ac:dyDescent="0.25">
      <c r="U5" s="32">
        <f>ROUND(SUM(U3:U4),1)</f>
        <v>2</v>
      </c>
      <c r="V5" s="32">
        <f>ROUND(SUM(V3:V4),1)</f>
        <v>0.1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I1" workbookViewId="0">
      <selection activeCell="P21" sqref="P21"/>
    </sheetView>
  </sheetViews>
  <sheetFormatPr defaultRowHeight="15" x14ac:dyDescent="0.25"/>
  <cols>
    <col min="1" max="1" width="10.140625" style="31" bestFit="1" customWidth="1"/>
    <col min="2" max="2" width="9.28515625" style="31" bestFit="1" customWidth="1"/>
    <col min="3" max="3" width="14.7109375" style="32" bestFit="1" customWidth="1"/>
    <col min="4" max="4" width="4.85546875" style="31" bestFit="1" customWidth="1"/>
    <col min="5" max="5" width="4.28515625" style="31" bestFit="1" customWidth="1"/>
    <col min="6" max="6" width="8" style="31" bestFit="1" customWidth="1"/>
    <col min="7" max="7" width="9.85546875" style="31" bestFit="1" customWidth="1"/>
    <col min="8" max="8" width="14.7109375" style="32" bestFit="1" customWidth="1"/>
    <col min="9" max="9" width="13.7109375" style="32" bestFit="1" customWidth="1"/>
    <col min="10" max="10" width="17.85546875" style="32" bestFit="1" customWidth="1"/>
    <col min="11" max="11" width="15.7109375" style="32" bestFit="1" customWidth="1"/>
    <col min="12" max="13" width="13.7109375" style="32" bestFit="1" customWidth="1"/>
    <col min="14" max="14" width="14.7109375" style="32" bestFit="1" customWidth="1"/>
    <col min="15" max="15" width="13.7109375" style="32" bestFit="1" customWidth="1"/>
    <col min="16" max="16" width="16.7109375" style="32" bestFit="1" customWidth="1"/>
    <col min="17" max="17" width="15.7109375" style="32" bestFit="1" customWidth="1"/>
    <col min="18" max="18" width="14.7109375" style="32" bestFit="1" customWidth="1"/>
    <col min="19" max="20" width="13.7109375" style="32" bestFit="1" customWidth="1"/>
    <col min="21" max="21" width="16.7109375" style="32" bestFit="1" customWidth="1"/>
    <col min="22" max="22" width="14.7109375" style="32" bestFit="1" customWidth="1"/>
    <col min="23" max="24" width="13.7109375" style="32" bestFit="1" customWidth="1"/>
  </cols>
  <sheetData>
    <row r="1" spans="1:24" x14ac:dyDescent="0.25">
      <c r="H1" s="32" t="s">
        <v>51</v>
      </c>
      <c r="I1" s="32" t="s">
        <v>51</v>
      </c>
      <c r="J1" s="32" t="s">
        <v>52</v>
      </c>
      <c r="K1" s="32" t="s">
        <v>53</v>
      </c>
      <c r="L1" s="32" t="s">
        <v>54</v>
      </c>
      <c r="M1" s="32" t="s">
        <v>54</v>
      </c>
      <c r="N1" s="32" t="s">
        <v>55</v>
      </c>
      <c r="O1" s="32" t="s">
        <v>56</v>
      </c>
      <c r="P1" s="32" t="s">
        <v>57</v>
      </c>
      <c r="Q1" s="32" t="s">
        <v>58</v>
      </c>
      <c r="S1" s="32" t="s">
        <v>59</v>
      </c>
      <c r="T1" s="32" t="s">
        <v>59</v>
      </c>
      <c r="U1" s="32" t="s">
        <v>60</v>
      </c>
      <c r="V1" s="32" t="s">
        <v>61</v>
      </c>
      <c r="W1" s="32" t="s">
        <v>62</v>
      </c>
      <c r="X1" s="32" t="s">
        <v>63</v>
      </c>
    </row>
    <row r="2" spans="1:24" x14ac:dyDescent="0.25">
      <c r="A2" s="31" t="s">
        <v>64</v>
      </c>
      <c r="B2" s="31" t="s">
        <v>65</v>
      </c>
      <c r="C2" s="32" t="s">
        <v>66</v>
      </c>
      <c r="D2" s="31" t="s">
        <v>67</v>
      </c>
      <c r="E2" s="31" t="s">
        <v>68</v>
      </c>
      <c r="F2" s="31" t="s">
        <v>69</v>
      </c>
      <c r="G2" s="31" t="s">
        <v>70</v>
      </c>
      <c r="H2" s="32" t="s">
        <v>71</v>
      </c>
      <c r="I2" s="32" t="s">
        <v>72</v>
      </c>
      <c r="J2" s="32" t="s">
        <v>73</v>
      </c>
      <c r="K2" s="32" t="s">
        <v>74</v>
      </c>
      <c r="L2" s="32" t="s">
        <v>75</v>
      </c>
      <c r="M2" s="32" t="s">
        <v>76</v>
      </c>
      <c r="N2" s="32" t="s">
        <v>77</v>
      </c>
      <c r="O2" s="32" t="s">
        <v>78</v>
      </c>
      <c r="P2" s="32" t="s">
        <v>79</v>
      </c>
      <c r="Q2" s="32" t="s">
        <v>80</v>
      </c>
      <c r="R2" s="32" t="s">
        <v>81</v>
      </c>
      <c r="S2" s="32" t="s">
        <v>82</v>
      </c>
      <c r="T2" s="32" t="s">
        <v>83</v>
      </c>
      <c r="U2" s="32" t="s">
        <v>84</v>
      </c>
      <c r="V2" s="32" t="s">
        <v>85</v>
      </c>
      <c r="W2" s="32" t="s">
        <v>86</v>
      </c>
      <c r="X2" s="32" t="s">
        <v>87</v>
      </c>
    </row>
    <row r="3" spans="1:24" x14ac:dyDescent="0.25">
      <c r="A3" s="31">
        <v>10</v>
      </c>
      <c r="B3" s="31">
        <v>2</v>
      </c>
      <c r="C3" s="32">
        <v>3.0627825090299998</v>
      </c>
      <c r="D3" s="31">
        <v>11</v>
      </c>
      <c r="E3" s="31">
        <v>10</v>
      </c>
      <c r="F3" s="31">
        <v>2</v>
      </c>
      <c r="G3" s="31" t="s">
        <v>88</v>
      </c>
      <c r="H3" s="32">
        <v>8.9212698019999994</v>
      </c>
      <c r="I3" s="32">
        <v>0.434</v>
      </c>
      <c r="J3" s="32">
        <f>C3*H3</f>
        <v>27.323909107903127</v>
      </c>
      <c r="K3" s="32">
        <f>C3*I3</f>
        <v>1.3292476089190199</v>
      </c>
      <c r="L3" s="32">
        <v>0.218</v>
      </c>
      <c r="M3" s="32">
        <v>0.108</v>
      </c>
      <c r="N3" s="32">
        <f>H3*L3</f>
        <v>1.944836816836</v>
      </c>
      <c r="O3" s="32">
        <f>I3*M3</f>
        <v>4.6871999999999997E-2</v>
      </c>
      <c r="P3" s="32">
        <f>C3*N3</f>
        <v>5.9566121855228822</v>
      </c>
      <c r="Q3" s="32">
        <f>C3*O3</f>
        <v>0.14355874176325414</v>
      </c>
      <c r="R3" s="32">
        <v>3.0627825090299998</v>
      </c>
      <c r="S3" s="32">
        <v>0.92900000000000005</v>
      </c>
      <c r="T3" s="32">
        <v>2.4E-2</v>
      </c>
      <c r="U3" s="32">
        <f>R3*S3</f>
        <v>2.8453249508888701</v>
      </c>
      <c r="V3" s="32">
        <f>R3*T3</f>
        <v>7.3506780216719997E-2</v>
      </c>
      <c r="W3" s="32">
        <f>U3/J3</f>
        <v>0.10413315824073989</v>
      </c>
      <c r="X3" s="32">
        <f>V3/K3</f>
        <v>5.5299539170506916E-2</v>
      </c>
    </row>
    <row r="4" spans="1:24" x14ac:dyDescent="0.25">
      <c r="A4" s="31">
        <v>10</v>
      </c>
      <c r="B4" s="31">
        <v>4</v>
      </c>
      <c r="C4" s="32">
        <v>3.2484361184900001E-2</v>
      </c>
      <c r="D4" s="31">
        <v>13</v>
      </c>
      <c r="E4" s="31">
        <v>10</v>
      </c>
      <c r="F4" s="31">
        <v>4</v>
      </c>
      <c r="G4" s="31" t="s">
        <v>91</v>
      </c>
      <c r="H4" s="32">
        <v>13.15277966</v>
      </c>
      <c r="I4" s="32">
        <v>1.1859999999999999</v>
      </c>
      <c r="J4" s="32">
        <f t="shared" ref="J4:J10" si="0">C4*H4</f>
        <v>0.42725964506084624</v>
      </c>
      <c r="K4" s="32">
        <f t="shared" ref="K4:K10" si="1">C4*I4</f>
        <v>3.8526452365291397E-2</v>
      </c>
      <c r="L4" s="32">
        <v>0.215</v>
      </c>
      <c r="M4" s="32">
        <v>0.107</v>
      </c>
      <c r="N4" s="32">
        <f t="shared" ref="N4:N10" si="2">H4*L4</f>
        <v>2.8278476269000001</v>
      </c>
      <c r="O4" s="32">
        <f t="shared" ref="O4:O10" si="3">I4*M4</f>
        <v>0.12690199999999999</v>
      </c>
      <c r="P4" s="32">
        <f t="shared" ref="P4:P10" si="4">C4*N4</f>
        <v>9.1860823688081947E-2</v>
      </c>
      <c r="Q4" s="32">
        <f t="shared" ref="Q4:Q10" si="5">C4*O4</f>
        <v>4.1223304030861795E-3</v>
      </c>
      <c r="R4" s="32">
        <v>3.2484361184900001E-2</v>
      </c>
      <c r="S4" s="32">
        <v>1.3440000000000001</v>
      </c>
      <c r="T4" s="32">
        <v>6.4000000000000001E-2</v>
      </c>
      <c r="U4" s="32">
        <f t="shared" ref="U4:U10" si="6">R4*S4</f>
        <v>4.3658981432505607E-2</v>
      </c>
      <c r="V4" s="32">
        <f t="shared" ref="V4:V10" si="7">R4*T4</f>
        <v>2.0789991158336003E-3</v>
      </c>
      <c r="W4" s="32">
        <f t="shared" ref="W4:W10" si="8">U4/J4</f>
        <v>0.10218372349742534</v>
      </c>
      <c r="X4" s="32">
        <f t="shared" ref="X4:X10" si="9">V4/K4</f>
        <v>5.3962900505902203E-2</v>
      </c>
    </row>
    <row r="5" spans="1:24" x14ac:dyDescent="0.25">
      <c r="A5" s="31">
        <v>10</v>
      </c>
      <c r="B5" s="31">
        <v>6</v>
      </c>
      <c r="C5" s="32">
        <v>0.381142544034</v>
      </c>
      <c r="D5" s="31">
        <v>14</v>
      </c>
      <c r="E5" s="31">
        <v>10</v>
      </c>
      <c r="F5" s="31">
        <v>6</v>
      </c>
      <c r="G5" s="31" t="s">
        <v>92</v>
      </c>
      <c r="H5" s="32">
        <v>4.3928867030000003</v>
      </c>
      <c r="I5" s="32">
        <v>0.187</v>
      </c>
      <c r="J5" s="32">
        <f t="shared" si="0"/>
        <v>1.6743160136345507</v>
      </c>
      <c r="K5" s="32">
        <f t="shared" si="1"/>
        <v>7.1273655734357996E-2</v>
      </c>
      <c r="L5" s="32">
        <v>0.221</v>
      </c>
      <c r="M5" s="32">
        <v>0.111</v>
      </c>
      <c r="N5" s="32">
        <f t="shared" si="2"/>
        <v>0.97082796136300009</v>
      </c>
      <c r="O5" s="32">
        <f t="shared" si="3"/>
        <v>2.0757000000000001E-2</v>
      </c>
      <c r="P5" s="32">
        <f t="shared" si="4"/>
        <v>0.37002383901323571</v>
      </c>
      <c r="Q5" s="32">
        <f t="shared" si="5"/>
        <v>7.9113757865137378E-3</v>
      </c>
      <c r="R5" s="32">
        <v>0.381142544034</v>
      </c>
      <c r="S5" s="32">
        <v>0.46600000000000003</v>
      </c>
      <c r="T5" s="32">
        <v>0.01</v>
      </c>
      <c r="U5" s="32">
        <f t="shared" si="6"/>
        <v>0.17761242551984402</v>
      </c>
      <c r="V5" s="32">
        <f t="shared" si="7"/>
        <v>3.8114254403399999E-3</v>
      </c>
      <c r="W5" s="32">
        <f t="shared" si="8"/>
        <v>0.10608058698207679</v>
      </c>
      <c r="X5" s="32">
        <f t="shared" si="9"/>
        <v>5.3475935828877004E-2</v>
      </c>
    </row>
    <row r="6" spans="1:24" x14ac:dyDescent="0.25">
      <c r="A6" s="31">
        <v>10</v>
      </c>
      <c r="B6" s="31">
        <v>8</v>
      </c>
      <c r="C6" s="32">
        <v>0.101477435803</v>
      </c>
      <c r="D6" s="31">
        <v>15</v>
      </c>
      <c r="E6" s="31">
        <v>10</v>
      </c>
      <c r="F6" s="31">
        <v>8</v>
      </c>
      <c r="G6" s="31" t="s">
        <v>93</v>
      </c>
      <c r="H6" s="32">
        <v>10.918255329999999</v>
      </c>
      <c r="I6" s="32">
        <v>0.57399999999999995</v>
      </c>
      <c r="J6" s="32">
        <f t="shared" si="0"/>
        <v>1.1079565543308376</v>
      </c>
      <c r="K6" s="32">
        <f t="shared" si="1"/>
        <v>5.8248048150922001E-2</v>
      </c>
      <c r="L6" s="32">
        <v>0.22700000000000001</v>
      </c>
      <c r="M6" s="32">
        <v>0.115</v>
      </c>
      <c r="N6" s="32">
        <f t="shared" si="2"/>
        <v>2.4784439599099999</v>
      </c>
      <c r="O6" s="32">
        <f t="shared" si="3"/>
        <v>6.6009999999999999E-2</v>
      </c>
      <c r="P6" s="32">
        <f t="shared" si="4"/>
        <v>0.25150613783310011</v>
      </c>
      <c r="Q6" s="32">
        <f t="shared" si="5"/>
        <v>6.6985255373560306E-3</v>
      </c>
      <c r="R6" s="32">
        <v>0.101477435803</v>
      </c>
      <c r="S6" s="32">
        <v>1.194</v>
      </c>
      <c r="T6" s="32">
        <v>3.3000000000000002E-2</v>
      </c>
      <c r="U6" s="32">
        <f t="shared" si="6"/>
        <v>0.12116405834878199</v>
      </c>
      <c r="V6" s="32">
        <f t="shared" si="7"/>
        <v>3.3487553814990005E-3</v>
      </c>
      <c r="W6" s="32">
        <f t="shared" si="8"/>
        <v>0.10935813130503148</v>
      </c>
      <c r="X6" s="32">
        <f t="shared" si="9"/>
        <v>5.7491289198606278E-2</v>
      </c>
    </row>
    <row r="7" spans="1:24" x14ac:dyDescent="0.25">
      <c r="A7" s="31">
        <v>10</v>
      </c>
      <c r="B7" s="31">
        <v>12</v>
      </c>
      <c r="C7" s="32">
        <v>90.543904551899999</v>
      </c>
      <c r="D7" s="31">
        <v>18</v>
      </c>
      <c r="E7" s="31">
        <v>10</v>
      </c>
      <c r="F7" s="31">
        <v>12</v>
      </c>
      <c r="G7" s="31" t="s">
        <v>96</v>
      </c>
      <c r="H7" s="32">
        <v>0.236666295</v>
      </c>
      <c r="I7" s="32">
        <v>6.0000000000000001E-3</v>
      </c>
      <c r="J7" s="32">
        <f t="shared" si="0"/>
        <v>21.428690425131808</v>
      </c>
      <c r="K7" s="32">
        <f t="shared" si="1"/>
        <v>0.54326342731139998</v>
      </c>
      <c r="L7" s="32">
        <v>0.24299999999999999</v>
      </c>
      <c r="M7" s="32">
        <v>0.126</v>
      </c>
      <c r="N7" s="32">
        <f t="shared" si="2"/>
        <v>5.7509909684999999E-2</v>
      </c>
      <c r="O7" s="32">
        <f t="shared" si="3"/>
        <v>7.5600000000000005E-4</v>
      </c>
      <c r="P7" s="32">
        <f t="shared" si="4"/>
        <v>5.2071717733070289</v>
      </c>
      <c r="Q7" s="32">
        <f t="shared" si="5"/>
        <v>6.8451191841236408E-2</v>
      </c>
      <c r="R7" s="32">
        <v>90.543904551899999</v>
      </c>
      <c r="S7" s="32">
        <v>2.8000000000000001E-2</v>
      </c>
      <c r="T7" s="32">
        <v>0</v>
      </c>
      <c r="U7" s="32">
        <f t="shared" si="6"/>
        <v>2.5352293274531998</v>
      </c>
      <c r="V7" s="32">
        <f t="shared" si="7"/>
        <v>0</v>
      </c>
      <c r="W7" s="32">
        <f t="shared" si="8"/>
        <v>0.1183100449516903</v>
      </c>
      <c r="X7" s="32">
        <f t="shared" si="9"/>
        <v>0</v>
      </c>
    </row>
    <row r="8" spans="1:24" x14ac:dyDescent="0.25">
      <c r="A8" s="31">
        <v>10</v>
      </c>
      <c r="B8" s="31">
        <v>13</v>
      </c>
      <c r="C8" s="32">
        <v>23.83219034</v>
      </c>
      <c r="D8" s="31">
        <v>19</v>
      </c>
      <c r="E8" s="31">
        <v>10</v>
      </c>
      <c r="F8" s="31">
        <v>13</v>
      </c>
      <c r="G8" s="31" t="s">
        <v>97</v>
      </c>
      <c r="H8" s="32">
        <v>10.90431008</v>
      </c>
      <c r="I8" s="32">
        <v>0.71499999999999997</v>
      </c>
      <c r="J8" s="32">
        <f t="shared" si="0"/>
        <v>259.87359335294065</v>
      </c>
      <c r="K8" s="32">
        <f t="shared" si="1"/>
        <v>17.0400160931</v>
      </c>
      <c r="L8" s="32">
        <v>0.218</v>
      </c>
      <c r="M8" s="32">
        <v>0.109</v>
      </c>
      <c r="N8" s="32">
        <f t="shared" si="2"/>
        <v>2.3771395974399998</v>
      </c>
      <c r="O8" s="32">
        <f t="shared" si="3"/>
        <v>7.793499999999999E-2</v>
      </c>
      <c r="P8" s="32">
        <f t="shared" si="4"/>
        <v>56.652443350941056</v>
      </c>
      <c r="Q8" s="32">
        <f t="shared" si="5"/>
        <v>1.8573617541478997</v>
      </c>
      <c r="R8" s="32">
        <v>23.83219034</v>
      </c>
      <c r="S8" s="32">
        <v>1.1339999999999999</v>
      </c>
      <c r="T8" s="32">
        <v>3.9E-2</v>
      </c>
      <c r="U8" s="32">
        <f t="shared" si="6"/>
        <v>27.025703845559999</v>
      </c>
      <c r="V8" s="32">
        <f t="shared" si="7"/>
        <v>0.92945542325999997</v>
      </c>
      <c r="W8" s="32">
        <f t="shared" si="8"/>
        <v>0.10399557529824022</v>
      </c>
      <c r="X8" s="32">
        <f t="shared" si="9"/>
        <v>5.4545454545454543E-2</v>
      </c>
    </row>
    <row r="9" spans="1:24" x14ac:dyDescent="0.25">
      <c r="A9" s="31">
        <v>13</v>
      </c>
      <c r="B9" s="31">
        <v>4</v>
      </c>
      <c r="C9" s="32">
        <v>0.125739682321</v>
      </c>
      <c r="D9" s="31">
        <v>41</v>
      </c>
      <c r="E9" s="31">
        <v>13</v>
      </c>
      <c r="F9" s="31">
        <v>4</v>
      </c>
      <c r="G9" s="31" t="s">
        <v>91</v>
      </c>
      <c r="H9" s="32">
        <v>26.09263662</v>
      </c>
      <c r="I9" s="32">
        <v>1.754</v>
      </c>
      <c r="J9" s="32">
        <f t="shared" si="0"/>
        <v>3.280879839516091</v>
      </c>
      <c r="K9" s="32">
        <f t="shared" si="1"/>
        <v>0.22054740279103399</v>
      </c>
      <c r="L9" s="32">
        <v>0.51800000000000002</v>
      </c>
      <c r="M9" s="32">
        <v>0.32300000000000001</v>
      </c>
      <c r="N9" s="32">
        <f t="shared" si="2"/>
        <v>13.51598576916</v>
      </c>
      <c r="O9" s="32">
        <f t="shared" si="3"/>
        <v>0.56654199999999999</v>
      </c>
      <c r="P9" s="32">
        <f t="shared" si="4"/>
        <v>1.6994957568693352</v>
      </c>
      <c r="Q9" s="32">
        <f t="shared" si="5"/>
        <v>7.1236811101503983E-2</v>
      </c>
      <c r="R9" s="32">
        <v>0.125739682321</v>
      </c>
      <c r="S9" s="32">
        <v>6.43</v>
      </c>
      <c r="T9" s="32">
        <v>0.28499999999999998</v>
      </c>
      <c r="U9" s="32">
        <f t="shared" si="6"/>
        <v>0.80850615732402997</v>
      </c>
      <c r="V9" s="32">
        <f t="shared" si="7"/>
        <v>3.5835809461484992E-2</v>
      </c>
      <c r="W9" s="32">
        <f t="shared" si="8"/>
        <v>0.24642967645022912</v>
      </c>
      <c r="X9" s="32">
        <f t="shared" si="9"/>
        <v>0.16248574686431011</v>
      </c>
    </row>
    <row r="10" spans="1:24" x14ac:dyDescent="0.25">
      <c r="A10" s="31">
        <v>13</v>
      </c>
      <c r="B10" s="31">
        <v>12</v>
      </c>
      <c r="C10" s="32">
        <v>0.52749394031800001</v>
      </c>
      <c r="D10" s="31">
        <v>45</v>
      </c>
      <c r="E10" s="31">
        <v>13</v>
      </c>
      <c r="F10" s="31">
        <v>12</v>
      </c>
      <c r="G10" s="31" t="s">
        <v>96</v>
      </c>
      <c r="H10" s="32">
        <v>0.479817983</v>
      </c>
      <c r="I10" s="32">
        <v>8.0000000000000002E-3</v>
      </c>
      <c r="J10" s="32">
        <f t="shared" si="0"/>
        <v>0.25310107848810515</v>
      </c>
      <c r="K10" s="32">
        <f t="shared" si="1"/>
        <v>4.2199515225439998E-3</v>
      </c>
      <c r="L10" s="32">
        <v>0.56699999999999995</v>
      </c>
      <c r="M10" s="32">
        <v>0.371</v>
      </c>
      <c r="N10" s="32">
        <f t="shared" si="2"/>
        <v>0.272056796361</v>
      </c>
      <c r="O10" s="32">
        <f t="shared" si="3"/>
        <v>2.9680000000000002E-3</v>
      </c>
      <c r="P10" s="32">
        <f t="shared" si="4"/>
        <v>0.14350831150275561</v>
      </c>
      <c r="Q10" s="32">
        <f t="shared" si="5"/>
        <v>1.5656020148638241E-3</v>
      </c>
      <c r="R10" s="32">
        <v>0.52749394031800001</v>
      </c>
      <c r="S10" s="32">
        <v>0.13500000000000001</v>
      </c>
      <c r="T10" s="32">
        <v>2E-3</v>
      </c>
      <c r="U10" s="32">
        <f t="shared" si="6"/>
        <v>7.1211681942930011E-2</v>
      </c>
      <c r="V10" s="32">
        <f t="shared" si="7"/>
        <v>1.054987880636E-3</v>
      </c>
      <c r="W10" s="32">
        <f t="shared" si="8"/>
        <v>0.28135669104340344</v>
      </c>
      <c r="X10" s="32">
        <f t="shared" si="9"/>
        <v>0.25</v>
      </c>
    </row>
    <row r="11" spans="1:24" x14ac:dyDescent="0.25">
      <c r="U11" s="32">
        <f>ROUND(SUM(U3:U10),1)</f>
        <v>33.6</v>
      </c>
      <c r="V11" s="32">
        <f>ROUND(SUM(V3:V10),1)</f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3" sqref="D13"/>
    </sheetView>
  </sheetViews>
  <sheetFormatPr defaultRowHeight="15" x14ac:dyDescent="0.25"/>
  <cols>
    <col min="1" max="1" width="19" customWidth="1"/>
    <col min="2" max="2" width="21" bestFit="1" customWidth="1"/>
    <col min="3" max="3" width="8.42578125" bestFit="1" customWidth="1"/>
    <col min="4" max="4" width="9" bestFit="1" customWidth="1"/>
  </cols>
  <sheetData>
    <row r="1" spans="1:4" x14ac:dyDescent="0.25">
      <c r="A1" s="36" t="s">
        <v>114</v>
      </c>
      <c r="B1" s="36"/>
      <c r="C1" s="36"/>
      <c r="D1" s="36"/>
    </row>
    <row r="2" spans="1:4" x14ac:dyDescent="0.25">
      <c r="A2" s="36"/>
      <c r="B2" s="36"/>
      <c r="C2" s="36"/>
      <c r="D2" s="36"/>
    </row>
    <row r="3" spans="1:4" x14ac:dyDescent="0.25">
      <c r="A3" s="36" t="s">
        <v>115</v>
      </c>
      <c r="B3" s="36" t="s">
        <v>116</v>
      </c>
      <c r="C3" s="36" t="s">
        <v>117</v>
      </c>
      <c r="D3" s="36" t="s">
        <v>118</v>
      </c>
    </row>
    <row r="4" spans="1:4" x14ac:dyDescent="0.25">
      <c r="A4" s="36" t="s">
        <v>119</v>
      </c>
      <c r="B4" s="36" t="s">
        <v>120</v>
      </c>
      <c r="C4" s="36">
        <v>0</v>
      </c>
      <c r="D4" s="36">
        <f>+C4*2.2</f>
        <v>0</v>
      </c>
    </row>
    <row r="5" spans="1:4" x14ac:dyDescent="0.25">
      <c r="A5" s="36" t="s">
        <v>119</v>
      </c>
      <c r="B5" s="36" t="s">
        <v>121</v>
      </c>
      <c r="C5" s="36">
        <v>13.1</v>
      </c>
      <c r="D5" s="36">
        <f t="shared" ref="D5:D11" si="0">+C5*2.2</f>
        <v>28.82</v>
      </c>
    </row>
    <row r="6" spans="1:4" x14ac:dyDescent="0.25">
      <c r="A6" s="36" t="s">
        <v>122</v>
      </c>
      <c r="B6" s="36" t="s">
        <v>120</v>
      </c>
      <c r="C6" s="36">
        <v>0</v>
      </c>
      <c r="D6" s="36">
        <f t="shared" si="0"/>
        <v>0</v>
      </c>
    </row>
    <row r="7" spans="1:4" x14ac:dyDescent="0.25">
      <c r="A7" s="36" t="s">
        <v>122</v>
      </c>
      <c r="B7" s="36" t="s">
        <v>121</v>
      </c>
      <c r="C7" s="36">
        <v>40.6</v>
      </c>
      <c r="D7" s="36">
        <f t="shared" si="0"/>
        <v>89.320000000000007</v>
      </c>
    </row>
    <row r="8" spans="1:4" x14ac:dyDescent="0.25">
      <c r="A8" s="36" t="s">
        <v>123</v>
      </c>
      <c r="B8" s="36" t="s">
        <v>120</v>
      </c>
      <c r="C8" s="36">
        <v>0</v>
      </c>
      <c r="D8" s="36">
        <f t="shared" si="0"/>
        <v>0</v>
      </c>
    </row>
    <row r="9" spans="1:4" x14ac:dyDescent="0.25">
      <c r="A9" s="36" t="s">
        <v>123</v>
      </c>
      <c r="B9" s="36" t="s">
        <v>121</v>
      </c>
      <c r="C9" s="36">
        <v>204</v>
      </c>
      <c r="D9" s="36">
        <f t="shared" si="0"/>
        <v>448.8</v>
      </c>
    </row>
    <row r="10" spans="1:4" x14ac:dyDescent="0.25">
      <c r="A10" s="36" t="s">
        <v>124</v>
      </c>
      <c r="B10" s="36" t="s">
        <v>120</v>
      </c>
      <c r="C10" s="36">
        <v>0</v>
      </c>
      <c r="D10" s="36">
        <f t="shared" si="0"/>
        <v>0</v>
      </c>
    </row>
    <row r="11" spans="1:4" x14ac:dyDescent="0.25">
      <c r="A11" s="36" t="s">
        <v>124</v>
      </c>
      <c r="B11" s="36" t="s">
        <v>121</v>
      </c>
      <c r="C11" s="36">
        <v>52.7</v>
      </c>
      <c r="D11" s="36">
        <f t="shared" si="0"/>
        <v>115.94000000000001</v>
      </c>
    </row>
    <row r="12" spans="1:4" x14ac:dyDescent="0.25">
      <c r="A12" s="36"/>
      <c r="B12" s="36"/>
      <c r="C12" s="36"/>
      <c r="D12" s="36"/>
    </row>
    <row r="13" spans="1:4" x14ac:dyDescent="0.25">
      <c r="A13" s="36"/>
      <c r="B13" s="36" t="s">
        <v>125</v>
      </c>
      <c r="C13" s="36">
        <f>+SUM(C4:C11)</f>
        <v>310.39999999999998</v>
      </c>
      <c r="D13" s="36">
        <f>+SUM(D4:D11)</f>
        <v>682.88000000000011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J1" workbookViewId="0">
      <selection activeCell="J1" sqref="A1:XFD1"/>
    </sheetView>
  </sheetViews>
  <sheetFormatPr defaultRowHeight="15" x14ac:dyDescent="0.25"/>
  <cols>
    <col min="1" max="1" width="10.140625" style="31" bestFit="1" customWidth="1"/>
    <col min="2" max="2" width="9.28515625" style="31" bestFit="1" customWidth="1"/>
    <col min="3" max="3" width="15.7109375" style="32" bestFit="1" customWidth="1"/>
    <col min="4" max="4" width="4.85546875" style="31" bestFit="1" customWidth="1"/>
    <col min="5" max="5" width="4.28515625" style="31" bestFit="1" customWidth="1"/>
    <col min="6" max="6" width="8" style="31" bestFit="1" customWidth="1"/>
    <col min="7" max="7" width="9.85546875" style="31" bestFit="1" customWidth="1"/>
    <col min="8" max="8" width="14.7109375" style="32" bestFit="1" customWidth="1"/>
    <col min="9" max="9" width="13.7109375" style="32" bestFit="1" customWidth="1"/>
    <col min="10" max="10" width="17.85546875" style="32" bestFit="1" customWidth="1"/>
    <col min="11" max="11" width="15.7109375" style="32" bestFit="1" customWidth="1"/>
    <col min="12" max="13" width="13.7109375" style="32" bestFit="1" customWidth="1"/>
    <col min="14" max="14" width="14.7109375" style="32" bestFit="1" customWidth="1"/>
    <col min="15" max="15" width="13.7109375" style="32" bestFit="1" customWidth="1"/>
    <col min="16" max="16" width="16.7109375" style="32" bestFit="1" customWidth="1"/>
    <col min="17" max="18" width="15.7109375" style="32" bestFit="1" customWidth="1"/>
    <col min="19" max="19" width="14.7109375" style="32" bestFit="1" customWidth="1"/>
    <col min="20" max="20" width="13.7109375" style="32" bestFit="1" customWidth="1"/>
    <col min="21" max="21" width="16.7109375" style="32" bestFit="1" customWidth="1"/>
    <col min="22" max="22" width="15.7109375" style="32" bestFit="1" customWidth="1"/>
    <col min="23" max="24" width="13.7109375" style="32" bestFit="1" customWidth="1"/>
  </cols>
  <sheetData>
    <row r="1" spans="1:24" x14ac:dyDescent="0.25">
      <c r="H1" s="32" t="s">
        <v>51</v>
      </c>
      <c r="I1" s="32" t="s">
        <v>51</v>
      </c>
      <c r="J1" s="32" t="s">
        <v>52</v>
      </c>
      <c r="K1" s="32" t="s">
        <v>53</v>
      </c>
      <c r="L1" s="32" t="s">
        <v>54</v>
      </c>
      <c r="M1" s="32" t="s">
        <v>54</v>
      </c>
      <c r="N1" s="32" t="s">
        <v>55</v>
      </c>
      <c r="O1" s="32" t="s">
        <v>56</v>
      </c>
      <c r="P1" s="32" t="s">
        <v>57</v>
      </c>
      <c r="Q1" s="32" t="s">
        <v>58</v>
      </c>
      <c r="S1" s="32" t="s">
        <v>59</v>
      </c>
      <c r="T1" s="32" t="s">
        <v>59</v>
      </c>
      <c r="U1" s="32" t="s">
        <v>60</v>
      </c>
      <c r="V1" s="32" t="s">
        <v>61</v>
      </c>
      <c r="W1" s="32" t="s">
        <v>62</v>
      </c>
      <c r="X1" s="32" t="s">
        <v>63</v>
      </c>
    </row>
    <row r="2" spans="1:24" x14ac:dyDescent="0.25">
      <c r="A2" s="31" t="s">
        <v>64</v>
      </c>
      <c r="B2" s="31" t="s">
        <v>65</v>
      </c>
      <c r="C2" s="32" t="s">
        <v>66</v>
      </c>
      <c r="D2" s="31" t="s">
        <v>67</v>
      </c>
      <c r="E2" s="31" t="s">
        <v>68</v>
      </c>
      <c r="F2" s="31" t="s">
        <v>69</v>
      </c>
      <c r="G2" s="31" t="s">
        <v>70</v>
      </c>
      <c r="H2" s="32" t="s">
        <v>71</v>
      </c>
      <c r="I2" s="32" t="s">
        <v>72</v>
      </c>
      <c r="J2" s="32" t="s">
        <v>73</v>
      </c>
      <c r="K2" s="32" t="s">
        <v>74</v>
      </c>
      <c r="L2" s="32" t="s">
        <v>75</v>
      </c>
      <c r="M2" s="32" t="s">
        <v>76</v>
      </c>
      <c r="N2" s="32" t="s">
        <v>77</v>
      </c>
      <c r="O2" s="32" t="s">
        <v>78</v>
      </c>
      <c r="P2" s="32" t="s">
        <v>79</v>
      </c>
      <c r="Q2" s="32" t="s">
        <v>80</v>
      </c>
      <c r="R2" s="32" t="s">
        <v>81</v>
      </c>
      <c r="S2" s="32" t="s">
        <v>82</v>
      </c>
      <c r="T2" s="32" t="s">
        <v>83</v>
      </c>
      <c r="U2" s="32" t="s">
        <v>84</v>
      </c>
      <c r="V2" s="32" t="s">
        <v>85</v>
      </c>
      <c r="W2" s="32" t="s">
        <v>86</v>
      </c>
      <c r="X2" s="32" t="s">
        <v>87</v>
      </c>
    </row>
    <row r="3" spans="1:24" x14ac:dyDescent="0.25">
      <c r="A3" s="31">
        <v>3</v>
      </c>
      <c r="B3" s="31">
        <v>2</v>
      </c>
      <c r="C3" s="32">
        <v>3.59906145821</v>
      </c>
      <c r="D3" s="31">
        <v>1</v>
      </c>
      <c r="E3" s="31">
        <v>0</v>
      </c>
      <c r="F3" s="31">
        <v>0</v>
      </c>
      <c r="H3" s="32">
        <v>0</v>
      </c>
      <c r="I3" s="32">
        <v>0</v>
      </c>
      <c r="J3" s="32">
        <f>C3*H3</f>
        <v>0</v>
      </c>
      <c r="K3" s="32">
        <f>C3*I3</f>
        <v>0</v>
      </c>
      <c r="L3" s="32">
        <v>0</v>
      </c>
      <c r="M3" s="32">
        <v>0</v>
      </c>
      <c r="N3" s="32">
        <f>H3*L3</f>
        <v>0</v>
      </c>
      <c r="O3" s="32">
        <f>I3*M3</f>
        <v>0</v>
      </c>
      <c r="P3" s="32">
        <v>0</v>
      </c>
      <c r="Q3" s="32">
        <v>0</v>
      </c>
      <c r="R3" s="32">
        <v>3.59906145821</v>
      </c>
      <c r="S3" s="32">
        <v>0</v>
      </c>
      <c r="T3" s="32">
        <v>0</v>
      </c>
      <c r="U3" s="32">
        <f>R3*S3</f>
        <v>0</v>
      </c>
      <c r="V3" s="32">
        <f>R3*T3</f>
        <v>0</v>
      </c>
      <c r="W3" s="32">
        <v>0</v>
      </c>
      <c r="X3" s="32">
        <v>0</v>
      </c>
    </row>
    <row r="4" spans="1:24" x14ac:dyDescent="0.25">
      <c r="A4" s="31">
        <v>3</v>
      </c>
      <c r="B4" s="31">
        <v>3</v>
      </c>
      <c r="C4" s="32">
        <v>2.3649443537599999E-3</v>
      </c>
      <c r="D4" s="31">
        <v>2</v>
      </c>
      <c r="E4" s="31">
        <v>0</v>
      </c>
      <c r="F4" s="31">
        <v>0</v>
      </c>
      <c r="H4" s="32">
        <v>0</v>
      </c>
      <c r="I4" s="32">
        <v>0</v>
      </c>
      <c r="J4" s="32">
        <f t="shared" ref="J4:J25" si="0">C4*H4</f>
        <v>0</v>
      </c>
      <c r="K4" s="32">
        <f t="shared" ref="K4:K25" si="1">C4*I4</f>
        <v>0</v>
      </c>
      <c r="L4" s="32">
        <v>0</v>
      </c>
      <c r="M4" s="32">
        <v>0</v>
      </c>
      <c r="N4" s="32">
        <f t="shared" ref="N4:N25" si="2">H4*L4</f>
        <v>0</v>
      </c>
      <c r="O4" s="32">
        <f t="shared" ref="O4:O25" si="3">I4*M4</f>
        <v>0</v>
      </c>
      <c r="P4" s="32">
        <v>0</v>
      </c>
      <c r="Q4" s="32">
        <v>0</v>
      </c>
      <c r="R4" s="32">
        <v>2.3649443537599999E-3</v>
      </c>
      <c r="S4" s="32">
        <v>0</v>
      </c>
      <c r="T4" s="32">
        <v>0</v>
      </c>
      <c r="U4" s="32">
        <f t="shared" ref="U4:U25" si="4">R4*S4</f>
        <v>0</v>
      </c>
      <c r="V4" s="32">
        <f t="shared" ref="V4:V25" si="5">R4*T4</f>
        <v>0</v>
      </c>
      <c r="W4" s="32">
        <v>0</v>
      </c>
      <c r="X4" s="32">
        <v>0</v>
      </c>
    </row>
    <row r="5" spans="1:24" x14ac:dyDescent="0.25">
      <c r="A5" s="31">
        <v>3</v>
      </c>
      <c r="B5" s="31">
        <v>4</v>
      </c>
      <c r="C5" s="32">
        <v>1.0463063159299999</v>
      </c>
      <c r="D5" s="31">
        <v>3</v>
      </c>
      <c r="E5" s="31">
        <v>0</v>
      </c>
      <c r="F5" s="31">
        <v>0</v>
      </c>
      <c r="H5" s="32">
        <v>0</v>
      </c>
      <c r="I5" s="32">
        <v>0</v>
      </c>
      <c r="J5" s="32">
        <f t="shared" si="0"/>
        <v>0</v>
      </c>
      <c r="K5" s="32">
        <f t="shared" si="1"/>
        <v>0</v>
      </c>
      <c r="L5" s="32">
        <v>0</v>
      </c>
      <c r="M5" s="32">
        <v>0</v>
      </c>
      <c r="N5" s="32">
        <f t="shared" si="2"/>
        <v>0</v>
      </c>
      <c r="O5" s="32">
        <f t="shared" si="3"/>
        <v>0</v>
      </c>
      <c r="P5" s="32">
        <v>0</v>
      </c>
      <c r="Q5" s="32">
        <v>0</v>
      </c>
      <c r="R5" s="32">
        <v>1.0463063159299999</v>
      </c>
      <c r="S5" s="32">
        <v>0</v>
      </c>
      <c r="T5" s="32">
        <v>0</v>
      </c>
      <c r="U5" s="32">
        <f t="shared" si="4"/>
        <v>0</v>
      </c>
      <c r="V5" s="32">
        <f t="shared" si="5"/>
        <v>0</v>
      </c>
      <c r="W5" s="32">
        <v>0</v>
      </c>
      <c r="X5" s="32">
        <v>0</v>
      </c>
    </row>
    <row r="6" spans="1:24" x14ac:dyDescent="0.25">
      <c r="A6" s="31">
        <v>10</v>
      </c>
      <c r="B6" s="31">
        <v>1</v>
      </c>
      <c r="C6" s="32">
        <v>2.0360562783699998</v>
      </c>
      <c r="D6" s="31">
        <v>10</v>
      </c>
      <c r="E6" s="31">
        <v>10</v>
      </c>
      <c r="F6" s="31">
        <v>1</v>
      </c>
      <c r="G6" s="31" t="s">
        <v>89</v>
      </c>
      <c r="H6" s="32">
        <v>4.5113969970000003</v>
      </c>
      <c r="I6" s="32">
        <v>0.20300000000000001</v>
      </c>
      <c r="J6" s="32">
        <f t="shared" si="0"/>
        <v>9.1854581799614134</v>
      </c>
      <c r="K6" s="32">
        <f t="shared" si="1"/>
        <v>0.41331942450910997</v>
      </c>
      <c r="L6" s="32">
        <v>0.219</v>
      </c>
      <c r="M6" s="32">
        <v>0.108</v>
      </c>
      <c r="N6" s="32">
        <f t="shared" si="2"/>
        <v>0.98799594234300003</v>
      </c>
      <c r="O6" s="32">
        <f t="shared" si="3"/>
        <v>2.1924000000000003E-2</v>
      </c>
      <c r="P6" s="32">
        <v>17.951000000000001</v>
      </c>
      <c r="Q6" s="32">
        <v>0.40100000000000002</v>
      </c>
      <c r="R6" s="32">
        <v>2.0360562783699998</v>
      </c>
      <c r="S6" s="32">
        <v>0.47099999999999997</v>
      </c>
      <c r="T6" s="32">
        <v>1.0999999999999999E-2</v>
      </c>
      <c r="U6" s="32">
        <f t="shared" si="4"/>
        <v>0.95898250711226984</v>
      </c>
      <c r="V6" s="32">
        <f t="shared" si="5"/>
        <v>2.2396619062069998E-2</v>
      </c>
      <c r="W6" s="32">
        <f t="shared" ref="W6:W25" si="6">U6/J6</f>
        <v>0.10440225063615699</v>
      </c>
      <c r="X6" s="32">
        <f t="shared" ref="X6:X25" si="7">V6/K6</f>
        <v>5.4187192118226597E-2</v>
      </c>
    </row>
    <row r="7" spans="1:24" x14ac:dyDescent="0.25">
      <c r="A7" s="31">
        <v>10</v>
      </c>
      <c r="B7" s="31">
        <v>2</v>
      </c>
      <c r="C7" s="32">
        <v>601.19213156700005</v>
      </c>
      <c r="D7" s="31">
        <v>11</v>
      </c>
      <c r="E7" s="31">
        <v>10</v>
      </c>
      <c r="F7" s="31">
        <v>2</v>
      </c>
      <c r="G7" s="31" t="s">
        <v>88</v>
      </c>
      <c r="H7" s="32">
        <v>8.9212698019999994</v>
      </c>
      <c r="I7" s="32">
        <v>0.434</v>
      </c>
      <c r="J7" s="32">
        <f t="shared" si="0"/>
        <v>5363.3972085486885</v>
      </c>
      <c r="K7" s="32">
        <f t="shared" si="1"/>
        <v>260.91738510007804</v>
      </c>
      <c r="L7" s="32">
        <v>0.218</v>
      </c>
      <c r="M7" s="32">
        <v>0.108</v>
      </c>
      <c r="N7" s="32">
        <f t="shared" si="2"/>
        <v>1.944836816836</v>
      </c>
      <c r="O7" s="32">
        <f t="shared" si="3"/>
        <v>4.6871999999999997E-2</v>
      </c>
      <c r="P7" s="32">
        <v>2239.9110000000001</v>
      </c>
      <c r="Q7" s="32">
        <v>53.781999999999996</v>
      </c>
      <c r="R7" s="32">
        <v>601.19213156700005</v>
      </c>
      <c r="S7" s="32">
        <v>0.92900000000000005</v>
      </c>
      <c r="T7" s="32">
        <v>2.4E-2</v>
      </c>
      <c r="U7" s="32">
        <f t="shared" si="4"/>
        <v>558.50749022574303</v>
      </c>
      <c r="V7" s="32">
        <f t="shared" si="5"/>
        <v>14.428611157608001</v>
      </c>
      <c r="W7" s="32">
        <f t="shared" si="6"/>
        <v>0.10413315824073986</v>
      </c>
      <c r="X7" s="32">
        <f t="shared" si="7"/>
        <v>5.5299539170506909E-2</v>
      </c>
    </row>
    <row r="8" spans="1:24" x14ac:dyDescent="0.25">
      <c r="A8" s="31">
        <v>10</v>
      </c>
      <c r="B8" s="31">
        <v>3</v>
      </c>
      <c r="C8" s="32">
        <v>64.785802336499998</v>
      </c>
      <c r="D8" s="31">
        <v>12</v>
      </c>
      <c r="E8" s="31">
        <v>10</v>
      </c>
      <c r="F8" s="31">
        <v>3</v>
      </c>
      <c r="G8" s="31" t="s">
        <v>90</v>
      </c>
      <c r="H8" s="32">
        <v>20.481615560000002</v>
      </c>
      <c r="I8" s="32">
        <v>1.5920000000000001</v>
      </c>
      <c r="J8" s="32">
        <f t="shared" si="0"/>
        <v>1326.9178972023428</v>
      </c>
      <c r="K8" s="32">
        <f t="shared" si="1"/>
        <v>103.138997319708</v>
      </c>
      <c r="L8" s="32">
        <v>0.218</v>
      </c>
      <c r="M8" s="32">
        <v>0.11</v>
      </c>
      <c r="N8" s="32">
        <f t="shared" si="2"/>
        <v>4.4649921920800004</v>
      </c>
      <c r="O8" s="32">
        <f t="shared" si="3"/>
        <v>0.17512</v>
      </c>
      <c r="P8" s="32">
        <v>503.02100000000002</v>
      </c>
      <c r="Q8" s="32">
        <v>19.791</v>
      </c>
      <c r="R8" s="32">
        <v>64.785802336499998</v>
      </c>
      <c r="S8" s="32">
        <v>2.1309999999999998</v>
      </c>
      <c r="T8" s="32">
        <v>8.8999999999999996E-2</v>
      </c>
      <c r="U8" s="32">
        <f t="shared" si="4"/>
        <v>138.05854477908147</v>
      </c>
      <c r="V8" s="32">
        <f t="shared" si="5"/>
        <v>5.7659364079484998</v>
      </c>
      <c r="W8" s="32">
        <f t="shared" si="6"/>
        <v>0.10404452684688509</v>
      </c>
      <c r="X8" s="32">
        <f t="shared" si="7"/>
        <v>5.5904522613065326E-2</v>
      </c>
    </row>
    <row r="9" spans="1:24" x14ac:dyDescent="0.25">
      <c r="A9" s="31">
        <v>10</v>
      </c>
      <c r="B9" s="31">
        <v>4</v>
      </c>
      <c r="C9" s="32">
        <v>341.78668677899998</v>
      </c>
      <c r="D9" s="31">
        <v>13</v>
      </c>
      <c r="E9" s="31">
        <v>10</v>
      </c>
      <c r="F9" s="31">
        <v>4</v>
      </c>
      <c r="G9" s="31" t="s">
        <v>91</v>
      </c>
      <c r="H9" s="32">
        <v>13.15277966</v>
      </c>
      <c r="I9" s="32">
        <v>1.1859999999999999</v>
      </c>
      <c r="J9" s="32">
        <f t="shared" si="0"/>
        <v>4495.4449819256215</v>
      </c>
      <c r="K9" s="32">
        <f t="shared" si="1"/>
        <v>405.35901051989396</v>
      </c>
      <c r="L9" s="32">
        <v>0.215</v>
      </c>
      <c r="M9" s="32">
        <v>0.107</v>
      </c>
      <c r="N9" s="32">
        <f t="shared" si="2"/>
        <v>2.8278476269000001</v>
      </c>
      <c r="O9" s="32">
        <f t="shared" si="3"/>
        <v>0.12690199999999999</v>
      </c>
      <c r="P9" s="32">
        <v>1339.375</v>
      </c>
      <c r="Q9" s="32">
        <v>60.359000000000002</v>
      </c>
      <c r="R9" s="32">
        <v>341.78668677899998</v>
      </c>
      <c r="S9" s="32">
        <v>1.3440000000000001</v>
      </c>
      <c r="T9" s="32">
        <v>6.4000000000000001E-2</v>
      </c>
      <c r="U9" s="32">
        <f t="shared" si="4"/>
        <v>459.36130703097598</v>
      </c>
      <c r="V9" s="32">
        <f t="shared" si="5"/>
        <v>21.874347953855999</v>
      </c>
      <c r="W9" s="32">
        <f t="shared" si="6"/>
        <v>0.10218372349742534</v>
      </c>
      <c r="X9" s="32">
        <f t="shared" si="7"/>
        <v>5.3962900505902196E-2</v>
      </c>
    </row>
    <row r="10" spans="1:24" x14ac:dyDescent="0.25">
      <c r="A10" s="31">
        <v>10</v>
      </c>
      <c r="B10" s="31">
        <v>6</v>
      </c>
      <c r="C10" s="32">
        <v>29.418257500799999</v>
      </c>
      <c r="D10" s="31">
        <v>14</v>
      </c>
      <c r="E10" s="31">
        <v>10</v>
      </c>
      <c r="F10" s="31">
        <v>6</v>
      </c>
      <c r="G10" s="31" t="s">
        <v>92</v>
      </c>
      <c r="H10" s="32">
        <v>4.3928867030000003</v>
      </c>
      <c r="I10" s="32">
        <v>0.187</v>
      </c>
      <c r="J10" s="32">
        <f t="shared" si="0"/>
        <v>129.23107220069434</v>
      </c>
      <c r="K10" s="32">
        <f t="shared" si="1"/>
        <v>5.5012141526495997</v>
      </c>
      <c r="L10" s="32">
        <v>0.221</v>
      </c>
      <c r="M10" s="32">
        <v>0.111</v>
      </c>
      <c r="N10" s="32">
        <f t="shared" si="2"/>
        <v>0.97082796136300009</v>
      </c>
      <c r="O10" s="32">
        <f t="shared" si="3"/>
        <v>2.0757000000000001E-2</v>
      </c>
      <c r="P10" s="32">
        <v>35.402999999999999</v>
      </c>
      <c r="Q10" s="32">
        <v>0.75600000000000001</v>
      </c>
      <c r="R10" s="32">
        <v>29.418257500799999</v>
      </c>
      <c r="S10" s="32">
        <v>0.46600000000000003</v>
      </c>
      <c r="T10" s="32">
        <v>0.01</v>
      </c>
      <c r="U10" s="32">
        <f t="shared" si="4"/>
        <v>13.708907995372801</v>
      </c>
      <c r="V10" s="32">
        <f t="shared" si="5"/>
        <v>0.29418257500799999</v>
      </c>
      <c r="W10" s="32">
        <f t="shared" si="6"/>
        <v>0.10608058698207679</v>
      </c>
      <c r="X10" s="32">
        <f t="shared" si="7"/>
        <v>5.3475935828877004E-2</v>
      </c>
    </row>
    <row r="11" spans="1:24" x14ac:dyDescent="0.25">
      <c r="A11" s="31">
        <v>10</v>
      </c>
      <c r="B11" s="31">
        <v>8</v>
      </c>
      <c r="C11" s="32">
        <v>23.835600903700001</v>
      </c>
      <c r="D11" s="31">
        <v>15</v>
      </c>
      <c r="E11" s="31">
        <v>10</v>
      </c>
      <c r="F11" s="31">
        <v>8</v>
      </c>
      <c r="G11" s="31" t="s">
        <v>93</v>
      </c>
      <c r="H11" s="32">
        <v>10.918255329999999</v>
      </c>
      <c r="I11" s="32">
        <v>0.57399999999999995</v>
      </c>
      <c r="J11" s="32">
        <f t="shared" si="0"/>
        <v>260.24317661057535</v>
      </c>
      <c r="K11" s="32">
        <f t="shared" si="1"/>
        <v>13.6816349187238</v>
      </c>
      <c r="L11" s="32">
        <v>0.22700000000000001</v>
      </c>
      <c r="M11" s="32">
        <v>0.115</v>
      </c>
      <c r="N11" s="32">
        <f t="shared" si="2"/>
        <v>2.4784439599099999</v>
      </c>
      <c r="O11" s="32">
        <f t="shared" si="3"/>
        <v>6.6009999999999999E-2</v>
      </c>
      <c r="P11" s="32">
        <v>231.28800000000001</v>
      </c>
      <c r="Q11" s="32">
        <v>6.1340000000000003</v>
      </c>
      <c r="R11" s="32">
        <v>23.835600903700001</v>
      </c>
      <c r="S11" s="32">
        <v>1.194</v>
      </c>
      <c r="T11" s="32">
        <v>3.3000000000000002E-2</v>
      </c>
      <c r="U11" s="32">
        <f t="shared" si="4"/>
        <v>28.459707479017801</v>
      </c>
      <c r="V11" s="32">
        <f t="shared" si="5"/>
        <v>0.78657482982210003</v>
      </c>
      <c r="W11" s="32">
        <f t="shared" si="6"/>
        <v>0.1093581313050315</v>
      </c>
      <c r="X11" s="32">
        <f t="shared" si="7"/>
        <v>5.7491289198606271E-2</v>
      </c>
    </row>
    <row r="12" spans="1:24" x14ac:dyDescent="0.25">
      <c r="A12" s="31">
        <v>10</v>
      </c>
      <c r="B12" s="31">
        <v>10</v>
      </c>
      <c r="C12" s="32">
        <v>6.5868650179100001</v>
      </c>
      <c r="D12" s="31">
        <v>16</v>
      </c>
      <c r="E12" s="31">
        <v>10</v>
      </c>
      <c r="F12" s="31">
        <v>10</v>
      </c>
      <c r="G12" s="31" t="s">
        <v>94</v>
      </c>
      <c r="H12" s="32">
        <v>3.9064481400000002</v>
      </c>
      <c r="I12" s="32">
        <v>0.157</v>
      </c>
      <c r="J12" s="32">
        <f t="shared" si="0"/>
        <v>25.731246597645587</v>
      </c>
      <c r="K12" s="32">
        <f t="shared" si="1"/>
        <v>1.0341378078118699</v>
      </c>
      <c r="L12" s="32">
        <v>0.22500000000000001</v>
      </c>
      <c r="M12" s="32">
        <v>0.113</v>
      </c>
      <c r="N12" s="32">
        <f t="shared" si="2"/>
        <v>0.87895083150000008</v>
      </c>
      <c r="O12" s="32">
        <f t="shared" si="3"/>
        <v>1.7741E-2</v>
      </c>
      <c r="P12" s="32">
        <v>13.196</v>
      </c>
      <c r="Q12" s="32">
        <v>0.26700000000000002</v>
      </c>
      <c r="R12" s="32">
        <v>6.5868650179100001</v>
      </c>
      <c r="S12" s="32">
        <v>0.42199999999999999</v>
      </c>
      <c r="T12" s="32">
        <v>8.9999999999999993E-3</v>
      </c>
      <c r="U12" s="32">
        <f t="shared" si="4"/>
        <v>2.7796570375580201</v>
      </c>
      <c r="V12" s="32">
        <f t="shared" si="5"/>
        <v>5.9281785161189995E-2</v>
      </c>
      <c r="W12" s="32">
        <f t="shared" si="6"/>
        <v>0.10802652048005941</v>
      </c>
      <c r="X12" s="32">
        <f t="shared" si="7"/>
        <v>5.7324840764331211E-2</v>
      </c>
    </row>
    <row r="13" spans="1:24" x14ac:dyDescent="0.25">
      <c r="A13" s="31">
        <v>10</v>
      </c>
      <c r="B13" s="31">
        <v>11</v>
      </c>
      <c r="C13" s="32">
        <v>20.935478552199999</v>
      </c>
      <c r="D13" s="31">
        <v>17</v>
      </c>
      <c r="E13" s="31">
        <v>10</v>
      </c>
      <c r="F13" s="31">
        <v>11</v>
      </c>
      <c r="G13" s="31" t="s">
        <v>95</v>
      </c>
      <c r="H13" s="32">
        <v>1.93980683</v>
      </c>
      <c r="I13" s="32">
        <v>7.6999999999999999E-2</v>
      </c>
      <c r="J13" s="32">
        <f t="shared" si="0"/>
        <v>40.610784284876068</v>
      </c>
      <c r="K13" s="32">
        <f t="shared" si="1"/>
        <v>1.6120318485193998</v>
      </c>
      <c r="L13" s="32">
        <v>0.23899999999999999</v>
      </c>
      <c r="M13" s="32">
        <v>0.122</v>
      </c>
      <c r="N13" s="32">
        <f t="shared" si="2"/>
        <v>0.46361383236999998</v>
      </c>
      <c r="O13" s="32">
        <f t="shared" si="3"/>
        <v>9.3939999999999996E-3</v>
      </c>
      <c r="P13" s="32">
        <v>29.233000000000001</v>
      </c>
      <c r="Q13" s="32">
        <v>0.59299999999999997</v>
      </c>
      <c r="R13" s="32">
        <v>20.935478552199999</v>
      </c>
      <c r="S13" s="32">
        <v>0.22500000000000001</v>
      </c>
      <c r="T13" s="32">
        <v>5.0000000000000001E-3</v>
      </c>
      <c r="U13" s="32">
        <f t="shared" si="4"/>
        <v>4.7104826742450001</v>
      </c>
      <c r="V13" s="32">
        <f t="shared" si="5"/>
        <v>0.10467739276099999</v>
      </c>
      <c r="W13" s="32">
        <f t="shared" si="6"/>
        <v>0.11599093091140422</v>
      </c>
      <c r="X13" s="32">
        <f t="shared" si="7"/>
        <v>6.4935064935064943E-2</v>
      </c>
    </row>
    <row r="14" spans="1:24" x14ac:dyDescent="0.25">
      <c r="A14" s="31">
        <v>10</v>
      </c>
      <c r="B14" s="31">
        <v>12</v>
      </c>
      <c r="C14" s="32">
        <v>150.803539164</v>
      </c>
      <c r="D14" s="31">
        <v>18</v>
      </c>
      <c r="E14" s="31">
        <v>10</v>
      </c>
      <c r="F14" s="31">
        <v>12</v>
      </c>
      <c r="G14" s="31" t="s">
        <v>96</v>
      </c>
      <c r="H14" s="32">
        <v>0.236666295</v>
      </c>
      <c r="I14" s="32">
        <v>6.0000000000000001E-3</v>
      </c>
      <c r="J14" s="32">
        <f t="shared" si="0"/>
        <v>35.690114886831275</v>
      </c>
      <c r="K14" s="32">
        <f t="shared" si="1"/>
        <v>0.90482123498400002</v>
      </c>
      <c r="L14" s="32">
        <v>0.24299999999999999</v>
      </c>
      <c r="M14" s="32">
        <v>0.126</v>
      </c>
      <c r="N14" s="32">
        <f t="shared" si="2"/>
        <v>5.7509909684999999E-2</v>
      </c>
      <c r="O14" s="32">
        <f t="shared" si="3"/>
        <v>7.5600000000000005E-4</v>
      </c>
      <c r="P14" s="32">
        <v>18.111000000000001</v>
      </c>
      <c r="Q14" s="32">
        <v>0.23100000000000001</v>
      </c>
      <c r="R14" s="32">
        <v>150.803539164</v>
      </c>
      <c r="S14" s="32">
        <v>2.8000000000000001E-2</v>
      </c>
      <c r="T14" s="32">
        <v>0</v>
      </c>
      <c r="U14" s="32">
        <f t="shared" si="4"/>
        <v>4.2224990965920002</v>
      </c>
      <c r="V14" s="32">
        <f t="shared" si="5"/>
        <v>0</v>
      </c>
      <c r="W14" s="32">
        <f t="shared" si="6"/>
        <v>0.11831004495169033</v>
      </c>
      <c r="X14" s="32">
        <f t="shared" si="7"/>
        <v>0</v>
      </c>
    </row>
    <row r="15" spans="1:24" x14ac:dyDescent="0.25">
      <c r="A15" s="31">
        <v>10</v>
      </c>
      <c r="B15" s="31">
        <v>13</v>
      </c>
      <c r="C15" s="32">
        <v>163.47954390999999</v>
      </c>
      <c r="D15" s="31">
        <v>19</v>
      </c>
      <c r="E15" s="31">
        <v>10</v>
      </c>
      <c r="F15" s="31">
        <v>13</v>
      </c>
      <c r="G15" s="31" t="s">
        <v>97</v>
      </c>
      <c r="H15" s="32">
        <v>10.90431008</v>
      </c>
      <c r="I15" s="32">
        <v>0.71499999999999997</v>
      </c>
      <c r="J15" s="32">
        <f t="shared" si="0"/>
        <v>1782.6316385316154</v>
      </c>
      <c r="K15" s="32">
        <f t="shared" si="1"/>
        <v>116.88787389564999</v>
      </c>
      <c r="L15" s="32">
        <v>0.218</v>
      </c>
      <c r="M15" s="32">
        <v>0.109</v>
      </c>
      <c r="N15" s="32">
        <f t="shared" si="2"/>
        <v>2.3771395974399998</v>
      </c>
      <c r="O15" s="32">
        <f t="shared" si="3"/>
        <v>7.793499999999999E-2</v>
      </c>
      <c r="P15" s="32">
        <v>621.19399999999996</v>
      </c>
      <c r="Q15" s="32">
        <v>20.323</v>
      </c>
      <c r="R15" s="32">
        <v>163.47954390999999</v>
      </c>
      <c r="S15" s="32">
        <v>1.1339999999999999</v>
      </c>
      <c r="T15" s="32">
        <v>3.9E-2</v>
      </c>
      <c r="U15" s="32">
        <f t="shared" si="4"/>
        <v>185.38580279393997</v>
      </c>
      <c r="V15" s="32">
        <f t="shared" si="5"/>
        <v>6.3757022124899994</v>
      </c>
      <c r="W15" s="32">
        <f t="shared" si="6"/>
        <v>0.10399557529824023</v>
      </c>
      <c r="X15" s="32">
        <f t="shared" si="7"/>
        <v>5.4545454545454543E-2</v>
      </c>
    </row>
    <row r="16" spans="1:24" x14ac:dyDescent="0.25">
      <c r="A16" s="31">
        <v>13</v>
      </c>
      <c r="B16" s="31">
        <v>3</v>
      </c>
      <c r="C16" s="32">
        <v>1.09785761581</v>
      </c>
      <c r="D16" s="31">
        <v>40</v>
      </c>
      <c r="E16" s="31">
        <v>13</v>
      </c>
      <c r="F16" s="31">
        <v>3</v>
      </c>
      <c r="G16" s="31" t="s">
        <v>90</v>
      </c>
      <c r="H16" s="32">
        <v>41.434249680000001</v>
      </c>
      <c r="I16" s="32">
        <v>2.3849999999999998</v>
      </c>
      <c r="J16" s="32">
        <f t="shared" si="0"/>
        <v>45.488906566561056</v>
      </c>
      <c r="K16" s="32">
        <f t="shared" si="1"/>
        <v>2.6183904137068499</v>
      </c>
      <c r="L16" s="32">
        <v>0.52500000000000002</v>
      </c>
      <c r="M16" s="32">
        <v>0.33</v>
      </c>
      <c r="N16" s="32">
        <f t="shared" si="2"/>
        <v>21.752981082000002</v>
      </c>
      <c r="O16" s="32">
        <f t="shared" si="3"/>
        <v>0.78704999999999992</v>
      </c>
      <c r="P16" s="32">
        <v>1107.335</v>
      </c>
      <c r="Q16" s="32">
        <v>40.008000000000003</v>
      </c>
      <c r="R16" s="32">
        <v>1.09785761581</v>
      </c>
      <c r="S16" s="32">
        <v>10.404999999999999</v>
      </c>
      <c r="T16" s="32">
        <v>0.39800000000000002</v>
      </c>
      <c r="U16" s="32">
        <f t="shared" si="4"/>
        <v>11.423208492503049</v>
      </c>
      <c r="V16" s="32">
        <f t="shared" si="5"/>
        <v>0.43694733109237999</v>
      </c>
      <c r="W16" s="32">
        <f t="shared" si="6"/>
        <v>0.25112075349158341</v>
      </c>
      <c r="X16" s="32">
        <f t="shared" si="7"/>
        <v>0.16687631027253669</v>
      </c>
    </row>
    <row r="17" spans="1:24" x14ac:dyDescent="0.25">
      <c r="A17" s="31">
        <v>13</v>
      </c>
      <c r="B17" s="31">
        <v>4</v>
      </c>
      <c r="C17" s="32">
        <v>0.11738301749500001</v>
      </c>
      <c r="D17" s="31">
        <v>41</v>
      </c>
      <c r="E17" s="31">
        <v>13</v>
      </c>
      <c r="F17" s="31">
        <v>4</v>
      </c>
      <c r="G17" s="31" t="s">
        <v>91</v>
      </c>
      <c r="H17" s="32">
        <v>26.09263662</v>
      </c>
      <c r="I17" s="32">
        <v>1.754</v>
      </c>
      <c r="J17" s="32">
        <f t="shared" si="0"/>
        <v>3.0628324208561377</v>
      </c>
      <c r="K17" s="32">
        <f t="shared" si="1"/>
        <v>0.20588981268623002</v>
      </c>
      <c r="L17" s="32">
        <v>0.51800000000000002</v>
      </c>
      <c r="M17" s="32">
        <v>0.32300000000000001</v>
      </c>
      <c r="N17" s="32">
        <f t="shared" si="2"/>
        <v>13.51598576916</v>
      </c>
      <c r="O17" s="32">
        <f t="shared" si="3"/>
        <v>0.56654199999999999</v>
      </c>
      <c r="P17" s="32">
        <v>3666.7840000000001</v>
      </c>
      <c r="Q17" s="32">
        <v>153.49100000000001</v>
      </c>
      <c r="R17" s="32">
        <v>0.11738301749500001</v>
      </c>
      <c r="S17" s="32">
        <v>6.43</v>
      </c>
      <c r="T17" s="32">
        <v>0.28499999999999998</v>
      </c>
      <c r="U17" s="32">
        <f t="shared" si="4"/>
        <v>0.75477280249284995</v>
      </c>
      <c r="V17" s="32">
        <f t="shared" si="5"/>
        <v>3.3454159986074997E-2</v>
      </c>
      <c r="W17" s="32">
        <f t="shared" si="6"/>
        <v>0.24642967645022909</v>
      </c>
      <c r="X17" s="32">
        <f t="shared" si="7"/>
        <v>0.16248574686431011</v>
      </c>
    </row>
    <row r="18" spans="1:24" x14ac:dyDescent="0.25">
      <c r="A18" s="31">
        <v>46</v>
      </c>
      <c r="B18" s="31">
        <v>2</v>
      </c>
      <c r="C18" s="32">
        <v>20.917319276699999</v>
      </c>
      <c r="D18" s="31">
        <v>341</v>
      </c>
      <c r="E18" s="31">
        <v>46</v>
      </c>
      <c r="F18" s="31">
        <v>2</v>
      </c>
      <c r="G18" s="31" t="s">
        <v>88</v>
      </c>
      <c r="H18" s="32">
        <v>13.73433805</v>
      </c>
      <c r="I18" s="32">
        <v>0.64500000000000002</v>
      </c>
      <c r="J18" s="32">
        <f t="shared" si="0"/>
        <v>287.28553404597926</v>
      </c>
      <c r="K18" s="32">
        <f t="shared" si="1"/>
        <v>13.4916709334715</v>
      </c>
      <c r="L18" s="32">
        <v>0.58499999999999996</v>
      </c>
      <c r="M18" s="32">
        <v>0.83499999999999996</v>
      </c>
      <c r="N18" s="32">
        <f t="shared" si="2"/>
        <v>8.0345877592499999</v>
      </c>
      <c r="O18" s="32">
        <f t="shared" si="3"/>
        <v>0.53857500000000003</v>
      </c>
      <c r="P18" s="32">
        <v>7324.3980000000001</v>
      </c>
      <c r="Q18" s="32">
        <v>490.96600000000001</v>
      </c>
      <c r="R18" s="32">
        <v>20.917319276699999</v>
      </c>
      <c r="S18" s="32">
        <v>6.1550000000000002</v>
      </c>
      <c r="T18" s="32">
        <v>0.317</v>
      </c>
      <c r="U18" s="32">
        <f t="shared" si="4"/>
        <v>128.74610014808849</v>
      </c>
      <c r="V18" s="32">
        <f t="shared" si="5"/>
        <v>6.6307902107138998</v>
      </c>
      <c r="W18" s="32">
        <f t="shared" si="6"/>
        <v>0.44814682568556696</v>
      </c>
      <c r="X18" s="32">
        <f t="shared" si="7"/>
        <v>0.49147286821705427</v>
      </c>
    </row>
    <row r="19" spans="1:24" x14ac:dyDescent="0.25">
      <c r="A19" s="31">
        <v>46</v>
      </c>
      <c r="B19" s="31">
        <v>4</v>
      </c>
      <c r="C19" s="32">
        <v>4.4558268532999996</v>
      </c>
      <c r="D19" s="31">
        <v>343</v>
      </c>
      <c r="E19" s="31">
        <v>46</v>
      </c>
      <c r="F19" s="31">
        <v>4</v>
      </c>
      <c r="G19" s="31" t="s">
        <v>91</v>
      </c>
      <c r="H19" s="32">
        <v>17.00062132</v>
      </c>
      <c r="I19" s="32">
        <v>1.4319999999999999</v>
      </c>
      <c r="J19" s="32">
        <f t="shared" si="0"/>
        <v>75.75182500044049</v>
      </c>
      <c r="K19" s="32">
        <f t="shared" si="1"/>
        <v>6.3807440539255991</v>
      </c>
      <c r="L19" s="32">
        <v>0.58099999999999996</v>
      </c>
      <c r="M19" s="32">
        <v>0.82799999999999996</v>
      </c>
      <c r="N19" s="32">
        <f t="shared" si="2"/>
        <v>9.8773609869199994</v>
      </c>
      <c r="O19" s="32">
        <f t="shared" si="3"/>
        <v>1.1856959999999999</v>
      </c>
      <c r="P19" s="32">
        <v>2984.4270000000001</v>
      </c>
      <c r="Q19" s="32">
        <v>358.03100000000001</v>
      </c>
      <c r="R19" s="32">
        <v>4.4558268532999996</v>
      </c>
      <c r="S19" s="32">
        <v>7.5419999999999998</v>
      </c>
      <c r="T19" s="32">
        <v>0.69399999999999995</v>
      </c>
      <c r="U19" s="32">
        <f t="shared" si="4"/>
        <v>33.605846127588599</v>
      </c>
      <c r="V19" s="32">
        <f t="shared" si="5"/>
        <v>3.0923438361901994</v>
      </c>
      <c r="W19" s="32">
        <f t="shared" si="6"/>
        <v>0.44363084489902632</v>
      </c>
      <c r="X19" s="32">
        <f t="shared" si="7"/>
        <v>0.48463687150837986</v>
      </c>
    </row>
    <row r="20" spans="1:24" x14ac:dyDescent="0.25">
      <c r="A20" s="31">
        <v>48</v>
      </c>
      <c r="B20" s="31">
        <v>3</v>
      </c>
      <c r="C20" s="32">
        <v>3.0202269844599998</v>
      </c>
      <c r="D20" s="31">
        <v>358</v>
      </c>
      <c r="E20" s="31">
        <v>48</v>
      </c>
      <c r="F20" s="31">
        <v>3</v>
      </c>
      <c r="G20" s="31" t="s">
        <v>90</v>
      </c>
      <c r="H20" s="32">
        <v>30.285349589999999</v>
      </c>
      <c r="I20" s="32">
        <v>2.1869999999999998</v>
      </c>
      <c r="J20" s="32">
        <f t="shared" si="0"/>
        <v>91.468630065522589</v>
      </c>
      <c r="K20" s="32">
        <f t="shared" si="1"/>
        <v>6.6052364150140193</v>
      </c>
      <c r="L20" s="32">
        <v>0.53600000000000003</v>
      </c>
      <c r="M20" s="32">
        <v>0.60699999999999998</v>
      </c>
      <c r="N20" s="32">
        <f t="shared" si="2"/>
        <v>16.232947380239999</v>
      </c>
      <c r="O20" s="32">
        <f t="shared" si="3"/>
        <v>1.3275089999999998</v>
      </c>
      <c r="P20" s="32">
        <v>2170.1999999999998</v>
      </c>
      <c r="Q20" s="32">
        <v>177.47300000000001</v>
      </c>
      <c r="R20" s="32">
        <v>3.0202269844599998</v>
      </c>
      <c r="S20" s="32">
        <v>7.3739999999999997</v>
      </c>
      <c r="T20" s="32">
        <v>0.72099999999999997</v>
      </c>
      <c r="U20" s="32">
        <f t="shared" si="4"/>
        <v>22.271153783408039</v>
      </c>
      <c r="V20" s="32">
        <f t="shared" si="5"/>
        <v>2.1775836557956598</v>
      </c>
      <c r="W20" s="32">
        <f t="shared" si="6"/>
        <v>0.24348406407152193</v>
      </c>
      <c r="X20" s="32">
        <f t="shared" si="7"/>
        <v>0.32967535436671241</v>
      </c>
    </row>
    <row r="21" spans="1:24" x14ac:dyDescent="0.25">
      <c r="A21" s="31">
        <v>48</v>
      </c>
      <c r="B21" s="31">
        <v>4</v>
      </c>
      <c r="C21" s="32">
        <v>14.4680972329</v>
      </c>
      <c r="D21" s="31">
        <v>359</v>
      </c>
      <c r="E21" s="31">
        <v>48</v>
      </c>
      <c r="F21" s="31">
        <v>4</v>
      </c>
      <c r="G21" s="31" t="s">
        <v>91</v>
      </c>
      <c r="H21" s="32">
        <v>17.564146910000002</v>
      </c>
      <c r="I21" s="32">
        <v>1.47</v>
      </c>
      <c r="J21" s="32">
        <f t="shared" si="0"/>
        <v>254.11978530682012</v>
      </c>
      <c r="K21" s="32">
        <f t="shared" si="1"/>
        <v>21.268102932363</v>
      </c>
      <c r="L21" s="32">
        <v>0.53300000000000003</v>
      </c>
      <c r="M21" s="32">
        <v>0.60299999999999998</v>
      </c>
      <c r="N21" s="32">
        <f t="shared" si="2"/>
        <v>9.3616903030300005</v>
      </c>
      <c r="O21" s="32">
        <f t="shared" si="3"/>
        <v>0.88640999999999992</v>
      </c>
      <c r="P21" s="32">
        <v>1501.0719999999999</v>
      </c>
      <c r="Q21" s="32">
        <v>142.35</v>
      </c>
      <c r="R21" s="32">
        <v>14.4680972329</v>
      </c>
      <c r="S21" s="32">
        <v>4.2130000000000001</v>
      </c>
      <c r="T21" s="32">
        <v>0.47299999999999998</v>
      </c>
      <c r="U21" s="32">
        <f t="shared" si="4"/>
        <v>60.954093642207702</v>
      </c>
      <c r="V21" s="32">
        <f t="shared" si="5"/>
        <v>6.8434099911616997</v>
      </c>
      <c r="W21" s="32">
        <f t="shared" si="6"/>
        <v>0.23986362796825408</v>
      </c>
      <c r="X21" s="32">
        <f t="shared" si="7"/>
        <v>0.32176870748299319</v>
      </c>
    </row>
    <row r="22" spans="1:24" x14ac:dyDescent="0.25">
      <c r="A22" s="31">
        <v>48</v>
      </c>
      <c r="B22" s="31">
        <v>11</v>
      </c>
      <c r="C22" s="32">
        <v>0.30020378201199999</v>
      </c>
      <c r="D22" s="31">
        <v>361</v>
      </c>
      <c r="E22" s="31">
        <v>48</v>
      </c>
      <c r="F22" s="31">
        <v>11</v>
      </c>
      <c r="G22" s="31" t="s">
        <v>95</v>
      </c>
      <c r="H22" s="32">
        <v>4.2881443079999997</v>
      </c>
      <c r="I22" s="32">
        <v>0.17</v>
      </c>
      <c r="J22" s="32">
        <f t="shared" si="0"/>
        <v>1.2873171390748304</v>
      </c>
      <c r="K22" s="32">
        <f t="shared" si="1"/>
        <v>5.103464294204E-2</v>
      </c>
      <c r="L22" s="32">
        <v>0.54400000000000004</v>
      </c>
      <c r="M22" s="32">
        <v>0.61399999999999999</v>
      </c>
      <c r="N22" s="32">
        <f t="shared" si="2"/>
        <v>2.332750503552</v>
      </c>
      <c r="O22" s="32">
        <f t="shared" si="3"/>
        <v>0.10438</v>
      </c>
      <c r="P22" s="32">
        <v>67.344999999999999</v>
      </c>
      <c r="Q22" s="32">
        <v>3.0139999999999998</v>
      </c>
      <c r="R22" s="32">
        <v>0.30020378201199999</v>
      </c>
      <c r="S22" s="32">
        <v>1.0920000000000001</v>
      </c>
      <c r="T22" s="32">
        <v>0.06</v>
      </c>
      <c r="U22" s="32">
        <f t="shared" si="4"/>
        <v>0.32782252995710404</v>
      </c>
      <c r="V22" s="32">
        <f t="shared" si="5"/>
        <v>1.8012226920719999E-2</v>
      </c>
      <c r="W22" s="32">
        <f t="shared" si="6"/>
        <v>0.25465560894551881</v>
      </c>
      <c r="X22" s="32">
        <f t="shared" si="7"/>
        <v>0.3529411764705882</v>
      </c>
    </row>
    <row r="23" spans="1:24" x14ac:dyDescent="0.25">
      <c r="A23" s="31">
        <v>48</v>
      </c>
      <c r="B23" s="31">
        <v>12</v>
      </c>
      <c r="C23" s="32">
        <v>0.46163660310900001</v>
      </c>
      <c r="D23" s="31">
        <v>362</v>
      </c>
      <c r="E23" s="31">
        <v>48</v>
      </c>
      <c r="F23" s="31">
        <v>12</v>
      </c>
      <c r="G23" s="31" t="s">
        <v>96</v>
      </c>
      <c r="H23" s="32">
        <v>1.3065715760000001</v>
      </c>
      <c r="I23" s="32">
        <v>4.9000000000000002E-2</v>
      </c>
      <c r="J23" s="32">
        <f t="shared" si="0"/>
        <v>0.60316126406341264</v>
      </c>
      <c r="K23" s="32">
        <f t="shared" si="1"/>
        <v>2.2620193552341003E-2</v>
      </c>
      <c r="L23" s="32">
        <v>0.54700000000000004</v>
      </c>
      <c r="M23" s="32">
        <v>0.61499999999999999</v>
      </c>
      <c r="N23" s="32">
        <f t="shared" si="2"/>
        <v>0.71469465207200011</v>
      </c>
      <c r="O23" s="32">
        <f t="shared" si="3"/>
        <v>3.0135000000000002E-2</v>
      </c>
      <c r="P23" s="32">
        <v>5.5469999999999997</v>
      </c>
      <c r="Q23" s="32">
        <v>0.23300000000000001</v>
      </c>
      <c r="R23" s="32">
        <v>0.46163660310900001</v>
      </c>
      <c r="S23" s="32">
        <v>0.32800000000000001</v>
      </c>
      <c r="T23" s="32">
        <v>1.7000000000000001E-2</v>
      </c>
      <c r="U23" s="32">
        <f t="shared" si="4"/>
        <v>0.151416805819752</v>
      </c>
      <c r="V23" s="32">
        <f t="shared" si="5"/>
        <v>7.8478222528530015E-3</v>
      </c>
      <c r="W23" s="32">
        <f t="shared" si="6"/>
        <v>0.25103867711874978</v>
      </c>
      <c r="X23" s="32">
        <f t="shared" si="7"/>
        <v>0.34693877551020408</v>
      </c>
    </row>
    <row r="24" spans="1:24" x14ac:dyDescent="0.25">
      <c r="A24" s="31">
        <v>48</v>
      </c>
      <c r="B24" s="31">
        <v>13</v>
      </c>
      <c r="C24" s="32">
        <v>0.16381123142099999</v>
      </c>
      <c r="D24" s="31">
        <v>363</v>
      </c>
      <c r="E24" s="31">
        <v>48</v>
      </c>
      <c r="F24" s="31">
        <v>13</v>
      </c>
      <c r="G24" s="31" t="s">
        <v>97</v>
      </c>
      <c r="H24" s="32">
        <v>1.309203959</v>
      </c>
      <c r="I24" s="32">
        <v>4.9000000000000002E-2</v>
      </c>
      <c r="J24" s="32">
        <f t="shared" si="0"/>
        <v>0.21446231270503838</v>
      </c>
      <c r="K24" s="32">
        <f t="shared" si="1"/>
        <v>8.0267503396289994E-3</v>
      </c>
      <c r="L24" s="32">
        <v>0.54800000000000004</v>
      </c>
      <c r="M24" s="32">
        <v>0.61499999999999999</v>
      </c>
      <c r="N24" s="32">
        <f t="shared" si="2"/>
        <v>0.71744376953200006</v>
      </c>
      <c r="O24" s="32">
        <f t="shared" si="3"/>
        <v>3.0135000000000002E-2</v>
      </c>
      <c r="P24" s="32">
        <v>37.125999999999998</v>
      </c>
      <c r="Q24" s="32">
        <v>1.5580000000000001</v>
      </c>
      <c r="R24" s="32">
        <v>0.16381123142099999</v>
      </c>
      <c r="S24" s="32">
        <v>0.32900000000000001</v>
      </c>
      <c r="T24" s="32">
        <v>1.7000000000000001E-2</v>
      </c>
      <c r="U24" s="32">
        <f t="shared" si="4"/>
        <v>5.3893895137509001E-2</v>
      </c>
      <c r="V24" s="32">
        <f t="shared" si="5"/>
        <v>2.7847909341570001E-3</v>
      </c>
      <c r="W24" s="32">
        <f t="shared" si="6"/>
        <v>0.25129774298215368</v>
      </c>
      <c r="X24" s="32">
        <f t="shared" si="7"/>
        <v>0.34693877551020413</v>
      </c>
    </row>
    <row r="25" spans="1:24" x14ac:dyDescent="0.25">
      <c r="A25" s="31">
        <v>50</v>
      </c>
      <c r="B25" s="31">
        <v>4</v>
      </c>
      <c r="C25" s="32">
        <v>0.70814301235400001</v>
      </c>
      <c r="D25" s="31">
        <v>374</v>
      </c>
      <c r="E25" s="31">
        <v>50</v>
      </c>
      <c r="F25" s="31">
        <v>4</v>
      </c>
      <c r="G25" s="31" t="s">
        <v>91</v>
      </c>
      <c r="H25" s="32">
        <v>14.81862909</v>
      </c>
      <c r="I25" s="32">
        <v>1.3140000000000001</v>
      </c>
      <c r="J25" s="32">
        <f t="shared" si="0"/>
        <v>10.493708642749214</v>
      </c>
      <c r="K25" s="32">
        <f t="shared" si="1"/>
        <v>0.93049991823315603</v>
      </c>
      <c r="L25" s="32">
        <v>0.38900000000000001</v>
      </c>
      <c r="M25" s="32">
        <v>0.42299999999999999</v>
      </c>
      <c r="N25" s="32">
        <f t="shared" si="2"/>
        <v>5.7644467160100001</v>
      </c>
      <c r="O25" s="32">
        <f t="shared" si="3"/>
        <v>0.55582200000000004</v>
      </c>
      <c r="P25" s="32">
        <v>813.25300000000004</v>
      </c>
      <c r="Q25" s="32">
        <v>78.391000000000005</v>
      </c>
      <c r="R25" s="32">
        <v>0.70814301235400001</v>
      </c>
      <c r="S25" s="32">
        <v>1.0149999999999999</v>
      </c>
      <c r="T25" s="32">
        <v>0.16200000000000001</v>
      </c>
      <c r="U25" s="32">
        <f t="shared" si="4"/>
        <v>0.71876515753930992</v>
      </c>
      <c r="V25" s="32">
        <f t="shared" si="5"/>
        <v>0.114719168001348</v>
      </c>
      <c r="W25" s="32">
        <f t="shared" si="6"/>
        <v>6.849486506717066E-2</v>
      </c>
      <c r="X25" s="32">
        <f t="shared" si="7"/>
        <v>0.12328767123287671</v>
      </c>
    </row>
    <row r="26" spans="1:24" x14ac:dyDescent="0.25">
      <c r="U26" s="34">
        <f>SUM(U3:U25)</f>
        <v>1655.1604550043808</v>
      </c>
      <c r="V26" s="34">
        <f>SUM(V3:V25)</f>
        <v>69.069604126765853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opLeftCell="J1" workbookViewId="0">
      <selection activeCell="J1" sqref="A1:XFD1"/>
    </sheetView>
  </sheetViews>
  <sheetFormatPr defaultRowHeight="15" x14ac:dyDescent="0.25"/>
  <cols>
    <col min="1" max="1" width="10.140625" style="31" bestFit="1" customWidth="1"/>
    <col min="2" max="2" width="9.28515625" style="31" bestFit="1" customWidth="1"/>
    <col min="3" max="3" width="14.7109375" style="32" bestFit="1" customWidth="1"/>
    <col min="4" max="4" width="4.85546875" style="31" bestFit="1" customWidth="1"/>
    <col min="5" max="5" width="4.28515625" style="31" bestFit="1" customWidth="1"/>
    <col min="6" max="6" width="8" style="31" bestFit="1" customWidth="1"/>
    <col min="7" max="7" width="9.85546875" style="31" bestFit="1" customWidth="1"/>
    <col min="8" max="8" width="14.7109375" style="32" bestFit="1" customWidth="1"/>
    <col min="9" max="9" width="13.7109375" style="32" bestFit="1" customWidth="1"/>
    <col min="10" max="10" width="16.7109375" style="32" bestFit="1" customWidth="1"/>
    <col min="11" max="11" width="15.7109375" style="32" bestFit="1" customWidth="1"/>
    <col min="12" max="15" width="13.7109375" style="32" bestFit="1" customWidth="1"/>
    <col min="16" max="16" width="16.7109375" style="32" bestFit="1" customWidth="1"/>
    <col min="17" max="17" width="14.7109375" style="32" bestFit="1" customWidth="1"/>
    <col min="18" max="20" width="13.7109375" style="32" bestFit="1" customWidth="1"/>
    <col min="21" max="21" width="15.7109375" style="32" bestFit="1" customWidth="1"/>
    <col min="22" max="22" width="14.7109375" style="32" bestFit="1" customWidth="1"/>
    <col min="23" max="24" width="13.7109375" style="32" bestFit="1" customWidth="1"/>
  </cols>
  <sheetData>
    <row r="1" spans="1:24" x14ac:dyDescent="0.25">
      <c r="H1" s="32" t="s">
        <v>51</v>
      </c>
      <c r="I1" s="32" t="s">
        <v>51</v>
      </c>
      <c r="J1" s="32" t="s">
        <v>52</v>
      </c>
      <c r="K1" s="32" t="s">
        <v>53</v>
      </c>
      <c r="L1" s="32" t="s">
        <v>54</v>
      </c>
      <c r="M1" s="32" t="s">
        <v>54</v>
      </c>
      <c r="N1" s="32" t="s">
        <v>55</v>
      </c>
      <c r="O1" s="32" t="s">
        <v>56</v>
      </c>
      <c r="P1" s="32" t="s">
        <v>57</v>
      </c>
      <c r="Q1" s="32" t="s">
        <v>58</v>
      </c>
      <c r="S1" s="32" t="s">
        <v>59</v>
      </c>
      <c r="T1" s="32" t="s">
        <v>59</v>
      </c>
      <c r="U1" s="32" t="s">
        <v>60</v>
      </c>
      <c r="V1" s="32" t="s">
        <v>61</v>
      </c>
      <c r="W1" s="32" t="s">
        <v>62</v>
      </c>
      <c r="X1" s="32" t="s">
        <v>63</v>
      </c>
    </row>
    <row r="2" spans="1:24" x14ac:dyDescent="0.25">
      <c r="A2" s="31" t="s">
        <v>64</v>
      </c>
      <c r="B2" s="31" t="s">
        <v>65</v>
      </c>
      <c r="C2" s="32" t="s">
        <v>66</v>
      </c>
      <c r="D2" s="31" t="s">
        <v>67</v>
      </c>
      <c r="E2" s="31" t="s">
        <v>68</v>
      </c>
      <c r="F2" s="31" t="s">
        <v>69</v>
      </c>
      <c r="G2" s="31" t="s">
        <v>70</v>
      </c>
      <c r="H2" s="32" t="s">
        <v>71</v>
      </c>
      <c r="I2" s="32" t="s">
        <v>72</v>
      </c>
      <c r="J2" s="32" t="s">
        <v>73</v>
      </c>
      <c r="K2" s="32" t="s">
        <v>74</v>
      </c>
      <c r="L2" s="32" t="s">
        <v>75</v>
      </c>
      <c r="M2" s="32" t="s">
        <v>76</v>
      </c>
      <c r="N2" s="32" t="s">
        <v>77</v>
      </c>
      <c r="O2" s="32" t="s">
        <v>78</v>
      </c>
      <c r="P2" s="32" t="s">
        <v>79</v>
      </c>
      <c r="Q2" s="32" t="s">
        <v>80</v>
      </c>
      <c r="R2" s="32" t="s">
        <v>81</v>
      </c>
      <c r="S2" s="32" t="s">
        <v>82</v>
      </c>
      <c r="T2" s="32" t="s">
        <v>83</v>
      </c>
      <c r="U2" s="32" t="s">
        <v>84</v>
      </c>
      <c r="V2" s="32" t="s">
        <v>85</v>
      </c>
      <c r="W2" s="32" t="s">
        <v>86</v>
      </c>
      <c r="X2" s="32" t="s">
        <v>87</v>
      </c>
    </row>
    <row r="3" spans="1:24" x14ac:dyDescent="0.25">
      <c r="A3" s="31">
        <v>10</v>
      </c>
      <c r="B3" s="31">
        <v>1</v>
      </c>
      <c r="C3" s="32">
        <v>4.9385506518300003E-2</v>
      </c>
      <c r="D3" s="31">
        <v>10</v>
      </c>
      <c r="E3" s="31">
        <v>10</v>
      </c>
      <c r="F3" s="31">
        <v>1</v>
      </c>
      <c r="G3" s="31" t="s">
        <v>89</v>
      </c>
      <c r="H3" s="32">
        <v>4.5113969970000003</v>
      </c>
      <c r="I3" s="32">
        <v>0.20300000000000001</v>
      </c>
      <c r="J3" s="32">
        <f>C3*H3</f>
        <v>0.22279762580198256</v>
      </c>
      <c r="K3" s="32">
        <f>C3*I3</f>
        <v>1.0025257823214902E-2</v>
      </c>
      <c r="L3" s="32">
        <v>0.219</v>
      </c>
      <c r="M3" s="32">
        <v>0.108</v>
      </c>
      <c r="N3" s="32">
        <f>H3*L3</f>
        <v>0.98799594234300003</v>
      </c>
      <c r="O3" s="32">
        <f>I3*M3</f>
        <v>2.1924000000000003E-2</v>
      </c>
      <c r="P3" s="32">
        <f>C3*N3</f>
        <v>4.8792680050634182E-2</v>
      </c>
      <c r="Q3" s="32">
        <f>C3*O3</f>
        <v>1.0827278449072094E-3</v>
      </c>
      <c r="R3" s="32">
        <v>4.9385506518300003E-2</v>
      </c>
      <c r="S3" s="32">
        <v>0.47099999999999997</v>
      </c>
      <c r="T3" s="32">
        <v>1.0999999999999999E-2</v>
      </c>
      <c r="U3" s="32">
        <f>R3*S3</f>
        <v>2.3260573570119299E-2</v>
      </c>
      <c r="V3" s="32">
        <f>R3*T3</f>
        <v>5.4324057170129997E-4</v>
      </c>
      <c r="W3" s="32">
        <f>U3/J3</f>
        <v>0.10440225063615698</v>
      </c>
      <c r="X3" s="32">
        <f>V3/K3</f>
        <v>5.418719211822659E-2</v>
      </c>
    </row>
    <row r="4" spans="1:24" x14ac:dyDescent="0.25">
      <c r="A4" s="31">
        <v>10</v>
      </c>
      <c r="B4" s="31">
        <v>4</v>
      </c>
      <c r="C4" s="32">
        <v>4.1018884491199996</v>
      </c>
      <c r="D4" s="31">
        <v>13</v>
      </c>
      <c r="E4" s="31">
        <v>10</v>
      </c>
      <c r="F4" s="31">
        <v>4</v>
      </c>
      <c r="G4" s="31" t="s">
        <v>91</v>
      </c>
      <c r="H4" s="32">
        <v>13.15277966</v>
      </c>
      <c r="I4" s="32">
        <v>1.1859999999999999</v>
      </c>
      <c r="J4" s="32">
        <f t="shared" ref="J4:J8" si="0">C4*H4</f>
        <v>53.951234961174478</v>
      </c>
      <c r="K4" s="32">
        <f t="shared" ref="K4:K8" si="1">C4*I4</f>
        <v>4.8648397006563195</v>
      </c>
      <c r="L4" s="32">
        <v>0.215</v>
      </c>
      <c r="M4" s="32">
        <v>0.107</v>
      </c>
      <c r="N4" s="32">
        <f t="shared" ref="N4:N8" si="2">H4*L4</f>
        <v>2.8278476269000001</v>
      </c>
      <c r="O4" s="32">
        <f t="shared" ref="O4:O8" si="3">I4*M4</f>
        <v>0.12690199999999999</v>
      </c>
      <c r="P4" s="32">
        <f t="shared" ref="P4:P8" si="4">C4*N4</f>
        <v>11.599515516652513</v>
      </c>
      <c r="Q4" s="32">
        <f t="shared" ref="Q4:Q8" si="5">C4*O4</f>
        <v>0.52053784797022618</v>
      </c>
      <c r="R4" s="32">
        <v>4.1018884491199996</v>
      </c>
      <c r="S4" s="32">
        <v>1.3440000000000001</v>
      </c>
      <c r="T4" s="32">
        <v>6.4000000000000001E-2</v>
      </c>
      <c r="U4" s="32">
        <f t="shared" ref="U4:U8" si="6">R4*S4</f>
        <v>5.5129380756172797</v>
      </c>
      <c r="V4" s="32">
        <f t="shared" ref="V4:V8" si="7">R4*T4</f>
        <v>0.26252086074367997</v>
      </c>
      <c r="W4" s="32">
        <f t="shared" ref="W4:W8" si="8">U4/J4</f>
        <v>0.10218372349742533</v>
      </c>
      <c r="X4" s="32">
        <f t="shared" ref="X4:X8" si="9">V4/K4</f>
        <v>5.3962900505902189E-2</v>
      </c>
    </row>
    <row r="5" spans="1:24" x14ac:dyDescent="0.25">
      <c r="A5" s="31">
        <v>10</v>
      </c>
      <c r="B5" s="31">
        <v>8</v>
      </c>
      <c r="C5" s="32">
        <v>1.2054887896199999</v>
      </c>
      <c r="D5" s="31">
        <v>15</v>
      </c>
      <c r="E5" s="31">
        <v>10</v>
      </c>
      <c r="F5" s="31">
        <v>8</v>
      </c>
      <c r="G5" s="31" t="s">
        <v>93</v>
      </c>
      <c r="H5" s="32">
        <v>10.918255329999999</v>
      </c>
      <c r="I5" s="32">
        <v>0.57399999999999995</v>
      </c>
      <c r="J5" s="32">
        <f t="shared" si="0"/>
        <v>13.161834402523812</v>
      </c>
      <c r="K5" s="32">
        <f t="shared" si="1"/>
        <v>0.69195056524187992</v>
      </c>
      <c r="L5" s="32">
        <v>0.22700000000000001</v>
      </c>
      <c r="M5" s="32">
        <v>0.115</v>
      </c>
      <c r="N5" s="32">
        <f t="shared" si="2"/>
        <v>2.4784439599099999</v>
      </c>
      <c r="O5" s="32">
        <f t="shared" si="3"/>
        <v>6.6009999999999999E-2</v>
      </c>
      <c r="P5" s="32">
        <f t="shared" si="4"/>
        <v>2.9877364093729053</v>
      </c>
      <c r="Q5" s="32">
        <f t="shared" si="5"/>
        <v>7.9574315002816198E-2</v>
      </c>
      <c r="R5" s="32">
        <v>1.2054887896199999</v>
      </c>
      <c r="S5" s="32">
        <v>1.194</v>
      </c>
      <c r="T5" s="32">
        <v>3.3000000000000002E-2</v>
      </c>
      <c r="U5" s="32">
        <f t="shared" si="6"/>
        <v>1.4393536148062798</v>
      </c>
      <c r="V5" s="32">
        <f t="shared" si="7"/>
        <v>3.978113005746E-2</v>
      </c>
      <c r="W5" s="32">
        <f t="shared" si="8"/>
        <v>0.1093581313050315</v>
      </c>
      <c r="X5" s="32">
        <f t="shared" si="9"/>
        <v>5.7491289198606278E-2</v>
      </c>
    </row>
    <row r="6" spans="1:24" x14ac:dyDescent="0.25">
      <c r="A6" s="31">
        <v>10</v>
      </c>
      <c r="B6" s="31">
        <v>10</v>
      </c>
      <c r="C6" s="32">
        <v>8.3183357232299997</v>
      </c>
      <c r="D6" s="31">
        <v>16</v>
      </c>
      <c r="E6" s="31">
        <v>10</v>
      </c>
      <c r="F6" s="31">
        <v>10</v>
      </c>
      <c r="G6" s="31" t="s">
        <v>94</v>
      </c>
      <c r="H6" s="32">
        <v>3.9064481400000002</v>
      </c>
      <c r="I6" s="32">
        <v>0.157</v>
      </c>
      <c r="J6" s="32">
        <f t="shared" si="0"/>
        <v>32.495147113907386</v>
      </c>
      <c r="K6" s="32">
        <f t="shared" si="1"/>
        <v>1.30597870854711</v>
      </c>
      <c r="L6" s="32">
        <v>0.22500000000000001</v>
      </c>
      <c r="M6" s="32">
        <v>0.113</v>
      </c>
      <c r="N6" s="32">
        <f t="shared" si="2"/>
        <v>0.87895083150000008</v>
      </c>
      <c r="O6" s="32">
        <f t="shared" si="3"/>
        <v>1.7741E-2</v>
      </c>
      <c r="P6" s="32">
        <f t="shared" si="4"/>
        <v>7.3114081006291629</v>
      </c>
      <c r="Q6" s="32">
        <f t="shared" si="5"/>
        <v>0.14757559406582343</v>
      </c>
      <c r="R6" s="32">
        <v>8.3183357232299997</v>
      </c>
      <c r="S6" s="32">
        <v>0.42199999999999999</v>
      </c>
      <c r="T6" s="32">
        <v>8.9999999999999993E-3</v>
      </c>
      <c r="U6" s="32">
        <f t="shared" si="6"/>
        <v>3.5103376752030599</v>
      </c>
      <c r="V6" s="32">
        <f t="shared" si="7"/>
        <v>7.4865021509069998E-2</v>
      </c>
      <c r="W6" s="32">
        <f t="shared" si="8"/>
        <v>0.10802652048005942</v>
      </c>
      <c r="X6" s="32">
        <f t="shared" si="9"/>
        <v>5.7324840764331211E-2</v>
      </c>
    </row>
    <row r="7" spans="1:24" x14ac:dyDescent="0.25">
      <c r="A7" s="31">
        <v>10</v>
      </c>
      <c r="B7" s="31">
        <v>12</v>
      </c>
      <c r="C7" s="32">
        <v>0.41232141422000002</v>
      </c>
      <c r="D7" s="31">
        <v>18</v>
      </c>
      <c r="E7" s="31">
        <v>10</v>
      </c>
      <c r="F7" s="31">
        <v>12</v>
      </c>
      <c r="G7" s="31" t="s">
        <v>96</v>
      </c>
      <c r="H7" s="32">
        <v>0.236666295</v>
      </c>
      <c r="I7" s="32">
        <v>6.0000000000000001E-3</v>
      </c>
      <c r="J7" s="32">
        <f t="shared" si="0"/>
        <v>9.7582581452607717E-2</v>
      </c>
      <c r="K7" s="32">
        <f t="shared" si="1"/>
        <v>2.4739284853200001E-3</v>
      </c>
      <c r="L7" s="32">
        <v>0.24299999999999999</v>
      </c>
      <c r="M7" s="32">
        <v>0.126</v>
      </c>
      <c r="N7" s="32">
        <f t="shared" si="2"/>
        <v>5.7509909684999999E-2</v>
      </c>
      <c r="O7" s="32">
        <f t="shared" si="3"/>
        <v>7.5600000000000005E-4</v>
      </c>
      <c r="P7" s="32">
        <f t="shared" si="4"/>
        <v>2.3712567292983676E-2</v>
      </c>
      <c r="Q7" s="32">
        <f t="shared" si="5"/>
        <v>3.1171498915032002E-4</v>
      </c>
      <c r="R7" s="32">
        <v>0.41232141422000002</v>
      </c>
      <c r="S7" s="32">
        <v>2.8000000000000001E-2</v>
      </c>
      <c r="T7" s="32">
        <v>0</v>
      </c>
      <c r="U7" s="32">
        <f t="shared" si="6"/>
        <v>1.1544999598160001E-2</v>
      </c>
      <c r="V7" s="32">
        <f t="shared" si="7"/>
        <v>0</v>
      </c>
      <c r="W7" s="32">
        <f t="shared" si="8"/>
        <v>0.11831004495169031</v>
      </c>
      <c r="X7" s="32">
        <f t="shared" si="9"/>
        <v>0</v>
      </c>
    </row>
    <row r="8" spans="1:24" x14ac:dyDescent="0.25">
      <c r="A8" s="31">
        <v>10</v>
      </c>
      <c r="B8" s="31">
        <v>13</v>
      </c>
      <c r="C8" s="32">
        <v>0.93375460240099994</v>
      </c>
      <c r="D8" s="31">
        <v>19</v>
      </c>
      <c r="E8" s="31">
        <v>10</v>
      </c>
      <c r="F8" s="31">
        <v>13</v>
      </c>
      <c r="G8" s="31" t="s">
        <v>97</v>
      </c>
      <c r="H8" s="32">
        <v>10.90431008</v>
      </c>
      <c r="I8" s="32">
        <v>0.71499999999999997</v>
      </c>
      <c r="J8" s="32">
        <f t="shared" si="0"/>
        <v>10.181949723207616</v>
      </c>
      <c r="K8" s="32">
        <f t="shared" si="1"/>
        <v>0.66763454071671491</v>
      </c>
      <c r="L8" s="32">
        <v>0.218</v>
      </c>
      <c r="M8" s="32">
        <v>0.109</v>
      </c>
      <c r="N8" s="32">
        <f t="shared" si="2"/>
        <v>2.3771395974399998</v>
      </c>
      <c r="O8" s="32">
        <f t="shared" si="3"/>
        <v>7.793499999999999E-2</v>
      </c>
      <c r="P8" s="32">
        <f t="shared" si="4"/>
        <v>2.2196650396592599</v>
      </c>
      <c r="Q8" s="32">
        <f t="shared" si="5"/>
        <v>7.2772164938121928E-2</v>
      </c>
      <c r="R8" s="32">
        <v>0.93375460240099994</v>
      </c>
      <c r="S8" s="32">
        <v>1.1339999999999999</v>
      </c>
      <c r="T8" s="32">
        <v>3.9E-2</v>
      </c>
      <c r="U8" s="32">
        <f t="shared" si="6"/>
        <v>1.0588777191227339</v>
      </c>
      <c r="V8" s="32">
        <f t="shared" si="7"/>
        <v>3.6416429493638998E-2</v>
      </c>
      <c r="W8" s="32">
        <f t="shared" si="8"/>
        <v>0.10399557529824023</v>
      </c>
      <c r="X8" s="32">
        <f t="shared" si="9"/>
        <v>5.454545454545455E-2</v>
      </c>
    </row>
    <row r="9" spans="1:24" x14ac:dyDescent="0.25">
      <c r="C9" s="32">
        <f>SUM(C3:C8)</f>
        <v>15.021174485109301</v>
      </c>
      <c r="U9" s="32">
        <f>ROUND(SUM(U3:U8),1)</f>
        <v>11.6</v>
      </c>
      <c r="V9" s="32">
        <f>ROUND(SUM(V3:V8),1)</f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Shoreline Revegetation</vt:lpstr>
      <vt:lpstr>Project credits</vt:lpstr>
      <vt:lpstr>Calculations</vt:lpstr>
      <vt:lpstr>South Lake Triplet</vt:lpstr>
      <vt:lpstr>Park Drive</vt:lpstr>
      <vt:lpstr>Whole Lake</vt:lpstr>
      <vt:lpstr>Whole Lake_Additional</vt:lpstr>
      <vt:lpstr>Golf Club Alum</vt:lpstr>
      <vt:lpstr>Lake Concord Park South</vt:lpstr>
      <vt:lpstr>Triplet Lake Drive</vt:lpstr>
      <vt:lpstr>North Oxford Road</vt:lpstr>
      <vt:lpstr>Concord Drive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Homann, Moira</dc:creator>
  <cp:lastModifiedBy>Frick, Marcy</cp:lastModifiedBy>
  <cp:lastPrinted>2016-10-20T21:47:15Z</cp:lastPrinted>
  <dcterms:created xsi:type="dcterms:W3CDTF">2016-09-08T18:25:54Z</dcterms:created>
  <dcterms:modified xsi:type="dcterms:W3CDTF">2017-09-05T19:58:49Z</dcterms:modified>
</cp:coreProperties>
</file>