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0490" windowHeight="7155"/>
  </bookViews>
  <sheets>
    <sheet name="Project Credits" sheetId="13" r:id="rId1"/>
    <sheet name="Basins C&amp;D" sheetId="16" r:id="rId2"/>
    <sheet name="SR46 Pond 2 Pollut Load Calcs 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3" l="1"/>
  <c r="M9" i="13"/>
  <c r="M3" i="13" l="1"/>
  <c r="L3" i="13" s="1"/>
  <c r="K3" i="13"/>
  <c r="G16" i="16" l="1"/>
  <c r="G13" i="16"/>
  <c r="G6" i="16"/>
  <c r="G3" i="16"/>
  <c r="G4" i="16" s="1"/>
  <c r="P3" i="13"/>
  <c r="N3" i="13"/>
  <c r="G17" i="16"/>
  <c r="G14" i="16"/>
  <c r="G7" i="16"/>
  <c r="O58" i="16"/>
  <c r="E58" i="16"/>
  <c r="U57" i="16"/>
  <c r="X57" i="16" s="1"/>
  <c r="R57" i="16"/>
  <c r="F57" i="16"/>
  <c r="I57" i="16" s="1"/>
  <c r="X56" i="16"/>
  <c r="U56" i="16"/>
  <c r="R56" i="16"/>
  <c r="F56" i="16"/>
  <c r="I56" i="16" s="1"/>
  <c r="X55" i="16"/>
  <c r="U55" i="16"/>
  <c r="R55" i="16"/>
  <c r="I55" i="16"/>
  <c r="F55" i="16"/>
  <c r="U54" i="16"/>
  <c r="X54" i="16" s="1"/>
  <c r="R54" i="16"/>
  <c r="I54" i="16"/>
  <c r="F54" i="16"/>
  <c r="U53" i="16"/>
  <c r="U58" i="16" s="1"/>
  <c r="R53" i="16"/>
  <c r="F53" i="16"/>
  <c r="F58" i="16" s="1"/>
  <c r="O49" i="16"/>
  <c r="E49" i="16"/>
  <c r="U48" i="16"/>
  <c r="X48" i="16" s="1"/>
  <c r="R48" i="16"/>
  <c r="I48" i="16"/>
  <c r="F48" i="16"/>
  <c r="U47" i="16"/>
  <c r="X47" i="16" s="1"/>
  <c r="R47" i="16"/>
  <c r="F47" i="16"/>
  <c r="I47" i="16" s="1"/>
  <c r="X46" i="16"/>
  <c r="U46" i="16"/>
  <c r="R46" i="16"/>
  <c r="F46" i="16"/>
  <c r="I46" i="16" s="1"/>
  <c r="U45" i="16"/>
  <c r="X45" i="16" s="1"/>
  <c r="R45" i="16"/>
  <c r="I45" i="16"/>
  <c r="F45" i="16"/>
  <c r="U44" i="16"/>
  <c r="X44" i="16" s="1"/>
  <c r="R44" i="16"/>
  <c r="F44" i="16"/>
  <c r="I44" i="16" s="1"/>
  <c r="U43" i="16"/>
  <c r="X43" i="16" s="1"/>
  <c r="R43" i="16"/>
  <c r="F43" i="16"/>
  <c r="I43" i="16" s="1"/>
  <c r="X42" i="16"/>
  <c r="U42" i="16"/>
  <c r="U49" i="16" s="1"/>
  <c r="R42" i="16"/>
  <c r="F42" i="16"/>
  <c r="I42" i="16" s="1"/>
  <c r="I49" i="16" s="1"/>
  <c r="O37" i="16"/>
  <c r="E37" i="16"/>
  <c r="U36" i="16"/>
  <c r="X36" i="16" s="1"/>
  <c r="R36" i="16"/>
  <c r="F36" i="16"/>
  <c r="I36" i="16" s="1"/>
  <c r="X35" i="16"/>
  <c r="U35" i="16"/>
  <c r="R35" i="16"/>
  <c r="F35" i="16"/>
  <c r="I35" i="16" s="1"/>
  <c r="U34" i="16"/>
  <c r="X34" i="16" s="1"/>
  <c r="R34" i="16"/>
  <c r="I34" i="16"/>
  <c r="F34" i="16"/>
  <c r="U33" i="16"/>
  <c r="X33" i="16" s="1"/>
  <c r="R33" i="16"/>
  <c r="F33" i="16"/>
  <c r="I33" i="16" s="1"/>
  <c r="U32" i="16"/>
  <c r="U37" i="16" s="1"/>
  <c r="R32" i="16"/>
  <c r="F32" i="16"/>
  <c r="F37" i="16" s="1"/>
  <c r="O28" i="16"/>
  <c r="E28" i="16"/>
  <c r="U27" i="16"/>
  <c r="X27" i="16" s="1"/>
  <c r="R27" i="16"/>
  <c r="F27" i="16"/>
  <c r="I27" i="16" s="1"/>
  <c r="U26" i="16"/>
  <c r="X26" i="16" s="1"/>
  <c r="R26" i="16"/>
  <c r="F26" i="16"/>
  <c r="I26" i="16" s="1"/>
  <c r="X25" i="16"/>
  <c r="U25" i="16"/>
  <c r="R25" i="16"/>
  <c r="F25" i="16"/>
  <c r="I25" i="16" s="1"/>
  <c r="U24" i="16"/>
  <c r="U28" i="16" s="1"/>
  <c r="R24" i="16"/>
  <c r="I24" i="16"/>
  <c r="F24" i="16"/>
  <c r="B17" i="16"/>
  <c r="B14" i="16"/>
  <c r="B19" i="16" s="1"/>
  <c r="B7" i="16"/>
  <c r="B4" i="16"/>
  <c r="B9" i="16" s="1"/>
  <c r="G19" i="16" l="1"/>
  <c r="G9" i="16"/>
  <c r="I28" i="16"/>
  <c r="X49" i="16"/>
  <c r="X32" i="16"/>
  <c r="X37" i="16" s="1"/>
  <c r="X53" i="16"/>
  <c r="X58" i="16" s="1"/>
  <c r="I32" i="16"/>
  <c r="I37" i="16" s="1"/>
  <c r="I53" i="16"/>
  <c r="I58" i="16" s="1"/>
  <c r="F28" i="16"/>
  <c r="F49" i="16"/>
  <c r="X24" i="16"/>
  <c r="X28" i="16" s="1"/>
  <c r="O3" i="13" l="1"/>
  <c r="L6" i="13" l="1"/>
  <c r="N6" i="13"/>
  <c r="K6" i="13"/>
  <c r="P6" i="13"/>
  <c r="J5" i="15"/>
  <c r="I6" i="15"/>
  <c r="G6" i="15"/>
  <c r="J3" i="15"/>
  <c r="H3" i="15"/>
  <c r="M6" i="13" l="1"/>
  <c r="P5" i="13"/>
  <c r="M5" i="13"/>
  <c r="P4" i="13" l="1"/>
  <c r="P11" i="13" s="1"/>
  <c r="M4" i="13"/>
  <c r="M11" i="13" s="1"/>
  <c r="J2" i="15" l="1"/>
  <c r="I2" i="15"/>
  <c r="D2" i="15" l="1"/>
  <c r="F2" i="15" s="1"/>
  <c r="G2" i="15" l="1"/>
  <c r="H2" i="15" s="1"/>
</calcChain>
</file>

<file path=xl/comments1.xml><?xml version="1.0" encoding="utf-8"?>
<comments xmlns="http://schemas.openxmlformats.org/spreadsheetml/2006/main">
  <authors>
    <author>Esteban Lopez</author>
  </authors>
  <commentList>
    <comment ref="A2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Transcribed from FM240196 drainage report with minor modifications.</t>
        </r>
      </text>
    </comment>
    <comment ref="N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1981-2010 climate normals for Orlando-Sanford Int'l Airport acquired from National Climate Data Center.</t>
        </r>
      </text>
    </comment>
    <comment ref="P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D in FM240196 drainage report.</t>
        </r>
      </text>
    </comment>
    <comment ref="Q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D in FM240196 drainage report.</t>
        </r>
      </text>
    </comment>
    <comment ref="S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for Zone 2 in Appendix C of Dr. Harper's 2007 report to FDEP on stormwater design criteria.</t>
        </r>
      </text>
    </comment>
    <comment ref="T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4-17 of Dr. Harper's 2007 report to FDEP on stormwater design criteria.</t>
        </r>
      </text>
    </comment>
    <comment ref="W2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5-4 of Dr. Harper's 2007 report to FDEP on stormwater design criteria.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Transcribed from FM240196 drainage report with minor modifications.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1981-2010 climate normals for Orlando-Sanford Int'l Airport acquired from National Climate Data Center.</t>
        </r>
      </text>
    </comment>
    <comment ref="P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D in FM240196 drainage report.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D in FM240196 drainage report.</t>
        </r>
      </text>
    </comment>
    <comment ref="S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for Zone 2 in Appendix C of Dr. Harper's 2007 report to FDEP on stormwater design criteria.</t>
        </r>
      </text>
    </comment>
    <comment ref="T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4-17 of Dr. Harper's 2007 report to FDEP on stormwater design criteria.</t>
        </r>
      </text>
    </comment>
    <comment ref="W3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5-4 of Dr. Harper's 2007 report to FDEP on stormwater design criteria.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Transcribed from FM240196 drainage report with minor modifications.</t>
        </r>
      </text>
    </comment>
    <comment ref="N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1981-2010 climate normals for Orlando-Sanford Int'l Airport acquired from National Climate Data Center.</t>
        </r>
      </text>
    </comment>
    <comment ref="P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E in FM240196 drainage report.</t>
        </r>
      </text>
    </comment>
    <comment ref="Q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E in FM240196 drainage report.</t>
        </r>
      </text>
    </comment>
    <comment ref="S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for Zone 2 in Appendix C of Dr. Harper's 2007 report to FDEP on stormwater design criteria.</t>
        </r>
      </text>
    </comment>
    <comment ref="T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4-17 of Dr. Harper's 2007 report to FDEP on stormwater design criteria.</t>
        </r>
      </text>
    </comment>
    <comment ref="W4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5-4 of Dr. Harper's 2007 report to FDEP on stormwater design criteria.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Transcribed from FM240196 drainage report with minor modifications.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1981-2010 climate normals for Orlando-Sanford Int'l Airport acquired from National Climate Data Center.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E in FM240196 drainage report.</t>
        </r>
      </text>
    </comment>
    <comment ref="Q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Acquired from Appendix E in FM240196 drainage report.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for Zone 2 in Appendix C of Dr. Harper's 2007 report to FDEP on stormwater design criteria.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4-17 of Dr. Harper's 2007 report to FDEP on stormwater design criteria.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From Table 5-4 of Dr. Harper's 2007 report to FDEP on stormwater design criteria.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Modified based on model data in Appendix E of drainage report.</t>
        </r>
      </text>
    </comment>
    <comment ref="O53" authorId="0" shapeId="0">
      <text>
        <r>
          <rPr>
            <b/>
            <sz val="9"/>
            <color indexed="81"/>
            <rFont val="Tahoma"/>
            <family val="2"/>
          </rPr>
          <t>Esteban Lopez:</t>
        </r>
        <r>
          <rPr>
            <sz val="9"/>
            <color indexed="81"/>
            <rFont val="Tahoma"/>
            <family val="2"/>
          </rPr>
          <t xml:space="preserve">
Modified based on model data in Appendix E of drainage report.</t>
        </r>
      </text>
    </comment>
  </commentList>
</comments>
</file>

<file path=xl/sharedStrings.xml><?xml version="1.0" encoding="utf-8"?>
<sst xmlns="http://schemas.openxmlformats.org/spreadsheetml/2006/main" count="402" uniqueCount="120">
  <si>
    <t>Project Number</t>
  </si>
  <si>
    <t>Project Description</t>
  </si>
  <si>
    <t>TN Reduction</t>
  </si>
  <si>
    <t>TP Reduction</t>
  </si>
  <si>
    <t>Completed</t>
  </si>
  <si>
    <t>Wet detention pond</t>
  </si>
  <si>
    <t>Started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</si>
  <si>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</si>
  <si>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</si>
  <si>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</si>
  <si>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</si>
  <si>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</si>
  <si>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</si>
  <si>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</si>
  <si>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</si>
  <si>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</si>
  <si>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</si>
  <si>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</si>
  <si>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</si>
  <si>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</si>
  <si>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Alum treatment</t>
  </si>
  <si>
    <t>Soldiers Creek Alum Treatment Facility</t>
  </si>
  <si>
    <t>Flow-through alum system along CR 427 in Seminole County to reduce nutrient loads within Soldiers Creek</t>
  </si>
  <si>
    <t>FM: 240196-1 SR17-92 Basin C&amp;D</t>
  </si>
  <si>
    <t>Proposed widening of SR 15/600 (US 17/92) from Shepard Road to Lake Mary Blvd; drainage improvements and treatment of existing impervious area</t>
  </si>
  <si>
    <t>Dry retention pond</t>
  </si>
  <si>
    <t>Pond 2 (Also known as Pond A)</t>
  </si>
  <si>
    <t>Pond</t>
  </si>
  <si>
    <t>Annual Runoff Coefficient</t>
  </si>
  <si>
    <t>Average Annual Rainfall</t>
  </si>
  <si>
    <t>Average Annual Runoff</t>
  </si>
  <si>
    <t>Contributing Area</t>
  </si>
  <si>
    <t>Runoff Volume</t>
  </si>
  <si>
    <t>TN Pollutant Loading</t>
  </si>
  <si>
    <t>TP Pollutant Loading</t>
  </si>
  <si>
    <t>Pond 2</t>
  </si>
  <si>
    <t>Note: The ERP drainage calculations require a phosphorus load reduction of 26.7%. No nitrogen load reduction requirements are mentioned in the ERP.</t>
  </si>
  <si>
    <t>Public Education efforts - 1%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</si>
  <si>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</si>
  <si>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</si>
  <si>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</si>
  <si>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</si>
  <si>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</si>
  <si>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</si>
  <si>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FDOT-08</t>
  </si>
  <si>
    <t>FDOT-02</t>
  </si>
  <si>
    <t>FDOT-03</t>
  </si>
  <si>
    <t>FDOT-05</t>
  </si>
  <si>
    <t>FDOT-06</t>
  </si>
  <si>
    <t>Construction</t>
  </si>
  <si>
    <t>Monthly street sweeping - 48,581 cubic feet of material collected</t>
  </si>
  <si>
    <t>N/A</t>
  </si>
  <si>
    <t>Total</t>
  </si>
  <si>
    <t>Total Required Reductions</t>
  </si>
  <si>
    <t>Remaining Reductions</t>
  </si>
  <si>
    <t>4 to 6 lanes</t>
  </si>
  <si>
    <t xml:space="preserve"> FM 240216-2  SR 46 (add lanes and reconstruct from Mellonville Ave. to East of SR 415) </t>
  </si>
  <si>
    <t>provided</t>
  </si>
  <si>
    <t>required</t>
  </si>
  <si>
    <t>difference</t>
  </si>
  <si>
    <t>Basin C</t>
  </si>
  <si>
    <t>Basin D</t>
  </si>
  <si>
    <t>(credit)</t>
  </si>
  <si>
    <t>8.1%/34.8%</t>
  </si>
  <si>
    <t>TP existing load</t>
  </si>
  <si>
    <t>kg/yr</t>
  </si>
  <si>
    <t>lbs/yr</t>
  </si>
  <si>
    <t>TP post load</t>
  </si>
  <si>
    <t>Reduction</t>
  </si>
  <si>
    <t>Based on agreement with Seminole County</t>
  </si>
  <si>
    <t>Existing Detailed Calculations for Total Phosphorus</t>
  </si>
  <si>
    <t>Existing Detailed Calculations for Total Nitrogen</t>
  </si>
  <si>
    <t>Subbasin</t>
  </si>
  <si>
    <t>Landuse</t>
  </si>
  <si>
    <t>Soil Type</t>
  </si>
  <si>
    <t>Export Coef.
(kg/ac/yr)</t>
  </si>
  <si>
    <t>Subbasin Area
(acres)</t>
  </si>
  <si>
    <t>Gross Load
(kg/yr)</t>
  </si>
  <si>
    <t>BMP Classification</t>
  </si>
  <si>
    <t>Removal
Efficiency</t>
  </si>
  <si>
    <t>Net Load
(kg/yr)</t>
  </si>
  <si>
    <t>Annual
Rainfall</t>
  </si>
  <si>
    <t>Impervious
Area (acres)</t>
  </si>
  <si>
    <t>Non-DCIA
Curve Number</t>
  </si>
  <si>
    <t>Percent
DCIA</t>
  </si>
  <si>
    <t>Runoff
Coefficient</t>
  </si>
  <si>
    <t>TN EMC
(mg/L)</t>
  </si>
  <si>
    <t>Ex. Basin C</t>
  </si>
  <si>
    <t>HWY 50%</t>
  </si>
  <si>
    <t>HSG D</t>
  </si>
  <si>
    <t>Ex. Rdwy</t>
  </si>
  <si>
    <t>Ex. Swales</t>
  </si>
  <si>
    <t>Ex. Offsite NB</t>
  </si>
  <si>
    <t>COMM</t>
  </si>
  <si>
    <t>Proposed Detailed Calculations for Total Phosphorus</t>
  </si>
  <si>
    <t>Proposed Detailed Calculations for Total Nitrogen</t>
  </si>
  <si>
    <t>HWY 75%</t>
  </si>
  <si>
    <t>Exfiltration System</t>
  </si>
  <si>
    <t>Basin C North</t>
  </si>
  <si>
    <t>Swale C-1/C-2</t>
  </si>
  <si>
    <t>Swales</t>
  </si>
  <si>
    <t>Ex. Basin 'DS'</t>
  </si>
  <si>
    <t>Ex. Basin 'DN'</t>
  </si>
  <si>
    <t>Ex. 36" RCP Area</t>
  </si>
  <si>
    <t>Ex. 30" RCP Area</t>
  </si>
  <si>
    <t>Ex. Sunland Park South</t>
  </si>
  <si>
    <t>OPEN</t>
  </si>
  <si>
    <t>Ex. Sunland Park North</t>
  </si>
  <si>
    <t>Basin 'DS'</t>
  </si>
  <si>
    <t>Subsurface Retention</t>
  </si>
  <si>
    <t>Basin 'DN'</t>
  </si>
  <si>
    <t>Swale D-1 to D-5</t>
  </si>
  <si>
    <t>SR17-92 Basin C&amp;D -permit</t>
  </si>
  <si>
    <t>SR17-92 Basin C&amp;D - from FDOT</t>
  </si>
  <si>
    <t>TN existing load</t>
  </si>
  <si>
    <t>TN post load</t>
  </si>
  <si>
    <t>FDOT-09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</si>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</sst>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#,##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0" fontId="5" fillId="0" borderId="0" xfId="0" applyFont="1" applyBorder="1"/>
    <xf numFmtId="0" fontId="7" fillId="0" borderId="0" xfId="0" applyFont="1" applyFill="1" applyBorder="1"/>
    <xf numFmtId="0" fontId="3" fillId="0" borderId="0" xfId="0" applyFont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wrapText="1"/>
    </xf>
    <xf numFmtId="165" fontId="2" fillId="2" borderId="1" xfId="0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right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4" fontId="9" fillId="0" borderId="1" xfId="1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/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Font="1"/>
    <xf numFmtId="165" fontId="0" fillId="0" borderId="0" xfId="0" applyNumberFormat="1"/>
    <xf numFmtId="0" fontId="5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9" fontId="0" fillId="0" borderId="0" xfId="0" applyNumberFormat="1"/>
    <xf numFmtId="10" fontId="0" fillId="0" borderId="0" xfId="2" applyNumberFormat="1" applyFont="1"/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A4" workbookViewId="0">
      <selection activeCell="B7" sqref="B7:C7"/>
    </sheetView>
  </sheetViews>
  <sheetFormatPr defaultRowHeight="12.75" x14ac:dyDescent="0.2"/>
  <cols>
    <col min="1" max="1" width="12.7109375" style="14" customWidth="1"/>
    <col min="2" max="2" width="14.85546875" style="14" customWidth="1"/>
    <col min="3" max="3" width="20.7109375" style="14" customWidth="1"/>
    <col min="4" max="10" width="12.7109375" style="14" customWidth="1"/>
    <col min="11" max="11" width="12" style="16" customWidth="1"/>
    <col min="12" max="12" width="12.42578125" style="18" customWidth="1"/>
    <col min="13" max="13" width="10" style="16" customWidth="1"/>
    <col min="14" max="14" width="12" style="16" customWidth="1"/>
    <col min="15" max="15" width="12.7109375" style="18" customWidth="1"/>
    <col min="16" max="16" width="9.7109375" style="16" customWidth="1"/>
    <col min="17" max="16384" width="9.140625" style="14"/>
  </cols>
  <sheetData>
    <row r="1" spans="1:17" ht="25.5" x14ac:dyDescent="0.2">
      <c r="A1" s="1" t="s">
        <v>0</v>
      </c>
      <c r="B1" s="1" t="s">
        <v>8</v>
      </c>
      <c r="C1" s="1" t="s">
        <v>1</v>
      </c>
      <c r="D1" s="1" t="s">
        <v>9</v>
      </c>
      <c r="E1" s="1" t="s">
        <v>10</v>
      </c>
      <c r="F1" s="2" t="s">
        <v>11</v>
      </c>
      <c r="G1" s="2" t="s">
        <v>12</v>
      </c>
      <c r="H1" s="3" t="s">
        <v>13</v>
      </c>
      <c r="I1" s="1" t="s">
        <v>14</v>
      </c>
      <c r="J1" s="1" t="s">
        <v>15</v>
      </c>
      <c r="K1" s="15" t="s">
        <v>38</v>
      </c>
      <c r="L1" s="17" t="s">
        <v>39</v>
      </c>
      <c r="M1" s="15" t="s">
        <v>40</v>
      </c>
      <c r="N1" s="15" t="s">
        <v>41</v>
      </c>
      <c r="O1" s="17" t="s">
        <v>42</v>
      </c>
      <c r="P1" s="15" t="s">
        <v>43</v>
      </c>
    </row>
    <row r="2" spans="1:17" s="10" customFormat="1" ht="63.75" x14ac:dyDescent="0.2">
      <c r="A2" s="29" t="s">
        <v>45</v>
      </c>
      <c r="B2" s="29" t="s">
        <v>21</v>
      </c>
      <c r="C2" s="29" t="s">
        <v>22</v>
      </c>
      <c r="D2" s="29">
        <v>2015</v>
      </c>
      <c r="E2" s="29">
        <v>2016</v>
      </c>
      <c r="F2" s="27">
        <v>0</v>
      </c>
      <c r="G2" s="27">
        <v>0</v>
      </c>
      <c r="H2" s="28">
        <v>5692</v>
      </c>
      <c r="I2" s="29" t="s">
        <v>20</v>
      </c>
      <c r="J2" s="29" t="s">
        <v>4</v>
      </c>
      <c r="K2" s="40" t="s">
        <v>51</v>
      </c>
      <c r="L2" s="40" t="s">
        <v>51</v>
      </c>
      <c r="M2" s="40" t="s">
        <v>51</v>
      </c>
      <c r="N2" s="40" t="s">
        <v>51</v>
      </c>
      <c r="O2" s="41" t="s">
        <v>51</v>
      </c>
      <c r="P2" s="40">
        <v>80</v>
      </c>
      <c r="Q2" s="42" t="s">
        <v>69</v>
      </c>
    </row>
    <row r="3" spans="1:17" s="10" customFormat="1" ht="89.25" x14ac:dyDescent="0.2">
      <c r="A3" s="5" t="s">
        <v>46</v>
      </c>
      <c r="B3" s="5" t="s">
        <v>23</v>
      </c>
      <c r="C3" s="5" t="s">
        <v>24</v>
      </c>
      <c r="D3" s="6">
        <v>2016</v>
      </c>
      <c r="E3" s="6">
        <v>2019</v>
      </c>
      <c r="F3" s="7">
        <v>0</v>
      </c>
      <c r="G3" s="7">
        <v>0</v>
      </c>
      <c r="H3" s="8">
        <v>47.97</v>
      </c>
      <c r="I3" s="6" t="s">
        <v>25</v>
      </c>
      <c r="J3" s="6" t="s">
        <v>49</v>
      </c>
      <c r="K3" s="31">
        <f>ROUND(('Basins C&amp;D'!G4+'Basins C&amp;D'!G14)*0.502,1)</f>
        <v>130.5</v>
      </c>
      <c r="L3" s="32">
        <f>M3/K3</f>
        <v>0.4206896551724138</v>
      </c>
      <c r="M3" s="31">
        <f>ROUND(('Basins C&amp;D'!G9+'Basins C&amp;D'!G19)*0.502,1)</f>
        <v>54.9</v>
      </c>
      <c r="N3" s="22">
        <f>ROUND(('Basins C&amp;D'!B4+'Basins C&amp;D'!B14)*0.494,1)</f>
        <v>24.4</v>
      </c>
      <c r="O3" s="23">
        <f>P3/N3</f>
        <v>0.67622950819672134</v>
      </c>
      <c r="P3" s="22">
        <f>ROUND(('Basins C&amp;D'!B9+'Basins C&amp;D'!B19)*0.494,1)</f>
        <v>16.5</v>
      </c>
      <c r="Q3" s="14"/>
    </row>
    <row r="4" spans="1:17" s="10" customFormat="1" ht="38.25" x14ac:dyDescent="0.2">
      <c r="A4" s="4" t="s">
        <v>47</v>
      </c>
      <c r="B4" s="4" t="s">
        <v>16</v>
      </c>
      <c r="C4" s="5" t="s">
        <v>50</v>
      </c>
      <c r="D4" s="6" t="s">
        <v>17</v>
      </c>
      <c r="E4" s="6" t="s">
        <v>17</v>
      </c>
      <c r="F4" s="7">
        <v>0</v>
      </c>
      <c r="G4" s="7">
        <v>0</v>
      </c>
      <c r="H4" s="8">
        <v>0</v>
      </c>
      <c r="I4" s="4" t="s">
        <v>16</v>
      </c>
      <c r="J4" s="6" t="s">
        <v>4</v>
      </c>
      <c r="K4" s="22" t="s">
        <v>51</v>
      </c>
      <c r="L4" s="23" t="s">
        <v>51</v>
      </c>
      <c r="M4" s="22">
        <f>ROUND(2323*0.502,1)</f>
        <v>1166.0999999999999</v>
      </c>
      <c r="N4" s="22" t="s">
        <v>51</v>
      </c>
      <c r="O4" s="23" t="s">
        <v>51</v>
      </c>
      <c r="P4" s="22">
        <f>ROUND(1489*0.494,1)</f>
        <v>735.6</v>
      </c>
    </row>
    <row r="5" spans="1:17" s="10" customFormat="1" ht="25.5" x14ac:dyDescent="0.2">
      <c r="A5" s="4" t="s">
        <v>48</v>
      </c>
      <c r="B5" s="4" t="s">
        <v>18</v>
      </c>
      <c r="C5" s="5" t="s">
        <v>37</v>
      </c>
      <c r="D5" s="6" t="s">
        <v>17</v>
      </c>
      <c r="E5" s="6" t="s">
        <v>17</v>
      </c>
      <c r="F5" s="7">
        <v>0</v>
      </c>
      <c r="G5" s="7">
        <v>0</v>
      </c>
      <c r="H5" s="8">
        <v>0</v>
      </c>
      <c r="I5" s="9" t="s">
        <v>19</v>
      </c>
      <c r="J5" s="9" t="s">
        <v>7</v>
      </c>
      <c r="K5" s="22">
        <v>4644.8999999999996</v>
      </c>
      <c r="L5" s="23">
        <v>0.01</v>
      </c>
      <c r="M5" s="22">
        <f>ROUND(K5*L5,1)</f>
        <v>46.4</v>
      </c>
      <c r="N5" s="22">
        <v>401.5</v>
      </c>
      <c r="O5" s="23">
        <v>0.01</v>
      </c>
      <c r="P5" s="22">
        <f>ROUND(N5*O5,1)</f>
        <v>4</v>
      </c>
    </row>
    <row r="6" spans="1:17" ht="63.75" x14ac:dyDescent="0.2">
      <c r="A6" s="19" t="s">
        <v>44</v>
      </c>
      <c r="B6" s="20" t="s">
        <v>56</v>
      </c>
      <c r="C6" s="20" t="s">
        <v>26</v>
      </c>
      <c r="D6" s="25">
        <v>42499</v>
      </c>
      <c r="E6" s="26">
        <v>2018</v>
      </c>
      <c r="F6" s="7">
        <v>0</v>
      </c>
      <c r="G6" s="7">
        <v>0</v>
      </c>
      <c r="H6" s="19">
        <v>24.58</v>
      </c>
      <c r="I6" s="21" t="s">
        <v>5</v>
      </c>
      <c r="J6" s="19" t="s">
        <v>6</v>
      </c>
      <c r="K6" s="22">
        <f>'SR46 Pond 2 Pollut Load Calcs '!G6</f>
        <v>176.3</v>
      </c>
      <c r="L6" s="23">
        <f>'SR46 Pond 2 Pollut Load Calcs '!H3</f>
        <v>0.36199999999999999</v>
      </c>
      <c r="M6" s="22">
        <f>ROUND(K6*L6,1)</f>
        <v>63.8</v>
      </c>
      <c r="N6" s="22">
        <f>'SR46 Pond 2 Pollut Load Calcs '!I6</f>
        <v>2.2999999999999998</v>
      </c>
      <c r="O6" s="23" t="s">
        <v>63</v>
      </c>
      <c r="P6" s="22">
        <f>ROUND(((N6*(2/3))*0.081)+((N6*(1/3))*0.348),1)</f>
        <v>0.4</v>
      </c>
      <c r="Q6" s="14" t="s">
        <v>55</v>
      </c>
    </row>
    <row r="7" spans="1:17" ht="25.5" x14ac:dyDescent="0.2">
      <c r="A7" s="19" t="s">
        <v>116</v>
      </c>
      <c r="B7" s="19" t="s">
        <v>117</v>
      </c>
      <c r="C7" s="19" t="s">
        <v>118</v>
      </c>
      <c r="D7" s="6" t="s">
        <v>17</v>
      </c>
      <c r="E7" s="6" t="s">
        <v>17</v>
      </c>
      <c r="F7" s="7">
        <v>0</v>
      </c>
      <c r="G7" s="7">
        <v>0</v>
      </c>
      <c r="H7" s="19"/>
      <c r="I7" s="19" t="s">
        <v>119</v>
      </c>
      <c r="J7" s="19" t="s">
        <v>4</v>
      </c>
      <c r="K7" s="31" t="s">
        <v>51</v>
      </c>
      <c r="L7" s="32" t="s">
        <v>51</v>
      </c>
      <c r="M7" s="31">
        <v>476.2</v>
      </c>
      <c r="N7" s="31" t="s">
        <v>51</v>
      </c>
      <c r="O7" s="32" t="s">
        <v>51</v>
      </c>
      <c r="P7" s="31">
        <v>65.099999999999994</v>
      </c>
    </row>
    <row r="9" spans="1:17" x14ac:dyDescent="0.2">
      <c r="L9" s="18" t="s">
        <v>52</v>
      </c>
      <c r="M9" s="16">
        <f>SUM(M2:M7)</f>
        <v>1807.4</v>
      </c>
      <c r="P9" s="16">
        <f>SUM(P2:P7)</f>
        <v>901.6</v>
      </c>
    </row>
    <row r="10" spans="1:17" x14ac:dyDescent="0.2">
      <c r="L10" s="24" t="s">
        <v>53</v>
      </c>
      <c r="M10" s="16">
        <v>937.6</v>
      </c>
      <c r="P10" s="16">
        <v>222.7</v>
      </c>
    </row>
    <row r="11" spans="1:17" x14ac:dyDescent="0.2">
      <c r="L11" s="24" t="s">
        <v>54</v>
      </c>
      <c r="M11" s="16">
        <f>M10-M9</f>
        <v>-869.80000000000007</v>
      </c>
      <c r="N11" s="16" t="s">
        <v>62</v>
      </c>
      <c r="P11" s="16">
        <f>P10-P9</f>
        <v>-678.90000000000009</v>
      </c>
      <c r="Q11" s="14" t="s">
        <v>62</v>
      </c>
    </row>
  </sheetData>
  <dataValidations count="1">
    <dataValidation type="list" allowBlank="1" showInputMessage="1" showErrorMessage="1" sqref="I6">
      <formula1>$A$29:$A$47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8"/>
  <sheetViews>
    <sheetView topLeftCell="F1" workbookViewId="0">
      <selection activeCell="G17" sqref="G17"/>
    </sheetView>
  </sheetViews>
  <sheetFormatPr defaultRowHeight="15" x14ac:dyDescent="0.25"/>
  <cols>
    <col min="1" max="1" width="17.42578125" style="30" bestFit="1" customWidth="1"/>
    <col min="2" max="2" width="14.5703125" style="30" customWidth="1"/>
    <col min="3" max="5" width="9.140625" style="30"/>
    <col min="6" max="6" width="17.140625" style="30" customWidth="1"/>
    <col min="7" max="16384" width="9.140625" style="30"/>
  </cols>
  <sheetData>
    <row r="1" spans="1:9" x14ac:dyDescent="0.25">
      <c r="A1" s="35" t="s">
        <v>112</v>
      </c>
      <c r="F1" s="35" t="s">
        <v>113</v>
      </c>
    </row>
    <row r="2" spans="1:9" x14ac:dyDescent="0.25">
      <c r="A2" s="35" t="s">
        <v>60</v>
      </c>
      <c r="B2" s="33"/>
      <c r="F2" s="35" t="s">
        <v>60</v>
      </c>
      <c r="G2" s="33"/>
      <c r="I2" s="34"/>
    </row>
    <row r="3" spans="1:9" x14ac:dyDescent="0.25">
      <c r="A3" s="30" t="s">
        <v>64</v>
      </c>
      <c r="B3" s="30">
        <v>7.59</v>
      </c>
      <c r="C3" s="30" t="s">
        <v>65</v>
      </c>
      <c r="F3" s="30" t="s">
        <v>114</v>
      </c>
      <c r="G3" s="37">
        <f>X28</f>
        <v>35.806123393195648</v>
      </c>
      <c r="H3" s="30" t="s">
        <v>65</v>
      </c>
    </row>
    <row r="4" spans="1:9" x14ac:dyDescent="0.25">
      <c r="B4" s="30">
        <f>ROUND(B3*2.2046226218,1)</f>
        <v>16.7</v>
      </c>
      <c r="C4" s="30" t="s">
        <v>66</v>
      </c>
      <c r="G4" s="30">
        <f>ROUND(G3*2.2046226218,1)</f>
        <v>78.900000000000006</v>
      </c>
      <c r="H4" s="30" t="s">
        <v>66</v>
      </c>
    </row>
    <row r="6" spans="1:9" x14ac:dyDescent="0.25">
      <c r="A6" s="30" t="s">
        <v>67</v>
      </c>
      <c r="B6" s="30">
        <v>3.85</v>
      </c>
      <c r="C6" s="30" t="s">
        <v>65</v>
      </c>
      <c r="F6" s="30" t="s">
        <v>115</v>
      </c>
      <c r="G6" s="37">
        <f>X37</f>
        <v>21.905076790072965</v>
      </c>
      <c r="H6" s="30" t="s">
        <v>65</v>
      </c>
    </row>
    <row r="7" spans="1:9" x14ac:dyDescent="0.25">
      <c r="B7" s="30">
        <f>ROUND(B6*2.2046226218,1)</f>
        <v>8.5</v>
      </c>
      <c r="C7" s="30" t="s">
        <v>66</v>
      </c>
      <c r="G7" s="30">
        <f>ROUND(G6*2.2046226218,1)</f>
        <v>48.3</v>
      </c>
      <c r="H7" s="30" t="s">
        <v>66</v>
      </c>
    </row>
    <row r="9" spans="1:9" x14ac:dyDescent="0.25">
      <c r="A9" s="30" t="s">
        <v>68</v>
      </c>
      <c r="B9" s="30">
        <f>ROUND(B4-B7,1)</f>
        <v>8.1999999999999993</v>
      </c>
      <c r="C9" s="30" t="s">
        <v>66</v>
      </c>
      <c r="F9" s="30" t="s">
        <v>68</v>
      </c>
      <c r="G9" s="30">
        <f>ROUND(G4-G7,1)</f>
        <v>30.6</v>
      </c>
      <c r="H9" s="30" t="s">
        <v>66</v>
      </c>
    </row>
    <row r="12" spans="1:9" x14ac:dyDescent="0.25">
      <c r="A12" s="35" t="s">
        <v>61</v>
      </c>
      <c r="B12" s="33"/>
      <c r="F12" s="35" t="s">
        <v>61</v>
      </c>
      <c r="G12" s="33"/>
    </row>
    <row r="13" spans="1:9" x14ac:dyDescent="0.25">
      <c r="A13" s="30" t="s">
        <v>64</v>
      </c>
      <c r="B13" s="30">
        <v>14.8</v>
      </c>
      <c r="C13" s="30" t="s">
        <v>65</v>
      </c>
      <c r="F13" s="30" t="s">
        <v>114</v>
      </c>
      <c r="G13" s="37">
        <f>X49</f>
        <v>82.15591661538933</v>
      </c>
      <c r="H13" s="30" t="s">
        <v>65</v>
      </c>
    </row>
    <row r="14" spans="1:9" x14ac:dyDescent="0.25">
      <c r="B14" s="30">
        <f>ROUND(B13*2.2046226218,1)</f>
        <v>32.6</v>
      </c>
      <c r="C14" s="30" t="s">
        <v>66</v>
      </c>
      <c r="G14" s="30">
        <f>ROUND(G13*2.2046226218,1)</f>
        <v>181.1</v>
      </c>
      <c r="H14" s="30" t="s">
        <v>66</v>
      </c>
    </row>
    <row r="16" spans="1:9" x14ac:dyDescent="0.25">
      <c r="A16" s="30" t="s">
        <v>67</v>
      </c>
      <c r="B16" s="30">
        <v>3.36</v>
      </c>
      <c r="C16" s="30" t="s">
        <v>65</v>
      </c>
      <c r="F16" s="30" t="s">
        <v>115</v>
      </c>
      <c r="G16" s="37">
        <f>X58</f>
        <v>46.433789438843768</v>
      </c>
      <c r="H16" s="30" t="s">
        <v>65</v>
      </c>
    </row>
    <row r="17" spans="1:24" x14ac:dyDescent="0.25">
      <c r="B17" s="30">
        <f>ROUND(B16*2.2046226218,1)</f>
        <v>7.4</v>
      </c>
      <c r="C17" s="30" t="s">
        <v>66</v>
      </c>
      <c r="G17" s="30">
        <f>ROUND(G16*2.2046226218,1)</f>
        <v>102.4</v>
      </c>
      <c r="H17" s="30" t="s">
        <v>66</v>
      </c>
    </row>
    <row r="19" spans="1:24" x14ac:dyDescent="0.25">
      <c r="A19" s="30" t="s">
        <v>68</v>
      </c>
      <c r="B19" s="30">
        <f>ROUND(B14-B17,1)</f>
        <v>25.2</v>
      </c>
      <c r="C19" s="30" t="s">
        <v>66</v>
      </c>
      <c r="F19" s="30" t="s">
        <v>68</v>
      </c>
      <c r="G19" s="30">
        <f>ROUND(G14-G17,1)</f>
        <v>78.7</v>
      </c>
      <c r="H19" s="30" t="s">
        <v>66</v>
      </c>
    </row>
    <row r="21" spans="1:24" x14ac:dyDescent="0.25">
      <c r="A21" s="35" t="s">
        <v>60</v>
      </c>
      <c r="K21" s="35" t="s">
        <v>60</v>
      </c>
    </row>
    <row r="22" spans="1:24" x14ac:dyDescent="0.25">
      <c r="A22" s="35" t="s">
        <v>70</v>
      </c>
      <c r="K22" s="35" t="s">
        <v>71</v>
      </c>
    </row>
    <row r="23" spans="1:24" ht="60" x14ac:dyDescent="0.25">
      <c r="A23" s="30" t="s">
        <v>72</v>
      </c>
      <c r="B23" s="30" t="s">
        <v>73</v>
      </c>
      <c r="C23" s="30" t="s">
        <v>74</v>
      </c>
      <c r="D23" s="36" t="s">
        <v>75</v>
      </c>
      <c r="E23" s="36" t="s">
        <v>76</v>
      </c>
      <c r="F23" s="36" t="s">
        <v>77</v>
      </c>
      <c r="G23" s="30" t="s">
        <v>78</v>
      </c>
      <c r="H23" s="36" t="s">
        <v>79</v>
      </c>
      <c r="I23" s="36" t="s">
        <v>80</v>
      </c>
      <c r="K23" s="30" t="s">
        <v>72</v>
      </c>
      <c r="L23" s="30" t="s">
        <v>73</v>
      </c>
      <c r="M23" s="30" t="s">
        <v>74</v>
      </c>
      <c r="N23" s="36" t="s">
        <v>81</v>
      </c>
      <c r="O23" s="36" t="s">
        <v>76</v>
      </c>
      <c r="P23" s="36" t="s">
        <v>82</v>
      </c>
      <c r="Q23" s="36" t="s">
        <v>83</v>
      </c>
      <c r="R23" s="36" t="s">
        <v>84</v>
      </c>
      <c r="S23" s="36" t="s">
        <v>85</v>
      </c>
      <c r="T23" s="36" t="s">
        <v>86</v>
      </c>
      <c r="U23" s="36" t="s">
        <v>77</v>
      </c>
      <c r="V23" s="30" t="s">
        <v>78</v>
      </c>
      <c r="W23" s="36" t="s">
        <v>79</v>
      </c>
      <c r="X23" s="36" t="s">
        <v>80</v>
      </c>
    </row>
    <row r="24" spans="1:24" x14ac:dyDescent="0.25">
      <c r="A24" s="30" t="s">
        <v>87</v>
      </c>
      <c r="B24" s="30" t="s">
        <v>88</v>
      </c>
      <c r="C24" s="30" t="s">
        <v>89</v>
      </c>
      <c r="D24" s="30">
        <v>0.871</v>
      </c>
      <c r="E24" s="30">
        <v>4.76</v>
      </c>
      <c r="F24" s="37">
        <f>D24*E24</f>
        <v>4.1459599999999996</v>
      </c>
      <c r="G24" s="30" t="s">
        <v>51</v>
      </c>
      <c r="H24" s="38">
        <v>0</v>
      </c>
      <c r="I24" s="37">
        <f>F24*(1-H24)</f>
        <v>4.1459599999999996</v>
      </c>
      <c r="K24" s="30" t="s">
        <v>87</v>
      </c>
      <c r="L24" s="30" t="s">
        <v>88</v>
      </c>
      <c r="M24" s="30" t="s">
        <v>89</v>
      </c>
      <c r="N24" s="30">
        <v>51.68</v>
      </c>
      <c r="O24" s="30">
        <v>4.76</v>
      </c>
      <c r="P24" s="30">
        <v>2.89</v>
      </c>
      <c r="Q24" s="30">
        <v>80</v>
      </c>
      <c r="R24" s="39">
        <f>P24/O24</f>
        <v>0.60714285714285721</v>
      </c>
      <c r="S24" s="30">
        <v>0.53500000000000003</v>
      </c>
      <c r="T24" s="30">
        <v>1.64</v>
      </c>
      <c r="U24" s="37">
        <f>S24*(N24/12)*O24*(43560*0.3048^3/1000)*T24</f>
        <v>22.185979165558848</v>
      </c>
      <c r="V24" s="30" t="s">
        <v>51</v>
      </c>
      <c r="W24" s="38">
        <v>0</v>
      </c>
      <c r="X24" s="37">
        <f>U24*(1-W24)</f>
        <v>22.185979165558848</v>
      </c>
    </row>
    <row r="25" spans="1:24" x14ac:dyDescent="0.25">
      <c r="A25" s="30" t="s">
        <v>90</v>
      </c>
      <c r="B25" s="30" t="s">
        <v>88</v>
      </c>
      <c r="C25" s="30" t="s">
        <v>89</v>
      </c>
      <c r="D25" s="30">
        <v>0.871</v>
      </c>
      <c r="E25" s="30">
        <v>1.03</v>
      </c>
      <c r="F25" s="37">
        <f t="shared" ref="F25:F27" si="0">D25*E25</f>
        <v>0.89712999999999998</v>
      </c>
      <c r="G25" s="30" t="s">
        <v>51</v>
      </c>
      <c r="H25" s="38">
        <v>0</v>
      </c>
      <c r="I25" s="37">
        <f t="shared" ref="I25:I27" si="1">F25*(1-H25)</f>
        <v>0.89712999999999998</v>
      </c>
      <c r="K25" s="30" t="s">
        <v>90</v>
      </c>
      <c r="L25" s="30" t="s">
        <v>88</v>
      </c>
      <c r="M25" s="30" t="s">
        <v>89</v>
      </c>
      <c r="N25" s="30">
        <v>51.68</v>
      </c>
      <c r="O25" s="30">
        <v>1.03</v>
      </c>
      <c r="P25" s="30">
        <v>0.83</v>
      </c>
      <c r="Q25" s="30">
        <v>80</v>
      </c>
      <c r="R25" s="39">
        <f>P25/O25</f>
        <v>0.80582524271844658</v>
      </c>
      <c r="S25" s="30">
        <v>0.67300000000000004</v>
      </c>
      <c r="T25" s="30">
        <v>1.64</v>
      </c>
      <c r="U25" s="37">
        <f>S25*(N25/12)*O25*(43560*0.3048^3/1000)*T25</f>
        <v>6.0390712706250431</v>
      </c>
      <c r="V25" s="30" t="s">
        <v>51</v>
      </c>
      <c r="W25" s="38">
        <v>0</v>
      </c>
      <c r="X25" s="37">
        <f t="shared" ref="X25:X27" si="2">U25*(1-W25)</f>
        <v>6.0390712706250431</v>
      </c>
    </row>
    <row r="26" spans="1:24" x14ac:dyDescent="0.25">
      <c r="A26" s="30" t="s">
        <v>91</v>
      </c>
      <c r="B26" s="30" t="s">
        <v>88</v>
      </c>
      <c r="C26" s="30" t="s">
        <v>89</v>
      </c>
      <c r="D26" s="30">
        <v>0.871</v>
      </c>
      <c r="E26" s="30">
        <v>1.21</v>
      </c>
      <c r="F26" s="37">
        <f t="shared" si="0"/>
        <v>1.0539099999999999</v>
      </c>
      <c r="G26" s="30" t="s">
        <v>51</v>
      </c>
      <c r="H26" s="38">
        <v>0</v>
      </c>
      <c r="I26" s="37">
        <f t="shared" si="1"/>
        <v>1.0539099999999999</v>
      </c>
      <c r="K26" s="30" t="s">
        <v>91</v>
      </c>
      <c r="L26" s="30" t="s">
        <v>88</v>
      </c>
      <c r="M26" s="30" t="s">
        <v>89</v>
      </c>
      <c r="N26" s="30">
        <v>51.68</v>
      </c>
      <c r="O26" s="30">
        <v>1.21</v>
      </c>
      <c r="P26" s="30">
        <v>0.71</v>
      </c>
      <c r="Q26" s="30">
        <v>80</v>
      </c>
      <c r="R26" s="39">
        <f>P26/O26</f>
        <v>0.58677685950413216</v>
      </c>
      <c r="S26" s="30">
        <v>0.52100000000000002</v>
      </c>
      <c r="T26" s="30">
        <v>1.64</v>
      </c>
      <c r="U26" s="37">
        <f>S26*(N26/12)*O26*(43560*0.3048^3/1000)*T26</f>
        <v>5.4921319114741038</v>
      </c>
      <c r="V26" s="30" t="s">
        <v>51</v>
      </c>
      <c r="W26" s="38">
        <v>0</v>
      </c>
      <c r="X26" s="37">
        <f t="shared" si="2"/>
        <v>5.4921319114741038</v>
      </c>
    </row>
    <row r="27" spans="1:24" x14ac:dyDescent="0.25">
      <c r="A27" s="30" t="s">
        <v>92</v>
      </c>
      <c r="B27" s="30" t="s">
        <v>93</v>
      </c>
      <c r="C27" s="30" t="s">
        <v>89</v>
      </c>
      <c r="D27" s="30">
        <v>0.96399999999999997</v>
      </c>
      <c r="E27" s="30">
        <v>1.55</v>
      </c>
      <c r="F27" s="37">
        <f t="shared" si="0"/>
        <v>1.4942</v>
      </c>
      <c r="G27" s="30" t="s">
        <v>51</v>
      </c>
      <c r="H27" s="38">
        <v>0</v>
      </c>
      <c r="I27" s="37">
        <f t="shared" si="1"/>
        <v>1.4942</v>
      </c>
      <c r="K27" s="30" t="s">
        <v>92</v>
      </c>
      <c r="L27" s="30" t="s">
        <v>93</v>
      </c>
      <c r="M27" s="30" t="s">
        <v>89</v>
      </c>
      <c r="N27" s="30">
        <v>51.68</v>
      </c>
      <c r="O27" s="30">
        <v>1.55</v>
      </c>
      <c r="P27" s="30">
        <v>0.23</v>
      </c>
      <c r="Q27" s="30">
        <v>80</v>
      </c>
      <c r="R27" s="39">
        <f>P27/O27</f>
        <v>0.14838709677419354</v>
      </c>
      <c r="S27" s="30">
        <v>0.215</v>
      </c>
      <c r="T27" s="30">
        <v>1.18</v>
      </c>
      <c r="U27" s="37">
        <f>S27*(N27/12)*O27*(43560*0.3048^3/1000)*T27</f>
        <v>2.0889410455376494</v>
      </c>
      <c r="V27" s="30" t="s">
        <v>51</v>
      </c>
      <c r="W27" s="38">
        <v>0</v>
      </c>
      <c r="X27" s="37">
        <f t="shared" si="2"/>
        <v>2.0889410455376494</v>
      </c>
    </row>
    <row r="28" spans="1:24" x14ac:dyDescent="0.25">
      <c r="E28" s="30">
        <f>SUM(E24:E27)</f>
        <v>8.5500000000000007</v>
      </c>
      <c r="F28" s="37">
        <f>SUM(F24:F27)</f>
        <v>7.5911999999999997</v>
      </c>
      <c r="I28" s="37">
        <f>SUM(I24:I27)</f>
        <v>7.5911999999999997</v>
      </c>
      <c r="O28" s="30">
        <f>SUM(O24:O27)</f>
        <v>8.5500000000000007</v>
      </c>
      <c r="U28" s="37">
        <f>SUM(U24:U27)</f>
        <v>35.806123393195648</v>
      </c>
      <c r="X28" s="37">
        <f>SUM(X24:X27)</f>
        <v>35.806123393195648</v>
      </c>
    </row>
    <row r="29" spans="1:24" x14ac:dyDescent="0.25">
      <c r="A29" s="35" t="s">
        <v>60</v>
      </c>
      <c r="K29" s="35" t="s">
        <v>60</v>
      </c>
    </row>
    <row r="30" spans="1:24" x14ac:dyDescent="0.25">
      <c r="A30" s="35" t="s">
        <v>94</v>
      </c>
      <c r="K30" s="35" t="s">
        <v>95</v>
      </c>
    </row>
    <row r="31" spans="1:24" ht="60" x14ac:dyDescent="0.25">
      <c r="A31" s="30" t="s">
        <v>72</v>
      </c>
      <c r="B31" s="30" t="s">
        <v>73</v>
      </c>
      <c r="C31" s="30" t="s">
        <v>74</v>
      </c>
      <c r="D31" s="36" t="s">
        <v>75</v>
      </c>
      <c r="E31" s="36" t="s">
        <v>76</v>
      </c>
      <c r="F31" s="36" t="s">
        <v>77</v>
      </c>
      <c r="G31" s="30" t="s">
        <v>78</v>
      </c>
      <c r="H31" s="36" t="s">
        <v>79</v>
      </c>
      <c r="I31" s="36" t="s">
        <v>80</v>
      </c>
      <c r="K31" s="30" t="s">
        <v>72</v>
      </c>
      <c r="L31" s="30" t="s">
        <v>73</v>
      </c>
      <c r="M31" s="30" t="s">
        <v>74</v>
      </c>
      <c r="N31" s="36" t="s">
        <v>81</v>
      </c>
      <c r="O31" s="36" t="s">
        <v>76</v>
      </c>
      <c r="P31" s="36" t="s">
        <v>82</v>
      </c>
      <c r="Q31" s="36" t="s">
        <v>83</v>
      </c>
      <c r="R31" s="36" t="s">
        <v>84</v>
      </c>
      <c r="S31" s="36" t="s">
        <v>85</v>
      </c>
      <c r="T31" s="36" t="s">
        <v>86</v>
      </c>
      <c r="U31" s="36" t="s">
        <v>77</v>
      </c>
      <c r="V31" s="30" t="s">
        <v>78</v>
      </c>
      <c r="W31" s="36" t="s">
        <v>79</v>
      </c>
      <c r="X31" s="36" t="s">
        <v>80</v>
      </c>
    </row>
    <row r="32" spans="1:24" x14ac:dyDescent="0.25">
      <c r="A32" s="30" t="s">
        <v>60</v>
      </c>
      <c r="B32" s="30" t="s">
        <v>96</v>
      </c>
      <c r="C32" s="30" t="s">
        <v>89</v>
      </c>
      <c r="D32" s="30">
        <v>1.133</v>
      </c>
      <c r="E32" s="30">
        <v>2.57</v>
      </c>
      <c r="F32" s="37">
        <f t="shared" ref="F32:F36" si="3">D32*E32</f>
        <v>2.91181</v>
      </c>
      <c r="G32" s="30" t="s">
        <v>97</v>
      </c>
      <c r="H32" s="38">
        <v>0.84</v>
      </c>
      <c r="I32" s="37">
        <f t="shared" ref="I32:I36" si="4">F32*(1-H32)</f>
        <v>0.46588960000000007</v>
      </c>
      <c r="K32" s="30" t="s">
        <v>60</v>
      </c>
      <c r="L32" s="30" t="s">
        <v>96</v>
      </c>
      <c r="M32" s="30" t="s">
        <v>89</v>
      </c>
      <c r="N32" s="30">
        <v>51.68</v>
      </c>
      <c r="O32" s="30">
        <v>2.57</v>
      </c>
      <c r="P32" s="30">
        <v>1.95</v>
      </c>
      <c r="Q32" s="30">
        <v>80</v>
      </c>
      <c r="R32" s="39">
        <f>P32/O32</f>
        <v>0.75875486381322965</v>
      </c>
      <c r="S32" s="30">
        <v>0.64100000000000001</v>
      </c>
      <c r="T32" s="30">
        <v>1.64</v>
      </c>
      <c r="U32" s="37">
        <f>S32*(N32/12)*O32*(43560*0.3048^3/1000)*T32</f>
        <v>14.351887417720361</v>
      </c>
      <c r="V32" s="30" t="s">
        <v>97</v>
      </c>
      <c r="W32" s="38">
        <v>0.57999999999999996</v>
      </c>
      <c r="X32" s="37">
        <f t="shared" ref="X32:X36" si="5">U32*(1-W32)</f>
        <v>6.0277927154425521</v>
      </c>
    </row>
    <row r="33" spans="1:24" x14ac:dyDescent="0.25">
      <c r="A33" s="30" t="s">
        <v>98</v>
      </c>
      <c r="B33" s="30" t="s">
        <v>96</v>
      </c>
      <c r="C33" s="30" t="s">
        <v>89</v>
      </c>
      <c r="D33" s="30">
        <v>1.133</v>
      </c>
      <c r="E33" s="30">
        <v>0.69</v>
      </c>
      <c r="F33" s="37">
        <f t="shared" si="3"/>
        <v>0.78176999999999996</v>
      </c>
      <c r="G33" s="30" t="s">
        <v>51</v>
      </c>
      <c r="H33" s="38">
        <v>0</v>
      </c>
      <c r="I33" s="37">
        <f t="shared" si="4"/>
        <v>0.78176999999999996</v>
      </c>
      <c r="K33" s="30" t="s">
        <v>98</v>
      </c>
      <c r="L33" s="30" t="s">
        <v>96</v>
      </c>
      <c r="M33" s="30" t="s">
        <v>89</v>
      </c>
      <c r="N33" s="30">
        <v>51.68</v>
      </c>
      <c r="O33" s="30">
        <v>0.69</v>
      </c>
      <c r="P33" s="30">
        <v>0.53</v>
      </c>
      <c r="Q33" s="30">
        <v>80</v>
      </c>
      <c r="R33" s="39">
        <f>P33/O33</f>
        <v>0.76811594202898559</v>
      </c>
      <c r="S33" s="30">
        <v>0.64700000000000002</v>
      </c>
      <c r="T33" s="30">
        <v>1.64</v>
      </c>
      <c r="U33" s="37">
        <f>S33*(N33/12)*O33*(43560*0.3048^3/1000)*T33</f>
        <v>3.8892981539623168</v>
      </c>
      <c r="V33" s="30" t="s">
        <v>51</v>
      </c>
      <c r="W33" s="38">
        <v>0</v>
      </c>
      <c r="X33" s="37">
        <f t="shared" si="5"/>
        <v>3.8892981539623168</v>
      </c>
    </row>
    <row r="34" spans="1:24" x14ac:dyDescent="0.25">
      <c r="A34" s="30" t="s">
        <v>99</v>
      </c>
      <c r="B34" s="30" t="s">
        <v>96</v>
      </c>
      <c r="C34" s="30" t="s">
        <v>89</v>
      </c>
      <c r="D34" s="30">
        <v>1.133</v>
      </c>
      <c r="E34" s="30">
        <v>1.22</v>
      </c>
      <c r="F34" s="37">
        <f t="shared" si="3"/>
        <v>1.38226</v>
      </c>
      <c r="G34" s="30" t="s">
        <v>100</v>
      </c>
      <c r="H34" s="38">
        <v>0.84</v>
      </c>
      <c r="I34" s="37">
        <f t="shared" si="4"/>
        <v>0.22116160000000004</v>
      </c>
      <c r="K34" s="30" t="s">
        <v>99</v>
      </c>
      <c r="L34" s="30" t="s">
        <v>96</v>
      </c>
      <c r="M34" s="30" t="s">
        <v>89</v>
      </c>
      <c r="N34" s="30">
        <v>51.68</v>
      </c>
      <c r="O34" s="30">
        <v>1.22</v>
      </c>
      <c r="P34" s="30">
        <v>0.79</v>
      </c>
      <c r="Q34" s="30">
        <v>80</v>
      </c>
      <c r="R34" s="39">
        <f>P34/O34</f>
        <v>0.64754098360655743</v>
      </c>
      <c r="S34" s="30">
        <v>0.56299999999999994</v>
      </c>
      <c r="T34" s="30">
        <v>1.64</v>
      </c>
      <c r="U34" s="37">
        <f>S34*(N34/12)*O34*(43560*0.3048^3/1000)*T34</f>
        <v>5.9839243107106519</v>
      </c>
      <c r="V34" s="30" t="s">
        <v>100</v>
      </c>
      <c r="W34" s="38">
        <v>0.57999999999999996</v>
      </c>
      <c r="X34" s="37">
        <f t="shared" si="5"/>
        <v>2.5132482104984741</v>
      </c>
    </row>
    <row r="35" spans="1:24" x14ac:dyDescent="0.25">
      <c r="A35" s="30" t="s">
        <v>92</v>
      </c>
      <c r="B35" s="30" t="s">
        <v>93</v>
      </c>
      <c r="C35" s="30" t="s">
        <v>89</v>
      </c>
      <c r="D35" s="30">
        <v>0.96399999999999997</v>
      </c>
      <c r="E35" s="30">
        <v>1.07</v>
      </c>
      <c r="F35" s="37">
        <f t="shared" si="3"/>
        <v>1.03148</v>
      </c>
      <c r="G35" s="30" t="s">
        <v>51</v>
      </c>
      <c r="H35" s="38">
        <v>0</v>
      </c>
      <c r="I35" s="37">
        <f t="shared" si="4"/>
        <v>1.03148</v>
      </c>
      <c r="K35" s="30" t="s">
        <v>92</v>
      </c>
      <c r="L35" s="30" t="s">
        <v>93</v>
      </c>
      <c r="M35" s="30" t="s">
        <v>89</v>
      </c>
      <c r="N35" s="30">
        <v>51.68</v>
      </c>
      <c r="O35" s="30">
        <v>1.07</v>
      </c>
      <c r="P35" s="30">
        <v>0.33</v>
      </c>
      <c r="Q35" s="30">
        <v>80</v>
      </c>
      <c r="R35" s="39">
        <f>P35/O35</f>
        <v>0.30841121495327101</v>
      </c>
      <c r="S35" s="30">
        <v>0.32600000000000001</v>
      </c>
      <c r="T35" s="30">
        <v>1.18</v>
      </c>
      <c r="U35" s="37">
        <f>S35*(N35/12)*O35*(43560*0.3048^3/1000)*T35</f>
        <v>2.1865398814836996</v>
      </c>
      <c r="V35" s="30" t="s">
        <v>51</v>
      </c>
      <c r="W35" s="38">
        <v>0</v>
      </c>
      <c r="X35" s="37">
        <f t="shared" si="5"/>
        <v>2.1865398814836996</v>
      </c>
    </row>
    <row r="36" spans="1:24" x14ac:dyDescent="0.25">
      <c r="A36" s="30" t="s">
        <v>90</v>
      </c>
      <c r="B36" s="30" t="s">
        <v>96</v>
      </c>
      <c r="C36" s="30" t="s">
        <v>89</v>
      </c>
      <c r="D36" s="30">
        <v>1.133</v>
      </c>
      <c r="E36" s="30">
        <v>1.19</v>
      </c>
      <c r="F36" s="37">
        <f t="shared" si="3"/>
        <v>1.3482699999999999</v>
      </c>
      <c r="G36" s="30" t="s">
        <v>51</v>
      </c>
      <c r="H36" s="38">
        <v>0</v>
      </c>
      <c r="I36" s="37">
        <f t="shared" si="4"/>
        <v>1.3482699999999999</v>
      </c>
      <c r="K36" s="30" t="s">
        <v>90</v>
      </c>
      <c r="L36" s="30" t="s">
        <v>96</v>
      </c>
      <c r="M36" s="30" t="s">
        <v>89</v>
      </c>
      <c r="N36" s="30">
        <v>51.68</v>
      </c>
      <c r="O36" s="30">
        <v>1.19</v>
      </c>
      <c r="P36" s="30">
        <v>1.01</v>
      </c>
      <c r="Q36" s="30">
        <v>80</v>
      </c>
      <c r="R36" s="39">
        <f>P36/O36</f>
        <v>0.84873949579831942</v>
      </c>
      <c r="S36" s="30">
        <v>0.70299999999999996</v>
      </c>
      <c r="T36" s="30">
        <v>1.64</v>
      </c>
      <c r="U36" s="37">
        <f>S36*(N36/12)*O36*(43560*0.3048^3/1000)*T36</f>
        <v>7.2881978286859193</v>
      </c>
      <c r="V36" s="30" t="s">
        <v>51</v>
      </c>
      <c r="W36" s="38">
        <v>0</v>
      </c>
      <c r="X36" s="37">
        <f t="shared" si="5"/>
        <v>7.2881978286859193</v>
      </c>
    </row>
    <row r="37" spans="1:24" x14ac:dyDescent="0.25">
      <c r="E37" s="30">
        <f>SUM(E32:E36)</f>
        <v>6.74</v>
      </c>
      <c r="F37" s="37">
        <f>SUM(F32:F36)</f>
        <v>7.4555899999999991</v>
      </c>
      <c r="I37" s="37">
        <f>SUM(I32:I36)</f>
        <v>3.8485711999999999</v>
      </c>
      <c r="O37" s="30">
        <f>SUM(O32:O36)</f>
        <v>6.74</v>
      </c>
      <c r="U37" s="37">
        <f>SUM(U32:U36)</f>
        <v>33.699847592562946</v>
      </c>
      <c r="X37" s="37">
        <f>SUM(X32:X36)</f>
        <v>21.905076790072965</v>
      </c>
    </row>
    <row r="39" spans="1:24" x14ac:dyDescent="0.25">
      <c r="A39" s="35" t="s">
        <v>61</v>
      </c>
      <c r="K39" s="35" t="s">
        <v>61</v>
      </c>
    </row>
    <row r="40" spans="1:24" x14ac:dyDescent="0.25">
      <c r="A40" s="35" t="s">
        <v>70</v>
      </c>
      <c r="K40" s="35" t="s">
        <v>71</v>
      </c>
    </row>
    <row r="41" spans="1:24" ht="60" x14ac:dyDescent="0.25">
      <c r="A41" s="30" t="s">
        <v>72</v>
      </c>
      <c r="B41" s="30" t="s">
        <v>73</v>
      </c>
      <c r="C41" s="30" t="s">
        <v>74</v>
      </c>
      <c r="D41" s="36" t="s">
        <v>75</v>
      </c>
      <c r="E41" s="36" t="s">
        <v>76</v>
      </c>
      <c r="F41" s="36" t="s">
        <v>77</v>
      </c>
      <c r="G41" s="30" t="s">
        <v>78</v>
      </c>
      <c r="H41" s="36" t="s">
        <v>79</v>
      </c>
      <c r="I41" s="36" t="s">
        <v>80</v>
      </c>
      <c r="K41" s="30" t="s">
        <v>72</v>
      </c>
      <c r="L41" s="30" t="s">
        <v>73</v>
      </c>
      <c r="M41" s="30" t="s">
        <v>74</v>
      </c>
      <c r="N41" s="36" t="s">
        <v>81</v>
      </c>
      <c r="O41" s="36" t="s">
        <v>76</v>
      </c>
      <c r="P41" s="36" t="s">
        <v>82</v>
      </c>
      <c r="Q41" s="36" t="s">
        <v>83</v>
      </c>
      <c r="R41" s="36" t="s">
        <v>84</v>
      </c>
      <c r="S41" s="36" t="s">
        <v>85</v>
      </c>
      <c r="T41" s="36" t="s">
        <v>86</v>
      </c>
      <c r="U41" s="36" t="s">
        <v>77</v>
      </c>
      <c r="V41" s="30" t="s">
        <v>78</v>
      </c>
      <c r="W41" s="36" t="s">
        <v>79</v>
      </c>
      <c r="X41" s="36" t="s">
        <v>80</v>
      </c>
    </row>
    <row r="42" spans="1:24" x14ac:dyDescent="0.25">
      <c r="A42" s="30" t="s">
        <v>101</v>
      </c>
      <c r="B42" s="30" t="s">
        <v>88</v>
      </c>
      <c r="C42" s="30" t="s">
        <v>89</v>
      </c>
      <c r="D42" s="30">
        <v>0.871</v>
      </c>
      <c r="E42" s="30">
        <v>1.08</v>
      </c>
      <c r="F42" s="37">
        <f>D42*E42</f>
        <v>0.94068000000000007</v>
      </c>
      <c r="G42" s="30" t="s">
        <v>51</v>
      </c>
      <c r="H42" s="38">
        <v>0</v>
      </c>
      <c r="I42" s="37">
        <f>F42*(1-H42)</f>
        <v>0.94068000000000007</v>
      </c>
      <c r="K42" s="30" t="s">
        <v>101</v>
      </c>
      <c r="L42" s="30" t="s">
        <v>88</v>
      </c>
      <c r="M42" s="30" t="s">
        <v>89</v>
      </c>
      <c r="N42" s="30">
        <v>51.68</v>
      </c>
      <c r="O42" s="30">
        <v>1.08</v>
      </c>
      <c r="P42" s="30">
        <v>0.61</v>
      </c>
      <c r="Q42" s="30">
        <v>80</v>
      </c>
      <c r="R42" s="39">
        <f>P42/O42</f>
        <v>0.56481481481481477</v>
      </c>
      <c r="S42" s="30">
        <v>0.505</v>
      </c>
      <c r="T42" s="30">
        <v>1.64</v>
      </c>
      <c r="U42" s="37">
        <f t="shared" ref="U42:U48" si="6">S42*(N42/12)*O42*(43560*0.3048^3/1000)*T42</f>
        <v>4.75152479262381</v>
      </c>
      <c r="V42" s="30" t="s">
        <v>51</v>
      </c>
      <c r="W42" s="38">
        <v>0</v>
      </c>
      <c r="X42" s="37">
        <f>U42*(1-W42)</f>
        <v>4.75152479262381</v>
      </c>
    </row>
    <row r="43" spans="1:24" x14ac:dyDescent="0.25">
      <c r="A43" s="30" t="s">
        <v>102</v>
      </c>
      <c r="B43" s="30" t="s">
        <v>88</v>
      </c>
      <c r="C43" s="30" t="s">
        <v>89</v>
      </c>
      <c r="D43" s="30">
        <v>0.871</v>
      </c>
      <c r="E43" s="30">
        <v>7</v>
      </c>
      <c r="F43" s="37">
        <f t="shared" ref="F43:F48" si="7">D43*E43</f>
        <v>6.0969999999999995</v>
      </c>
      <c r="G43" s="30" t="s">
        <v>51</v>
      </c>
      <c r="H43" s="38">
        <v>0</v>
      </c>
      <c r="I43" s="37">
        <f t="shared" ref="I43:I48" si="8">F43*(1-H43)</f>
        <v>6.0969999999999995</v>
      </c>
      <c r="K43" s="30" t="s">
        <v>102</v>
      </c>
      <c r="L43" s="30" t="s">
        <v>88</v>
      </c>
      <c r="M43" s="30" t="s">
        <v>89</v>
      </c>
      <c r="N43" s="30">
        <v>51.68</v>
      </c>
      <c r="O43" s="30">
        <v>7</v>
      </c>
      <c r="P43" s="30">
        <v>3.98</v>
      </c>
      <c r="Q43" s="30">
        <v>80</v>
      </c>
      <c r="R43" s="39">
        <f t="shared" ref="R43:R48" si="9">P43/O43</f>
        <v>0.56857142857142862</v>
      </c>
      <c r="S43" s="30">
        <v>0.50800000000000001</v>
      </c>
      <c r="T43" s="30">
        <v>1.64</v>
      </c>
      <c r="U43" s="37">
        <f t="shared" si="6"/>
        <v>30.979871951907349</v>
      </c>
      <c r="V43" s="30" t="s">
        <v>51</v>
      </c>
      <c r="W43" s="38">
        <v>0</v>
      </c>
      <c r="X43" s="37">
        <f t="shared" ref="X43:X48" si="10">U43*(1-W43)</f>
        <v>30.979871951907349</v>
      </c>
    </row>
    <row r="44" spans="1:24" x14ac:dyDescent="0.25">
      <c r="A44" s="30" t="s">
        <v>103</v>
      </c>
      <c r="B44" s="30" t="s">
        <v>88</v>
      </c>
      <c r="C44" s="30" t="s">
        <v>89</v>
      </c>
      <c r="D44" s="30">
        <v>0.871</v>
      </c>
      <c r="E44" s="30">
        <v>1.3</v>
      </c>
      <c r="F44" s="37">
        <f t="shared" si="7"/>
        <v>1.1323000000000001</v>
      </c>
      <c r="G44" s="30" t="s">
        <v>51</v>
      </c>
      <c r="H44" s="38">
        <v>0</v>
      </c>
      <c r="I44" s="37">
        <f t="shared" si="8"/>
        <v>1.1323000000000001</v>
      </c>
      <c r="K44" s="30" t="s">
        <v>103</v>
      </c>
      <c r="L44" s="30" t="s">
        <v>88</v>
      </c>
      <c r="M44" s="30" t="s">
        <v>89</v>
      </c>
      <c r="N44" s="30">
        <v>51.68</v>
      </c>
      <c r="O44" s="30">
        <v>1.3</v>
      </c>
      <c r="P44" s="30">
        <v>0.8</v>
      </c>
      <c r="Q44" s="30">
        <v>80</v>
      </c>
      <c r="R44" s="39">
        <f t="shared" si="9"/>
        <v>0.61538461538461542</v>
      </c>
      <c r="S44" s="30">
        <v>0.54100000000000004</v>
      </c>
      <c r="T44" s="30">
        <v>1.64</v>
      </c>
      <c r="U44" s="37">
        <f t="shared" si="6"/>
        <v>6.1271495904883135</v>
      </c>
      <c r="V44" s="30" t="s">
        <v>51</v>
      </c>
      <c r="W44" s="38">
        <v>0</v>
      </c>
      <c r="X44" s="37">
        <f t="shared" si="10"/>
        <v>6.1271495904883135</v>
      </c>
    </row>
    <row r="45" spans="1:24" x14ac:dyDescent="0.25">
      <c r="A45" s="30" t="s">
        <v>104</v>
      </c>
      <c r="B45" s="30" t="s">
        <v>88</v>
      </c>
      <c r="C45" s="30" t="s">
        <v>89</v>
      </c>
      <c r="D45" s="30">
        <v>0.871</v>
      </c>
      <c r="E45" s="30">
        <v>4.12</v>
      </c>
      <c r="F45" s="37">
        <f t="shared" si="7"/>
        <v>3.5885199999999999</v>
      </c>
      <c r="G45" s="30" t="s">
        <v>51</v>
      </c>
      <c r="H45" s="38">
        <v>0</v>
      </c>
      <c r="I45" s="37">
        <f t="shared" si="8"/>
        <v>3.5885199999999999</v>
      </c>
      <c r="K45" s="30" t="s">
        <v>104</v>
      </c>
      <c r="L45" s="30" t="s">
        <v>88</v>
      </c>
      <c r="M45" s="30" t="s">
        <v>89</v>
      </c>
      <c r="N45" s="30">
        <v>51.68</v>
      </c>
      <c r="O45" s="30">
        <v>4.12</v>
      </c>
      <c r="P45" s="30">
        <v>2.5299999999999998</v>
      </c>
      <c r="Q45" s="30">
        <v>80</v>
      </c>
      <c r="R45" s="39">
        <f t="shared" si="9"/>
        <v>0.61407766990291257</v>
      </c>
      <c r="S45" s="30">
        <v>0.54</v>
      </c>
      <c r="T45" s="30">
        <v>1.64</v>
      </c>
      <c r="U45" s="37">
        <f t="shared" si="6"/>
        <v>19.38245756991099</v>
      </c>
      <c r="V45" s="30" t="s">
        <v>51</v>
      </c>
      <c r="W45" s="38">
        <v>0</v>
      </c>
      <c r="X45" s="37">
        <f t="shared" si="10"/>
        <v>19.38245756991099</v>
      </c>
    </row>
    <row r="46" spans="1:24" x14ac:dyDescent="0.25">
      <c r="A46" s="30" t="s">
        <v>91</v>
      </c>
      <c r="B46" s="30" t="s">
        <v>88</v>
      </c>
      <c r="C46" s="30" t="s">
        <v>89</v>
      </c>
      <c r="D46" s="30">
        <v>0.871</v>
      </c>
      <c r="E46" s="30">
        <v>3.24</v>
      </c>
      <c r="F46" s="37">
        <f t="shared" si="7"/>
        <v>2.8220400000000003</v>
      </c>
      <c r="G46" s="30" t="s">
        <v>51</v>
      </c>
      <c r="H46" s="38">
        <v>0</v>
      </c>
      <c r="I46" s="37">
        <f t="shared" si="8"/>
        <v>2.8220400000000003</v>
      </c>
      <c r="K46" s="30" t="s">
        <v>91</v>
      </c>
      <c r="L46" s="30" t="s">
        <v>88</v>
      </c>
      <c r="M46" s="30" t="s">
        <v>89</v>
      </c>
      <c r="N46" s="30">
        <v>51.68</v>
      </c>
      <c r="O46" s="30">
        <v>3.24</v>
      </c>
      <c r="P46" s="30">
        <v>1.79</v>
      </c>
      <c r="Q46" s="30">
        <v>80</v>
      </c>
      <c r="R46" s="39">
        <f t="shared" si="9"/>
        <v>0.55246913580246915</v>
      </c>
      <c r="S46" s="30">
        <v>0.497</v>
      </c>
      <c r="T46" s="30">
        <v>1.64</v>
      </c>
      <c r="U46" s="37">
        <f t="shared" si="6"/>
        <v>14.028759338221983</v>
      </c>
      <c r="V46" s="30" t="s">
        <v>51</v>
      </c>
      <c r="W46" s="38">
        <v>0</v>
      </c>
      <c r="X46" s="37">
        <f t="shared" si="10"/>
        <v>14.028759338221983</v>
      </c>
    </row>
    <row r="47" spans="1:24" x14ac:dyDescent="0.25">
      <c r="A47" s="30" t="s">
        <v>105</v>
      </c>
      <c r="B47" s="30" t="s">
        <v>106</v>
      </c>
      <c r="C47" s="30" t="s">
        <v>89</v>
      </c>
      <c r="D47" s="30">
        <v>5.0999999999999997E-2</v>
      </c>
      <c r="E47" s="30">
        <v>1.19</v>
      </c>
      <c r="F47" s="37">
        <f t="shared" si="7"/>
        <v>6.0689999999999994E-2</v>
      </c>
      <c r="G47" s="30" t="s">
        <v>51</v>
      </c>
      <c r="H47" s="38">
        <v>0</v>
      </c>
      <c r="I47" s="37">
        <f t="shared" si="8"/>
        <v>6.0689999999999994E-2</v>
      </c>
      <c r="K47" s="30" t="s">
        <v>105</v>
      </c>
      <c r="L47" s="30" t="s">
        <v>106</v>
      </c>
      <c r="M47" s="30" t="s">
        <v>89</v>
      </c>
      <c r="N47" s="30">
        <v>51.68</v>
      </c>
      <c r="O47" s="30">
        <v>1.19</v>
      </c>
      <c r="P47" s="30">
        <v>0</v>
      </c>
      <c r="Q47" s="30">
        <v>80</v>
      </c>
      <c r="R47" s="39">
        <f t="shared" si="9"/>
        <v>0</v>
      </c>
      <c r="S47" s="30">
        <v>0.111</v>
      </c>
      <c r="T47" s="30">
        <v>1.61</v>
      </c>
      <c r="U47" s="37">
        <f t="shared" si="6"/>
        <v>1.1297174426364891</v>
      </c>
      <c r="V47" s="30" t="s">
        <v>51</v>
      </c>
      <c r="W47" s="38">
        <v>0</v>
      </c>
      <c r="X47" s="37">
        <f t="shared" si="10"/>
        <v>1.1297174426364891</v>
      </c>
    </row>
    <row r="48" spans="1:24" x14ac:dyDescent="0.25">
      <c r="A48" s="30" t="s">
        <v>107</v>
      </c>
      <c r="B48" s="30" t="s">
        <v>106</v>
      </c>
      <c r="C48" s="30" t="s">
        <v>89</v>
      </c>
      <c r="D48" s="30">
        <v>5.0999999999999997E-2</v>
      </c>
      <c r="E48" s="30">
        <v>4.6100000000000003</v>
      </c>
      <c r="F48" s="37">
        <f t="shared" si="7"/>
        <v>0.23511000000000001</v>
      </c>
      <c r="G48" s="30" t="s">
        <v>51</v>
      </c>
      <c r="H48" s="38">
        <v>0</v>
      </c>
      <c r="I48" s="37">
        <f t="shared" si="8"/>
        <v>0.23511000000000001</v>
      </c>
      <c r="K48" s="30" t="s">
        <v>107</v>
      </c>
      <c r="L48" s="30" t="s">
        <v>106</v>
      </c>
      <c r="M48" s="30" t="s">
        <v>89</v>
      </c>
      <c r="N48" s="30">
        <v>51.68</v>
      </c>
      <c r="O48" s="30">
        <v>4.6100000000000003</v>
      </c>
      <c r="P48" s="30">
        <v>0.23</v>
      </c>
      <c r="Q48" s="30">
        <v>80</v>
      </c>
      <c r="R48" s="39">
        <f t="shared" si="9"/>
        <v>4.9891540130151846E-2</v>
      </c>
      <c r="S48" s="30">
        <v>0.14599999999999999</v>
      </c>
      <c r="T48" s="30">
        <v>1.61</v>
      </c>
      <c r="U48" s="37">
        <f t="shared" si="6"/>
        <v>5.7564359296003875</v>
      </c>
      <c r="V48" s="30" t="s">
        <v>51</v>
      </c>
      <c r="W48" s="38">
        <v>0</v>
      </c>
      <c r="X48" s="37">
        <f t="shared" si="10"/>
        <v>5.7564359296003875</v>
      </c>
    </row>
    <row r="49" spans="1:24" x14ac:dyDescent="0.25">
      <c r="E49" s="30">
        <f>SUM(E42:E48)</f>
        <v>22.540000000000003</v>
      </c>
      <c r="F49" s="37">
        <f>SUM(F42:F48)</f>
        <v>14.876340000000003</v>
      </c>
      <c r="I49" s="37">
        <f>SUM(I42:I48)</f>
        <v>14.876340000000003</v>
      </c>
      <c r="O49" s="30">
        <f>SUM(O42:O48)</f>
        <v>22.540000000000003</v>
      </c>
      <c r="U49" s="37">
        <f>SUM(U42:U48)</f>
        <v>82.15591661538933</v>
      </c>
      <c r="X49" s="37">
        <f>SUM(X42:X48)</f>
        <v>82.15591661538933</v>
      </c>
    </row>
    <row r="50" spans="1:24" x14ac:dyDescent="0.25">
      <c r="A50" s="35" t="s">
        <v>61</v>
      </c>
      <c r="K50" s="35" t="s">
        <v>61</v>
      </c>
    </row>
    <row r="51" spans="1:24" x14ac:dyDescent="0.25">
      <c r="A51" s="35" t="s">
        <v>94</v>
      </c>
      <c r="K51" s="35" t="s">
        <v>95</v>
      </c>
    </row>
    <row r="52" spans="1:24" ht="60" x14ac:dyDescent="0.25">
      <c r="A52" s="30" t="s">
        <v>72</v>
      </c>
      <c r="B52" s="30" t="s">
        <v>73</v>
      </c>
      <c r="C52" s="30" t="s">
        <v>74</v>
      </c>
      <c r="D52" s="36" t="s">
        <v>75</v>
      </c>
      <c r="E52" s="36" t="s">
        <v>76</v>
      </c>
      <c r="F52" s="36" t="s">
        <v>77</v>
      </c>
      <c r="G52" s="30" t="s">
        <v>78</v>
      </c>
      <c r="H52" s="36" t="s">
        <v>79</v>
      </c>
      <c r="I52" s="36" t="s">
        <v>80</v>
      </c>
      <c r="K52" s="30" t="s">
        <v>72</v>
      </c>
      <c r="L52" s="30" t="s">
        <v>73</v>
      </c>
      <c r="M52" s="30" t="s">
        <v>74</v>
      </c>
      <c r="N52" s="36" t="s">
        <v>81</v>
      </c>
      <c r="O52" s="36" t="s">
        <v>76</v>
      </c>
      <c r="P52" s="36" t="s">
        <v>82</v>
      </c>
      <c r="Q52" s="36" t="s">
        <v>83</v>
      </c>
      <c r="R52" s="36" t="s">
        <v>84</v>
      </c>
      <c r="S52" s="36" t="s">
        <v>85</v>
      </c>
      <c r="T52" s="36" t="s">
        <v>86</v>
      </c>
      <c r="U52" s="36" t="s">
        <v>77</v>
      </c>
      <c r="V52" s="30" t="s">
        <v>78</v>
      </c>
      <c r="W52" s="36" t="s">
        <v>79</v>
      </c>
      <c r="X52" s="36" t="s">
        <v>80</v>
      </c>
    </row>
    <row r="53" spans="1:24" x14ac:dyDescent="0.25">
      <c r="A53" s="30" t="s">
        <v>108</v>
      </c>
      <c r="B53" s="30" t="s">
        <v>96</v>
      </c>
      <c r="C53" s="30" t="s">
        <v>89</v>
      </c>
      <c r="D53" s="30">
        <v>1.133</v>
      </c>
      <c r="E53" s="30">
        <v>9.24</v>
      </c>
      <c r="F53" s="37">
        <f t="shared" ref="F53:F57" si="11">D53*E53</f>
        <v>10.468920000000001</v>
      </c>
      <c r="G53" s="30" t="s">
        <v>109</v>
      </c>
      <c r="H53" s="38">
        <v>0.84</v>
      </c>
      <c r="I53" s="37">
        <f t="shared" ref="I53:I57" si="12">F53*(1-H53)</f>
        <v>1.6750272000000004</v>
      </c>
      <c r="K53" s="30" t="s">
        <v>108</v>
      </c>
      <c r="L53" s="30" t="s">
        <v>96</v>
      </c>
      <c r="M53" s="30" t="s">
        <v>89</v>
      </c>
      <c r="N53" s="30">
        <v>51.68</v>
      </c>
      <c r="O53" s="30">
        <v>9.24</v>
      </c>
      <c r="P53" s="30">
        <v>8.08</v>
      </c>
      <c r="Q53" s="30">
        <v>80</v>
      </c>
      <c r="R53" s="39">
        <f>P53/O53</f>
        <v>0.87445887445887449</v>
      </c>
      <c r="S53" s="30">
        <v>0.72099999999999997</v>
      </c>
      <c r="T53" s="30">
        <v>1.64</v>
      </c>
      <c r="U53" s="37">
        <f>S53*(N53/12)*O53*(43560*0.3048^3/1000)*T53</f>
        <v>58.039692389900111</v>
      </c>
      <c r="V53" s="30" t="s">
        <v>109</v>
      </c>
      <c r="W53" s="38">
        <v>0.57999999999999996</v>
      </c>
      <c r="X53" s="37">
        <f t="shared" ref="X53:X57" si="13">U53*(1-W53)</f>
        <v>24.376670803758049</v>
      </c>
    </row>
    <row r="54" spans="1:24" x14ac:dyDescent="0.25">
      <c r="A54" s="30" t="s">
        <v>110</v>
      </c>
      <c r="B54" s="30" t="s">
        <v>96</v>
      </c>
      <c r="C54" s="30" t="s">
        <v>89</v>
      </c>
      <c r="D54" s="30">
        <v>1.133</v>
      </c>
      <c r="E54" s="30">
        <v>4.4400000000000004</v>
      </c>
      <c r="F54" s="37">
        <f t="shared" si="11"/>
        <v>5.0305200000000001</v>
      </c>
      <c r="G54" s="30" t="s">
        <v>109</v>
      </c>
      <c r="H54" s="38">
        <v>0.84</v>
      </c>
      <c r="I54" s="37">
        <f t="shared" si="12"/>
        <v>0.80488320000000013</v>
      </c>
      <c r="K54" s="30" t="s">
        <v>110</v>
      </c>
      <c r="L54" s="30" t="s">
        <v>96</v>
      </c>
      <c r="M54" s="30" t="s">
        <v>89</v>
      </c>
      <c r="N54" s="30">
        <v>51.68</v>
      </c>
      <c r="O54" s="30">
        <v>4.4400000000000004</v>
      </c>
      <c r="P54" s="30">
        <v>3.14</v>
      </c>
      <c r="Q54" s="30">
        <v>80</v>
      </c>
      <c r="R54" s="39">
        <f>P54/O54</f>
        <v>0.7072072072072072</v>
      </c>
      <c r="S54" s="30">
        <v>0.60499999999999998</v>
      </c>
      <c r="T54" s="30">
        <v>1.64</v>
      </c>
      <c r="U54" s="37">
        <f>S54*(N54/12)*O54*(43560*0.3048^3/1000)*T54</f>
        <v>23.402174363670845</v>
      </c>
      <c r="V54" s="30" t="s">
        <v>109</v>
      </c>
      <c r="W54" s="38">
        <v>0.57999999999999996</v>
      </c>
      <c r="X54" s="37">
        <f t="shared" si="13"/>
        <v>9.8289132327417565</v>
      </c>
    </row>
    <row r="55" spans="1:24" x14ac:dyDescent="0.25">
      <c r="A55" s="30" t="s">
        <v>111</v>
      </c>
      <c r="B55" s="30" t="s">
        <v>96</v>
      </c>
      <c r="C55" s="30" t="s">
        <v>89</v>
      </c>
      <c r="D55" s="30">
        <v>1.133</v>
      </c>
      <c r="E55" s="30">
        <v>3.23</v>
      </c>
      <c r="F55" s="37">
        <f t="shared" si="11"/>
        <v>3.6595900000000001</v>
      </c>
      <c r="G55" s="30" t="s">
        <v>100</v>
      </c>
      <c r="H55" s="38">
        <v>0.84</v>
      </c>
      <c r="I55" s="37">
        <f t="shared" si="12"/>
        <v>0.58553440000000012</v>
      </c>
      <c r="K55" s="30" t="s">
        <v>111</v>
      </c>
      <c r="L55" s="30" t="s">
        <v>96</v>
      </c>
      <c r="M55" s="30" t="s">
        <v>89</v>
      </c>
      <c r="N55" s="30">
        <v>51.68</v>
      </c>
      <c r="O55" s="30">
        <v>3.23</v>
      </c>
      <c r="P55" s="30">
        <v>1.58</v>
      </c>
      <c r="Q55" s="30">
        <v>80</v>
      </c>
      <c r="R55" s="39">
        <f>P55/O55</f>
        <v>0.48916408668730654</v>
      </c>
      <c r="S55" s="30">
        <v>0.45200000000000001</v>
      </c>
      <c r="T55" s="30">
        <v>1.64</v>
      </c>
      <c r="U55" s="37">
        <f>S55*(N55/12)*O55*(43560*0.3048^3/1000)*T55</f>
        <v>12.719171500254962</v>
      </c>
      <c r="V55" s="30" t="s">
        <v>100</v>
      </c>
      <c r="W55" s="38">
        <v>0.57999999999999996</v>
      </c>
      <c r="X55" s="37">
        <f t="shared" si="13"/>
        <v>5.3420520301070846</v>
      </c>
    </row>
    <row r="56" spans="1:24" x14ac:dyDescent="0.25">
      <c r="A56" s="30" t="s">
        <v>105</v>
      </c>
      <c r="B56" s="30" t="s">
        <v>106</v>
      </c>
      <c r="C56" s="30" t="s">
        <v>89</v>
      </c>
      <c r="D56" s="30">
        <v>5.0999999999999997E-2</v>
      </c>
      <c r="E56" s="30">
        <v>1.19</v>
      </c>
      <c r="F56" s="37">
        <f t="shared" si="11"/>
        <v>6.0689999999999994E-2</v>
      </c>
      <c r="G56" s="30" t="s">
        <v>51</v>
      </c>
      <c r="H56" s="38">
        <v>0</v>
      </c>
      <c r="I56" s="37">
        <f t="shared" si="12"/>
        <v>6.0689999999999994E-2</v>
      </c>
      <c r="K56" s="30" t="s">
        <v>105</v>
      </c>
      <c r="L56" s="30" t="s">
        <v>106</v>
      </c>
      <c r="M56" s="30" t="s">
        <v>89</v>
      </c>
      <c r="N56" s="30">
        <v>51.68</v>
      </c>
      <c r="O56" s="30">
        <v>1.19</v>
      </c>
      <c r="P56" s="30">
        <v>0</v>
      </c>
      <c r="Q56" s="30">
        <v>80</v>
      </c>
      <c r="R56" s="39">
        <f>P56/O56</f>
        <v>0</v>
      </c>
      <c r="S56" s="30">
        <v>0.111</v>
      </c>
      <c r="T56" s="30">
        <v>1.61</v>
      </c>
      <c r="U56" s="37">
        <f>S56*(N56/12)*O56*(43560*0.3048^3/1000)*T56</f>
        <v>1.1297174426364891</v>
      </c>
      <c r="V56" s="30" t="s">
        <v>51</v>
      </c>
      <c r="W56" s="38">
        <v>0</v>
      </c>
      <c r="X56" s="37">
        <f t="shared" si="13"/>
        <v>1.1297174426364891</v>
      </c>
    </row>
    <row r="57" spans="1:24" x14ac:dyDescent="0.25">
      <c r="A57" s="30" t="s">
        <v>107</v>
      </c>
      <c r="B57" s="30" t="s">
        <v>106</v>
      </c>
      <c r="C57" s="30" t="s">
        <v>89</v>
      </c>
      <c r="D57" s="30">
        <v>5.0999999999999997E-2</v>
      </c>
      <c r="E57" s="30">
        <v>4.6100000000000003</v>
      </c>
      <c r="F57" s="37">
        <f t="shared" si="11"/>
        <v>0.23511000000000001</v>
      </c>
      <c r="G57" s="30" t="s">
        <v>51</v>
      </c>
      <c r="H57" s="38">
        <v>0</v>
      </c>
      <c r="I57" s="37">
        <f t="shared" si="12"/>
        <v>0.23511000000000001</v>
      </c>
      <c r="K57" s="30" t="s">
        <v>107</v>
      </c>
      <c r="L57" s="30" t="s">
        <v>106</v>
      </c>
      <c r="M57" s="30" t="s">
        <v>89</v>
      </c>
      <c r="N57" s="30">
        <v>51.68</v>
      </c>
      <c r="O57" s="30">
        <v>4.6100000000000003</v>
      </c>
      <c r="P57" s="30">
        <v>0.23</v>
      </c>
      <c r="Q57" s="30">
        <v>80</v>
      </c>
      <c r="R57" s="39">
        <f>P57/O57</f>
        <v>4.9891540130151846E-2</v>
      </c>
      <c r="S57" s="30">
        <v>0.14599999999999999</v>
      </c>
      <c r="T57" s="30">
        <v>1.61</v>
      </c>
      <c r="U57" s="37">
        <f>S57*(N57/12)*O57*(43560*0.3048^3/1000)*T57</f>
        <v>5.7564359296003875</v>
      </c>
      <c r="V57" s="30" t="s">
        <v>51</v>
      </c>
      <c r="W57" s="38">
        <v>0</v>
      </c>
      <c r="X57" s="37">
        <f t="shared" si="13"/>
        <v>5.7564359296003875</v>
      </c>
    </row>
    <row r="58" spans="1:24" x14ac:dyDescent="0.25">
      <c r="E58" s="30">
        <f>SUM(E53:E57)</f>
        <v>22.71</v>
      </c>
      <c r="F58" s="37">
        <f>SUM(F53:F57)</f>
        <v>19.454830000000001</v>
      </c>
      <c r="I58" s="37">
        <f>SUM(I53:I57)</f>
        <v>3.361244800000001</v>
      </c>
      <c r="O58" s="30">
        <f>SUM(O53:O57)</f>
        <v>22.71</v>
      </c>
      <c r="U58" s="37">
        <f>SUM(U53:U57)</f>
        <v>101.0471916260628</v>
      </c>
      <c r="X58" s="37">
        <f>SUM(X53:X57)</f>
        <v>46.433789438843768</v>
      </c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I6" sqref="I6"/>
    </sheetView>
  </sheetViews>
  <sheetFormatPr defaultRowHeight="15" x14ac:dyDescent="0.25"/>
  <cols>
    <col min="1" max="1" width="14.5703125" bestFit="1" customWidth="1"/>
    <col min="2" max="2" width="24.42578125" bestFit="1" customWidth="1"/>
    <col min="3" max="3" width="22.5703125" bestFit="1" customWidth="1"/>
    <col min="4" max="4" width="21.85546875" bestFit="1" customWidth="1"/>
    <col min="5" max="5" width="16.85546875" bestFit="1" customWidth="1"/>
    <col min="6" max="6" width="14.5703125" bestFit="1" customWidth="1"/>
    <col min="7" max="7" width="19.5703125" bestFit="1" customWidth="1"/>
    <col min="8" max="8" width="12.85546875" bestFit="1" customWidth="1"/>
    <col min="9" max="9" width="19.28515625" bestFit="1" customWidth="1"/>
    <col min="10" max="10" width="12.5703125" bestFit="1" customWidth="1"/>
  </cols>
  <sheetData>
    <row r="1" spans="1:11" x14ac:dyDescent="0.25">
      <c r="A1" s="11" t="s">
        <v>27</v>
      </c>
      <c r="B1" s="12" t="s">
        <v>28</v>
      </c>
      <c r="C1" s="12" t="s">
        <v>29</v>
      </c>
      <c r="D1" s="12" t="s">
        <v>30</v>
      </c>
      <c r="E1" s="12" t="s">
        <v>31</v>
      </c>
      <c r="F1" s="12" t="s">
        <v>32</v>
      </c>
      <c r="G1" s="12" t="s">
        <v>33</v>
      </c>
      <c r="H1" s="12" t="s">
        <v>2</v>
      </c>
      <c r="I1" s="12" t="s">
        <v>34</v>
      </c>
      <c r="J1" s="12" t="s">
        <v>3</v>
      </c>
    </row>
    <row r="2" spans="1:11" x14ac:dyDescent="0.25">
      <c r="A2" s="13" t="s">
        <v>35</v>
      </c>
      <c r="B2">
        <v>0.75</v>
      </c>
      <c r="C2">
        <v>51.25</v>
      </c>
      <c r="D2">
        <f>C2*B2</f>
        <v>38.4375</v>
      </c>
      <c r="E2">
        <v>24.58</v>
      </c>
      <c r="F2">
        <f>1/12*D2*E2</f>
        <v>78.732812499999994</v>
      </c>
      <c r="G2">
        <f>2.7194*F2*1.64</f>
        <v>351.13385691249994</v>
      </c>
      <c r="H2">
        <f>G2*0.362</f>
        <v>127.11045620232497</v>
      </c>
      <c r="I2">
        <f>2.7194*F2*0.022</f>
        <v>4.710332226874999</v>
      </c>
      <c r="J2">
        <f>I2*0.34804</f>
        <v>1.6393840282415748</v>
      </c>
    </row>
    <row r="3" spans="1:11" x14ac:dyDescent="0.25">
      <c r="H3">
        <f>H2/G2</f>
        <v>0.36199999999999999</v>
      </c>
      <c r="J3">
        <f>J2/I2</f>
        <v>0.34804000000000002</v>
      </c>
      <c r="K3" t="s">
        <v>57</v>
      </c>
    </row>
    <row r="4" spans="1:11" x14ac:dyDescent="0.25">
      <c r="H4">
        <v>0</v>
      </c>
      <c r="J4">
        <v>0.26700000000000002</v>
      </c>
      <c r="K4" t="s">
        <v>58</v>
      </c>
    </row>
    <row r="5" spans="1:11" x14ac:dyDescent="0.25">
      <c r="A5" s="43" t="s">
        <v>36</v>
      </c>
      <c r="B5" s="43"/>
      <c r="C5" s="43"/>
      <c r="D5" s="43"/>
      <c r="J5">
        <f>J3-J4</f>
        <v>8.1040000000000001E-2</v>
      </c>
      <c r="K5" t="s">
        <v>59</v>
      </c>
    </row>
    <row r="6" spans="1:11" x14ac:dyDescent="0.25">
      <c r="A6" s="43"/>
      <c r="B6" s="43"/>
      <c r="C6" s="43"/>
      <c r="D6" s="43"/>
      <c r="G6">
        <f>ROUND(G2*0.502,1)</f>
        <v>176.3</v>
      </c>
      <c r="I6">
        <f>ROUND(I2*0.494,1)</f>
        <v>2.2999999999999998</v>
      </c>
    </row>
  </sheetData>
  <mergeCells count="1">
    <mergeCell ref="A5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Credits</vt:lpstr>
      <vt:lpstr>Basins C&amp;D</vt:lpstr>
      <vt:lpstr>SR46 Pond 2 Pollut Load Calcs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dcterms:created xsi:type="dcterms:W3CDTF">2016-09-08T18:25:54Z</dcterms:created>
  <dcterms:modified xsi:type="dcterms:W3CDTF">2017-09-05T20:02:38Z</dcterms:modified>
</cp:coreProperties>
</file>