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1600" windowHeight="10095" firstSheet="1" activeTab="1"/>
  </bookViews>
  <sheets>
    <sheet name="New Projects" sheetId="2" state="hidden" r:id="rId1"/>
    <sheet name="Project Credits" sheetId="1" r:id="rId2"/>
    <sheet name="Fairy Lake" sheetId="3" r:id="rId3"/>
  </sheets>
  <calcPr calcId="152511"/>
  <customWorkbookViews>
    <customWorkbookView name="Frick, Marcy - Personal View" guid="{2ADF1089-096C-4C0D-B2D9-38B555897638}" mergeInterval="0" personalView="1" maximized="1" xWindow="-8" yWindow="-8" windowWidth="1936" windowHeight="1056" activeSheetId="1"/>
    <customWorkbookView name="leylah - Personal View" guid="{E685A59A-F4F7-4F45-81C4-84AB5F17A4BE}" mergeInterval="0" personalView="1" maximized="1" xWindow="-8" yWindow="-8" windowWidth="1936" windowHeight="1056" activeSheetId="2"/>
    <customWorkbookView name="Drainage Laptop - Personal View" guid="{C8F4B031-14D0-490B-BDB9-A8D1BDF1F38C}" mergeInterval="0" personalView="1" maximized="1" xWindow="1" yWindow="1" windowWidth="1596" windowHeight="6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P14" i="1"/>
  <c r="P6" i="1" l="1"/>
  <c r="M6" i="1"/>
  <c r="N2" i="1"/>
  <c r="P2" i="1" s="1"/>
  <c r="K2" i="1"/>
  <c r="M2" i="1" s="1"/>
  <c r="V26" i="3"/>
  <c r="U2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3" i="3"/>
  <c r="P3" i="1" l="1"/>
  <c r="M3" i="1"/>
  <c r="P4" i="1" l="1"/>
  <c r="M4" i="1"/>
  <c r="P5" i="1"/>
  <c r="M5" i="1"/>
  <c r="P16" i="1"/>
  <c r="M16" i="1"/>
  <c r="F7" i="1"/>
  <c r="J3" i="2" l="1"/>
</calcChain>
</file>

<file path=xl/sharedStrings.xml><?xml version="1.0" encoding="utf-8"?>
<sst xmlns="http://schemas.openxmlformats.org/spreadsheetml/2006/main" count="302" uniqueCount="186">
  <si>
    <t>Project Number</t>
  </si>
  <si>
    <t>Project Name</t>
  </si>
  <si>
    <t xml:space="preserve">Project Type </t>
  </si>
  <si>
    <t>Project Description</t>
  </si>
  <si>
    <r>
      <t xml:space="preserve">Project Status </t>
    </r>
    <r>
      <rPr>
        <sz val="10"/>
        <rFont val="Times New Roman"/>
        <family val="1"/>
      </rPr>
      <t xml:space="preserve"> </t>
    </r>
  </si>
  <si>
    <t>Start Date of Project</t>
  </si>
  <si>
    <t>Completion Date of Project</t>
  </si>
  <si>
    <t xml:space="preserve">Project Footprint </t>
  </si>
  <si>
    <t>Treated Acres</t>
  </si>
  <si>
    <t>Project Cost</t>
  </si>
  <si>
    <t>Annual O&amp;M Cost</t>
  </si>
  <si>
    <t>DEP Contract Agreement Number</t>
  </si>
  <si>
    <t>Funding Source(s)</t>
  </si>
  <si>
    <t xml:space="preserve">                                       Lead Entity</t>
  </si>
  <si>
    <t>Project Partner(s)</t>
  </si>
  <si>
    <t>For Street Sweeping, Catch Basin Cleanout, and BMAP Cleanout provide weight of solids collected</t>
  </si>
  <si>
    <t>For Retention BMPs only, On-Line or Off-Line</t>
  </si>
  <si>
    <t>For Retention BMPs only, Inches of Retention</t>
  </si>
  <si>
    <t>For Wet Detention Ponds only, Residence Time (days)</t>
  </si>
  <si>
    <t>Associated Permit #, if applicable</t>
  </si>
  <si>
    <t>Description of Additional Treatment Provided Beyond Permit Requirements, if applicable</t>
  </si>
  <si>
    <t>Part of a Treatment Train (yes/no)</t>
  </si>
  <si>
    <t>TN Reduction</t>
  </si>
  <si>
    <t>TP Reduction</t>
  </si>
  <si>
    <t>Location</t>
  </si>
  <si>
    <t>Latitude</t>
  </si>
  <si>
    <t>Longitude</t>
  </si>
  <si>
    <t>Comments</t>
  </si>
  <si>
    <t xml:space="preserve">Attachments </t>
  </si>
  <si>
    <t>* Project Type Codes</t>
  </si>
  <si>
    <t>Street Sweeping and Catch Basins</t>
  </si>
  <si>
    <t>Project Status</t>
  </si>
  <si>
    <t>Retention BMPs</t>
  </si>
  <si>
    <t>Total material</t>
  </si>
  <si>
    <t>Completed</t>
  </si>
  <si>
    <t>Wet detention pond</t>
  </si>
  <si>
    <t>Dry weight of material</t>
  </si>
  <si>
    <t>Started</t>
  </si>
  <si>
    <t>Treatment train</t>
  </si>
  <si>
    <t>Planned &amp; Funded</t>
  </si>
  <si>
    <t>Dry detention</t>
  </si>
  <si>
    <t>Envisioned, but Not Funded</t>
  </si>
  <si>
    <t>1st generation baffle box</t>
  </si>
  <si>
    <t>Ongoing</t>
  </si>
  <si>
    <t>Nutrient (2nd generation) baffle box</t>
  </si>
  <si>
    <t>Swales with blocks or raised culverts</t>
  </si>
  <si>
    <t>Swales without blocks or raised culverts</t>
  </si>
  <si>
    <t>Alum injection</t>
  </si>
  <si>
    <t>Stormwater reuse</t>
  </si>
  <si>
    <t xml:space="preserve">Stormceptor </t>
  </si>
  <si>
    <t>CDS unit</t>
  </si>
  <si>
    <t>Street sweeping</t>
  </si>
  <si>
    <t>Catch basin inserts/inlet filters</t>
  </si>
  <si>
    <t>Septic tank phase out</t>
  </si>
  <si>
    <t>Public education</t>
  </si>
  <si>
    <t>Floating island</t>
  </si>
  <si>
    <t>Muck removal/dredging</t>
  </si>
  <si>
    <t>Aquatic vegetation harvesting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</si>
  <si>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</si>
  <si>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</si>
  <si>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</si>
  <si>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</si>
  <si>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</si>
  <si>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</si>
  <si>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</si>
  <si>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</si>
  <si>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</si>
  <si>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</si>
  <si>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 Efforts</t>
  </si>
  <si>
    <t>Education</t>
  </si>
  <si>
    <t>Planned</t>
  </si>
  <si>
    <t>BMP Clean Out</t>
  </si>
  <si>
    <t>City of Longwood</t>
  </si>
  <si>
    <t>L-01</t>
  </si>
  <si>
    <t>Fairy Lake Outfall</t>
  </si>
  <si>
    <t>Fairy Lake outfall</t>
  </si>
  <si>
    <t>Stormwater retrofit</t>
  </si>
  <si>
    <t>L-03</t>
  </si>
  <si>
    <t>L-04</t>
  </si>
  <si>
    <t>Street Sweeping – additional credit</t>
  </si>
  <si>
    <t>L-05</t>
  </si>
  <si>
    <t>L-07</t>
  </si>
  <si>
    <t>Clean out of BMPs, an average of 300 cubic feet of material per year</t>
  </si>
  <si>
    <t>Sewer retrofit</t>
  </si>
  <si>
    <t>Citywide Irrigation Ordinance</t>
  </si>
  <si>
    <t>Public Education</t>
  </si>
  <si>
    <t>It is already implemented</t>
  </si>
  <si>
    <t>Entire City of Longwood</t>
  </si>
  <si>
    <t>City reserves</t>
  </si>
  <si>
    <t xml:space="preserve">Septic Tanks will be removed and connections to central sewer implemented to minimize potential fecal matter contamination </t>
  </si>
  <si>
    <t>Mid 2017</t>
  </si>
  <si>
    <t>Island Lake Septic Tank Abatement</t>
  </si>
  <si>
    <t>North CR 427 &amp; Lake Ruth Septic Tank Removal</t>
  </si>
  <si>
    <t>100 septic tanks will be removed and converted to central sewer</t>
  </si>
  <si>
    <t>98 septic tanks will be removed and converted to central sewer</t>
  </si>
  <si>
    <t>South Longwood Septic Tank Abatement project</t>
  </si>
  <si>
    <t>290 septic tanks will be removed and converted to central sewer</t>
  </si>
  <si>
    <t>SJRWMD and City</t>
  </si>
  <si>
    <t>1,200 lbs/yr reduction</t>
  </si>
  <si>
    <t>7,440 lbs/yr reduction</t>
  </si>
  <si>
    <t>3,100 lbs/yr reduction</t>
  </si>
  <si>
    <t>500 lbs/yr reduction</t>
  </si>
  <si>
    <t>Ordinance limits the use of insecticides, pesticides, fertilizers, fungicides and herbicides within 24 hours of application</t>
  </si>
  <si>
    <t>3,000 lbs/yr reduction</t>
  </si>
  <si>
    <t>490 lbs/yr reduction</t>
  </si>
  <si>
    <t>2994W</t>
  </si>
  <si>
    <t>2994D1</t>
  </si>
  <si>
    <t>See attached PDF file for approximate location</t>
  </si>
  <si>
    <t>FYN, irrigation ordinance, pamphlets, presentations, website, illicit discharge program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</si>
  <si>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</si>
  <si>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</si>
  <si>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</si>
  <si>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</si>
  <si>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</si>
  <si>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</si>
  <si>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L-08</t>
  </si>
  <si>
    <t>L-09</t>
  </si>
  <si>
    <t>L-10</t>
  </si>
  <si>
    <t>Total</t>
  </si>
  <si>
    <t>Total Required Reductions</t>
  </si>
  <si>
    <t>Remaining Reductions</t>
  </si>
  <si>
    <t>(credit)</t>
  </si>
  <si>
    <t>Quarterly street sweeping of 11.1 miles - 212,090 lbs of material collected annually</t>
  </si>
  <si>
    <t>N/A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</si>
  <si>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</si>
  <si>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</si>
  <si>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</si>
  <si>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</si>
  <si>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</si>
  <si>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</si>
  <si>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</si>
  <si>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</si>
  <si>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</si>
  <si>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</si>
  <si>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</si>
  <si>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</si>
  <si>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</si>
  <si>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</si>
  <si>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</si>
  <si>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</si>
  <si>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</si>
  <si>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</si>
  <si>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</si>
  <si>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</si>
  <si>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</si>
  <si>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</si>
  <si>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</si>
  <si>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</si>
  <si>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LDR</t>
  </si>
  <si>
    <t>MDR</t>
  </si>
  <si>
    <t>HDR</t>
  </si>
  <si>
    <t>IND</t>
  </si>
  <si>
    <t>AGR</t>
  </si>
  <si>
    <t>RAN</t>
  </si>
  <si>
    <t>FOR</t>
  </si>
  <si>
    <t>WAT</t>
  </si>
  <si>
    <t>WET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</si>
  <si>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</si>
  <si>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</si>
  <si>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</si>
  <si>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</si>
  <si>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</si>
  <si>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</si>
  <si>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</si>
  <si>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</si>
  <si>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</si>
  <si>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</si>
  <si>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</si>
  <si>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</si>
  <si>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</si>
  <si>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 xml:space="preserve">Florida Central Commerce Park Wastewater Interconnect Program </t>
  </si>
  <si>
    <t>Expand stormwater treatment and storage to augment irrigation sources. The project will improve wastewater effluent quality by routing flow from a small plant that will be decommissioned  to a Seminole County plant to provide a higher level of treatment, maximize reuse availability, and abandon existing irrigation wells for an urbanized area in the City of Longwood.</t>
  </si>
  <si>
    <t>from grant application</t>
  </si>
  <si>
    <t>seems to just be culvert replacement</t>
  </si>
  <si>
    <t>FDEP is verifying reductions</t>
  </si>
  <si>
    <t>L-11</t>
  </si>
  <si>
    <t>L-12</t>
  </si>
  <si>
    <t>Longdale Septic Tank Abatement - Phase 1 project</t>
  </si>
  <si>
    <t>218 septic tanks will be removed and converted to central sewer</t>
  </si>
  <si>
    <t>East Longwood Septic Tank Abatement - Phase 1 project</t>
  </si>
  <si>
    <t>119 septic tanks will be removed and converted to central sewer</t>
  </si>
  <si>
    <t>L-13</t>
  </si>
  <si>
    <t>Credits for Missing BMPs</t>
  </si>
  <si>
    <t>BMPs missing from the model</t>
  </si>
  <si>
    <t>Various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</si>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</sst>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#,##0.0"/>
    <numFmt numFmtId="165" formatCode="0.0%"/>
    <numFmt numFmtId="166" formatCode="0.00000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DE2ED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 applyAlignment="1"/>
    <xf numFmtId="49" fontId="5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" fontId="9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wrapText="1"/>
    </xf>
    <xf numFmtId="44" fontId="10" fillId="3" borderId="1" xfId="1" applyFont="1" applyFill="1" applyBorder="1" applyAlignment="1">
      <alignment horizontal="center" wrapText="1"/>
    </xf>
    <xf numFmtId="4" fontId="10" fillId="3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2" fillId="0" borderId="1" xfId="1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17" fontId="12" fillId="0" borderId="1" xfId="0" applyNumberFormat="1" applyFont="1" applyFill="1" applyBorder="1" applyAlignment="1">
      <alignment horizontal="center" vertical="center" wrapText="1"/>
    </xf>
    <xf numFmtId="6" fontId="12" fillId="0" borderId="1" xfId="1" applyNumberFormat="1" applyFont="1" applyFill="1" applyBorder="1" applyAlignment="1">
      <alignment horizontal="center" vertical="center" wrapText="1"/>
    </xf>
    <xf numFmtId="44" fontId="12" fillId="0" borderId="1" xfId="1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 wrapText="1"/>
    </xf>
    <xf numFmtId="164" fontId="12" fillId="0" borderId="0" xfId="0" applyNumberFormat="1" applyFont="1" applyAlignment="1">
      <alignment wrapText="1"/>
    </xf>
    <xf numFmtId="165" fontId="12" fillId="0" borderId="0" xfId="0" applyNumberFormat="1" applyFont="1" applyAlignment="1">
      <alignment wrapText="1"/>
    </xf>
    <xf numFmtId="165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/>
    <xf numFmtId="165" fontId="12" fillId="0" borderId="0" xfId="0" applyNumberFormat="1" applyFont="1" applyAlignment="1">
      <alignment horizontal="right"/>
    </xf>
    <xf numFmtId="164" fontId="3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6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8.xml"/><Relationship Id="rId33" Type="http://schemas.openxmlformats.org/officeDocument/2006/relationships/revisionLog" Target="revisionLog7.xml"/><Relationship Id="rId29" Type="http://schemas.openxmlformats.org/officeDocument/2006/relationships/revisionLog" Target="revisionLog2.xml"/><Relationship Id="rId32" Type="http://schemas.openxmlformats.org/officeDocument/2006/relationships/revisionLog" Target="revisionLog6.xml"/><Relationship Id="rId28" Type="http://schemas.openxmlformats.org/officeDocument/2006/relationships/revisionLog" Target="revisionLog3.xml"/><Relationship Id="rId31" Type="http://schemas.openxmlformats.org/officeDocument/2006/relationships/revisionLog" Target="revisionLog5.xml"/><Relationship Id="rId27" Type="http://schemas.openxmlformats.org/officeDocument/2006/relationships/revisionLog" Target="revisionLog1.xml"/><Relationship Id="rId3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0A96A47-4819-4F60-B6F1-EEB4917F5B68}" diskRevisions="1" revisionId="884" version="4">
  <header guid="{407A91FE-97B2-4B71-BA23-23C79DF357D1}" dateTime="2017-09-05T16:05:24" maxSheetId="4" userName="Frick, Marcy" r:id="rId27">
    <sheetIdMap count="3">
      <sheetId val="2"/>
      <sheetId val="1"/>
      <sheetId val="3"/>
    </sheetIdMap>
  </header>
  <header guid="{4F425AAC-9A2D-4724-A879-410DF376EC2A}" dateTime="2017-09-05T16:07:52" maxSheetId="4" userName="Frick, Marcy" r:id="rId28" minRId="855" maxRId="874">
    <sheetIdMap count="3">
      <sheetId val="2"/>
      <sheetId val="1"/>
      <sheetId val="3"/>
    </sheetIdMap>
  </header>
  <header guid="{D590367C-376E-4503-81EF-945B9F0A0384}" dateTime="2017-09-05T16:40:15" maxSheetId="4" userName="Frick, Marcy" r:id="rId29">
    <sheetIdMap count="3">
      <sheetId val="2"/>
      <sheetId val="1"/>
      <sheetId val="3"/>
    </sheetIdMap>
  </header>
  <header guid="{F5D46757-92A5-48F6-90FE-09D08F8F84FB}" dateTime="2017-09-05T16:49:05" maxSheetId="4" userName="Frick, Marcy" r:id="rId30">
    <sheetIdMap count="3">
      <sheetId val="2"/>
      <sheetId val="1"/>
      <sheetId val="3"/>
    </sheetIdMap>
  </header>
  <header guid="{BF508877-32A9-42C7-96EE-93CB8325EB9C}" dateTime="2017-09-07T09:41:40" maxSheetId="4" userName="Frick, Marcy" r:id="rId31">
    <sheetIdMap count="3">
      <sheetId val="2"/>
      <sheetId val="1"/>
      <sheetId val="3"/>
    </sheetIdMap>
  </header>
  <header guid="{122A7A2E-D6A3-4D68-B442-3B607CCB4F03}" dateTime="2017-09-08T10:14:08" maxSheetId="4" userName="Frick, Marcy" r:id="rId32">
    <sheetIdMap count="3">
      <sheetId val="2"/>
      <sheetId val="1"/>
      <sheetId val="3"/>
    </sheetIdMap>
  </header>
  <header guid="{5285F24C-D776-47FB-804C-ECCD52BD198D}" dateTime="2017-09-08T10:14:46" maxSheetId="4" userName="Frick, Marcy" r:id="rId33" minRId="875" maxRId="884">
    <sheetIdMap count="3">
      <sheetId val="2"/>
      <sheetId val="1"/>
      <sheetId val="3"/>
    </sheetIdMap>
  </header>
  <header guid="{70A96A47-4819-4F60-B6F1-EEB4917F5B68}" dateTime="2017-09-08T10:16:41" maxSheetId="4" userName="Frick, Marcy" r:id="rId34">
    <sheetIdMap count="3">
      <sheetId val="2"/>
      <sheetId val="1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ADF1089-096C-4C0D-B2D9-38B555897638}" action="delete"/>
  <rcv guid="{2ADF1089-096C-4C0D-B2D9-38B55589763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ADF1089-096C-4C0D-B2D9-38B555897638}" action="delete"/>
  <rcv guid="{2ADF1089-096C-4C0D-B2D9-38B55589763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55" sId="1" ref="A12:XFD12" action="insertRow"/>
  <rcc rId="856" sId="1" odxf="1" dxf="1">
    <nc r="A12" t="inlineStr">
      <is>
        <t>L-13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7" sId="1" odxf="1" dxf="1">
    <nc r="B12" t="inlineStr">
      <is>
        <t>Credits for Missing BMPs</t>
      </is>
    </nc>
    <odxf>
      <font>
        <sz val="10"/>
        <color auto="1"/>
        <name val="Times New Roman"/>
        <scheme val="none"/>
      </font>
      <border outline="0">
        <left/>
        <right/>
        <top/>
        <bottom/>
      </border>
    </odxf>
    <ndxf>
      <font>
        <sz val="10"/>
        <color auto="1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8" sId="1" odxf="1" dxf="1">
    <nc r="C12" t="inlineStr">
      <is>
        <t>BMPs missing from the model</t>
      </is>
    </nc>
    <odxf>
      <font>
        <sz val="10"/>
        <color auto="1"/>
        <name val="Times New Roman"/>
        <scheme val="none"/>
      </font>
      <border outline="0">
        <left/>
        <right/>
        <top/>
        <bottom/>
      </border>
    </odxf>
    <ndxf>
      <font>
        <sz val="10"/>
        <color auto="1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9" sId="1" odxf="1" dxf="1">
    <nc r="D12" t="inlineStr">
      <is>
        <t>-</t>
      </is>
    </nc>
    <odxf>
      <font>
        <sz val="10"/>
        <color auto="1"/>
        <name val="Times New Roman"/>
        <scheme val="none"/>
      </font>
      <numFmt numFmtId="22" formatCode="mmm\-yy"/>
      <border outline="0">
        <left/>
        <right/>
        <top/>
        <bottom/>
      </border>
    </odxf>
    <ndxf>
      <font>
        <sz val="10"/>
        <color auto="1"/>
        <name val="Times New Roman"/>
        <scheme val="none"/>
      </font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0" sId="1" odxf="1" dxf="1">
    <nc r="E12" t="inlineStr">
      <is>
        <t>-</t>
      </is>
    </nc>
    <odxf>
      <font>
        <sz val="10"/>
        <color auto="1"/>
        <name val="Times New Roman"/>
        <scheme val="none"/>
      </font>
      <numFmt numFmtId="22" formatCode="mmm\-yy"/>
      <border outline="0">
        <left/>
        <right/>
        <top/>
        <bottom/>
      </border>
    </odxf>
    <ndxf>
      <font>
        <sz val="10"/>
        <color auto="1"/>
        <name val="Times New Roman"/>
        <scheme val="none"/>
      </font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1" sId="1" odxf="1" s="1" dxf="1" numFmtId="34">
    <nc r="F12">
      <v>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0" formatCode="&quot;$&quot;#,##0_);[Red]\(&quot;$&quot;#,##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odxf>
    <ndxf>
      <font>
        <sz val="10"/>
        <color theme="1"/>
        <name val="Times New Roman"/>
        <scheme val="none"/>
      </font>
      <numFmt numFmtId="34" formatCode="_(&quot;$&quot;* #,##0.00_);_(&quot;$&quot;* \(#,##0.00\);_(&quot;$&quot;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2" sId="1" odxf="1" dxf="1" numFmtId="34">
    <nc r="G12">
      <v>0</v>
    </nc>
    <odxf>
      <font>
        <sz val="10"/>
        <color auto="1"/>
        <name val="Times New Roman"/>
        <scheme val="none"/>
      </font>
      <border outline="0">
        <left/>
        <right/>
        <top/>
        <bottom/>
      </border>
    </odxf>
    <ndxf>
      <font>
        <sz val="10"/>
        <color auto="1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3" sId="1">
    <nc r="I12" t="inlineStr">
      <is>
        <t>Various</t>
      </is>
    </nc>
  </rcc>
  <rcc rId="864" sId="1">
    <nc r="J12" t="inlineStr">
      <is>
        <t>Completed</t>
      </is>
    </nc>
  </rcc>
  <rcc rId="865" sId="1">
    <nc r="K12" t="inlineStr">
      <is>
        <t>N/A</t>
      </is>
    </nc>
  </rcc>
  <rcc rId="866" sId="1">
    <nc r="L12" t="inlineStr">
      <is>
        <t>N/A</t>
      </is>
    </nc>
  </rcc>
  <rcc rId="867" sId="1">
    <nc r="N12" t="inlineStr">
      <is>
        <t>N/A</t>
      </is>
    </nc>
  </rcc>
  <rcc rId="868" sId="1">
    <nc r="O12" t="inlineStr">
      <is>
        <t>N/A</t>
      </is>
    </nc>
  </rcc>
  <rfmt sheetId="1" sqref="P12" start="0" length="0">
    <dxf>
      <border>
        <right style="thin">
          <color indexed="64"/>
        </right>
      </border>
    </dxf>
  </rfmt>
  <rfmt sheetId="1" sqref="A12:P12" start="0" length="0">
    <dxf>
      <border>
        <bottom style="thin">
          <color indexed="64"/>
        </bottom>
      </border>
    </dxf>
  </rfmt>
  <rcc rId="869" sId="1" numFmtId="4">
    <nc r="M12">
      <v>162.1</v>
    </nc>
  </rcc>
  <rcc rId="870" sId="1" numFmtId="4">
    <nc r="P12">
      <v>13.5</v>
    </nc>
  </rcc>
  <rcc rId="871" sId="1">
    <oc r="M14">
      <f>SUM(M2:M11)</f>
    </oc>
    <nc r="M14">
      <f>SUM(M2:M12)</f>
    </nc>
  </rcc>
  <rcc rId="872" sId="1">
    <oc r="P14">
      <f>SUM(P2:P11)</f>
    </oc>
    <nc r="P14">
      <f>SUM(P2:P12)</f>
    </nc>
  </rcc>
  <rcc rId="873" sId="1" numFmtId="4">
    <oc r="M15">
      <v>1342.1506704120775</v>
    </oc>
    <nc r="M15">
      <v>1120.2</v>
    </nc>
  </rcc>
  <rcc rId="874" sId="1" numFmtId="4">
    <oc r="P15">
      <v>0</v>
    </oc>
    <nc r="P15">
      <v>180.8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ADF1089-096C-4C0D-B2D9-38B555897638}" action="delete"/>
  <rcv guid="{2ADF1089-096C-4C0D-B2D9-38B55589763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ADF1089-096C-4C0D-B2D9-38B555897638}" action="delete"/>
  <rcv guid="{2ADF1089-096C-4C0D-B2D9-38B555897638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ADF1089-096C-4C0D-B2D9-38B555897638}" action="delete"/>
  <rcv guid="{2ADF1089-096C-4C0D-B2D9-38B55589763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>
    <oc r="M7">
      <f>ROUND(7440*0.366,1)</f>
    </oc>
    <nc r="M7" t="inlineStr">
      <is>
        <t>TBD</t>
      </is>
    </nc>
  </rcc>
  <rcc rId="876" sId="1">
    <oc r="M8">
      <f>ROUND(3193*0.366,1)</f>
    </oc>
    <nc r="M8" t="inlineStr">
      <is>
        <t>TBD</t>
      </is>
    </nc>
  </rcc>
  <rcc rId="877" sId="1">
    <oc r="M9">
      <f>ROUND(3100*0.366,1)</f>
    </oc>
    <nc r="M9" t="inlineStr">
      <is>
        <t>TBD</t>
      </is>
    </nc>
  </rcc>
  <rcc rId="878" sId="1">
    <oc r="M10">
      <f>ROUND(6758*0.366,1)</f>
    </oc>
    <nc r="M10" t="inlineStr">
      <is>
        <t>TBD</t>
      </is>
    </nc>
  </rcc>
  <rcc rId="879" sId="1">
    <oc r="M11">
      <f>ROUND(3658*0.366,1)</f>
    </oc>
    <nc r="M11" t="inlineStr">
      <is>
        <t>TBD</t>
      </is>
    </nc>
  </rcc>
  <rcc rId="880" sId="1">
    <oc r="P7">
      <f>ROUND(1200*0.337,1)</f>
    </oc>
    <nc r="P7" t="inlineStr">
      <is>
        <t>TBD</t>
      </is>
    </nc>
  </rcc>
  <rcc rId="881" sId="1">
    <oc r="P8">
      <f>ROUND(5150*0.337,1)</f>
    </oc>
    <nc r="P8" t="inlineStr">
      <is>
        <t>TBD</t>
      </is>
    </nc>
  </rcc>
  <rcc rId="882" sId="1">
    <oc r="P9">
      <f>ROUND(500*0.337,1)</f>
    </oc>
    <nc r="P9" t="inlineStr">
      <is>
        <t>TBD</t>
      </is>
    </nc>
  </rcc>
  <rcc rId="883" sId="1">
    <oc r="P10">
      <f>ROUND(1090*0.337,1)</f>
    </oc>
    <nc r="P10" t="inlineStr">
      <is>
        <t>TBD</t>
      </is>
    </nc>
  </rcc>
  <rcc rId="884" sId="1">
    <oc r="P11">
      <f>ROUND(590*0.337,1)</f>
    </oc>
    <nc r="P11" t="inlineStr">
      <is>
        <t>TBD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ADF1089-096C-4C0D-B2D9-38B555897638}" action="delete"/>
  <rcv guid="{2ADF1089-096C-4C0D-B2D9-38B55589763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285F24C-D776-47FB-804C-ECCD52BD198D}" name="Frick, Marcy" id="-1827666206" dateTime="2017-09-08T10:14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zoomScaleNormal="100" zoomScaleSheetLayoutView="75" workbookViewId="0">
      <pane ySplit="1" topLeftCell="A2" activePane="bottomLeft" state="frozen"/>
      <selection pane="bottomLeft" activeCell="E3" sqref="E3:E5"/>
    </sheetView>
  </sheetViews>
  <sheetFormatPr defaultColWidth="15.7109375" defaultRowHeight="12.75" x14ac:dyDescent="0.2"/>
  <cols>
    <col min="1" max="1" width="15.140625" style="4" customWidth="1"/>
    <col min="2" max="3" width="15.7109375" style="4"/>
    <col min="4" max="4" width="29.5703125" style="4" customWidth="1"/>
    <col min="5" max="10" width="15.7109375" style="4"/>
    <col min="11" max="12" width="15.7109375" style="4" customWidth="1"/>
    <col min="13" max="15" width="15.7109375" style="4"/>
    <col min="16" max="16" width="28.7109375" style="4" customWidth="1"/>
    <col min="17" max="20" width="15.7109375" style="4" customWidth="1"/>
    <col min="21" max="21" width="21.85546875" style="4" customWidth="1"/>
    <col min="22" max="22" width="15.7109375" style="4" customWidth="1"/>
    <col min="23" max="27" width="15.7109375" style="4"/>
    <col min="28" max="28" width="15.7109375" style="17"/>
    <col min="29" max="29" width="19.140625" style="17" customWidth="1"/>
    <col min="30" max="30" width="15.7109375" style="17"/>
    <col min="31" max="16384" width="15.7109375" style="3"/>
  </cols>
  <sheetData>
    <row r="1" spans="1:30" s="2" customFormat="1" ht="8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30" s="21" customFormat="1" ht="51" x14ac:dyDescent="0.25">
      <c r="A2" s="18">
        <v>1</v>
      </c>
      <c r="B2" s="18" t="s">
        <v>84</v>
      </c>
      <c r="C2" s="20" t="s">
        <v>85</v>
      </c>
      <c r="D2" s="18" t="s">
        <v>102</v>
      </c>
      <c r="E2" s="20" t="s">
        <v>43</v>
      </c>
      <c r="F2" s="20" t="s">
        <v>86</v>
      </c>
      <c r="G2" s="20" t="s">
        <v>43</v>
      </c>
      <c r="H2" s="18"/>
      <c r="I2" s="18" t="s">
        <v>87</v>
      </c>
      <c r="J2" s="19"/>
      <c r="K2" s="19"/>
      <c r="L2" s="19"/>
      <c r="M2" s="18" t="s">
        <v>88</v>
      </c>
      <c r="N2" s="18" t="s">
        <v>72</v>
      </c>
      <c r="O2" s="18" t="s">
        <v>72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20"/>
      <c r="AC2" s="20"/>
    </row>
    <row r="3" spans="1:30" s="25" customFormat="1" ht="51" x14ac:dyDescent="0.25">
      <c r="A3" s="18">
        <v>2</v>
      </c>
      <c r="B3" s="18" t="s">
        <v>95</v>
      </c>
      <c r="C3" s="22" t="s">
        <v>53</v>
      </c>
      <c r="D3" s="18" t="s">
        <v>89</v>
      </c>
      <c r="E3" s="22" t="s">
        <v>39</v>
      </c>
      <c r="F3" s="23">
        <v>43009</v>
      </c>
      <c r="G3" s="23">
        <v>43344</v>
      </c>
      <c r="H3" s="18"/>
      <c r="I3" s="18" t="s">
        <v>96</v>
      </c>
      <c r="J3" s="19">
        <f>3911220+1336610</f>
        <v>5247830</v>
      </c>
      <c r="K3" s="19"/>
      <c r="L3" s="19"/>
      <c r="M3" s="18" t="s">
        <v>97</v>
      </c>
      <c r="N3" s="18" t="s">
        <v>72</v>
      </c>
      <c r="O3" s="18" t="s">
        <v>97</v>
      </c>
      <c r="P3" s="18"/>
      <c r="Q3" s="18"/>
      <c r="R3" s="18"/>
      <c r="S3" s="18"/>
      <c r="T3" s="18"/>
      <c r="U3" s="18"/>
      <c r="V3" s="18"/>
      <c r="W3" s="24" t="s">
        <v>99</v>
      </c>
      <c r="X3" s="18" t="s">
        <v>98</v>
      </c>
      <c r="Y3" s="18" t="s">
        <v>105</v>
      </c>
      <c r="Z3" s="18">
        <v>28.692699999999999</v>
      </c>
      <c r="AA3" s="18">
        <v>-80.665599999999998</v>
      </c>
      <c r="AB3" s="22"/>
      <c r="AC3" s="22" t="s">
        <v>107</v>
      </c>
    </row>
    <row r="4" spans="1:30" s="25" customFormat="1" ht="51" x14ac:dyDescent="0.25">
      <c r="A4" s="18">
        <v>3</v>
      </c>
      <c r="B4" s="18" t="s">
        <v>92</v>
      </c>
      <c r="C4" s="22" t="s">
        <v>53</v>
      </c>
      <c r="D4" s="18" t="s">
        <v>89</v>
      </c>
      <c r="E4" s="22" t="s">
        <v>39</v>
      </c>
      <c r="F4" s="22" t="s">
        <v>90</v>
      </c>
      <c r="G4" s="26">
        <v>43160</v>
      </c>
      <c r="H4" s="18"/>
      <c r="I4" s="18" t="s">
        <v>94</v>
      </c>
      <c r="J4" s="19">
        <v>2013040</v>
      </c>
      <c r="K4" s="19"/>
      <c r="L4" s="19"/>
      <c r="M4" s="18" t="s">
        <v>97</v>
      </c>
      <c r="N4" s="18" t="s">
        <v>72</v>
      </c>
      <c r="O4" s="18" t="s">
        <v>97</v>
      </c>
      <c r="P4" s="18"/>
      <c r="Q4" s="18"/>
      <c r="R4" s="18"/>
      <c r="S4" s="18"/>
      <c r="T4" s="18"/>
      <c r="U4" s="18"/>
      <c r="V4" s="18"/>
      <c r="W4" s="24" t="s">
        <v>103</v>
      </c>
      <c r="X4" s="18" t="s">
        <v>104</v>
      </c>
      <c r="Y4" s="18">
        <v>2986</v>
      </c>
      <c r="Z4" s="18">
        <v>28.711099999999998</v>
      </c>
      <c r="AA4" s="18">
        <v>-80.657799999999995</v>
      </c>
      <c r="AB4" s="22"/>
      <c r="AC4" s="22" t="s">
        <v>107</v>
      </c>
    </row>
    <row r="5" spans="1:30" s="25" customFormat="1" ht="51" x14ac:dyDescent="0.25">
      <c r="A5" s="18">
        <v>4</v>
      </c>
      <c r="B5" s="18" t="s">
        <v>91</v>
      </c>
      <c r="C5" s="22" t="s">
        <v>53</v>
      </c>
      <c r="D5" s="18" t="s">
        <v>89</v>
      </c>
      <c r="E5" s="22" t="s">
        <v>39</v>
      </c>
      <c r="F5" s="26">
        <v>42887</v>
      </c>
      <c r="G5" s="26">
        <v>43344</v>
      </c>
      <c r="H5" s="18"/>
      <c r="I5" s="18" t="s">
        <v>93</v>
      </c>
      <c r="J5" s="19">
        <v>3458320</v>
      </c>
      <c r="K5" s="19"/>
      <c r="L5" s="19"/>
      <c r="M5" s="18" t="s">
        <v>97</v>
      </c>
      <c r="N5" s="18" t="s">
        <v>72</v>
      </c>
      <c r="O5" s="18" t="s">
        <v>97</v>
      </c>
      <c r="P5" s="18"/>
      <c r="Q5" s="18"/>
      <c r="R5" s="18"/>
      <c r="S5" s="18"/>
      <c r="T5" s="18"/>
      <c r="U5" s="18"/>
      <c r="V5" s="18"/>
      <c r="W5" s="24" t="s">
        <v>100</v>
      </c>
      <c r="X5" s="18" t="s">
        <v>101</v>
      </c>
      <c r="Y5" s="18" t="s">
        <v>106</v>
      </c>
      <c r="Z5" s="18">
        <v>28.6983</v>
      </c>
      <c r="AA5" s="18">
        <v>-80.629400000000004</v>
      </c>
      <c r="AB5" s="22"/>
      <c r="AC5" s="22" t="s">
        <v>107</v>
      </c>
    </row>
    <row r="6" spans="1:30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  <c r="AC6" s="6"/>
      <c r="AD6" s="6"/>
    </row>
    <row r="7" spans="1:30" x14ac:dyDescent="0.2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  <c r="AC7" s="6"/>
      <c r="AD7" s="6"/>
    </row>
    <row r="8" spans="1:30" x14ac:dyDescent="0.2">
      <c r="B8" s="7"/>
      <c r="C8" s="7"/>
      <c r="D8" s="7"/>
      <c r="E8" s="8"/>
      <c r="F8" s="8"/>
      <c r="G8" s="8"/>
      <c r="H8" s="7"/>
      <c r="I8" s="7"/>
      <c r="J8" s="7"/>
      <c r="K8" s="7"/>
      <c r="L8" s="7"/>
      <c r="M8" s="7"/>
      <c r="O8" s="9"/>
      <c r="P8" s="9"/>
      <c r="Q8" s="9"/>
      <c r="R8" s="9"/>
      <c r="S8" s="9"/>
      <c r="T8" s="7"/>
      <c r="U8" s="7"/>
      <c r="V8" s="7"/>
      <c r="W8" s="7"/>
      <c r="X8" s="7"/>
      <c r="Y8" s="7"/>
      <c r="Z8" s="7"/>
      <c r="AA8" s="7"/>
      <c r="AB8" s="9"/>
      <c r="AC8" s="9"/>
      <c r="AD8" s="9"/>
    </row>
    <row r="9" spans="1:30" x14ac:dyDescent="0.2">
      <c r="B9" s="7"/>
      <c r="C9" s="7"/>
      <c r="D9" s="7"/>
      <c r="F9" s="9"/>
      <c r="J9" s="7"/>
      <c r="L9" s="3"/>
      <c r="M9" s="3"/>
      <c r="N9" s="3"/>
      <c r="O9" s="3"/>
      <c r="P9" s="3"/>
      <c r="Q9" s="3"/>
      <c r="R9" s="3"/>
      <c r="S9" s="3"/>
      <c r="T9" s="9"/>
      <c r="U9" s="9"/>
      <c r="V9" s="3"/>
      <c r="W9" s="3"/>
      <c r="X9" s="3"/>
      <c r="Y9" s="3"/>
      <c r="Z9" s="3"/>
      <c r="AA9" s="3"/>
      <c r="AB9" s="3"/>
      <c r="AC9" s="3"/>
      <c r="AD9" s="3"/>
    </row>
    <row r="10" spans="1:30" ht="21.75" x14ac:dyDescent="0.2">
      <c r="A10" s="10" t="s">
        <v>29</v>
      </c>
      <c r="B10" s="5"/>
      <c r="C10" s="11" t="s">
        <v>30</v>
      </c>
      <c r="D10" s="5"/>
      <c r="E10" s="11" t="s">
        <v>31</v>
      </c>
      <c r="F10" s="12"/>
      <c r="G10" s="11"/>
      <c r="H10" s="11"/>
      <c r="I10" s="11"/>
      <c r="J10" s="5"/>
      <c r="K10" s="11"/>
      <c r="L10" s="3"/>
      <c r="M10" s="3"/>
      <c r="N10" s="3"/>
      <c r="O10" s="3"/>
      <c r="P10" s="3"/>
      <c r="Q10" s="3"/>
      <c r="R10" s="3"/>
      <c r="S10" s="3"/>
      <c r="T10" s="6"/>
      <c r="U10" s="6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">
      <c r="A11" s="13" t="s">
        <v>32</v>
      </c>
      <c r="B11" s="5"/>
      <c r="C11" s="5" t="s">
        <v>33</v>
      </c>
      <c r="D11" s="5"/>
      <c r="E11" s="5" t="s">
        <v>34</v>
      </c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6"/>
      <c r="U11" s="6"/>
      <c r="V11" s="3"/>
      <c r="W11" s="3"/>
      <c r="X11" s="3"/>
      <c r="Y11" s="3"/>
      <c r="Z11" s="3"/>
      <c r="AA11" s="3"/>
      <c r="AB11" s="3"/>
      <c r="AC11" s="3"/>
      <c r="AD11" s="3"/>
    </row>
    <row r="12" spans="1:30" ht="22.5" x14ac:dyDescent="0.2">
      <c r="A12" s="14" t="s">
        <v>35</v>
      </c>
      <c r="B12" s="5"/>
      <c r="C12" s="5" t="s">
        <v>36</v>
      </c>
      <c r="D12" s="5"/>
      <c r="E12" s="5" t="s">
        <v>37</v>
      </c>
      <c r="F12" s="5"/>
      <c r="G12" s="5"/>
      <c r="H12" s="5"/>
      <c r="I12" s="5"/>
      <c r="J12" s="5"/>
      <c r="K12" s="5"/>
      <c r="L12" s="3"/>
      <c r="M12" s="3"/>
      <c r="N12" s="3"/>
      <c r="O12" s="3"/>
      <c r="P12" s="3"/>
      <c r="Q12" s="3"/>
      <c r="R12" s="3"/>
      <c r="S12" s="3"/>
      <c r="T12" s="6"/>
      <c r="U12" s="6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">
      <c r="A13" s="14" t="s">
        <v>38</v>
      </c>
      <c r="B13" s="5"/>
      <c r="C13" s="5"/>
      <c r="D13" s="5"/>
      <c r="E13" s="5" t="s">
        <v>39</v>
      </c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6"/>
      <c r="U13" s="6"/>
      <c r="V13" s="3"/>
      <c r="W13" s="3"/>
      <c r="X13" s="3"/>
      <c r="Y13" s="3"/>
      <c r="Z13" s="3"/>
      <c r="AA13" s="3"/>
      <c r="AB13" s="3"/>
      <c r="AC13" s="3"/>
      <c r="AD13" s="3"/>
    </row>
    <row r="14" spans="1:30" ht="22.5" x14ac:dyDescent="0.2">
      <c r="A14" s="14" t="s">
        <v>40</v>
      </c>
      <c r="B14" s="5"/>
      <c r="C14" s="5"/>
      <c r="D14" s="5"/>
      <c r="E14" s="5" t="s">
        <v>41</v>
      </c>
      <c r="F14" s="5"/>
      <c r="G14" s="5"/>
      <c r="H14" s="5"/>
      <c r="I14" s="5"/>
      <c r="J14" s="5"/>
      <c r="K14" s="5"/>
      <c r="L14" s="3"/>
      <c r="M14" s="3"/>
      <c r="N14" s="3"/>
      <c r="O14" s="3"/>
      <c r="P14" s="3"/>
      <c r="Q14" s="3"/>
      <c r="R14" s="3"/>
      <c r="S14" s="3"/>
      <c r="T14" s="6"/>
      <c r="U14" s="6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A15" s="14" t="s">
        <v>42</v>
      </c>
      <c r="B15" s="5"/>
      <c r="C15" s="5"/>
      <c r="D15" s="5"/>
      <c r="E15" s="5" t="s">
        <v>43</v>
      </c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6"/>
      <c r="U15" s="6"/>
      <c r="V15" s="3"/>
      <c r="W15" s="3"/>
      <c r="X15" s="3"/>
      <c r="Y15" s="3"/>
      <c r="Z15" s="3"/>
      <c r="AA15" s="3"/>
      <c r="AB15" s="3"/>
      <c r="AC15" s="3"/>
      <c r="AD15" s="3"/>
    </row>
    <row r="16" spans="1:30" x14ac:dyDescent="0.2">
      <c r="A16" s="14" t="s">
        <v>44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3"/>
      <c r="M16" s="3"/>
      <c r="N16" s="3"/>
      <c r="O16" s="3"/>
      <c r="P16" s="3"/>
      <c r="Q16" s="3"/>
      <c r="R16" s="3"/>
      <c r="S16" s="3"/>
      <c r="T16" s="6"/>
      <c r="U16" s="6"/>
      <c r="V16" s="3"/>
      <c r="W16" s="3"/>
      <c r="X16" s="3"/>
      <c r="Y16" s="3"/>
      <c r="Z16" s="3"/>
      <c r="AA16" s="3"/>
      <c r="AB16" s="3"/>
      <c r="AC16" s="3"/>
      <c r="AD16" s="3"/>
    </row>
    <row r="17" spans="1:30" x14ac:dyDescent="0.2">
      <c r="A17" s="14" t="s">
        <v>45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3"/>
      <c r="M17" s="3"/>
      <c r="N17" s="3"/>
      <c r="O17" s="3"/>
      <c r="P17" s="3"/>
      <c r="Q17" s="3"/>
      <c r="R17" s="3"/>
      <c r="S17" s="3"/>
      <c r="T17" s="6"/>
      <c r="U17" s="6"/>
      <c r="V17" s="3"/>
      <c r="W17" s="3"/>
      <c r="X17" s="3"/>
      <c r="Y17" s="3"/>
      <c r="Z17" s="3"/>
      <c r="AA17" s="3"/>
      <c r="AB17" s="3"/>
      <c r="AC17" s="3"/>
      <c r="AD17" s="3"/>
    </row>
    <row r="18" spans="1:30" x14ac:dyDescent="0.2">
      <c r="A18" s="15" t="s">
        <v>46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3"/>
      <c r="M18" s="3"/>
      <c r="N18" s="3"/>
      <c r="O18" s="3"/>
      <c r="P18" s="3"/>
      <c r="Q18" s="3"/>
      <c r="R18" s="3"/>
      <c r="S18" s="3"/>
      <c r="T18" s="6"/>
      <c r="U18" s="6"/>
      <c r="V18" s="3"/>
      <c r="W18" s="3"/>
      <c r="X18" s="3"/>
      <c r="Y18" s="3"/>
      <c r="Z18" s="3"/>
      <c r="AA18" s="3"/>
      <c r="AB18" s="3"/>
      <c r="AC18" s="3"/>
      <c r="AD18" s="3"/>
    </row>
    <row r="19" spans="1:30" x14ac:dyDescent="0.2">
      <c r="A19" s="14" t="s">
        <v>47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6"/>
      <c r="U19" s="6"/>
      <c r="V19" s="3"/>
      <c r="W19" s="3"/>
      <c r="X19" s="3"/>
      <c r="Y19" s="3"/>
      <c r="Z19" s="3"/>
      <c r="AA19" s="3"/>
      <c r="AB19" s="3"/>
      <c r="AC19" s="3"/>
      <c r="AD19" s="3"/>
    </row>
    <row r="20" spans="1:30" x14ac:dyDescent="0.2">
      <c r="A20" s="16" t="s">
        <v>48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3"/>
      <c r="M20" s="3"/>
      <c r="N20" s="3"/>
      <c r="O20" s="3"/>
      <c r="P20" s="3"/>
      <c r="Q20" s="3"/>
      <c r="R20" s="3"/>
      <c r="S20" s="3"/>
      <c r="T20" s="6"/>
      <c r="U20" s="6"/>
      <c r="V20" s="3"/>
      <c r="W20" s="3"/>
      <c r="X20" s="3"/>
      <c r="Y20" s="3"/>
      <c r="Z20" s="3"/>
      <c r="AA20" s="3"/>
      <c r="AB20" s="3"/>
      <c r="AC20" s="3"/>
      <c r="AD20" s="3"/>
    </row>
    <row r="21" spans="1:30" x14ac:dyDescent="0.2">
      <c r="A21" s="16" t="s">
        <v>49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6"/>
      <c r="U21" s="6"/>
      <c r="V21" s="3"/>
      <c r="W21" s="3"/>
      <c r="X21" s="3"/>
      <c r="Y21" s="3"/>
      <c r="Z21" s="3"/>
      <c r="AA21" s="3"/>
      <c r="AB21" s="3"/>
      <c r="AC21" s="3"/>
      <c r="AD21" s="3"/>
    </row>
    <row r="22" spans="1:30" x14ac:dyDescent="0.2">
      <c r="A22" s="13" t="s">
        <v>50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3"/>
      <c r="M22" s="3"/>
      <c r="N22" s="3"/>
      <c r="O22" s="3"/>
      <c r="P22" s="3"/>
      <c r="Q22" s="3"/>
      <c r="R22" s="3"/>
      <c r="S22" s="3"/>
      <c r="T22" s="6"/>
      <c r="U22" s="6"/>
      <c r="V22" s="3"/>
      <c r="W22" s="3"/>
      <c r="X22" s="3"/>
      <c r="Y22" s="3"/>
      <c r="Z22" s="3"/>
      <c r="AA22" s="3"/>
      <c r="AB22" s="3"/>
      <c r="AC22" s="3"/>
      <c r="AD22" s="3"/>
    </row>
    <row r="23" spans="1:30" x14ac:dyDescent="0.2">
      <c r="A23" s="4" t="s">
        <v>51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3"/>
      <c r="M23" s="3"/>
      <c r="N23" s="3"/>
      <c r="O23" s="3"/>
      <c r="P23" s="3"/>
      <c r="Q23" s="3"/>
      <c r="R23" s="3"/>
      <c r="S23" s="3"/>
      <c r="T23" s="6"/>
      <c r="U23" s="6"/>
      <c r="V23" s="3"/>
      <c r="W23" s="3"/>
      <c r="X23" s="3"/>
      <c r="Y23" s="3"/>
      <c r="Z23" s="3"/>
      <c r="AA23" s="3"/>
      <c r="AB23" s="3"/>
      <c r="AC23" s="3"/>
      <c r="AD23" s="3"/>
    </row>
    <row r="24" spans="1:30" x14ac:dyDescent="0.2">
      <c r="A24" s="14" t="s">
        <v>52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3"/>
      <c r="M24" s="3"/>
      <c r="N24" s="3"/>
      <c r="O24" s="3"/>
      <c r="P24" s="3"/>
      <c r="Q24" s="3"/>
      <c r="R24" s="3"/>
      <c r="S24" s="3"/>
      <c r="T24" s="6"/>
      <c r="U24" s="6"/>
      <c r="V24" s="3"/>
      <c r="W24" s="3"/>
      <c r="X24" s="3"/>
      <c r="Y24" s="3"/>
      <c r="Z24" s="3"/>
      <c r="AA24" s="3"/>
      <c r="AB24" s="3"/>
      <c r="AC24" s="3"/>
      <c r="AD24" s="3"/>
    </row>
    <row r="25" spans="1:30" x14ac:dyDescent="0.2">
      <c r="A25" s="14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3"/>
      <c r="M25" s="3"/>
      <c r="N25" s="3"/>
      <c r="O25" s="3"/>
      <c r="P25" s="3"/>
      <c r="Q25" s="3"/>
      <c r="R25" s="3"/>
      <c r="S25" s="3"/>
      <c r="T25" s="6"/>
      <c r="U25" s="6"/>
      <c r="V25" s="3"/>
      <c r="W25" s="3"/>
      <c r="X25" s="3"/>
      <c r="Y25" s="3"/>
      <c r="Z25" s="3"/>
      <c r="AA25" s="3"/>
      <c r="AB25" s="3"/>
      <c r="AC25" s="3"/>
      <c r="AD25" s="3"/>
    </row>
    <row r="26" spans="1:30" x14ac:dyDescent="0.2">
      <c r="A26" s="4" t="s">
        <v>54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3"/>
      <c r="M26" s="3"/>
      <c r="N26" s="3"/>
      <c r="O26" s="3"/>
      <c r="P26" s="3"/>
      <c r="Q26" s="3"/>
      <c r="R26" s="3"/>
      <c r="S26" s="3"/>
      <c r="T26" s="6"/>
      <c r="U26" s="6"/>
      <c r="V26" s="3"/>
      <c r="W26" s="3"/>
      <c r="X26" s="3"/>
      <c r="Y26" s="3"/>
      <c r="Z26" s="3"/>
      <c r="AA26" s="3"/>
      <c r="AB26" s="3"/>
      <c r="AC26" s="3"/>
      <c r="AD26" s="3"/>
    </row>
    <row r="27" spans="1:30" x14ac:dyDescent="0.2">
      <c r="A27" s="16" t="s">
        <v>55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3"/>
      <c r="M27" s="3"/>
      <c r="N27" s="3"/>
      <c r="O27" s="3"/>
      <c r="P27" s="3"/>
      <c r="Q27" s="3"/>
      <c r="R27" s="3"/>
      <c r="S27" s="3"/>
      <c r="T27" s="6"/>
      <c r="U27" s="6"/>
      <c r="V27" s="3"/>
      <c r="W27" s="3"/>
      <c r="X27" s="3"/>
      <c r="Y27" s="3"/>
      <c r="Z27" s="3"/>
      <c r="AA27" s="3"/>
      <c r="AB27" s="3"/>
      <c r="AC27" s="3"/>
      <c r="AD27" s="3"/>
    </row>
    <row r="28" spans="1:30" x14ac:dyDescent="0.2">
      <c r="A28" s="4" t="s">
        <v>56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6"/>
      <c r="AC28" s="6"/>
      <c r="AD28" s="6"/>
    </row>
    <row r="29" spans="1:30" x14ac:dyDescent="0.2">
      <c r="A29" s="4" t="s">
        <v>57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6"/>
      <c r="AC29" s="6"/>
      <c r="AD29" s="6"/>
    </row>
    <row r="30" spans="1:30" x14ac:dyDescent="0.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6"/>
      <c r="AC30" s="6"/>
      <c r="AD30" s="6"/>
    </row>
    <row r="31" spans="1:30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6"/>
      <c r="AC31" s="6"/>
      <c r="AD31" s="6"/>
    </row>
    <row r="32" spans="1:3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6"/>
      <c r="AC32" s="6"/>
      <c r="AD32" s="6"/>
    </row>
    <row r="33" spans="1:30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6"/>
      <c r="AC33" s="6"/>
      <c r="AD33" s="6"/>
    </row>
    <row r="34" spans="1:30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6"/>
      <c r="AC34" s="6"/>
      <c r="AD34" s="6"/>
    </row>
    <row r="35" spans="1:30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6"/>
      <c r="AC35" s="6"/>
      <c r="AD35" s="6"/>
    </row>
    <row r="36" spans="1:30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6"/>
      <c r="AC36" s="6"/>
      <c r="AD36" s="6"/>
    </row>
    <row r="37" spans="1:30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6"/>
      <c r="AC37" s="6"/>
      <c r="AD37" s="6"/>
    </row>
    <row r="38" spans="1:30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6"/>
      <c r="AC38" s="6"/>
      <c r="AD38" s="6"/>
    </row>
    <row r="39" spans="1:30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6"/>
      <c r="AC39" s="6"/>
      <c r="AD39" s="6"/>
    </row>
    <row r="40" spans="1:30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6"/>
      <c r="AC40" s="6"/>
      <c r="AD40" s="6"/>
    </row>
    <row r="41" spans="1:30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6"/>
      <c r="AC41" s="6"/>
      <c r="AD41" s="6"/>
    </row>
    <row r="42" spans="1:30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6"/>
      <c r="AC42" s="6"/>
      <c r="AD42" s="6"/>
    </row>
    <row r="43" spans="1:30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6"/>
      <c r="AC43" s="6"/>
      <c r="AD43" s="6"/>
    </row>
    <row r="44" spans="1:30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6"/>
      <c r="AC44" s="6"/>
      <c r="AD44" s="6"/>
    </row>
    <row r="45" spans="1:30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6"/>
      <c r="AC45" s="6"/>
      <c r="AD45" s="6"/>
    </row>
    <row r="46" spans="1:30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6"/>
      <c r="AC46" s="6"/>
      <c r="AD46" s="6"/>
    </row>
    <row r="47" spans="1:30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</row>
    <row r="48" spans="1:30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6"/>
      <c r="AC48" s="6"/>
      <c r="AD48" s="6"/>
    </row>
    <row r="49" spans="1:30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6"/>
      <c r="AC49" s="6"/>
      <c r="AD49" s="6"/>
    </row>
    <row r="50" spans="1:30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6"/>
      <c r="AC50" s="6"/>
      <c r="AD50" s="6"/>
    </row>
    <row r="51" spans="1:30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6"/>
      <c r="AC51" s="6"/>
      <c r="AD51" s="6"/>
    </row>
    <row r="52" spans="1:30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6"/>
      <c r="AC52" s="6"/>
      <c r="AD52" s="6"/>
    </row>
    <row r="53" spans="1:30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6"/>
      <c r="AC53" s="6"/>
      <c r="AD53" s="6"/>
    </row>
    <row r="54" spans="1:30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6"/>
      <c r="AC54" s="6"/>
      <c r="AD54" s="6"/>
    </row>
    <row r="55" spans="1:30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6"/>
      <c r="AC55" s="6"/>
      <c r="AD55" s="6"/>
    </row>
    <row r="56" spans="1:30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6"/>
      <c r="AC56" s="6"/>
      <c r="AD56" s="6"/>
    </row>
    <row r="57" spans="1:30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6"/>
      <c r="AC57" s="6"/>
      <c r="AD57" s="6"/>
    </row>
    <row r="58" spans="1:30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6"/>
      <c r="AC58" s="6"/>
      <c r="AD58" s="6"/>
    </row>
    <row r="59" spans="1:30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6"/>
      <c r="AC59" s="6"/>
      <c r="AD59" s="6"/>
    </row>
    <row r="60" spans="1:30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6"/>
      <c r="AC60" s="6"/>
      <c r="AD60" s="6"/>
    </row>
    <row r="61" spans="1:30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6"/>
      <c r="AC61" s="6"/>
      <c r="AD61" s="6"/>
    </row>
    <row r="62" spans="1:30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6"/>
      <c r="AC62" s="6"/>
      <c r="AD62" s="6"/>
    </row>
    <row r="63" spans="1:30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6"/>
      <c r="AC63" s="6"/>
      <c r="AD63" s="6"/>
    </row>
    <row r="64" spans="1:30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6"/>
      <c r="AC64" s="6"/>
      <c r="AD64" s="6"/>
    </row>
    <row r="65" spans="1:30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6"/>
      <c r="AC65" s="6"/>
      <c r="AD65" s="6"/>
    </row>
    <row r="66" spans="1:30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6"/>
      <c r="AC66" s="6"/>
      <c r="AD66" s="6"/>
    </row>
    <row r="67" spans="1:30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6"/>
      <c r="AC67" s="6"/>
      <c r="AD67" s="6"/>
    </row>
    <row r="68" spans="1:30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6"/>
      <c r="AC68" s="6"/>
      <c r="AD68" s="6"/>
    </row>
    <row r="69" spans="1:30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6"/>
      <c r="AC69" s="6"/>
      <c r="AD69" s="6"/>
    </row>
    <row r="70" spans="1:30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6"/>
      <c r="AC70" s="6"/>
      <c r="AD70" s="6"/>
    </row>
    <row r="71" spans="1:30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6"/>
      <c r="AC71" s="6"/>
      <c r="AD71" s="6"/>
    </row>
    <row r="72" spans="1:30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6"/>
      <c r="AC72" s="6"/>
      <c r="AD72" s="6"/>
    </row>
    <row r="73" spans="1:30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6"/>
      <c r="AC73" s="6"/>
      <c r="AD73" s="6"/>
    </row>
    <row r="74" spans="1:30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6"/>
      <c r="AC74" s="6"/>
      <c r="AD74" s="6"/>
    </row>
    <row r="75" spans="1:30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6"/>
      <c r="AC75" s="6"/>
      <c r="AD75" s="6"/>
    </row>
    <row r="76" spans="1:30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6"/>
      <c r="AC76" s="6"/>
      <c r="AD76" s="6"/>
    </row>
    <row r="77" spans="1:30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6"/>
      <c r="AC77" s="6"/>
      <c r="AD77" s="6"/>
    </row>
    <row r="78" spans="1:30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6"/>
      <c r="AC78" s="6"/>
      <c r="AD78" s="6"/>
    </row>
    <row r="79" spans="1:30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6"/>
      <c r="AC79" s="6"/>
      <c r="AD79" s="6"/>
    </row>
    <row r="80" spans="1:30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6"/>
      <c r="AC80" s="6"/>
      <c r="AD80" s="6"/>
    </row>
    <row r="81" spans="1:30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6"/>
      <c r="AC81" s="6"/>
      <c r="AD81" s="6"/>
    </row>
    <row r="82" spans="1:30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6"/>
      <c r="AC82" s="6"/>
      <c r="AD82" s="6"/>
    </row>
    <row r="83" spans="1:30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6"/>
      <c r="AC83" s="6"/>
      <c r="AD83" s="6"/>
    </row>
    <row r="84" spans="1:30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6"/>
      <c r="AC84" s="6"/>
      <c r="AD84" s="6"/>
    </row>
    <row r="85" spans="1:30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6"/>
      <c r="AC85" s="6"/>
      <c r="AD85" s="6"/>
    </row>
    <row r="86" spans="1:30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6"/>
      <c r="AC86" s="6"/>
      <c r="AD86" s="6"/>
    </row>
    <row r="87" spans="1:30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6"/>
      <c r="AC87" s="6"/>
      <c r="AD87" s="6"/>
    </row>
  </sheetData>
  <customSheetViews>
    <customSheetView guid="{2ADF1089-096C-4C0D-B2D9-38B555897638}" showPageBreaks="1" fitToPage="1" state="hidden">
      <pane ySplit="1" topLeftCell="A2" activePane="bottomLeft" state="frozen"/>
      <selection pane="bottomLeft" activeCell="E3" sqref="E3:E5"/>
      <pageMargins left="0.39" right="0.17" top="0.75" bottom="0.75" header="0.3" footer="0.3"/>
      <pageSetup paperSize="17" scale="43" orientation="landscape" r:id="rId1"/>
    </customSheetView>
    <customSheetView guid="{E685A59A-F4F7-4F45-81C4-84AB5F17A4BE}" scale="60" showPageBreaks="1" fitToPage="1" view="pageBreakPreview">
      <pane ySplit="2" topLeftCell="A3" activePane="bottomLeft" state="frozen"/>
      <selection pane="bottomLeft" activeCell="Q3" sqref="Q3"/>
      <pageMargins left="0.39" right="0.17" top="0.75" bottom="0.75" header="0.3" footer="0.3"/>
      <pageSetup paperSize="17" scale="43" orientation="landscape" r:id="rId2"/>
    </customSheetView>
    <customSheetView guid="{C8F4B031-14D0-490B-BDB9-A8D1BDF1F38C}" scale="60" showPageBreaks="1" fitToPage="1" view="pageBreakPreview">
      <pane ySplit="2" topLeftCell="A3" activePane="bottomLeft" state="frozen"/>
      <selection pane="bottomLeft" activeCell="N3" sqref="N3"/>
      <pageMargins left="0.7" right="0.7" top="0.75" bottom="0.75" header="0.3" footer="0.3"/>
      <pageSetup paperSize="127" scale="12" orientation="landscape" r:id="rId3"/>
    </customSheetView>
  </customSheetViews>
  <dataValidations count="3">
    <dataValidation type="list" allowBlank="1" showInputMessage="1" showErrorMessage="1" sqref="AD8 U9">
      <formula1>$A$11:$A$23</formula1>
    </dataValidation>
    <dataValidation type="list" allowBlank="1" showInputMessage="1" showErrorMessage="1" sqref="C2:C5">
      <formula1>$A$11:$A$29</formula1>
    </dataValidation>
    <dataValidation type="list" allowBlank="1" showInputMessage="1" showErrorMessage="1" sqref="E2:E5">
      <formula1>$E$11:$E$15</formula1>
    </dataValidation>
  </dataValidations>
  <pageMargins left="0.39" right="0.17" top="0.75" bottom="0.75" header="0.3" footer="0.3"/>
  <pageSetup paperSize="17" scale="43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topLeftCell="F10" zoomScaleNormal="100" workbookViewId="0">
      <selection activeCell="B12" sqref="B12:C12"/>
    </sheetView>
  </sheetViews>
  <sheetFormatPr defaultRowHeight="12.75" x14ac:dyDescent="0.2"/>
  <cols>
    <col min="1" max="1" width="7.28515625" style="30" bestFit="1" customWidth="1"/>
    <col min="2" max="2" width="14.85546875" style="30" bestFit="1" customWidth="1"/>
    <col min="3" max="3" width="31.140625" style="30" bestFit="1" customWidth="1"/>
    <col min="4" max="4" width="9" style="30" bestFit="1" customWidth="1"/>
    <col min="5" max="5" width="14" style="30" bestFit="1" customWidth="1"/>
    <col min="6" max="6" width="10.42578125" style="30" bestFit="1" customWidth="1"/>
    <col min="7" max="7" width="16.28515625" style="30" bestFit="1" customWidth="1"/>
    <col min="8" max="8" width="7" style="30" bestFit="1" customWidth="1"/>
    <col min="9" max="9" width="15.28515625" style="30" bestFit="1" customWidth="1"/>
    <col min="10" max="10" width="9.140625" style="30" bestFit="1" customWidth="1"/>
    <col min="11" max="11" width="12.7109375" style="44" customWidth="1"/>
    <col min="12" max="12" width="12.5703125" style="46" customWidth="1"/>
    <col min="13" max="13" width="9.140625" style="45"/>
    <col min="14" max="14" width="12.28515625" style="45" customWidth="1"/>
    <col min="15" max="15" width="13.140625" style="46" customWidth="1"/>
    <col min="16" max="16" width="9.140625" style="45"/>
    <col min="17" max="17" width="12" style="30" customWidth="1"/>
    <col min="18" max="16384" width="9.140625" style="30"/>
  </cols>
  <sheetData>
    <row r="1" spans="1:17" ht="25.5" x14ac:dyDescent="0.2">
      <c r="A1" s="27" t="s">
        <v>0</v>
      </c>
      <c r="B1" s="27" t="s">
        <v>58</v>
      </c>
      <c r="C1" s="27" t="s">
        <v>3</v>
      </c>
      <c r="D1" s="27" t="s">
        <v>59</v>
      </c>
      <c r="E1" s="27" t="s">
        <v>60</v>
      </c>
      <c r="F1" s="28" t="s">
        <v>61</v>
      </c>
      <c r="G1" s="28" t="s">
        <v>62</v>
      </c>
      <c r="H1" s="29" t="s">
        <v>63</v>
      </c>
      <c r="I1" s="27" t="s">
        <v>64</v>
      </c>
      <c r="J1" s="27" t="s">
        <v>65</v>
      </c>
      <c r="K1" s="42" t="s">
        <v>109</v>
      </c>
      <c r="L1" s="43" t="s">
        <v>110</v>
      </c>
      <c r="M1" s="42" t="s">
        <v>111</v>
      </c>
      <c r="N1" s="42" t="s">
        <v>112</v>
      </c>
      <c r="O1" s="43" t="s">
        <v>113</v>
      </c>
      <c r="P1" s="42" t="s">
        <v>114</v>
      </c>
    </row>
    <row r="2" spans="1:17" s="37" customFormat="1" ht="39.950000000000003" customHeight="1" x14ac:dyDescent="0.2">
      <c r="A2" s="31" t="s">
        <v>73</v>
      </c>
      <c r="B2" s="31" t="s">
        <v>74</v>
      </c>
      <c r="C2" s="32" t="s">
        <v>75</v>
      </c>
      <c r="D2" s="33" t="s">
        <v>67</v>
      </c>
      <c r="E2" s="33">
        <v>2013</v>
      </c>
      <c r="F2" s="34">
        <v>300000</v>
      </c>
      <c r="G2" s="35">
        <v>0</v>
      </c>
      <c r="H2" s="36">
        <v>0</v>
      </c>
      <c r="I2" s="33" t="s">
        <v>76</v>
      </c>
      <c r="J2" s="33" t="s">
        <v>34</v>
      </c>
      <c r="K2" s="51">
        <f>'Fairy Lake'!U26</f>
        <v>1491.6</v>
      </c>
      <c r="L2" s="47">
        <v>0</v>
      </c>
      <c r="M2" s="48">
        <f>ROUND(K2*L2,1)</f>
        <v>0</v>
      </c>
      <c r="N2" s="48">
        <f>'Fairy Lake'!V26</f>
        <v>93</v>
      </c>
      <c r="O2" s="47">
        <v>0</v>
      </c>
      <c r="P2" s="48">
        <f>ROUND(N2*O2,1)</f>
        <v>0</v>
      </c>
      <c r="Q2" s="37" t="s">
        <v>173</v>
      </c>
    </row>
    <row r="3" spans="1:17" s="37" customFormat="1" ht="39.950000000000003" customHeight="1" x14ac:dyDescent="0.2">
      <c r="A3" s="31" t="s">
        <v>77</v>
      </c>
      <c r="B3" s="31" t="s">
        <v>71</v>
      </c>
      <c r="C3" s="32" t="s">
        <v>82</v>
      </c>
      <c r="D3" s="33" t="s">
        <v>67</v>
      </c>
      <c r="E3" s="33" t="s">
        <v>67</v>
      </c>
      <c r="F3" s="35">
        <v>0</v>
      </c>
      <c r="G3" s="35">
        <v>0</v>
      </c>
      <c r="H3" s="36">
        <v>0</v>
      </c>
      <c r="I3" s="31" t="s">
        <v>71</v>
      </c>
      <c r="J3" s="33" t="s">
        <v>43</v>
      </c>
      <c r="K3" s="51" t="s">
        <v>123</v>
      </c>
      <c r="L3" s="47" t="s">
        <v>123</v>
      </c>
      <c r="M3" s="48">
        <f>ROUND(17*0.366,1)</f>
        <v>6.2</v>
      </c>
      <c r="N3" s="51" t="s">
        <v>123</v>
      </c>
      <c r="O3" s="47" t="s">
        <v>123</v>
      </c>
      <c r="P3" s="48">
        <f>ROUND(11*0.337,1)</f>
        <v>3.7</v>
      </c>
    </row>
    <row r="4" spans="1:17" s="37" customFormat="1" ht="43.5" customHeight="1" x14ac:dyDescent="0.2">
      <c r="A4" s="31" t="s">
        <v>78</v>
      </c>
      <c r="B4" s="31" t="s">
        <v>79</v>
      </c>
      <c r="C4" s="32" t="s">
        <v>122</v>
      </c>
      <c r="D4" s="33" t="s">
        <v>67</v>
      </c>
      <c r="E4" s="33" t="s">
        <v>67</v>
      </c>
      <c r="F4" s="35">
        <v>0</v>
      </c>
      <c r="G4" s="35">
        <v>0</v>
      </c>
      <c r="H4" s="36">
        <v>0</v>
      </c>
      <c r="I4" s="31" t="s">
        <v>66</v>
      </c>
      <c r="J4" s="32" t="s">
        <v>43</v>
      </c>
      <c r="K4" s="51" t="s">
        <v>123</v>
      </c>
      <c r="L4" s="47" t="s">
        <v>123</v>
      </c>
      <c r="M4" s="48">
        <f>ROUND(119*0.366,1)</f>
        <v>43.6</v>
      </c>
      <c r="N4" s="51" t="s">
        <v>123</v>
      </c>
      <c r="O4" s="47" t="s">
        <v>123</v>
      </c>
      <c r="P4" s="48">
        <f>ROUND(77*0.337,1)</f>
        <v>25.9</v>
      </c>
    </row>
    <row r="5" spans="1:17" s="37" customFormat="1" ht="62.25" customHeight="1" x14ac:dyDescent="0.2">
      <c r="A5" s="31" t="s">
        <v>80</v>
      </c>
      <c r="B5" s="32" t="s">
        <v>68</v>
      </c>
      <c r="C5" s="32" t="s">
        <v>108</v>
      </c>
      <c r="D5" s="33" t="s">
        <v>67</v>
      </c>
      <c r="E5" s="33" t="s">
        <v>67</v>
      </c>
      <c r="F5" s="35">
        <v>0</v>
      </c>
      <c r="G5" s="35">
        <v>0</v>
      </c>
      <c r="H5" s="36">
        <v>0</v>
      </c>
      <c r="I5" s="32" t="s">
        <v>69</v>
      </c>
      <c r="J5" s="32" t="s">
        <v>43</v>
      </c>
      <c r="K5" s="51">
        <v>5549.7</v>
      </c>
      <c r="L5" s="47">
        <v>4.4999999999999998E-2</v>
      </c>
      <c r="M5" s="48">
        <f>ROUND(K5*L5,1)</f>
        <v>249.7</v>
      </c>
      <c r="N5" s="48">
        <v>326.10000000000002</v>
      </c>
      <c r="O5" s="47">
        <v>4.4999999999999998E-2</v>
      </c>
      <c r="P5" s="48">
        <f>ROUND(N5*O5,1)</f>
        <v>14.7</v>
      </c>
    </row>
    <row r="6" spans="1:17" s="37" customFormat="1" ht="140.25" x14ac:dyDescent="0.2">
      <c r="A6" s="31" t="s">
        <v>81</v>
      </c>
      <c r="B6" s="31" t="s">
        <v>170</v>
      </c>
      <c r="C6" s="31" t="s">
        <v>171</v>
      </c>
      <c r="D6" s="38">
        <v>42430</v>
      </c>
      <c r="E6" s="38">
        <v>42979</v>
      </c>
      <c r="F6" s="39">
        <v>973514</v>
      </c>
      <c r="G6" s="40">
        <v>0</v>
      </c>
      <c r="H6" s="41">
        <v>0</v>
      </c>
      <c r="I6" s="31" t="s">
        <v>83</v>
      </c>
      <c r="J6" s="31" t="s">
        <v>70</v>
      </c>
      <c r="K6" s="51" t="s">
        <v>123</v>
      </c>
      <c r="L6" s="47" t="s">
        <v>123</v>
      </c>
      <c r="M6" s="48">
        <f>ROUND(3204*0.366,1)</f>
        <v>1172.7</v>
      </c>
      <c r="N6" s="51" t="s">
        <v>123</v>
      </c>
      <c r="O6" s="47" t="s">
        <v>123</v>
      </c>
      <c r="P6" s="48">
        <f>ROUND(830*0.337,1)</f>
        <v>279.7</v>
      </c>
      <c r="Q6" s="37" t="s">
        <v>172</v>
      </c>
    </row>
    <row r="7" spans="1:17" ht="51" x14ac:dyDescent="0.2">
      <c r="A7" s="31" t="s">
        <v>115</v>
      </c>
      <c r="B7" s="18" t="s">
        <v>95</v>
      </c>
      <c r="C7" s="18" t="s">
        <v>96</v>
      </c>
      <c r="D7" s="38">
        <v>43009</v>
      </c>
      <c r="E7" s="38">
        <v>43344</v>
      </c>
      <c r="F7" s="19">
        <f>3911220+1336610</f>
        <v>5247830</v>
      </c>
      <c r="G7" s="40">
        <v>0</v>
      </c>
      <c r="H7" s="41">
        <v>0</v>
      </c>
      <c r="I7" s="22" t="s">
        <v>53</v>
      </c>
      <c r="J7" s="22" t="s">
        <v>39</v>
      </c>
      <c r="K7" s="51" t="s">
        <v>123</v>
      </c>
      <c r="L7" s="47" t="s">
        <v>123</v>
      </c>
      <c r="M7" s="48" t="s">
        <v>185</v>
      </c>
      <c r="N7" s="51" t="s">
        <v>123</v>
      </c>
      <c r="O7" s="47" t="s">
        <v>123</v>
      </c>
      <c r="P7" s="48" t="s">
        <v>185</v>
      </c>
      <c r="Q7" s="30" t="s">
        <v>174</v>
      </c>
    </row>
    <row r="8" spans="1:17" ht="38.25" x14ac:dyDescent="0.2">
      <c r="A8" s="31" t="s">
        <v>116</v>
      </c>
      <c r="B8" s="18" t="s">
        <v>92</v>
      </c>
      <c r="C8" s="18" t="s">
        <v>94</v>
      </c>
      <c r="D8" s="22" t="s">
        <v>90</v>
      </c>
      <c r="E8" s="26">
        <v>43160</v>
      </c>
      <c r="F8" s="19">
        <v>2013040</v>
      </c>
      <c r="G8" s="40">
        <v>0</v>
      </c>
      <c r="H8" s="41">
        <v>0</v>
      </c>
      <c r="I8" s="22" t="s">
        <v>53</v>
      </c>
      <c r="J8" s="22" t="s">
        <v>39</v>
      </c>
      <c r="K8" s="51" t="s">
        <v>123</v>
      </c>
      <c r="L8" s="47" t="s">
        <v>123</v>
      </c>
      <c r="M8" s="48" t="s">
        <v>185</v>
      </c>
      <c r="N8" s="51" t="s">
        <v>123</v>
      </c>
      <c r="O8" s="47" t="s">
        <v>123</v>
      </c>
      <c r="P8" s="48" t="s">
        <v>185</v>
      </c>
      <c r="Q8" s="30" t="s">
        <v>174</v>
      </c>
    </row>
    <row r="9" spans="1:17" ht="38.25" x14ac:dyDescent="0.2">
      <c r="A9" s="31" t="s">
        <v>117</v>
      </c>
      <c r="B9" s="18" t="s">
        <v>91</v>
      </c>
      <c r="C9" s="18" t="s">
        <v>93</v>
      </c>
      <c r="D9" s="26">
        <v>42887</v>
      </c>
      <c r="E9" s="26">
        <v>43344</v>
      </c>
      <c r="F9" s="19">
        <v>3458320</v>
      </c>
      <c r="G9" s="40">
        <v>0</v>
      </c>
      <c r="H9" s="41">
        <v>0</v>
      </c>
      <c r="I9" s="22" t="s">
        <v>53</v>
      </c>
      <c r="J9" s="22" t="s">
        <v>39</v>
      </c>
      <c r="K9" s="51" t="s">
        <v>123</v>
      </c>
      <c r="L9" s="47" t="s">
        <v>123</v>
      </c>
      <c r="M9" s="48" t="s">
        <v>185</v>
      </c>
      <c r="N9" s="51" t="s">
        <v>123</v>
      </c>
      <c r="O9" s="47" t="s">
        <v>123</v>
      </c>
      <c r="P9" s="48" t="s">
        <v>185</v>
      </c>
      <c r="Q9" s="30" t="s">
        <v>174</v>
      </c>
    </row>
    <row r="10" spans="1:17" ht="38.25" x14ac:dyDescent="0.2">
      <c r="A10" s="31" t="s">
        <v>175</v>
      </c>
      <c r="B10" s="22" t="s">
        <v>177</v>
      </c>
      <c r="C10" s="22" t="s">
        <v>178</v>
      </c>
      <c r="D10" s="26">
        <v>43617</v>
      </c>
      <c r="E10" s="26">
        <v>44105</v>
      </c>
      <c r="F10" s="54">
        <v>4313251</v>
      </c>
      <c r="G10" s="55">
        <v>0</v>
      </c>
      <c r="H10" s="56">
        <v>49</v>
      </c>
      <c r="I10" s="22" t="s">
        <v>53</v>
      </c>
      <c r="J10" s="22" t="s">
        <v>39</v>
      </c>
      <c r="K10" s="51" t="s">
        <v>123</v>
      </c>
      <c r="L10" s="57" t="s">
        <v>123</v>
      </c>
      <c r="M10" s="48" t="s">
        <v>185</v>
      </c>
      <c r="N10" s="51" t="s">
        <v>123</v>
      </c>
      <c r="O10" s="57" t="s">
        <v>123</v>
      </c>
      <c r="P10" s="48" t="s">
        <v>185</v>
      </c>
      <c r="Q10" s="30" t="s">
        <v>174</v>
      </c>
    </row>
    <row r="11" spans="1:17" ht="51" x14ac:dyDescent="0.2">
      <c r="A11" s="31" t="s">
        <v>176</v>
      </c>
      <c r="B11" s="22" t="s">
        <v>179</v>
      </c>
      <c r="C11" s="22" t="s">
        <v>180</v>
      </c>
      <c r="D11" s="26">
        <v>43617</v>
      </c>
      <c r="E11" s="26">
        <v>44105</v>
      </c>
      <c r="F11" s="54">
        <v>3123424</v>
      </c>
      <c r="G11" s="55">
        <v>0</v>
      </c>
      <c r="H11" s="56">
        <v>33</v>
      </c>
      <c r="I11" s="22" t="s">
        <v>53</v>
      </c>
      <c r="J11" s="22" t="s">
        <v>39</v>
      </c>
      <c r="K11" s="51" t="s">
        <v>123</v>
      </c>
      <c r="L11" s="57" t="s">
        <v>123</v>
      </c>
      <c r="M11" s="48" t="s">
        <v>185</v>
      </c>
      <c r="N11" s="51" t="s">
        <v>123</v>
      </c>
      <c r="O11" s="57" t="s">
        <v>123</v>
      </c>
      <c r="P11" s="48" t="s">
        <v>185</v>
      </c>
      <c r="Q11" s="30" t="s">
        <v>174</v>
      </c>
    </row>
    <row r="12" spans="1:17" ht="25.5" x14ac:dyDescent="0.2">
      <c r="A12" s="31" t="s">
        <v>181</v>
      </c>
      <c r="B12" s="58" t="s">
        <v>182</v>
      </c>
      <c r="C12" s="58" t="s">
        <v>183</v>
      </c>
      <c r="D12" s="33" t="s">
        <v>67</v>
      </c>
      <c r="E12" s="33" t="s">
        <v>67</v>
      </c>
      <c r="F12" s="35">
        <v>0</v>
      </c>
      <c r="G12" s="35">
        <v>0</v>
      </c>
      <c r="H12" s="56"/>
      <c r="I12" s="22" t="s">
        <v>184</v>
      </c>
      <c r="J12" s="22" t="s">
        <v>34</v>
      </c>
      <c r="K12" s="51" t="s">
        <v>123</v>
      </c>
      <c r="L12" s="57" t="s">
        <v>123</v>
      </c>
      <c r="M12" s="48">
        <v>162.1</v>
      </c>
      <c r="N12" s="51" t="s">
        <v>123</v>
      </c>
      <c r="O12" s="57" t="s">
        <v>123</v>
      </c>
      <c r="P12" s="48">
        <v>13.5</v>
      </c>
    </row>
    <row r="14" spans="1:17" x14ac:dyDescent="0.2">
      <c r="K14" s="49" t="s">
        <v>118</v>
      </c>
      <c r="M14" s="45">
        <f>SUM(M2:M12)</f>
        <v>1634.3</v>
      </c>
      <c r="P14" s="45">
        <f>SUM(P2:P12)</f>
        <v>337.5</v>
      </c>
    </row>
    <row r="15" spans="1:17" x14ac:dyDescent="0.2">
      <c r="K15" s="50" t="s">
        <v>119</v>
      </c>
      <c r="M15" s="45">
        <v>1120.2</v>
      </c>
      <c r="P15" s="45">
        <v>180.8</v>
      </c>
    </row>
    <row r="16" spans="1:17" x14ac:dyDescent="0.2">
      <c r="K16" s="50" t="s">
        <v>120</v>
      </c>
      <c r="M16" s="45">
        <f>M15-M14</f>
        <v>-514.09999999999991</v>
      </c>
      <c r="N16" s="45" t="s">
        <v>121</v>
      </c>
      <c r="P16" s="45">
        <f>P15-P14</f>
        <v>-156.69999999999999</v>
      </c>
      <c r="Q16" s="30" t="s">
        <v>121</v>
      </c>
    </row>
  </sheetData>
  <customSheetViews>
    <customSheetView guid="{2ADF1089-096C-4C0D-B2D9-38B555897638}" topLeftCell="F10">
      <selection activeCell="B12" sqref="B12:C12"/>
      <pageMargins left="0.45" right="0.25" top="0.75" bottom="0.75" header="0.3" footer="0.3"/>
      <pageSetup scale="61" orientation="landscape" r:id="rId1"/>
    </customSheetView>
    <customSheetView guid="{E685A59A-F4F7-4F45-81C4-84AB5F17A4BE}">
      <selection activeCell="G13" sqref="G13"/>
      <pageMargins left="0.45" right="0.25" top="0.75" bottom="0.75" header="0.3" footer="0.3"/>
      <pageSetup scale="61" orientation="landscape" r:id="rId2"/>
    </customSheetView>
    <customSheetView guid="{C8F4B031-14D0-490B-BDB9-A8D1BDF1F38C}" showPageBreaks="1">
      <selection activeCell="G11" sqref="G11"/>
      <pageMargins left="0.45" right="0.25" top="0.75" bottom="0.75" header="0.3" footer="0.3"/>
      <pageSetup scale="61" orientation="landscape" r:id="rId3"/>
    </customSheetView>
  </customSheetViews>
  <pageMargins left="0.45" right="0.25" top="0.75" bottom="0.75" header="0.3" footer="0.3"/>
  <pageSetup scale="61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H1" workbookViewId="0">
      <selection activeCell="O35" sqref="O35"/>
    </sheetView>
  </sheetViews>
  <sheetFormatPr defaultRowHeight="15" x14ac:dyDescent="0.25"/>
  <cols>
    <col min="1" max="1" width="10.140625" style="52" bestFit="1" customWidth="1"/>
    <col min="2" max="2" width="9.28515625" style="52" bestFit="1" customWidth="1"/>
    <col min="3" max="3" width="15.7109375" style="53" bestFit="1" customWidth="1"/>
    <col min="4" max="4" width="4.85546875" style="52" bestFit="1" customWidth="1"/>
    <col min="5" max="5" width="4.28515625" style="52" bestFit="1" customWidth="1"/>
    <col min="6" max="6" width="8" style="52" bestFit="1" customWidth="1"/>
    <col min="7" max="7" width="9.85546875" style="52" bestFit="1" customWidth="1"/>
    <col min="8" max="8" width="14.7109375" style="53" bestFit="1" customWidth="1"/>
    <col min="9" max="9" width="13.7109375" style="53" bestFit="1" customWidth="1"/>
    <col min="10" max="10" width="16.7109375" style="53" bestFit="1" customWidth="1"/>
    <col min="11" max="11" width="15.7109375" style="53" bestFit="1" customWidth="1"/>
    <col min="12" max="13" width="13.7109375" style="53" bestFit="1" customWidth="1"/>
    <col min="14" max="14" width="14.7109375" style="53" bestFit="1" customWidth="1"/>
    <col min="15" max="15" width="13.7109375" style="53" bestFit="1" customWidth="1"/>
    <col min="16" max="16" width="16.7109375" style="53" bestFit="1" customWidth="1"/>
    <col min="17" max="18" width="15.7109375" style="53" bestFit="1" customWidth="1"/>
    <col min="19" max="20" width="13.7109375" style="53" bestFit="1" customWidth="1"/>
    <col min="21" max="21" width="16.7109375" style="53" bestFit="1" customWidth="1"/>
    <col min="22" max="22" width="15.7109375" style="53" bestFit="1" customWidth="1"/>
    <col min="23" max="24" width="13.7109375" style="53" bestFit="1" customWidth="1"/>
  </cols>
  <sheetData>
    <row r="1" spans="1:24" x14ac:dyDescent="0.25">
      <c r="H1" s="53" t="s">
        <v>157</v>
      </c>
      <c r="I1" s="53" t="s">
        <v>157</v>
      </c>
      <c r="J1" s="53" t="s">
        <v>158</v>
      </c>
      <c r="K1" s="53" t="s">
        <v>159</v>
      </c>
      <c r="L1" s="53" t="s">
        <v>160</v>
      </c>
      <c r="M1" s="53" t="s">
        <v>160</v>
      </c>
      <c r="N1" s="53" t="s">
        <v>161</v>
      </c>
      <c r="O1" s="53" t="s">
        <v>162</v>
      </c>
      <c r="P1" s="53" t="s">
        <v>163</v>
      </c>
      <c r="Q1" s="53" t="s">
        <v>164</v>
      </c>
      <c r="S1" s="53" t="s">
        <v>165</v>
      </c>
      <c r="T1" s="53" t="s">
        <v>165</v>
      </c>
      <c r="U1" s="53" t="s">
        <v>166</v>
      </c>
      <c r="V1" s="53" t="s">
        <v>167</v>
      </c>
      <c r="W1" s="53" t="s">
        <v>168</v>
      </c>
      <c r="X1" s="53" t="s">
        <v>169</v>
      </c>
    </row>
    <row r="2" spans="1:24" x14ac:dyDescent="0.25">
      <c r="A2" s="52" t="s">
        <v>124</v>
      </c>
      <c r="B2" s="52" t="s">
        <v>125</v>
      </c>
      <c r="C2" s="53" t="s">
        <v>126</v>
      </c>
      <c r="D2" s="52" t="s">
        <v>127</v>
      </c>
      <c r="E2" s="52" t="s">
        <v>128</v>
      </c>
      <c r="F2" s="52" t="s">
        <v>129</v>
      </c>
      <c r="G2" s="52" t="s">
        <v>130</v>
      </c>
      <c r="H2" s="53" t="s">
        <v>131</v>
      </c>
      <c r="I2" s="53" t="s">
        <v>132</v>
      </c>
      <c r="J2" s="53" t="s">
        <v>133</v>
      </c>
      <c r="K2" s="53" t="s">
        <v>134</v>
      </c>
      <c r="L2" s="53" t="s">
        <v>135</v>
      </c>
      <c r="M2" s="53" t="s">
        <v>136</v>
      </c>
      <c r="N2" s="53" t="s">
        <v>137</v>
      </c>
      <c r="O2" s="53" t="s">
        <v>138</v>
      </c>
      <c r="P2" s="53" t="s">
        <v>139</v>
      </c>
      <c r="Q2" s="53" t="s">
        <v>140</v>
      </c>
      <c r="R2" s="53" t="s">
        <v>141</v>
      </c>
      <c r="S2" s="53" t="s">
        <v>142</v>
      </c>
      <c r="T2" s="53" t="s">
        <v>143</v>
      </c>
      <c r="U2" s="53" t="s">
        <v>144</v>
      </c>
      <c r="V2" s="53" t="s">
        <v>145</v>
      </c>
      <c r="W2" s="53" t="s">
        <v>146</v>
      </c>
      <c r="X2" s="53" t="s">
        <v>147</v>
      </c>
    </row>
    <row r="3" spans="1:24" x14ac:dyDescent="0.25">
      <c r="A3" s="52">
        <v>11</v>
      </c>
      <c r="B3" s="52">
        <v>4</v>
      </c>
      <c r="C3" s="53">
        <v>100.498959665</v>
      </c>
      <c r="D3" s="52">
        <v>23</v>
      </c>
      <c r="E3" s="52">
        <v>0</v>
      </c>
      <c r="F3" s="52">
        <v>0</v>
      </c>
      <c r="H3" s="53">
        <v>0</v>
      </c>
      <c r="I3" s="53">
        <v>0</v>
      </c>
      <c r="J3" s="53">
        <f>C3*H3</f>
        <v>0</v>
      </c>
      <c r="K3" s="53">
        <f>C3*I3</f>
        <v>0</v>
      </c>
      <c r="L3" s="53">
        <v>0</v>
      </c>
      <c r="M3" s="53">
        <v>0</v>
      </c>
      <c r="N3" s="53">
        <f>H3*L3</f>
        <v>0</v>
      </c>
      <c r="O3" s="53">
        <f>I3*M3</f>
        <v>0</v>
      </c>
      <c r="P3" s="53">
        <f>C3*N3</f>
        <v>0</v>
      </c>
      <c r="Q3" s="53">
        <f>C3*O3</f>
        <v>0</v>
      </c>
      <c r="R3" s="53">
        <v>100.498959665</v>
      </c>
      <c r="S3" s="53">
        <v>0</v>
      </c>
      <c r="T3" s="53">
        <v>0</v>
      </c>
      <c r="U3" s="53">
        <f>R3*S3</f>
        <v>0</v>
      </c>
      <c r="V3" s="53">
        <f>R3*T3</f>
        <v>0</v>
      </c>
      <c r="W3" s="53">
        <v>0</v>
      </c>
      <c r="X3" s="53">
        <v>0</v>
      </c>
    </row>
    <row r="4" spans="1:24" x14ac:dyDescent="0.25">
      <c r="A4" s="52">
        <v>11</v>
      </c>
      <c r="B4" s="52">
        <v>10</v>
      </c>
      <c r="C4" s="53">
        <v>0.119215553002</v>
      </c>
      <c r="D4" s="52">
        <v>25</v>
      </c>
      <c r="E4" s="52">
        <v>0</v>
      </c>
      <c r="F4" s="52">
        <v>0</v>
      </c>
      <c r="H4" s="53">
        <v>0</v>
      </c>
      <c r="I4" s="53">
        <v>0</v>
      </c>
      <c r="J4" s="53">
        <f t="shared" ref="J4:J25" si="0">C4*H4</f>
        <v>0</v>
      </c>
      <c r="K4" s="53">
        <f t="shared" ref="K4:K25" si="1">C4*I4</f>
        <v>0</v>
      </c>
      <c r="L4" s="53">
        <v>0</v>
      </c>
      <c r="M4" s="53">
        <v>0</v>
      </c>
      <c r="N4" s="53">
        <f t="shared" ref="N4:N25" si="2">H4*L4</f>
        <v>0</v>
      </c>
      <c r="O4" s="53">
        <f t="shared" ref="O4:O25" si="3">I4*M4</f>
        <v>0</v>
      </c>
      <c r="P4" s="53">
        <f t="shared" ref="P4:P25" si="4">C4*N4</f>
        <v>0</v>
      </c>
      <c r="Q4" s="53">
        <f t="shared" ref="Q4:Q25" si="5">C4*O4</f>
        <v>0</v>
      </c>
      <c r="R4" s="53">
        <v>0.119215553002</v>
      </c>
      <c r="S4" s="53">
        <v>0</v>
      </c>
      <c r="T4" s="53">
        <v>0</v>
      </c>
      <c r="U4" s="53">
        <f t="shared" ref="U4:U25" si="6">R4*S4</f>
        <v>0</v>
      </c>
      <c r="V4" s="53">
        <f t="shared" ref="V4:V25" si="7">R4*T4</f>
        <v>0</v>
      </c>
      <c r="W4" s="53">
        <v>0</v>
      </c>
      <c r="X4" s="53">
        <v>0</v>
      </c>
    </row>
    <row r="5" spans="1:24" x14ac:dyDescent="0.25">
      <c r="A5" s="52">
        <v>11</v>
      </c>
      <c r="B5" s="52">
        <v>12</v>
      </c>
      <c r="C5" s="53">
        <v>3.3794550288599998</v>
      </c>
      <c r="D5" s="52">
        <v>27</v>
      </c>
      <c r="E5" s="52">
        <v>0</v>
      </c>
      <c r="F5" s="52">
        <v>0</v>
      </c>
      <c r="H5" s="53">
        <v>0</v>
      </c>
      <c r="I5" s="53">
        <v>0</v>
      </c>
      <c r="J5" s="53">
        <f t="shared" si="0"/>
        <v>0</v>
      </c>
      <c r="K5" s="53">
        <f t="shared" si="1"/>
        <v>0</v>
      </c>
      <c r="L5" s="53">
        <v>0</v>
      </c>
      <c r="M5" s="53">
        <v>0</v>
      </c>
      <c r="N5" s="53">
        <f t="shared" si="2"/>
        <v>0</v>
      </c>
      <c r="O5" s="53">
        <f t="shared" si="3"/>
        <v>0</v>
      </c>
      <c r="P5" s="53">
        <f t="shared" si="4"/>
        <v>0</v>
      </c>
      <c r="Q5" s="53">
        <f t="shared" si="5"/>
        <v>0</v>
      </c>
      <c r="R5" s="53">
        <v>3.3794550288599998</v>
      </c>
      <c r="S5" s="53">
        <v>0</v>
      </c>
      <c r="T5" s="53">
        <v>0</v>
      </c>
      <c r="U5" s="53">
        <f t="shared" si="6"/>
        <v>0</v>
      </c>
      <c r="V5" s="53">
        <f t="shared" si="7"/>
        <v>0</v>
      </c>
      <c r="W5" s="53">
        <v>0</v>
      </c>
      <c r="X5" s="53">
        <v>0</v>
      </c>
    </row>
    <row r="6" spans="1:24" x14ac:dyDescent="0.25">
      <c r="A6" s="52">
        <v>11</v>
      </c>
      <c r="B6" s="52">
        <v>13</v>
      </c>
      <c r="C6" s="53">
        <v>2.2657495168100001</v>
      </c>
      <c r="D6" s="52">
        <v>28</v>
      </c>
      <c r="E6" s="52">
        <v>0</v>
      </c>
      <c r="F6" s="52">
        <v>0</v>
      </c>
      <c r="H6" s="53">
        <v>0</v>
      </c>
      <c r="I6" s="53">
        <v>0</v>
      </c>
      <c r="J6" s="53">
        <f t="shared" si="0"/>
        <v>0</v>
      </c>
      <c r="K6" s="53">
        <f t="shared" si="1"/>
        <v>0</v>
      </c>
      <c r="L6" s="53">
        <v>0</v>
      </c>
      <c r="M6" s="53">
        <v>0</v>
      </c>
      <c r="N6" s="53">
        <f t="shared" si="2"/>
        <v>0</v>
      </c>
      <c r="O6" s="53">
        <f t="shared" si="3"/>
        <v>0</v>
      </c>
      <c r="P6" s="53">
        <f t="shared" si="4"/>
        <v>0</v>
      </c>
      <c r="Q6" s="53">
        <f t="shared" si="5"/>
        <v>0</v>
      </c>
      <c r="R6" s="53">
        <v>2.2657495168100001</v>
      </c>
      <c r="S6" s="53">
        <v>0</v>
      </c>
      <c r="T6" s="53">
        <v>0</v>
      </c>
      <c r="U6" s="53">
        <f t="shared" si="6"/>
        <v>0</v>
      </c>
      <c r="V6" s="53">
        <f t="shared" si="7"/>
        <v>0</v>
      </c>
      <c r="W6" s="53">
        <v>0</v>
      </c>
      <c r="X6" s="53">
        <v>0</v>
      </c>
    </row>
    <row r="7" spans="1:24" x14ac:dyDescent="0.25">
      <c r="A7" s="52">
        <v>12</v>
      </c>
      <c r="B7" s="52">
        <v>1</v>
      </c>
      <c r="C7" s="53">
        <v>8.9187264595800002</v>
      </c>
      <c r="D7" s="52">
        <v>29</v>
      </c>
      <c r="E7" s="52">
        <v>12</v>
      </c>
      <c r="F7" s="52">
        <v>1</v>
      </c>
      <c r="G7" s="52" t="s">
        <v>148</v>
      </c>
      <c r="H7" s="53">
        <v>4.9540632840000001</v>
      </c>
      <c r="I7" s="53">
        <v>0.223</v>
      </c>
      <c r="J7" s="53">
        <f t="shared" si="0"/>
        <v>44.183935293444591</v>
      </c>
      <c r="K7" s="53">
        <f t="shared" si="1"/>
        <v>1.9888760004863402</v>
      </c>
      <c r="L7" s="53">
        <v>0.192</v>
      </c>
      <c r="M7" s="53">
        <v>0.14499999999999999</v>
      </c>
      <c r="N7" s="53">
        <f t="shared" si="2"/>
        <v>0.95118015052799998</v>
      </c>
      <c r="O7" s="53">
        <f t="shared" si="3"/>
        <v>3.2334999999999996E-2</v>
      </c>
      <c r="P7" s="53">
        <f t="shared" si="4"/>
        <v>8.4833155763413615</v>
      </c>
      <c r="Q7" s="53">
        <f t="shared" si="5"/>
        <v>0.28838702007051925</v>
      </c>
      <c r="R7" s="53">
        <v>8.9187264595800002</v>
      </c>
      <c r="S7" s="53">
        <v>0.45500000000000002</v>
      </c>
      <c r="T7" s="53">
        <v>1.6E-2</v>
      </c>
      <c r="U7" s="53">
        <f t="shared" si="6"/>
        <v>4.0580205391089006</v>
      </c>
      <c r="V7" s="53">
        <f t="shared" si="7"/>
        <v>0.14269962335328001</v>
      </c>
      <c r="W7" s="53">
        <f t="shared" ref="W7:W25" si="8">U7/J7</f>
        <v>9.1843800516134069E-2</v>
      </c>
      <c r="X7" s="53">
        <f t="shared" ref="X7:X25" si="9">V7/K7</f>
        <v>7.1748878923766815E-2</v>
      </c>
    </row>
    <row r="8" spans="1:24" x14ac:dyDescent="0.25">
      <c r="A8" s="52">
        <v>12</v>
      </c>
      <c r="B8" s="52">
        <v>2</v>
      </c>
      <c r="C8" s="53">
        <v>303.147866201</v>
      </c>
      <c r="D8" s="52">
        <v>30</v>
      </c>
      <c r="E8" s="52">
        <v>12</v>
      </c>
      <c r="F8" s="52">
        <v>2</v>
      </c>
      <c r="G8" s="52" t="s">
        <v>149</v>
      </c>
      <c r="H8" s="53">
        <v>9.8042567900000002</v>
      </c>
      <c r="I8" s="53">
        <v>0.47799999999999998</v>
      </c>
      <c r="J8" s="53">
        <f t="shared" si="0"/>
        <v>2972.1395255751659</v>
      </c>
      <c r="K8" s="53">
        <f t="shared" si="1"/>
        <v>144.90468004407799</v>
      </c>
      <c r="L8" s="53">
        <v>0.191</v>
      </c>
      <c r="M8" s="53">
        <v>0.14399999999999999</v>
      </c>
      <c r="N8" s="53">
        <f t="shared" si="2"/>
        <v>1.87261304689</v>
      </c>
      <c r="O8" s="53">
        <f t="shared" si="3"/>
        <v>6.883199999999999E-2</v>
      </c>
      <c r="P8" s="53">
        <f t="shared" si="4"/>
        <v>567.67864938485661</v>
      </c>
      <c r="Q8" s="53">
        <f t="shared" si="5"/>
        <v>20.86627392634723</v>
      </c>
      <c r="R8" s="53">
        <v>303.147866201</v>
      </c>
      <c r="S8" s="53">
        <v>0.89500000000000002</v>
      </c>
      <c r="T8" s="53">
        <v>3.5000000000000003E-2</v>
      </c>
      <c r="U8" s="53">
        <f t="shared" si="6"/>
        <v>271.31734024989498</v>
      </c>
      <c r="V8" s="53">
        <f t="shared" si="7"/>
        <v>10.610175317035001</v>
      </c>
      <c r="W8" s="53">
        <f t="shared" si="8"/>
        <v>9.1286878666098248E-2</v>
      </c>
      <c r="X8" s="53">
        <f t="shared" si="9"/>
        <v>7.3221757322175743E-2</v>
      </c>
    </row>
    <row r="9" spans="1:24" x14ac:dyDescent="0.25">
      <c r="A9" s="52">
        <v>12</v>
      </c>
      <c r="B9" s="52">
        <v>3</v>
      </c>
      <c r="C9" s="53">
        <v>3.8832862426900001</v>
      </c>
      <c r="D9" s="52">
        <v>31</v>
      </c>
      <c r="E9" s="52">
        <v>12</v>
      </c>
      <c r="F9" s="52">
        <v>3</v>
      </c>
      <c r="G9" s="52" t="s">
        <v>150</v>
      </c>
      <c r="H9" s="53">
        <v>22.51458379</v>
      </c>
      <c r="I9" s="53">
        <v>1.778</v>
      </c>
      <c r="J9" s="53">
        <f t="shared" si="0"/>
        <v>87.430573491598281</v>
      </c>
      <c r="K9" s="53">
        <f t="shared" si="1"/>
        <v>6.9044829395028202</v>
      </c>
      <c r="L9" s="53">
        <v>0.191</v>
      </c>
      <c r="M9" s="53">
        <v>0.14899999999999999</v>
      </c>
      <c r="N9" s="53">
        <f t="shared" si="2"/>
        <v>4.3002855038899996</v>
      </c>
      <c r="O9" s="53">
        <f t="shared" si="3"/>
        <v>0.26492199999999999</v>
      </c>
      <c r="P9" s="53">
        <f t="shared" si="4"/>
        <v>16.69923953689527</v>
      </c>
      <c r="Q9" s="53">
        <f t="shared" si="5"/>
        <v>1.0287679579859201</v>
      </c>
      <c r="R9" s="53">
        <v>3.8832862426900001</v>
      </c>
      <c r="S9" s="53">
        <v>2.0550000000000002</v>
      </c>
      <c r="T9" s="53">
        <v>0.13500000000000001</v>
      </c>
      <c r="U9" s="53">
        <f t="shared" si="6"/>
        <v>7.9801532287279509</v>
      </c>
      <c r="V9" s="53">
        <f t="shared" si="7"/>
        <v>0.52424364276315005</v>
      </c>
      <c r="W9" s="53">
        <f t="shared" si="8"/>
        <v>9.1274172295058895E-2</v>
      </c>
      <c r="X9" s="53">
        <f t="shared" si="9"/>
        <v>7.5928008998875141E-2</v>
      </c>
    </row>
    <row r="10" spans="1:24" x14ac:dyDescent="0.25">
      <c r="A10" s="52">
        <v>12</v>
      </c>
      <c r="B10" s="52">
        <v>4</v>
      </c>
      <c r="C10" s="53">
        <v>315.186181369</v>
      </c>
      <c r="D10" s="52">
        <v>32</v>
      </c>
      <c r="E10" s="52">
        <v>12</v>
      </c>
      <c r="F10" s="52">
        <v>4</v>
      </c>
      <c r="G10" s="52" t="s">
        <v>151</v>
      </c>
      <c r="H10" s="53">
        <v>14.51813712</v>
      </c>
      <c r="I10" s="53">
        <v>1.3420000000000001</v>
      </c>
      <c r="J10" s="53">
        <f t="shared" si="0"/>
        <v>4575.9161994443311</v>
      </c>
      <c r="K10" s="53">
        <f t="shared" si="1"/>
        <v>422.97985539719804</v>
      </c>
      <c r="L10" s="53">
        <v>0.187</v>
      </c>
      <c r="M10" s="53">
        <v>0.14299999999999999</v>
      </c>
      <c r="N10" s="53">
        <f t="shared" si="2"/>
        <v>2.7148916414399999</v>
      </c>
      <c r="O10" s="53">
        <f t="shared" si="3"/>
        <v>0.19190599999999999</v>
      </c>
      <c r="P10" s="53">
        <f t="shared" si="4"/>
        <v>855.69632929608997</v>
      </c>
      <c r="Q10" s="53">
        <f t="shared" si="5"/>
        <v>60.486119321799308</v>
      </c>
      <c r="R10" s="53">
        <v>315.186181369</v>
      </c>
      <c r="S10" s="53">
        <v>1.286</v>
      </c>
      <c r="T10" s="53">
        <v>9.7000000000000003E-2</v>
      </c>
      <c r="U10" s="53">
        <f t="shared" si="6"/>
        <v>405.32942924053401</v>
      </c>
      <c r="V10" s="53">
        <f t="shared" si="7"/>
        <v>30.573059592793001</v>
      </c>
      <c r="W10" s="53">
        <f t="shared" si="8"/>
        <v>8.8578857560755703E-2</v>
      </c>
      <c r="X10" s="53">
        <f t="shared" si="9"/>
        <v>7.2280178837555886E-2</v>
      </c>
    </row>
    <row r="11" spans="1:24" x14ac:dyDescent="0.25">
      <c r="A11" s="52">
        <v>12</v>
      </c>
      <c r="B11" s="52">
        <v>8</v>
      </c>
      <c r="C11" s="53">
        <v>2.0349691239799998</v>
      </c>
      <c r="D11" s="52">
        <v>33</v>
      </c>
      <c r="E11" s="52">
        <v>12</v>
      </c>
      <c r="F11" s="52">
        <v>8</v>
      </c>
      <c r="G11" s="52" t="s">
        <v>152</v>
      </c>
      <c r="H11" s="53">
        <v>12.231855380000001</v>
      </c>
      <c r="I11" s="53">
        <v>0.63700000000000001</v>
      </c>
      <c r="J11" s="53">
        <f t="shared" si="0"/>
        <v>24.89144802728865</v>
      </c>
      <c r="K11" s="53">
        <f t="shared" si="1"/>
        <v>1.29627533197526</v>
      </c>
      <c r="L11" s="53">
        <v>0.19800000000000001</v>
      </c>
      <c r="M11" s="53">
        <v>0.153</v>
      </c>
      <c r="N11" s="53">
        <f t="shared" si="2"/>
        <v>2.4219073652400001</v>
      </c>
      <c r="O11" s="53">
        <f t="shared" si="3"/>
        <v>9.7461000000000006E-2</v>
      </c>
      <c r="P11" s="53">
        <f t="shared" si="4"/>
        <v>4.9285067094031527</v>
      </c>
      <c r="Q11" s="53">
        <f t="shared" si="5"/>
        <v>0.19833012579221479</v>
      </c>
      <c r="R11" s="53">
        <v>2.0349691239799998</v>
      </c>
      <c r="S11" s="53">
        <v>1.167</v>
      </c>
      <c r="T11" s="53">
        <v>0.05</v>
      </c>
      <c r="U11" s="53">
        <f t="shared" si="6"/>
        <v>2.3748089676846598</v>
      </c>
      <c r="V11" s="53">
        <f t="shared" si="7"/>
        <v>0.101748456199</v>
      </c>
      <c r="W11" s="53">
        <f t="shared" si="8"/>
        <v>9.540662178757707E-2</v>
      </c>
      <c r="X11" s="53">
        <f t="shared" si="9"/>
        <v>7.8492935635792779E-2</v>
      </c>
    </row>
    <row r="12" spans="1:24" x14ac:dyDescent="0.25">
      <c r="A12" s="52">
        <v>12</v>
      </c>
      <c r="B12" s="52">
        <v>10</v>
      </c>
      <c r="C12" s="53">
        <v>10.4711506257</v>
      </c>
      <c r="D12" s="52">
        <v>34</v>
      </c>
      <c r="E12" s="52">
        <v>12</v>
      </c>
      <c r="F12" s="52">
        <v>10</v>
      </c>
      <c r="G12" s="52" t="s">
        <v>153</v>
      </c>
      <c r="H12" s="53">
        <v>4.3460951349999997</v>
      </c>
      <c r="I12" s="53">
        <v>0.17399999999999999</v>
      </c>
      <c r="J12" s="53">
        <f t="shared" si="0"/>
        <v>45.508616792206972</v>
      </c>
      <c r="K12" s="53">
        <f t="shared" si="1"/>
        <v>1.8219802088717998</v>
      </c>
      <c r="L12" s="53">
        <v>0.19800000000000001</v>
      </c>
      <c r="M12" s="53">
        <v>0.155</v>
      </c>
      <c r="N12" s="53">
        <f t="shared" si="2"/>
        <v>0.86052683672999997</v>
      </c>
      <c r="O12" s="53">
        <f t="shared" si="3"/>
        <v>2.6969999999999997E-2</v>
      </c>
      <c r="P12" s="53">
        <f t="shared" si="4"/>
        <v>9.0107061248569806</v>
      </c>
      <c r="Q12" s="53">
        <f t="shared" si="5"/>
        <v>0.28240693237512898</v>
      </c>
      <c r="R12" s="53">
        <v>10.4711506257</v>
      </c>
      <c r="S12" s="53">
        <v>0.41499999999999998</v>
      </c>
      <c r="T12" s="53">
        <v>1.4E-2</v>
      </c>
      <c r="U12" s="53">
        <f t="shared" si="6"/>
        <v>4.3455275096654997</v>
      </c>
      <c r="V12" s="53">
        <f t="shared" si="7"/>
        <v>0.1465961087598</v>
      </c>
      <c r="W12" s="53">
        <f t="shared" si="8"/>
        <v>9.5488015588503686E-2</v>
      </c>
      <c r="X12" s="53">
        <f t="shared" si="9"/>
        <v>8.0459770114942541E-2</v>
      </c>
    </row>
    <row r="13" spans="1:24" x14ac:dyDescent="0.25">
      <c r="A13" s="52">
        <v>12</v>
      </c>
      <c r="B13" s="52">
        <v>11</v>
      </c>
      <c r="C13" s="53">
        <v>17.1911354364</v>
      </c>
      <c r="D13" s="52">
        <v>35</v>
      </c>
      <c r="E13" s="52">
        <v>12</v>
      </c>
      <c r="F13" s="52">
        <v>11</v>
      </c>
      <c r="G13" s="52" t="s">
        <v>154</v>
      </c>
      <c r="H13" s="53">
        <v>2.1713861240000001</v>
      </c>
      <c r="I13" s="53">
        <v>8.5000000000000006E-2</v>
      </c>
      <c r="J13" s="53">
        <f t="shared" si="0"/>
        <v>37.328592942403645</v>
      </c>
      <c r="K13" s="53">
        <f t="shared" si="1"/>
        <v>1.4612465120940001</v>
      </c>
      <c r="L13" s="53">
        <v>0.20499999999999999</v>
      </c>
      <c r="M13" s="53">
        <v>0.16700000000000001</v>
      </c>
      <c r="N13" s="53">
        <f t="shared" si="2"/>
        <v>0.44513415542000001</v>
      </c>
      <c r="O13" s="53">
        <f t="shared" si="3"/>
        <v>1.4195000000000001E-2</v>
      </c>
      <c r="P13" s="53">
        <f t="shared" si="4"/>
        <v>7.6523615531927476</v>
      </c>
      <c r="Q13" s="53">
        <f t="shared" si="5"/>
        <v>0.24402816751969802</v>
      </c>
      <c r="R13" s="53">
        <v>17.1911354364</v>
      </c>
      <c r="S13" s="53">
        <v>0.217</v>
      </c>
      <c r="T13" s="53">
        <v>7.0000000000000001E-3</v>
      </c>
      <c r="U13" s="53">
        <f t="shared" si="6"/>
        <v>3.7304763896987998</v>
      </c>
      <c r="V13" s="53">
        <f t="shared" si="7"/>
        <v>0.1203379480548</v>
      </c>
      <c r="W13" s="53">
        <f t="shared" si="8"/>
        <v>9.9936164094230895E-2</v>
      </c>
      <c r="X13" s="53">
        <f t="shared" si="9"/>
        <v>8.2352941176470573E-2</v>
      </c>
    </row>
    <row r="14" spans="1:24" x14ac:dyDescent="0.25">
      <c r="A14" s="52">
        <v>12</v>
      </c>
      <c r="B14" s="52">
        <v>12</v>
      </c>
      <c r="C14" s="53">
        <v>94.985524287000004</v>
      </c>
      <c r="D14" s="52">
        <v>36</v>
      </c>
      <c r="E14" s="52">
        <v>12</v>
      </c>
      <c r="F14" s="52">
        <v>12</v>
      </c>
      <c r="G14" s="52" t="s">
        <v>155</v>
      </c>
      <c r="H14" s="53">
        <v>0.252722218</v>
      </c>
      <c r="I14" s="53">
        <v>6.0000000000000001E-3</v>
      </c>
      <c r="J14" s="53">
        <f t="shared" si="0"/>
        <v>24.00495237570351</v>
      </c>
      <c r="K14" s="53">
        <f t="shared" si="1"/>
        <v>0.56991314572200003</v>
      </c>
      <c r="L14" s="53">
        <v>0.21099999999999999</v>
      </c>
      <c r="M14" s="53">
        <v>0.17599999999999999</v>
      </c>
      <c r="N14" s="53">
        <f t="shared" si="2"/>
        <v>5.3324387997999996E-2</v>
      </c>
      <c r="O14" s="53">
        <f t="shared" si="3"/>
        <v>1.0559999999999999E-3</v>
      </c>
      <c r="P14" s="53">
        <f t="shared" si="4"/>
        <v>5.0650449512734399</v>
      </c>
      <c r="Q14" s="53">
        <f t="shared" si="5"/>
        <v>0.100304713647072</v>
      </c>
      <c r="R14" s="53">
        <v>94.985524287000004</v>
      </c>
      <c r="S14" s="53">
        <v>2.5999999999999999E-2</v>
      </c>
      <c r="T14" s="53">
        <v>1E-3</v>
      </c>
      <c r="U14" s="53">
        <f t="shared" si="6"/>
        <v>2.4696236314619999</v>
      </c>
      <c r="V14" s="53">
        <f t="shared" si="7"/>
        <v>9.4985524287000009E-2</v>
      </c>
      <c r="W14" s="53">
        <f t="shared" si="8"/>
        <v>0.10287975551085103</v>
      </c>
      <c r="X14" s="53">
        <f t="shared" si="9"/>
        <v>0.16666666666666669</v>
      </c>
    </row>
    <row r="15" spans="1:24" x14ac:dyDescent="0.25">
      <c r="A15" s="52">
        <v>12</v>
      </c>
      <c r="B15" s="52">
        <v>13</v>
      </c>
      <c r="C15" s="53">
        <v>23.505509474499998</v>
      </c>
      <c r="D15" s="52">
        <v>37</v>
      </c>
      <c r="E15" s="52">
        <v>12</v>
      </c>
      <c r="F15" s="52">
        <v>13</v>
      </c>
      <c r="G15" s="52" t="s">
        <v>156</v>
      </c>
      <c r="H15" s="53">
        <v>13.71624635</v>
      </c>
      <c r="I15" s="53">
        <v>0.86499999999999999</v>
      </c>
      <c r="J15" s="53">
        <f t="shared" si="0"/>
        <v>322.40735853450104</v>
      </c>
      <c r="K15" s="53">
        <f t="shared" si="1"/>
        <v>20.332265695442498</v>
      </c>
      <c r="L15" s="53">
        <v>0.189</v>
      </c>
      <c r="M15" s="53">
        <v>0.14699999999999999</v>
      </c>
      <c r="N15" s="53">
        <f t="shared" si="2"/>
        <v>2.59237056015</v>
      </c>
      <c r="O15" s="53">
        <f t="shared" si="3"/>
        <v>0.12715499999999999</v>
      </c>
      <c r="P15" s="53">
        <f t="shared" si="4"/>
        <v>60.934990763020693</v>
      </c>
      <c r="Q15" s="53">
        <f t="shared" si="5"/>
        <v>2.9888430572300471</v>
      </c>
      <c r="R15" s="53">
        <v>23.505509474499998</v>
      </c>
      <c r="S15" s="53">
        <v>1.23</v>
      </c>
      <c r="T15" s="53">
        <v>6.4000000000000001E-2</v>
      </c>
      <c r="U15" s="53">
        <f t="shared" si="6"/>
        <v>28.911776653634998</v>
      </c>
      <c r="V15" s="53">
        <f t="shared" si="7"/>
        <v>1.5043526063679999</v>
      </c>
      <c r="W15" s="53">
        <f t="shared" si="8"/>
        <v>8.9674679836878254E-2</v>
      </c>
      <c r="X15" s="53">
        <f t="shared" si="9"/>
        <v>7.3988439306358386E-2</v>
      </c>
    </row>
    <row r="16" spans="1:24" x14ac:dyDescent="0.25">
      <c r="A16" s="52">
        <v>13</v>
      </c>
      <c r="B16" s="52">
        <v>4</v>
      </c>
      <c r="C16" s="53">
        <v>15.3080769229</v>
      </c>
      <c r="D16" s="52">
        <v>41</v>
      </c>
      <c r="E16" s="52">
        <v>13</v>
      </c>
      <c r="F16" s="52">
        <v>4</v>
      </c>
      <c r="G16" s="52" t="s">
        <v>151</v>
      </c>
      <c r="H16" s="53">
        <v>26.09263662</v>
      </c>
      <c r="I16" s="53">
        <v>1.754</v>
      </c>
      <c r="J16" s="53">
        <f t="shared" si="0"/>
        <v>399.42808850023744</v>
      </c>
      <c r="K16" s="53">
        <f t="shared" si="1"/>
        <v>26.8503669227666</v>
      </c>
      <c r="L16" s="53">
        <v>0.51800000000000002</v>
      </c>
      <c r="M16" s="53">
        <v>0.32300000000000001</v>
      </c>
      <c r="N16" s="53">
        <f t="shared" si="2"/>
        <v>13.51598576916</v>
      </c>
      <c r="O16" s="53">
        <f t="shared" si="3"/>
        <v>0.56654199999999999</v>
      </c>
      <c r="P16" s="53">
        <f t="shared" si="4"/>
        <v>206.90374984312299</v>
      </c>
      <c r="Q16" s="53">
        <f t="shared" si="5"/>
        <v>8.6726685160536121</v>
      </c>
      <c r="R16" s="53">
        <v>15.3080769229</v>
      </c>
      <c r="S16" s="53">
        <v>6.43</v>
      </c>
      <c r="T16" s="53">
        <v>0.28499999999999998</v>
      </c>
      <c r="U16" s="53">
        <f t="shared" si="6"/>
        <v>98.430934614246993</v>
      </c>
      <c r="V16" s="53">
        <f t="shared" si="7"/>
        <v>4.3628019230264998</v>
      </c>
      <c r="W16" s="53">
        <f t="shared" si="8"/>
        <v>0.24642967645022912</v>
      </c>
      <c r="X16" s="53">
        <f t="shared" si="9"/>
        <v>0.16248574686431014</v>
      </c>
    </row>
    <row r="17" spans="1:24" x14ac:dyDescent="0.25">
      <c r="A17" s="52">
        <v>21</v>
      </c>
      <c r="B17" s="52">
        <v>2</v>
      </c>
      <c r="C17" s="53">
        <v>17.442469015899999</v>
      </c>
      <c r="D17" s="52">
        <v>101</v>
      </c>
      <c r="E17" s="52">
        <v>21</v>
      </c>
      <c r="F17" s="52">
        <v>2</v>
      </c>
      <c r="G17" s="52" t="s">
        <v>149</v>
      </c>
      <c r="H17" s="53">
        <v>6.6728868180000003</v>
      </c>
      <c r="I17" s="53">
        <v>0.34399999999999997</v>
      </c>
      <c r="J17" s="53">
        <f t="shared" si="0"/>
        <v>116.39162156957254</v>
      </c>
      <c r="K17" s="53">
        <f t="shared" si="1"/>
        <v>6.0002093414695992</v>
      </c>
      <c r="L17" s="53">
        <v>0.58099999999999996</v>
      </c>
      <c r="M17" s="53">
        <v>0.52100000000000002</v>
      </c>
      <c r="N17" s="53">
        <f t="shared" si="2"/>
        <v>3.8769472412579997</v>
      </c>
      <c r="O17" s="53">
        <f t="shared" si="3"/>
        <v>0.17922399999999999</v>
      </c>
      <c r="P17" s="53">
        <f t="shared" si="4"/>
        <v>67.623532131921635</v>
      </c>
      <c r="Q17" s="53">
        <f t="shared" si="5"/>
        <v>3.1261090669056615</v>
      </c>
      <c r="R17" s="53">
        <v>17.442469015899999</v>
      </c>
      <c r="S17" s="53">
        <v>3.4689999999999999</v>
      </c>
      <c r="T17" s="53">
        <v>0.16300000000000001</v>
      </c>
      <c r="U17" s="53">
        <f t="shared" si="6"/>
        <v>60.507925016157095</v>
      </c>
      <c r="V17" s="53">
        <f t="shared" si="7"/>
        <v>2.8431224495917</v>
      </c>
      <c r="W17" s="53">
        <f t="shared" si="8"/>
        <v>0.5198649541967999</v>
      </c>
      <c r="X17" s="53">
        <f t="shared" si="9"/>
        <v>0.47383720930232565</v>
      </c>
    </row>
    <row r="18" spans="1:24" x14ac:dyDescent="0.25">
      <c r="A18" s="52">
        <v>21</v>
      </c>
      <c r="B18" s="52">
        <v>4</v>
      </c>
      <c r="C18" s="53">
        <v>1.1747515097000001</v>
      </c>
      <c r="D18" s="52">
        <v>103</v>
      </c>
      <c r="E18" s="52">
        <v>21</v>
      </c>
      <c r="F18" s="52">
        <v>4</v>
      </c>
      <c r="G18" s="52" t="s">
        <v>151</v>
      </c>
      <c r="H18" s="53">
        <v>10.531126309999999</v>
      </c>
      <c r="I18" s="53">
        <v>1.016</v>
      </c>
      <c r="J18" s="53">
        <f t="shared" si="0"/>
        <v>12.371456531513891</v>
      </c>
      <c r="K18" s="53">
        <f t="shared" si="1"/>
        <v>1.1935475338552002</v>
      </c>
      <c r="L18" s="53">
        <v>0.56899999999999995</v>
      </c>
      <c r="M18" s="53">
        <v>0.51600000000000001</v>
      </c>
      <c r="N18" s="53">
        <f t="shared" si="2"/>
        <v>5.9922108703899992</v>
      </c>
      <c r="O18" s="53">
        <f t="shared" si="3"/>
        <v>0.52425600000000006</v>
      </c>
      <c r="P18" s="53">
        <f t="shared" si="4"/>
        <v>7.0393587664314028</v>
      </c>
      <c r="Q18" s="53">
        <f t="shared" si="5"/>
        <v>0.61587052746928328</v>
      </c>
      <c r="R18" s="53">
        <v>1.1747515097000001</v>
      </c>
      <c r="S18" s="53">
        <v>5.3579999999999997</v>
      </c>
      <c r="T18" s="53">
        <v>0.47699999999999998</v>
      </c>
      <c r="U18" s="53">
        <f t="shared" si="6"/>
        <v>6.2943185889726001</v>
      </c>
      <c r="V18" s="53">
        <f t="shared" si="7"/>
        <v>0.56035647012690004</v>
      </c>
      <c r="W18" s="53">
        <f t="shared" si="8"/>
        <v>0.50877748896736952</v>
      </c>
      <c r="X18" s="53">
        <f t="shared" si="9"/>
        <v>0.4694881889763779</v>
      </c>
    </row>
    <row r="19" spans="1:24" x14ac:dyDescent="0.25">
      <c r="A19" s="52">
        <v>23</v>
      </c>
      <c r="B19" s="52">
        <v>2</v>
      </c>
      <c r="C19" s="53">
        <v>35.238051527499998</v>
      </c>
      <c r="D19" s="52">
        <v>121</v>
      </c>
      <c r="E19" s="52">
        <v>23</v>
      </c>
      <c r="F19" s="52">
        <v>2</v>
      </c>
      <c r="G19" s="52" t="s">
        <v>149</v>
      </c>
      <c r="H19" s="53">
        <v>7.085098243</v>
      </c>
      <c r="I19" s="53">
        <v>0.34499999999999997</v>
      </c>
      <c r="J19" s="53">
        <f t="shared" si="0"/>
        <v>249.66505696423371</v>
      </c>
      <c r="K19" s="53">
        <f t="shared" si="1"/>
        <v>12.157127776987497</v>
      </c>
      <c r="L19" s="53">
        <v>0.89500000000000002</v>
      </c>
      <c r="M19" s="53">
        <v>0.91100000000000003</v>
      </c>
      <c r="N19" s="53">
        <f t="shared" si="2"/>
        <v>6.3411629274850005</v>
      </c>
      <c r="O19" s="53">
        <f t="shared" si="3"/>
        <v>0.31429499999999999</v>
      </c>
      <c r="P19" s="53">
        <f t="shared" si="4"/>
        <v>223.4502259829892</v>
      </c>
      <c r="Q19" s="53">
        <f t="shared" si="5"/>
        <v>11.075143404835611</v>
      </c>
      <c r="R19" s="53">
        <v>35.238051527499998</v>
      </c>
      <c r="S19" s="53">
        <v>6.34</v>
      </c>
      <c r="T19" s="53">
        <v>0.314</v>
      </c>
      <c r="U19" s="53">
        <f t="shared" si="6"/>
        <v>223.40924668434999</v>
      </c>
      <c r="V19" s="53">
        <f t="shared" si="7"/>
        <v>11.064748179635</v>
      </c>
      <c r="W19" s="53">
        <f t="shared" si="8"/>
        <v>0.89483586289912787</v>
      </c>
      <c r="X19" s="53">
        <f t="shared" si="9"/>
        <v>0.91014492753623211</v>
      </c>
    </row>
    <row r="20" spans="1:24" x14ac:dyDescent="0.25">
      <c r="A20" s="52">
        <v>23</v>
      </c>
      <c r="B20" s="52">
        <v>4</v>
      </c>
      <c r="C20" s="53">
        <v>30.7444576149</v>
      </c>
      <c r="D20" s="52">
        <v>123</v>
      </c>
      <c r="E20" s="52">
        <v>23</v>
      </c>
      <c r="F20" s="52">
        <v>4</v>
      </c>
      <c r="G20" s="52" t="s">
        <v>151</v>
      </c>
      <c r="H20" s="53">
        <v>10.042220589999999</v>
      </c>
      <c r="I20" s="53">
        <v>0.85</v>
      </c>
      <c r="J20" s="53">
        <f t="shared" si="0"/>
        <v>308.74262528873106</v>
      </c>
      <c r="K20" s="53">
        <f t="shared" si="1"/>
        <v>26.132788972665001</v>
      </c>
      <c r="L20" s="53">
        <v>0.89300000000000002</v>
      </c>
      <c r="M20" s="53">
        <v>0.90900000000000003</v>
      </c>
      <c r="N20" s="53">
        <f t="shared" si="2"/>
        <v>8.96770298687</v>
      </c>
      <c r="O20" s="53">
        <f t="shared" si="3"/>
        <v>0.77265000000000006</v>
      </c>
      <c r="P20" s="53">
        <f t="shared" si="4"/>
        <v>275.70716438283682</v>
      </c>
      <c r="Q20" s="53">
        <f t="shared" si="5"/>
        <v>23.754705176152488</v>
      </c>
      <c r="R20" s="53">
        <v>30.7444576149</v>
      </c>
      <c r="S20" s="53">
        <v>8.9629999999999992</v>
      </c>
      <c r="T20" s="53">
        <v>0.77300000000000002</v>
      </c>
      <c r="U20" s="53">
        <f t="shared" si="6"/>
        <v>275.56257360234866</v>
      </c>
      <c r="V20" s="53">
        <f t="shared" si="7"/>
        <v>23.765465736317701</v>
      </c>
      <c r="W20" s="53">
        <f t="shared" si="8"/>
        <v>0.8925316785936086</v>
      </c>
      <c r="X20" s="53">
        <f t="shared" si="9"/>
        <v>0.90941176470588236</v>
      </c>
    </row>
    <row r="21" spans="1:24" x14ac:dyDescent="0.25">
      <c r="A21" s="52">
        <v>23</v>
      </c>
      <c r="B21" s="52">
        <v>10</v>
      </c>
      <c r="C21" s="53">
        <v>6.4286501307800004E-2</v>
      </c>
      <c r="D21" s="52">
        <v>127</v>
      </c>
      <c r="E21" s="52">
        <v>23</v>
      </c>
      <c r="F21" s="52">
        <v>10</v>
      </c>
      <c r="G21" s="52" t="s">
        <v>153</v>
      </c>
      <c r="H21" s="53">
        <v>2.7373750430000001</v>
      </c>
      <c r="I21" s="53">
        <v>0.11</v>
      </c>
      <c r="J21" s="53">
        <f t="shared" si="0"/>
        <v>0.17597626428175861</v>
      </c>
      <c r="K21" s="53">
        <f t="shared" si="1"/>
        <v>7.0715151438580006E-3</v>
      </c>
      <c r="L21" s="53">
        <v>0.89700000000000002</v>
      </c>
      <c r="M21" s="53">
        <v>0.91300000000000003</v>
      </c>
      <c r="N21" s="53">
        <f t="shared" si="2"/>
        <v>2.4554254135710001</v>
      </c>
      <c r="O21" s="53">
        <f t="shared" si="3"/>
        <v>0.10043000000000001</v>
      </c>
      <c r="P21" s="53">
        <f t="shared" si="4"/>
        <v>0.15785070906073745</v>
      </c>
      <c r="Q21" s="53">
        <f t="shared" si="5"/>
        <v>6.4562933263423543E-3</v>
      </c>
      <c r="R21" s="53">
        <v>6.4286501307800004E-2</v>
      </c>
      <c r="S21" s="53">
        <v>2.456</v>
      </c>
      <c r="T21" s="53">
        <v>0.10100000000000001</v>
      </c>
      <c r="U21" s="53">
        <f t="shared" si="6"/>
        <v>0.15788764721195681</v>
      </c>
      <c r="V21" s="53">
        <f t="shared" si="7"/>
        <v>6.4929366320878009E-3</v>
      </c>
      <c r="W21" s="53">
        <f t="shared" si="8"/>
        <v>0.89720990416730395</v>
      </c>
      <c r="X21" s="53">
        <f t="shared" si="9"/>
        <v>0.91818181818181821</v>
      </c>
    </row>
    <row r="22" spans="1:24" x14ac:dyDescent="0.25">
      <c r="A22" s="52">
        <v>23</v>
      </c>
      <c r="B22" s="52">
        <v>11</v>
      </c>
      <c r="C22" s="53">
        <v>2.2477037161000002</v>
      </c>
      <c r="D22" s="52">
        <v>128</v>
      </c>
      <c r="E22" s="52">
        <v>23</v>
      </c>
      <c r="F22" s="52">
        <v>11</v>
      </c>
      <c r="G22" s="52" t="s">
        <v>154</v>
      </c>
      <c r="H22" s="53">
        <v>1.6962123570000001</v>
      </c>
      <c r="I22" s="53">
        <v>6.6000000000000003E-2</v>
      </c>
      <c r="J22" s="53">
        <f t="shared" si="0"/>
        <v>3.8125828181236403</v>
      </c>
      <c r="K22" s="53">
        <f t="shared" si="1"/>
        <v>0.14834844526260002</v>
      </c>
      <c r="L22" s="53">
        <v>0.89800000000000002</v>
      </c>
      <c r="M22" s="53">
        <v>0.91400000000000003</v>
      </c>
      <c r="N22" s="53">
        <f t="shared" si="2"/>
        <v>1.523198696586</v>
      </c>
      <c r="O22" s="53">
        <f t="shared" si="3"/>
        <v>6.0324000000000003E-2</v>
      </c>
      <c r="P22" s="53">
        <f t="shared" si="4"/>
        <v>3.4236993706750289</v>
      </c>
      <c r="Q22" s="53">
        <f t="shared" si="5"/>
        <v>0.13559047897001641</v>
      </c>
      <c r="R22" s="53">
        <v>2.2477037161000002</v>
      </c>
      <c r="S22" s="53">
        <v>1.524</v>
      </c>
      <c r="T22" s="53">
        <v>0.06</v>
      </c>
      <c r="U22" s="53">
        <f t="shared" si="6"/>
        <v>3.4255004633364003</v>
      </c>
      <c r="V22" s="53">
        <f t="shared" si="7"/>
        <v>0.13486222296600001</v>
      </c>
      <c r="W22" s="53">
        <f t="shared" si="8"/>
        <v>0.89847240748523793</v>
      </c>
      <c r="X22" s="53">
        <f t="shared" si="9"/>
        <v>0.90909090909090906</v>
      </c>
    </row>
    <row r="23" spans="1:24" x14ac:dyDescent="0.25">
      <c r="A23" s="52">
        <v>23</v>
      </c>
      <c r="B23" s="52">
        <v>13</v>
      </c>
      <c r="C23" s="53">
        <v>6.6808724345000003</v>
      </c>
      <c r="D23" s="52">
        <v>130</v>
      </c>
      <c r="E23" s="52">
        <v>23</v>
      </c>
      <c r="F23" s="52">
        <v>13</v>
      </c>
      <c r="G23" s="52" t="s">
        <v>156</v>
      </c>
      <c r="H23" s="53">
        <v>8.0215731970000004</v>
      </c>
      <c r="I23" s="53">
        <v>0.52600000000000002</v>
      </c>
      <c r="J23" s="53">
        <f t="shared" si="0"/>
        <v>53.59110725316134</v>
      </c>
      <c r="K23" s="53">
        <f t="shared" si="1"/>
        <v>3.5141389005470005</v>
      </c>
      <c r="L23" s="53">
        <v>0.89300000000000002</v>
      </c>
      <c r="M23" s="53">
        <v>0.91</v>
      </c>
      <c r="N23" s="53">
        <f t="shared" si="2"/>
        <v>7.1632648649210005</v>
      </c>
      <c r="O23" s="53">
        <f t="shared" si="3"/>
        <v>0.47866000000000003</v>
      </c>
      <c r="P23" s="53">
        <f t="shared" si="4"/>
        <v>47.856858777073079</v>
      </c>
      <c r="Q23" s="53">
        <f t="shared" si="5"/>
        <v>3.1978663994977703</v>
      </c>
      <c r="R23" s="53">
        <v>6.6808724345000003</v>
      </c>
      <c r="S23" s="53">
        <v>7.1660000000000004</v>
      </c>
      <c r="T23" s="53">
        <v>0.47799999999999998</v>
      </c>
      <c r="U23" s="53">
        <f t="shared" si="6"/>
        <v>47.875131865627004</v>
      </c>
      <c r="V23" s="53">
        <f t="shared" si="7"/>
        <v>3.1934570236909998</v>
      </c>
      <c r="W23" s="53">
        <f t="shared" si="8"/>
        <v>0.89334097240177568</v>
      </c>
      <c r="X23" s="53">
        <f t="shared" si="9"/>
        <v>0.90874524714828875</v>
      </c>
    </row>
    <row r="24" spans="1:24" x14ac:dyDescent="0.25">
      <c r="A24" s="52">
        <v>92</v>
      </c>
      <c r="B24" s="52">
        <v>4</v>
      </c>
      <c r="C24" s="53">
        <v>11.8183237171</v>
      </c>
      <c r="D24" s="52">
        <v>569</v>
      </c>
      <c r="E24" s="52">
        <v>92</v>
      </c>
      <c r="F24" s="52">
        <v>4</v>
      </c>
      <c r="G24" s="52" t="s">
        <v>151</v>
      </c>
      <c r="H24" s="53">
        <v>18.126555679999999</v>
      </c>
      <c r="I24" s="53">
        <v>1.6919999999999999</v>
      </c>
      <c r="J24" s="53">
        <f t="shared" si="0"/>
        <v>214.22550290227773</v>
      </c>
      <c r="K24" s="53">
        <f t="shared" si="1"/>
        <v>19.996603729333199</v>
      </c>
      <c r="L24" s="53">
        <v>0.40200000000000002</v>
      </c>
      <c r="M24" s="53">
        <v>0.32800000000000001</v>
      </c>
      <c r="N24" s="53">
        <f t="shared" si="2"/>
        <v>7.28687538336</v>
      </c>
      <c r="O24" s="53">
        <f t="shared" si="3"/>
        <v>0.55497600000000002</v>
      </c>
      <c r="P24" s="53">
        <f t="shared" si="4"/>
        <v>86.118652166715648</v>
      </c>
      <c r="Q24" s="53">
        <f t="shared" si="5"/>
        <v>6.55888602322129</v>
      </c>
      <c r="R24" s="53">
        <v>11.8183237171</v>
      </c>
      <c r="S24" s="53">
        <v>3.8290000000000002</v>
      </c>
      <c r="T24" s="53">
        <v>0.27800000000000002</v>
      </c>
      <c r="U24" s="53">
        <f t="shared" si="6"/>
        <v>45.252361512775906</v>
      </c>
      <c r="V24" s="53">
        <f t="shared" si="7"/>
        <v>3.2854939933538003</v>
      </c>
      <c r="W24" s="53">
        <f t="shared" si="8"/>
        <v>0.21123704180738215</v>
      </c>
      <c r="X24" s="53">
        <f t="shared" si="9"/>
        <v>0.16430260047281325</v>
      </c>
    </row>
    <row r="25" spans="1:24" x14ac:dyDescent="0.25">
      <c r="A25" s="52">
        <v>94</v>
      </c>
      <c r="B25" s="52">
        <v>4</v>
      </c>
      <c r="C25" s="53">
        <v>0.17613202116099999</v>
      </c>
      <c r="D25" s="52">
        <v>587</v>
      </c>
      <c r="E25" s="52">
        <v>94</v>
      </c>
      <c r="F25" s="52">
        <v>4</v>
      </c>
      <c r="G25" s="52" t="s">
        <v>151</v>
      </c>
      <c r="H25" s="53">
        <v>15.282819870000001</v>
      </c>
      <c r="I25" s="53">
        <v>1.5329999999999999</v>
      </c>
      <c r="J25" s="53">
        <f t="shared" si="0"/>
        <v>2.6917939527425911</v>
      </c>
      <c r="K25" s="53">
        <f t="shared" si="1"/>
        <v>0.27001038843981295</v>
      </c>
      <c r="L25" s="53">
        <v>0.23300000000000001</v>
      </c>
      <c r="M25" s="53">
        <v>0.17799999999999999</v>
      </c>
      <c r="N25" s="53">
        <f t="shared" si="2"/>
        <v>3.5608970297100004</v>
      </c>
      <c r="O25" s="53">
        <f t="shared" si="3"/>
        <v>0.27287399999999995</v>
      </c>
      <c r="P25" s="53">
        <f t="shared" si="4"/>
        <v>0.62718799098902378</v>
      </c>
      <c r="Q25" s="53">
        <f t="shared" si="5"/>
        <v>4.80618491422867E-2</v>
      </c>
      <c r="R25" s="53">
        <v>0.17613202116099999</v>
      </c>
      <c r="S25" s="53">
        <v>0.81899999999999995</v>
      </c>
      <c r="T25" s="53">
        <v>5.2999999999999999E-2</v>
      </c>
      <c r="U25" s="53">
        <f t="shared" si="6"/>
        <v>0.14425212533085899</v>
      </c>
      <c r="V25" s="53">
        <f t="shared" si="7"/>
        <v>9.3349971215330001E-3</v>
      </c>
      <c r="W25" s="53">
        <f t="shared" si="8"/>
        <v>5.3589586670957728E-2</v>
      </c>
      <c r="X25" s="53">
        <f t="shared" si="9"/>
        <v>3.4572733202870194E-2</v>
      </c>
    </row>
    <row r="26" spans="1:24" x14ac:dyDescent="0.25">
      <c r="U26" s="53">
        <f>ROUND(SUM(U3:U25),1)</f>
        <v>1491.6</v>
      </c>
      <c r="V26" s="53">
        <f>ROUND(SUM(V3:V25),1)</f>
        <v>93</v>
      </c>
    </row>
  </sheetData>
  <customSheetViews>
    <customSheetView guid="{2ADF1089-096C-4C0D-B2D9-38B555897638}" topLeftCell="H1">
      <selection activeCell="O35" sqref="O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Projects</vt:lpstr>
      <vt:lpstr>Project Credits</vt:lpstr>
      <vt:lpstr>Fairy Lake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cp:lastPrinted>2016-10-20T18:06:29Z</cp:lastPrinted>
  <dcterms:created xsi:type="dcterms:W3CDTF">2016-09-08T18:25:54Z</dcterms:created>
  <dcterms:modified xsi:type="dcterms:W3CDTF">2017-09-08T14:16:41Z</dcterms:modified>
</cp:coreProperties>
</file>