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y.policastro\Documents\Projects\FDEP\BMAP support\TA 5 - Middle St. Johns River\Projects\01 Credits\"/>
    </mc:Choice>
  </mc:AlternateContent>
  <bookViews>
    <workbookView xWindow="0" yWindow="0" windowWidth="28800" windowHeight="11475"/>
  </bookViews>
  <sheets>
    <sheet name="Project Credits" sheetId="11" r:id="rId1"/>
    <sheet name="Calculations" sheetId="16" r:id="rId2"/>
    <sheet name="Park North" sheetId="12" r:id="rId3"/>
    <sheet name="Canton" sheetId="17" r:id="rId4"/>
    <sheet name="Howard Drive" sheetId="13" r:id="rId5"/>
    <sheet name="W. Fawsett" sheetId="14" r:id="rId6"/>
    <sheet name="Dixie" sheetId="18" r:id="rId7"/>
    <sheet name="Howell Branch Pond" sheetId="15" r:id="rId8"/>
    <sheet name="Nicolet" sheetId="1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3" i="11" l="1"/>
  <c r="M13" i="11"/>
  <c r="P10" i="11"/>
  <c r="M10" i="11"/>
  <c r="O10" i="11"/>
  <c r="L10" i="11"/>
  <c r="F10" i="16"/>
  <c r="F9" i="16"/>
  <c r="D10" i="16"/>
  <c r="D9" i="16"/>
  <c r="B10" i="16"/>
  <c r="B9" i="16"/>
  <c r="D8" i="16" l="1"/>
  <c r="N11" i="11" l="1"/>
  <c r="K11" i="11"/>
  <c r="V11" i="19"/>
  <c r="U11" i="19"/>
  <c r="V4" i="19"/>
  <c r="V5" i="19"/>
  <c r="V6" i="19"/>
  <c r="V7" i="19"/>
  <c r="V8" i="19"/>
  <c r="V9" i="19"/>
  <c r="V10" i="19"/>
  <c r="V3" i="19"/>
  <c r="U4" i="19"/>
  <c r="U5" i="19"/>
  <c r="U6" i="19"/>
  <c r="U7" i="19"/>
  <c r="U8" i="19"/>
  <c r="U9" i="19"/>
  <c r="U10" i="19"/>
  <c r="U3" i="19"/>
  <c r="Q4" i="19"/>
  <c r="Q5" i="19"/>
  <c r="Q6" i="19"/>
  <c r="Q7" i="19"/>
  <c r="Q8" i="19"/>
  <c r="Q9" i="19"/>
  <c r="Q10" i="19"/>
  <c r="Q3" i="19"/>
  <c r="P4" i="19"/>
  <c r="P5" i="19"/>
  <c r="P6" i="19"/>
  <c r="P7" i="19"/>
  <c r="P8" i="19"/>
  <c r="P9" i="19"/>
  <c r="P10" i="19"/>
  <c r="P3" i="19"/>
  <c r="O4" i="19"/>
  <c r="O5" i="19"/>
  <c r="O6" i="19"/>
  <c r="O7" i="19"/>
  <c r="O8" i="19"/>
  <c r="O9" i="19"/>
  <c r="O10" i="19"/>
  <c r="O3" i="19"/>
  <c r="N4" i="19"/>
  <c r="N5" i="19"/>
  <c r="N6" i="19"/>
  <c r="N7" i="19"/>
  <c r="N8" i="19"/>
  <c r="N9" i="19"/>
  <c r="N10" i="19"/>
  <c r="N3" i="19"/>
  <c r="K4" i="19"/>
  <c r="K5" i="19"/>
  <c r="K6" i="19"/>
  <c r="K7" i="19"/>
  <c r="K8" i="19"/>
  <c r="K9" i="19"/>
  <c r="K10" i="19"/>
  <c r="K3" i="19"/>
  <c r="J4" i="19"/>
  <c r="J5" i="19"/>
  <c r="J6" i="19"/>
  <c r="J7" i="19"/>
  <c r="J8" i="19"/>
  <c r="J9" i="19"/>
  <c r="J10" i="19"/>
  <c r="J3" i="19"/>
  <c r="N8" i="11"/>
  <c r="K8" i="11"/>
  <c r="V4" i="18"/>
  <c r="U4" i="18"/>
  <c r="V3" i="18"/>
  <c r="U3" i="18"/>
  <c r="Q3" i="18"/>
  <c r="P3" i="18"/>
  <c r="O3" i="18"/>
  <c r="N3" i="18"/>
  <c r="K3" i="18"/>
  <c r="J3" i="18"/>
  <c r="P5" i="11"/>
  <c r="M5" i="11"/>
  <c r="N5" i="11"/>
  <c r="K5" i="11"/>
  <c r="V6" i="17"/>
  <c r="U6" i="17"/>
  <c r="V4" i="17"/>
  <c r="V5" i="17"/>
  <c r="V3" i="17"/>
  <c r="U4" i="17"/>
  <c r="U5" i="17"/>
  <c r="U3" i="17"/>
  <c r="Q4" i="17"/>
  <c r="Q5" i="17"/>
  <c r="Q3" i="17"/>
  <c r="P4" i="17"/>
  <c r="P5" i="17"/>
  <c r="P3" i="17"/>
  <c r="O4" i="17"/>
  <c r="O5" i="17"/>
  <c r="O3" i="17"/>
  <c r="K4" i="17"/>
  <c r="K5" i="17"/>
  <c r="K3" i="17"/>
  <c r="J4" i="17"/>
  <c r="J5" i="17"/>
  <c r="J3" i="17"/>
  <c r="A3" i="16" l="1"/>
  <c r="O8" i="11" s="1"/>
  <c r="P8" i="11" s="1"/>
  <c r="L4" i="11" l="1"/>
  <c r="M4" i="11" s="1"/>
  <c r="L8" i="11"/>
  <c r="M8" i="11" s="1"/>
  <c r="O4" i="11"/>
  <c r="P4" i="11" s="1"/>
  <c r="P6" i="11"/>
  <c r="M6" i="11"/>
  <c r="N10" i="11"/>
  <c r="K10" i="11"/>
  <c r="V11" i="15"/>
  <c r="U11" i="15"/>
  <c r="X4" i="15"/>
  <c r="X5" i="15"/>
  <c r="X6" i="15"/>
  <c r="X7" i="15"/>
  <c r="X8" i="15"/>
  <c r="X9" i="15"/>
  <c r="X10" i="15"/>
  <c r="X3" i="15"/>
  <c r="W4" i="15"/>
  <c r="W5" i="15"/>
  <c r="W6" i="15"/>
  <c r="W7" i="15"/>
  <c r="W8" i="15"/>
  <c r="W9" i="15"/>
  <c r="W10" i="15"/>
  <c r="W3" i="15"/>
  <c r="V4" i="15"/>
  <c r="V5" i="15"/>
  <c r="V6" i="15"/>
  <c r="V7" i="15"/>
  <c r="V8" i="15"/>
  <c r="V9" i="15"/>
  <c r="V10" i="15"/>
  <c r="V3" i="15"/>
  <c r="U4" i="15"/>
  <c r="U5" i="15"/>
  <c r="U6" i="15"/>
  <c r="U7" i="15"/>
  <c r="U8" i="15"/>
  <c r="U9" i="15"/>
  <c r="U10" i="15"/>
  <c r="U3" i="15"/>
  <c r="Q4" i="15"/>
  <c r="Q5" i="15"/>
  <c r="Q6" i="15"/>
  <c r="Q7" i="15"/>
  <c r="Q8" i="15"/>
  <c r="Q9" i="15"/>
  <c r="Q10" i="15"/>
  <c r="Q3" i="15"/>
  <c r="P4" i="15"/>
  <c r="P5" i="15"/>
  <c r="P6" i="15"/>
  <c r="P7" i="15"/>
  <c r="P8" i="15"/>
  <c r="P9" i="15"/>
  <c r="P10" i="15"/>
  <c r="P3" i="15"/>
  <c r="O4" i="15"/>
  <c r="O5" i="15"/>
  <c r="O6" i="15"/>
  <c r="O7" i="15"/>
  <c r="O8" i="15"/>
  <c r="O9" i="15"/>
  <c r="O10" i="15"/>
  <c r="O3" i="15"/>
  <c r="N4" i="15"/>
  <c r="N5" i="15"/>
  <c r="N6" i="15"/>
  <c r="N7" i="15"/>
  <c r="N8" i="15"/>
  <c r="N9" i="15"/>
  <c r="N10" i="15"/>
  <c r="N3" i="15"/>
  <c r="K4" i="15"/>
  <c r="K5" i="15"/>
  <c r="K6" i="15"/>
  <c r="K7" i="15"/>
  <c r="K8" i="15"/>
  <c r="K9" i="15"/>
  <c r="K10" i="15"/>
  <c r="K3" i="15"/>
  <c r="J4" i="15"/>
  <c r="J5" i="15"/>
  <c r="J6" i="15"/>
  <c r="J7" i="15"/>
  <c r="J8" i="15"/>
  <c r="J9" i="15"/>
  <c r="J10" i="15"/>
  <c r="J3" i="15"/>
  <c r="P7" i="11"/>
  <c r="M7" i="11"/>
  <c r="N7" i="11"/>
  <c r="K7" i="11"/>
  <c r="V5" i="14"/>
  <c r="U5" i="14"/>
  <c r="X4" i="14"/>
  <c r="X3" i="14"/>
  <c r="W4" i="14"/>
  <c r="W3" i="14"/>
  <c r="V4" i="14"/>
  <c r="V3" i="14"/>
  <c r="U4" i="14"/>
  <c r="U3" i="14"/>
  <c r="Q4" i="14"/>
  <c r="Q3" i="14"/>
  <c r="P4" i="14"/>
  <c r="P3" i="14"/>
  <c r="O4" i="14"/>
  <c r="O3" i="14"/>
  <c r="N4" i="14"/>
  <c r="N3" i="14"/>
  <c r="K4" i="14"/>
  <c r="K3" i="14"/>
  <c r="J4" i="14"/>
  <c r="J3" i="14"/>
  <c r="N6" i="11"/>
  <c r="K6" i="11"/>
  <c r="V6" i="13"/>
  <c r="U6" i="13"/>
  <c r="X4" i="13"/>
  <c r="X5" i="13"/>
  <c r="X3" i="13"/>
  <c r="W4" i="13"/>
  <c r="W5" i="13"/>
  <c r="W3" i="13"/>
  <c r="V4" i="13"/>
  <c r="V5" i="13"/>
  <c r="V3" i="13"/>
  <c r="U4" i="13"/>
  <c r="U5" i="13"/>
  <c r="U3" i="13"/>
  <c r="Q4" i="13"/>
  <c r="Q5" i="13"/>
  <c r="Q3" i="13"/>
  <c r="P4" i="13"/>
  <c r="P5" i="13"/>
  <c r="P3" i="13"/>
  <c r="O4" i="13"/>
  <c r="O5" i="13"/>
  <c r="O3" i="13"/>
  <c r="N4" i="13"/>
  <c r="N5" i="13"/>
  <c r="N3" i="13"/>
  <c r="K4" i="13"/>
  <c r="K5" i="13"/>
  <c r="K3" i="13"/>
  <c r="J4" i="13"/>
  <c r="J5" i="13"/>
  <c r="J3" i="13"/>
  <c r="N4" i="11"/>
  <c r="K4" i="11"/>
  <c r="V4" i="12"/>
  <c r="U4" i="12"/>
  <c r="X3" i="12"/>
  <c r="W3" i="12"/>
  <c r="V3" i="12"/>
  <c r="U3" i="12"/>
  <c r="Q3" i="12"/>
  <c r="P3" i="12"/>
  <c r="O3" i="12"/>
  <c r="N3" i="12"/>
  <c r="K3" i="12"/>
  <c r="J3" i="12"/>
  <c r="P2" i="11" l="1"/>
  <c r="M2" i="11"/>
  <c r="P3" i="11" l="1"/>
  <c r="P15" i="11" s="1"/>
  <c r="M3" i="11"/>
  <c r="M15" i="11" s="1"/>
</calcChain>
</file>

<file path=xl/sharedStrings.xml><?xml version="1.0" encoding="utf-8"?>
<sst xmlns="http://schemas.openxmlformats.org/spreadsheetml/2006/main" count="409" uniqueCount="125">
  <si>
    <t>Project Number</t>
  </si>
  <si>
    <t>Project Description</t>
  </si>
  <si>
    <t>Completed</t>
  </si>
  <si>
    <t>Wet detention pond</t>
  </si>
  <si>
    <t>Started</t>
  </si>
  <si>
    <t>Planned &amp; Funded</t>
  </si>
  <si>
    <t>Ongoing</t>
  </si>
  <si>
    <t>Alum injection</t>
  </si>
  <si>
    <t xml:space="preserve">Project Name </t>
  </si>
  <si>
    <t>Start Date</t>
  </si>
  <si>
    <t>Completion Date</t>
  </si>
  <si>
    <t>Cost</t>
  </si>
  <si>
    <t>Cost Annual O&amp;M</t>
  </si>
  <si>
    <t>Acres Treated</t>
  </si>
  <si>
    <t>Project Type</t>
  </si>
  <si>
    <t>Status</t>
  </si>
  <si>
    <t>Street Sweeping</t>
  </si>
  <si>
    <t>-</t>
  </si>
  <si>
    <t>Education Efforts</t>
  </si>
  <si>
    <t>Education</t>
  </si>
  <si>
    <t>Baffle box</t>
  </si>
  <si>
    <t>WP-34</t>
  </si>
  <si>
    <t>WP-35</t>
  </si>
  <si>
    <t>FYN, landscape and fertilizer ordinances, pamphlets, presentations, website, illicit discharge program</t>
  </si>
  <si>
    <t>WP-40</t>
  </si>
  <si>
    <t>Park North Exfiltration</t>
  </si>
  <si>
    <t>Exfiltration trench</t>
  </si>
  <si>
    <t>WP-41</t>
  </si>
  <si>
    <t>Canton Avenue Outfall  Retrofit</t>
  </si>
  <si>
    <t>Suntree baffle box</t>
  </si>
  <si>
    <t>WP-44</t>
  </si>
  <si>
    <t>Howard Drive Outfall Retrofit</t>
  </si>
  <si>
    <t>CDS, detention, beemats</t>
  </si>
  <si>
    <t>CDS, detention, Beemats</t>
  </si>
  <si>
    <t>WP-45</t>
  </si>
  <si>
    <t>W. Fawsett Road Outfall Retrofit</t>
  </si>
  <si>
    <t>CDS</t>
  </si>
  <si>
    <t>Dixie Parkway Outfall No. 3</t>
  </si>
  <si>
    <t>Exfiltration</t>
  </si>
  <si>
    <t>Alum - whole lake, partnered with Orange County</t>
  </si>
  <si>
    <t>Howell Branch Pond Modifications</t>
  </si>
  <si>
    <t>Upgrade existing pond to provide treatment volume</t>
  </si>
  <si>
    <t>Nicolet Ave. Regional Pond</t>
  </si>
  <si>
    <t>Regional Pond to treat discharges to Lake Killarney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</si>
  <si>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</si>
  <si>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</si>
  <si>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</si>
  <si>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</si>
  <si>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</si>
  <si>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</si>
  <si>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Total</t>
  </si>
  <si>
    <t>Total Required Reductions</t>
  </si>
  <si>
    <t>Remaining Reductions</t>
  </si>
  <si>
    <t>10/2017</t>
  </si>
  <si>
    <t>6/2015</t>
  </si>
  <si>
    <t>1/2003</t>
  </si>
  <si>
    <t>10/2015</t>
  </si>
  <si>
    <t>6/2017</t>
  </si>
  <si>
    <t>12/2017</t>
  </si>
  <si>
    <t>N/A</t>
  </si>
  <si>
    <t>WP-46</t>
  </si>
  <si>
    <t>WP-47</t>
  </si>
  <si>
    <t>WP-48</t>
  </si>
  <si>
    <t>WP-49</t>
  </si>
  <si>
    <t>(credit)</t>
  </si>
  <si>
    <t>Street sweeping two times per month of 130 miles - 124,200 cubic feet of material collected annually</t>
  </si>
  <si>
    <t>Lake Killarney Sediment P Deactivation</t>
  </si>
  <si>
    <t>small amount of credit already assigned to Orange County</t>
  </si>
  <si>
    <t>suggest deleting from City project table</t>
  </si>
  <si>
    <t>comb_sws</t>
  </si>
  <si>
    <t>lc_class_t</t>
  </si>
  <si>
    <t>area</t>
  </si>
  <si>
    <t>FID2</t>
  </si>
  <si>
    <t>sws</t>
  </si>
  <si>
    <t>landuse</t>
  </si>
  <si>
    <t>landname</t>
  </si>
  <si>
    <t>TN_B</t>
  </si>
  <si>
    <t>TP_B</t>
  </si>
  <si>
    <t>TN_B_load</t>
  </si>
  <si>
    <t>TP_B_load</t>
  </si>
  <si>
    <t>TN_deliver</t>
  </si>
  <si>
    <t>TP_deliver</t>
  </si>
  <si>
    <t>TN_A</t>
  </si>
  <si>
    <t>TP_A</t>
  </si>
  <si>
    <t>TN_A_load</t>
  </si>
  <si>
    <t>TP_A_load</t>
  </si>
  <si>
    <t>Area_AC_</t>
  </si>
  <si>
    <t>TNlandtoLa</t>
  </si>
  <si>
    <t>TPlandtoLa</t>
  </si>
  <si>
    <t>TN_load_to</t>
  </si>
  <si>
    <t>TP_load_to</t>
  </si>
  <si>
    <t>TN_cummula</t>
  </si>
  <si>
    <t>TP_cummula</t>
  </si>
  <si>
    <t>MDR</t>
  </si>
  <si>
    <t>lb/ac/yr before atten</t>
  </si>
  <si>
    <t>C*H (lb/yr)</t>
  </si>
  <si>
    <t>C*I (lb/yr)</t>
  </si>
  <si>
    <t>delivery ratio in watershed</t>
  </si>
  <si>
    <t>H*L (lb/ac/yr after atten)</t>
  </si>
  <si>
    <t>I*M (lb/ac/yr after atten)</t>
  </si>
  <si>
    <t>C*N</t>
  </si>
  <si>
    <t>C*O</t>
  </si>
  <si>
    <t>lb/ac/yr to Jesup</t>
  </si>
  <si>
    <t>R*S (lb/yr to Jesup)</t>
  </si>
  <si>
    <t>R*T (lb/yr to Jesup)</t>
  </si>
  <si>
    <t>U/J</t>
  </si>
  <si>
    <t>V/K</t>
  </si>
  <si>
    <t>HDR</t>
  </si>
  <si>
    <t>IND</t>
  </si>
  <si>
    <t>OPE</t>
  </si>
  <si>
    <t>WAT</t>
  </si>
  <si>
    <t>WET</t>
  </si>
  <si>
    <t>days</t>
  </si>
  <si>
    <t>inch</t>
  </si>
  <si>
    <t>Park North/Dixie</t>
  </si>
  <si>
    <t>LDR</t>
  </si>
  <si>
    <t>RAN</t>
  </si>
  <si>
    <t>Howell Branch</t>
  </si>
  <si>
    <t>Proposed</t>
  </si>
  <si>
    <t>Current</t>
  </si>
  <si>
    <t>residence time</t>
  </si>
  <si>
    <t>TN efficiency</t>
  </si>
  <si>
    <t>TP efficiency</t>
  </si>
  <si>
    <t>Difference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</si>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</sst>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#,##0.0"/>
    <numFmt numFmtId="165" formatCode="0.0%"/>
    <numFmt numFmtId="166" formatCode="0.00000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wrapText="1"/>
    </xf>
    <xf numFmtId="44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4" fontId="4" fillId="2" borderId="1" xfId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" fontId="2" fillId="0" borderId="1" xfId="0" quotePrefix="1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quotePrefix="1" applyNumberFormat="1" applyFont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quotePrefix="1" applyFont="1" applyFill="1" applyBorder="1" applyAlignment="1">
      <alignment horizontal="center" vertical="center" wrapText="1"/>
    </xf>
    <xf numFmtId="3" fontId="2" fillId="3" borderId="1" xfId="0" quotePrefix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44" fontId="3" fillId="3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66" fontId="0" fillId="0" borderId="0" xfId="0" applyNumberFormat="1"/>
    <xf numFmtId="0" fontId="2" fillId="0" borderId="1" xfId="0" applyFont="1" applyFill="1" applyBorder="1" applyAlignment="1">
      <alignment horizontal="center" vertical="center" wrapText="1"/>
    </xf>
    <xf numFmtId="165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5"/>
  <sheetViews>
    <sheetView tabSelected="1" workbookViewId="0">
      <pane ySplit="1" topLeftCell="A2" activePane="bottomLeft" state="frozen"/>
      <selection pane="bottomLeft" activeCell="P15" sqref="P15"/>
    </sheetView>
  </sheetViews>
  <sheetFormatPr defaultRowHeight="12.75" x14ac:dyDescent="0.2"/>
  <cols>
    <col min="1" max="1" width="7.28515625" style="17" bestFit="1" customWidth="1"/>
    <col min="2" max="2" width="16.28515625" style="17" customWidth="1"/>
    <col min="3" max="3" width="20.7109375" style="17" customWidth="1"/>
    <col min="4" max="10" width="12.7109375" style="17" customWidth="1"/>
    <col min="11" max="11" width="13.42578125" style="33" customWidth="1"/>
    <col min="12" max="12" width="12.5703125" style="30" customWidth="1"/>
    <col min="13" max="13" width="11.140625" style="33" customWidth="1"/>
    <col min="14" max="14" width="11.85546875" style="33" customWidth="1"/>
    <col min="15" max="15" width="11.42578125" style="30" bestFit="1" customWidth="1"/>
    <col min="16" max="16" width="9.140625" style="33"/>
    <col min="17" max="16384" width="9.140625" style="17"/>
  </cols>
  <sheetData>
    <row r="1" spans="1:17" ht="25.5" x14ac:dyDescent="0.2">
      <c r="A1" s="10" t="s">
        <v>0</v>
      </c>
      <c r="B1" s="10" t="s">
        <v>8</v>
      </c>
      <c r="C1" s="10" t="s">
        <v>1</v>
      </c>
      <c r="D1" s="10" t="s">
        <v>9</v>
      </c>
      <c r="E1" s="10" t="s">
        <v>10</v>
      </c>
      <c r="F1" s="11" t="s">
        <v>11</v>
      </c>
      <c r="G1" s="11" t="s">
        <v>12</v>
      </c>
      <c r="H1" s="12" t="s">
        <v>13</v>
      </c>
      <c r="I1" s="10" t="s">
        <v>14</v>
      </c>
      <c r="J1" s="10" t="s">
        <v>15</v>
      </c>
      <c r="K1" s="13" t="s">
        <v>44</v>
      </c>
      <c r="L1" s="14" t="s">
        <v>45</v>
      </c>
      <c r="M1" s="13" t="s">
        <v>46</v>
      </c>
      <c r="N1" s="13" t="s">
        <v>47</v>
      </c>
      <c r="O1" s="14" t="s">
        <v>48</v>
      </c>
      <c r="P1" s="13" t="s">
        <v>49</v>
      </c>
    </row>
    <row r="2" spans="1:17" s="7" customFormat="1" ht="63.75" x14ac:dyDescent="0.2">
      <c r="A2" s="1" t="s">
        <v>21</v>
      </c>
      <c r="B2" s="1" t="s">
        <v>16</v>
      </c>
      <c r="C2" s="2" t="s">
        <v>65</v>
      </c>
      <c r="D2" s="6" t="s">
        <v>17</v>
      </c>
      <c r="E2" s="6" t="s">
        <v>17</v>
      </c>
      <c r="F2" s="8">
        <v>0</v>
      </c>
      <c r="G2" s="8">
        <v>0</v>
      </c>
      <c r="H2" s="4">
        <v>0</v>
      </c>
      <c r="I2" s="1" t="s">
        <v>16</v>
      </c>
      <c r="J2" s="3" t="s">
        <v>6</v>
      </c>
      <c r="K2" s="31" t="s">
        <v>59</v>
      </c>
      <c r="L2" s="28" t="s">
        <v>59</v>
      </c>
      <c r="M2" s="31">
        <f>ROUND(5938*0.073,1)</f>
        <v>433.5</v>
      </c>
      <c r="N2" s="31" t="s">
        <v>59</v>
      </c>
      <c r="O2" s="28" t="s">
        <v>59</v>
      </c>
      <c r="P2" s="31">
        <f>ROUND(3807*0.079,1)</f>
        <v>300.8</v>
      </c>
    </row>
    <row r="3" spans="1:17" s="7" customFormat="1" ht="63.75" x14ac:dyDescent="0.2">
      <c r="A3" s="1" t="s">
        <v>22</v>
      </c>
      <c r="B3" s="1" t="s">
        <v>18</v>
      </c>
      <c r="C3" s="2" t="s">
        <v>23</v>
      </c>
      <c r="D3" s="6" t="s">
        <v>17</v>
      </c>
      <c r="E3" s="6" t="s">
        <v>17</v>
      </c>
      <c r="F3" s="8">
        <v>0</v>
      </c>
      <c r="G3" s="8">
        <v>0</v>
      </c>
      <c r="H3" s="4">
        <v>0</v>
      </c>
      <c r="I3" s="5" t="s">
        <v>19</v>
      </c>
      <c r="J3" s="5" t="s">
        <v>6</v>
      </c>
      <c r="K3" s="31">
        <v>4616.2</v>
      </c>
      <c r="L3" s="28">
        <v>0.05</v>
      </c>
      <c r="M3" s="31">
        <f t="shared" ref="M3:M10" si="0">ROUND(K3*L3,1)</f>
        <v>230.8</v>
      </c>
      <c r="N3" s="31">
        <v>308.8</v>
      </c>
      <c r="O3" s="28">
        <v>0.05</v>
      </c>
      <c r="P3" s="31">
        <f>ROUND(N3*O3,10)</f>
        <v>15.44</v>
      </c>
    </row>
    <row r="4" spans="1:17" s="7" customFormat="1" ht="25.5" x14ac:dyDescent="0.2">
      <c r="A4" s="1" t="s">
        <v>24</v>
      </c>
      <c r="B4" s="1" t="s">
        <v>25</v>
      </c>
      <c r="C4" s="2" t="s">
        <v>26</v>
      </c>
      <c r="D4" s="9">
        <v>41671</v>
      </c>
      <c r="E4" s="9">
        <v>41788</v>
      </c>
      <c r="F4" s="8">
        <v>703000</v>
      </c>
      <c r="G4" s="8">
        <v>2500</v>
      </c>
      <c r="H4" s="4">
        <v>8.8000000000000007</v>
      </c>
      <c r="I4" s="2" t="s">
        <v>26</v>
      </c>
      <c r="J4" s="3" t="s">
        <v>2</v>
      </c>
      <c r="K4" s="31">
        <f>'Park North'!U4</f>
        <v>12.3</v>
      </c>
      <c r="L4" s="28">
        <f>Calculations!A3</f>
        <v>0.84050000000000002</v>
      </c>
      <c r="M4" s="31">
        <f t="shared" si="0"/>
        <v>10.3</v>
      </c>
      <c r="N4" s="31">
        <f>'Park North'!V4</f>
        <v>0.9</v>
      </c>
      <c r="O4" s="28">
        <f>Calculations!A3</f>
        <v>0.84050000000000002</v>
      </c>
      <c r="P4" s="31">
        <f>ROUND(N4*O4,10)</f>
        <v>0.75644999999999996</v>
      </c>
    </row>
    <row r="5" spans="1:17" s="7" customFormat="1" ht="25.5" x14ac:dyDescent="0.2">
      <c r="A5" s="1" t="s">
        <v>27</v>
      </c>
      <c r="B5" s="26" t="s">
        <v>28</v>
      </c>
      <c r="C5" s="2" t="s">
        <v>29</v>
      </c>
      <c r="D5" s="9">
        <v>41395</v>
      </c>
      <c r="E5" s="9">
        <v>41535</v>
      </c>
      <c r="F5" s="8">
        <v>129000</v>
      </c>
      <c r="G5" s="8">
        <v>1000</v>
      </c>
      <c r="H5" s="4">
        <v>23</v>
      </c>
      <c r="I5" s="2" t="s">
        <v>20</v>
      </c>
      <c r="J5" s="3" t="s">
        <v>2</v>
      </c>
      <c r="K5" s="31">
        <f>Canton!U6</f>
        <v>32.799999999999997</v>
      </c>
      <c r="L5" s="28">
        <v>0.19009999999999999</v>
      </c>
      <c r="M5" s="31">
        <f t="shared" si="0"/>
        <v>6.2</v>
      </c>
      <c r="N5" s="31">
        <f>Canton!V6</f>
        <v>2.9</v>
      </c>
      <c r="O5" s="28">
        <v>0.155</v>
      </c>
      <c r="P5" s="31">
        <f>ROUND(N5*O5,10)</f>
        <v>0.44950000000000001</v>
      </c>
    </row>
    <row r="6" spans="1:17" s="7" customFormat="1" ht="38.25" x14ac:dyDescent="0.2">
      <c r="A6" s="2" t="s">
        <v>30</v>
      </c>
      <c r="B6" s="2" t="s">
        <v>31</v>
      </c>
      <c r="C6" s="2" t="s">
        <v>32</v>
      </c>
      <c r="D6" s="9">
        <v>41700</v>
      </c>
      <c r="E6" s="9">
        <v>42125</v>
      </c>
      <c r="F6" s="8">
        <v>411000</v>
      </c>
      <c r="G6" s="8">
        <v>1500</v>
      </c>
      <c r="H6" s="4">
        <v>28.9</v>
      </c>
      <c r="I6" s="2" t="s">
        <v>33</v>
      </c>
      <c r="J6" s="3" t="s">
        <v>2</v>
      </c>
      <c r="K6" s="31">
        <f>'Howard Drive'!U6</f>
        <v>2.6</v>
      </c>
      <c r="L6" s="28">
        <v>0.2</v>
      </c>
      <c r="M6" s="31">
        <f t="shared" si="0"/>
        <v>0.5</v>
      </c>
      <c r="N6" s="31">
        <f>'Howard Drive'!V6</f>
        <v>0.1</v>
      </c>
      <c r="O6" s="28">
        <v>0.2</v>
      </c>
      <c r="P6" s="31">
        <f>ROUND(N6*O6,1)</f>
        <v>0</v>
      </c>
    </row>
    <row r="7" spans="1:17" s="7" customFormat="1" ht="25.5" x14ac:dyDescent="0.2">
      <c r="A7" s="2" t="s">
        <v>34</v>
      </c>
      <c r="B7" s="2" t="s">
        <v>35</v>
      </c>
      <c r="C7" s="2" t="s">
        <v>36</v>
      </c>
      <c r="D7" s="9">
        <v>41683</v>
      </c>
      <c r="E7" s="9">
        <v>42153</v>
      </c>
      <c r="F7" s="8">
        <v>50000</v>
      </c>
      <c r="G7" s="8">
        <v>1500</v>
      </c>
      <c r="H7" s="4">
        <v>22</v>
      </c>
      <c r="I7" s="2" t="s">
        <v>36</v>
      </c>
      <c r="J7" s="3" t="s">
        <v>2</v>
      </c>
      <c r="K7" s="31">
        <f>'W. Fawsett'!U5</f>
        <v>13.9</v>
      </c>
      <c r="L7" s="28">
        <v>0</v>
      </c>
      <c r="M7" s="31">
        <f t="shared" si="0"/>
        <v>0</v>
      </c>
      <c r="N7" s="31">
        <f>'W. Fawsett'!V5</f>
        <v>0.7</v>
      </c>
      <c r="O7" s="28">
        <v>0.1</v>
      </c>
      <c r="P7" s="31">
        <f>ROUND(N7*O7,10)</f>
        <v>7.0000000000000007E-2</v>
      </c>
    </row>
    <row r="8" spans="1:17" s="7" customFormat="1" ht="25.5" x14ac:dyDescent="0.2">
      <c r="A8" s="2" t="s">
        <v>60</v>
      </c>
      <c r="B8" s="45" t="s">
        <v>37</v>
      </c>
      <c r="C8" s="23" t="s">
        <v>38</v>
      </c>
      <c r="D8" s="24" t="s">
        <v>53</v>
      </c>
      <c r="E8" s="25" t="s">
        <v>58</v>
      </c>
      <c r="F8" s="41">
        <v>300000</v>
      </c>
      <c r="G8" s="41">
        <v>1500</v>
      </c>
      <c r="H8" s="23">
        <v>22</v>
      </c>
      <c r="I8" s="23" t="s">
        <v>38</v>
      </c>
      <c r="J8" s="26" t="s">
        <v>5</v>
      </c>
      <c r="K8" s="31">
        <f>Dixie!U4</f>
        <v>47.1</v>
      </c>
      <c r="L8" s="28">
        <f>Calculations!A3</f>
        <v>0.84050000000000002</v>
      </c>
      <c r="M8" s="31">
        <f t="shared" si="0"/>
        <v>39.6</v>
      </c>
      <c r="N8" s="31">
        <f>Dixie!V4</f>
        <v>3.3</v>
      </c>
      <c r="O8" s="28">
        <f>Calculations!A3</f>
        <v>0.84050000000000002</v>
      </c>
      <c r="P8" s="31">
        <f>ROUND(N8*O8,10)</f>
        <v>2.7736499999999999</v>
      </c>
    </row>
    <row r="9" spans="1:17" s="7" customFormat="1" ht="51" x14ac:dyDescent="0.2">
      <c r="A9" s="34" t="s">
        <v>61</v>
      </c>
      <c r="B9" s="35" t="s">
        <v>66</v>
      </c>
      <c r="C9" s="35" t="s">
        <v>39</v>
      </c>
      <c r="D9" s="36" t="s">
        <v>54</v>
      </c>
      <c r="E9" s="37" t="s">
        <v>57</v>
      </c>
      <c r="F9" s="42">
        <v>340000</v>
      </c>
      <c r="G9" s="42" t="s">
        <v>59</v>
      </c>
      <c r="H9" s="35" t="s">
        <v>59</v>
      </c>
      <c r="I9" s="35" t="s">
        <v>7</v>
      </c>
      <c r="J9" s="38" t="s">
        <v>4</v>
      </c>
      <c r="K9" s="39" t="s">
        <v>67</v>
      </c>
      <c r="L9" s="40" t="s">
        <v>68</v>
      </c>
      <c r="M9" s="39"/>
      <c r="N9" s="39"/>
      <c r="O9" s="40"/>
      <c r="P9" s="39"/>
    </row>
    <row r="10" spans="1:17" s="7" customFormat="1" ht="25.5" x14ac:dyDescent="0.2">
      <c r="A10" s="2" t="s">
        <v>62</v>
      </c>
      <c r="B10" s="23" t="s">
        <v>40</v>
      </c>
      <c r="C10" s="23" t="s">
        <v>41</v>
      </c>
      <c r="D10" s="27" t="s">
        <v>55</v>
      </c>
      <c r="E10" s="26">
        <v>2017</v>
      </c>
      <c r="F10" s="41">
        <v>689598</v>
      </c>
      <c r="G10" s="41">
        <v>2000</v>
      </c>
      <c r="H10" s="23">
        <v>28</v>
      </c>
      <c r="I10" s="23" t="s">
        <v>3</v>
      </c>
      <c r="J10" s="26" t="s">
        <v>4</v>
      </c>
      <c r="K10" s="31">
        <f>'Howell Branch Pond'!U11</f>
        <v>767.8</v>
      </c>
      <c r="L10" s="28">
        <f>Calculations!F9</f>
        <v>2.899999999999997E-2</v>
      </c>
      <c r="M10" s="31">
        <f t="shared" si="0"/>
        <v>22.3</v>
      </c>
      <c r="N10" s="31">
        <f>'Howell Branch Pond'!V11</f>
        <v>51.4</v>
      </c>
      <c r="O10" s="28">
        <f>Calculations!F10</f>
        <v>2.1000000000000019E-2</v>
      </c>
      <c r="P10" s="31">
        <f>ROUND(N10*O10,10)</f>
        <v>1.0793999999999999</v>
      </c>
    </row>
    <row r="11" spans="1:17" s="7" customFormat="1" ht="38.25" x14ac:dyDescent="0.2">
      <c r="A11" s="2" t="s">
        <v>63</v>
      </c>
      <c r="B11" s="45" t="s">
        <v>42</v>
      </c>
      <c r="C11" s="23" t="s">
        <v>43</v>
      </c>
      <c r="D11" s="25" t="s">
        <v>56</v>
      </c>
      <c r="E11" s="26">
        <v>2017</v>
      </c>
      <c r="F11" s="41">
        <v>400000</v>
      </c>
      <c r="G11" s="41">
        <v>1500</v>
      </c>
      <c r="H11" s="23">
        <v>108</v>
      </c>
      <c r="I11" s="23" t="s">
        <v>3</v>
      </c>
      <c r="J11" s="26" t="s">
        <v>4</v>
      </c>
      <c r="K11" s="31">
        <f>Nicolet!U11</f>
        <v>51</v>
      </c>
      <c r="L11" s="28" t="s">
        <v>124</v>
      </c>
      <c r="M11" s="31" t="s">
        <v>124</v>
      </c>
      <c r="N11" s="31">
        <f>Nicolet!V11</f>
        <v>2.1</v>
      </c>
      <c r="O11" s="28" t="s">
        <v>124</v>
      </c>
      <c r="P11" s="31" t="s">
        <v>124</v>
      </c>
    </row>
    <row r="12" spans="1:17" s="7" customFormat="1" x14ac:dyDescent="0.2">
      <c r="A12" s="18"/>
      <c r="B12" s="18"/>
      <c r="C12" s="18"/>
      <c r="D12" s="19"/>
      <c r="E12" s="19"/>
      <c r="F12" s="20"/>
      <c r="G12" s="20"/>
      <c r="H12" s="21"/>
      <c r="I12" s="18"/>
      <c r="J12" s="22"/>
      <c r="K12" s="32"/>
      <c r="L12" s="29"/>
      <c r="M12" s="32"/>
      <c r="N12" s="32"/>
      <c r="O12" s="29"/>
      <c r="P12" s="32"/>
    </row>
    <row r="13" spans="1:17" x14ac:dyDescent="0.2">
      <c r="K13" s="15" t="s">
        <v>50</v>
      </c>
      <c r="M13" s="33">
        <f>SUM(M2:M11)</f>
        <v>743.19999999999993</v>
      </c>
      <c r="P13" s="33">
        <f>SUM(P2:P11)</f>
        <v>321.36899999999997</v>
      </c>
    </row>
    <row r="14" spans="1:17" x14ac:dyDescent="0.2">
      <c r="K14" s="16" t="s">
        <v>51</v>
      </c>
      <c r="M14" s="33">
        <v>931.8</v>
      </c>
      <c r="P14" s="33">
        <v>171.2</v>
      </c>
    </row>
    <row r="15" spans="1:17" x14ac:dyDescent="0.2">
      <c r="K15" s="16" t="s">
        <v>52</v>
      </c>
      <c r="M15" s="33">
        <f>M14-M13</f>
        <v>188.60000000000002</v>
      </c>
      <c r="P15" s="33">
        <f>P14-P13</f>
        <v>-150.16899999999998</v>
      </c>
      <c r="Q15" s="33" t="s">
        <v>64</v>
      </c>
    </row>
  </sheetData>
  <dataValidations count="1">
    <dataValidation type="list" allowBlank="1" showInputMessage="1" showErrorMessage="1" sqref="J8:J11">
      <formula1>$E$20:$E$24</formula1>
    </dataValidation>
  </dataValidations>
  <pageMargins left="0.7" right="0.7" top="0.75" bottom="0.75" header="0.3" footer="0.3"/>
  <pageSetup scale="8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F16" sqref="F16"/>
    </sheetView>
  </sheetViews>
  <sheetFormatPr defaultRowHeight="15" x14ac:dyDescent="0.25"/>
  <cols>
    <col min="1" max="1" width="14.7109375" customWidth="1"/>
  </cols>
  <sheetData>
    <row r="1" spans="1:6" x14ac:dyDescent="0.25">
      <c r="A1" t="s">
        <v>114</v>
      </c>
    </row>
    <row r="2" spans="1:6" x14ac:dyDescent="0.25">
      <c r="A2">
        <v>1</v>
      </c>
      <c r="B2" t="s">
        <v>113</v>
      </c>
    </row>
    <row r="3" spans="1:6" x14ac:dyDescent="0.25">
      <c r="A3">
        <f>0.3178 * LN(A2) + 0.8405</f>
        <v>0.84050000000000002</v>
      </c>
    </row>
    <row r="6" spans="1:6" x14ac:dyDescent="0.25">
      <c r="A6" t="s">
        <v>117</v>
      </c>
    </row>
    <row r="7" spans="1:6" x14ac:dyDescent="0.25">
      <c r="B7" t="s">
        <v>118</v>
      </c>
      <c r="D7" t="s">
        <v>119</v>
      </c>
      <c r="F7" t="s">
        <v>123</v>
      </c>
    </row>
    <row r="8" spans="1:6" x14ac:dyDescent="0.25">
      <c r="A8" t="s">
        <v>120</v>
      </c>
      <c r="B8">
        <v>10</v>
      </c>
      <c r="C8" t="s">
        <v>112</v>
      </c>
      <c r="D8">
        <f>B8-2.6</f>
        <v>7.4</v>
      </c>
      <c r="E8" t="s">
        <v>112</v>
      </c>
    </row>
    <row r="9" spans="1:6" x14ac:dyDescent="0.25">
      <c r="A9" t="s">
        <v>121</v>
      </c>
      <c r="B9" s="46">
        <f>(ROUND((43.75*B8)/(4.38+B8),1))/100</f>
        <v>0.30399999999999999</v>
      </c>
      <c r="C9" s="46"/>
      <c r="D9" s="46">
        <f>(ROUND((43.75*D8)/(4.38+D8),1))/100</f>
        <v>0.27500000000000002</v>
      </c>
      <c r="F9" s="46">
        <f>B9-D9</f>
        <v>2.899999999999997E-2</v>
      </c>
    </row>
    <row r="10" spans="1:6" x14ac:dyDescent="0.25">
      <c r="A10" t="s">
        <v>122</v>
      </c>
      <c r="B10" s="46">
        <f>(ROUND(44.53+6.146*LN(B8)+0.145*(LN(B8)^2),1))/100</f>
        <v>0.59499999999999997</v>
      </c>
      <c r="C10" s="46"/>
      <c r="D10" s="46">
        <f>(ROUND(44.53+6.146*LN(D8)+0.145*(LN(D8)^2),1))/100</f>
        <v>0.57399999999999995</v>
      </c>
      <c r="F10" s="46">
        <f>B10-D10</f>
        <v>2.1000000000000019E-2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topLeftCell="F1" workbookViewId="0">
      <selection activeCell="F1" sqref="A1:XFD1"/>
    </sheetView>
  </sheetViews>
  <sheetFormatPr defaultRowHeight="15" x14ac:dyDescent="0.25"/>
  <cols>
    <col min="1" max="1" width="10.140625" style="43" bestFit="1" customWidth="1"/>
    <col min="2" max="2" width="9.28515625" style="43" bestFit="1" customWidth="1"/>
    <col min="3" max="3" width="13.7109375" style="44" bestFit="1" customWidth="1"/>
    <col min="4" max="4" width="4.85546875" style="43" bestFit="1" customWidth="1"/>
    <col min="5" max="5" width="4.28515625" style="43" bestFit="1" customWidth="1"/>
    <col min="6" max="6" width="8" style="43" bestFit="1" customWidth="1"/>
    <col min="7" max="7" width="9.85546875" style="43" bestFit="1" customWidth="1"/>
    <col min="8" max="8" width="14.7109375" style="44" bestFit="1" customWidth="1"/>
    <col min="9" max="9" width="13.7109375" style="44" bestFit="1" customWidth="1"/>
    <col min="10" max="10" width="16.7109375" style="44" bestFit="1" customWidth="1"/>
    <col min="11" max="11" width="15.7109375" style="44" bestFit="1" customWidth="1"/>
    <col min="12" max="15" width="13.7109375" style="44" bestFit="1" customWidth="1"/>
    <col min="16" max="16" width="16.7109375" style="44" bestFit="1" customWidth="1"/>
    <col min="17" max="17" width="15.7109375" style="44" bestFit="1" customWidth="1"/>
    <col min="18" max="20" width="13.7109375" style="44" bestFit="1" customWidth="1"/>
    <col min="21" max="21" width="16.7109375" style="44" bestFit="1" customWidth="1"/>
    <col min="22" max="22" width="15.7109375" style="44" bestFit="1" customWidth="1"/>
    <col min="23" max="24" width="13.7109375" style="44" bestFit="1" customWidth="1"/>
  </cols>
  <sheetData>
    <row r="1" spans="1:24" x14ac:dyDescent="0.25">
      <c r="H1" s="44" t="s">
        <v>94</v>
      </c>
      <c r="I1" s="44" t="s">
        <v>94</v>
      </c>
      <c r="J1" s="44" t="s">
        <v>95</v>
      </c>
      <c r="K1" s="44" t="s">
        <v>96</v>
      </c>
      <c r="L1" s="44" t="s">
        <v>97</v>
      </c>
      <c r="M1" s="44" t="s">
        <v>97</v>
      </c>
      <c r="N1" s="44" t="s">
        <v>98</v>
      </c>
      <c r="O1" s="44" t="s">
        <v>99</v>
      </c>
      <c r="P1" s="44" t="s">
        <v>100</v>
      </c>
      <c r="Q1" s="44" t="s">
        <v>101</v>
      </c>
      <c r="S1" s="44" t="s">
        <v>102</v>
      </c>
      <c r="T1" s="44" t="s">
        <v>102</v>
      </c>
      <c r="U1" s="44" t="s">
        <v>103</v>
      </c>
      <c r="V1" s="44" t="s">
        <v>104</v>
      </c>
      <c r="W1" s="44" t="s">
        <v>105</v>
      </c>
      <c r="X1" s="44" t="s">
        <v>106</v>
      </c>
    </row>
    <row r="2" spans="1:24" x14ac:dyDescent="0.25">
      <c r="A2" s="43" t="s">
        <v>69</v>
      </c>
      <c r="B2" s="43" t="s">
        <v>70</v>
      </c>
      <c r="C2" s="44" t="s">
        <v>71</v>
      </c>
      <c r="D2" s="43" t="s">
        <v>72</v>
      </c>
      <c r="E2" s="43" t="s">
        <v>73</v>
      </c>
      <c r="F2" s="43" t="s">
        <v>74</v>
      </c>
      <c r="G2" s="43" t="s">
        <v>75</v>
      </c>
      <c r="H2" s="44" t="s">
        <v>76</v>
      </c>
      <c r="I2" s="44" t="s">
        <v>77</v>
      </c>
      <c r="J2" s="44" t="s">
        <v>78</v>
      </c>
      <c r="K2" s="44" t="s">
        <v>79</v>
      </c>
      <c r="L2" s="44" t="s">
        <v>80</v>
      </c>
      <c r="M2" s="44" t="s">
        <v>81</v>
      </c>
      <c r="N2" s="44" t="s">
        <v>82</v>
      </c>
      <c r="O2" s="44" t="s">
        <v>83</v>
      </c>
      <c r="P2" s="44" t="s">
        <v>84</v>
      </c>
      <c r="Q2" s="44" t="s">
        <v>85</v>
      </c>
      <c r="R2" s="44" t="s">
        <v>86</v>
      </c>
      <c r="S2" s="44" t="s">
        <v>87</v>
      </c>
      <c r="T2" s="44" t="s">
        <v>88</v>
      </c>
      <c r="U2" s="44" t="s">
        <v>89</v>
      </c>
      <c r="V2" s="44" t="s">
        <v>90</v>
      </c>
      <c r="W2" s="44" t="s">
        <v>91</v>
      </c>
      <c r="X2" s="44" t="s">
        <v>92</v>
      </c>
    </row>
    <row r="3" spans="1:24" x14ac:dyDescent="0.25">
      <c r="A3" s="43">
        <v>51</v>
      </c>
      <c r="B3" s="43">
        <v>2</v>
      </c>
      <c r="C3" s="44">
        <v>5.8350391329800004</v>
      </c>
      <c r="D3" s="43">
        <v>381</v>
      </c>
      <c r="E3" s="43">
        <v>51</v>
      </c>
      <c r="F3" s="43">
        <v>2</v>
      </c>
      <c r="G3" s="43" t="s">
        <v>93</v>
      </c>
      <c r="H3" s="44">
        <v>12.31181539</v>
      </c>
      <c r="I3" s="44">
        <v>0.61</v>
      </c>
      <c r="J3" s="44">
        <f>C3*H3</f>
        <v>71.839924598675424</v>
      </c>
      <c r="K3" s="44">
        <f>C3*I3</f>
        <v>3.5593738711178</v>
      </c>
      <c r="L3" s="44">
        <v>0.47099999999999997</v>
      </c>
      <c r="M3" s="44">
        <v>0.624</v>
      </c>
      <c r="N3" s="44">
        <f>H3*L3</f>
        <v>5.7988650486899997</v>
      </c>
      <c r="O3" s="44">
        <f>I3*M3</f>
        <v>0.38063999999999998</v>
      </c>
      <c r="P3" s="44">
        <f>C3*N3</f>
        <v>33.836604485976125</v>
      </c>
      <c r="Q3" s="44">
        <f>C3*O3</f>
        <v>2.2210492955775072</v>
      </c>
      <c r="R3" s="44">
        <v>5.8350391329800004</v>
      </c>
      <c r="S3" s="44">
        <v>2.1040000000000001</v>
      </c>
      <c r="T3" s="44">
        <v>0.14699999999999999</v>
      </c>
      <c r="U3" s="44">
        <f>R3*S3</f>
        <v>12.276922335789921</v>
      </c>
      <c r="V3" s="44">
        <f>R3*T3</f>
        <v>0.85775075254805999</v>
      </c>
      <c r="W3" s="44">
        <f>U3/J3</f>
        <v>0.17089275085369843</v>
      </c>
      <c r="X3" s="44">
        <f>V3/K3</f>
        <v>0.24098360655737705</v>
      </c>
    </row>
    <row r="4" spans="1:24" x14ac:dyDescent="0.25">
      <c r="U4" s="44">
        <f>ROUND(U3,1)</f>
        <v>12.3</v>
      </c>
      <c r="V4" s="44">
        <f>ROUND(V3,1)</f>
        <v>0.9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M1" workbookViewId="0">
      <selection activeCell="U6" sqref="U6:V6"/>
    </sheetView>
  </sheetViews>
  <sheetFormatPr defaultRowHeight="15" x14ac:dyDescent="0.25"/>
  <cols>
    <col min="1" max="1" width="10.140625" style="43" bestFit="1" customWidth="1"/>
    <col min="2" max="2" width="9.28515625" style="43" bestFit="1" customWidth="1"/>
    <col min="3" max="3" width="14.7109375" style="44" bestFit="1" customWidth="1"/>
    <col min="4" max="4" width="4.85546875" style="43" bestFit="1" customWidth="1"/>
    <col min="5" max="5" width="4.28515625" style="43" bestFit="1" customWidth="1"/>
    <col min="6" max="6" width="8" style="43" bestFit="1" customWidth="1"/>
    <col min="7" max="7" width="9.85546875" style="43" bestFit="1" customWidth="1"/>
    <col min="8" max="8" width="14.7109375" style="44" bestFit="1" customWidth="1"/>
    <col min="9" max="9" width="13.7109375" style="44" bestFit="1" customWidth="1"/>
    <col min="10" max="10" width="16.7109375" style="44" bestFit="1" customWidth="1"/>
    <col min="11" max="11" width="15.7109375" style="44" bestFit="1" customWidth="1"/>
    <col min="12" max="15" width="13.7109375" style="44" bestFit="1" customWidth="1"/>
    <col min="16" max="16" width="16.7109375" style="44" bestFit="1" customWidth="1"/>
    <col min="17" max="17" width="14.7109375" style="44" bestFit="1" customWidth="1"/>
    <col min="18" max="18" width="17.85546875" style="44" bestFit="1" customWidth="1"/>
    <col min="19" max="20" width="13.7109375" style="44" bestFit="1" customWidth="1"/>
    <col min="21" max="21" width="15.7109375" style="44" bestFit="1" customWidth="1"/>
    <col min="22" max="22" width="14.7109375" style="44" bestFit="1" customWidth="1"/>
    <col min="23" max="24" width="13.7109375" style="44" bestFit="1" customWidth="1"/>
  </cols>
  <sheetData>
    <row r="1" spans="1:24" x14ac:dyDescent="0.25">
      <c r="H1" s="44" t="s">
        <v>94</v>
      </c>
      <c r="I1" s="44" t="s">
        <v>94</v>
      </c>
      <c r="J1" s="44" t="s">
        <v>95</v>
      </c>
      <c r="K1" s="44" t="s">
        <v>96</v>
      </c>
      <c r="L1" s="44" t="s">
        <v>97</v>
      </c>
      <c r="M1" s="44" t="s">
        <v>97</v>
      </c>
      <c r="N1" s="44" t="s">
        <v>98</v>
      </c>
      <c r="O1" s="44" t="s">
        <v>99</v>
      </c>
      <c r="P1" s="44" t="s">
        <v>100</v>
      </c>
      <c r="Q1" s="44" t="s">
        <v>101</v>
      </c>
      <c r="S1" s="44" t="s">
        <v>102</v>
      </c>
      <c r="T1" s="44" t="s">
        <v>102</v>
      </c>
      <c r="U1" s="44" t="s">
        <v>103</v>
      </c>
      <c r="V1" s="44" t="s">
        <v>104</v>
      </c>
      <c r="W1" s="44" t="s">
        <v>105</v>
      </c>
      <c r="X1" s="44" t="s">
        <v>106</v>
      </c>
    </row>
    <row r="2" spans="1:24" x14ac:dyDescent="0.25">
      <c r="A2" s="43" t="s">
        <v>69</v>
      </c>
      <c r="B2" s="43" t="s">
        <v>70</v>
      </c>
      <c r="C2" s="44" t="s">
        <v>71</v>
      </c>
      <c r="D2" s="43" t="s">
        <v>72</v>
      </c>
      <c r="E2" s="43" t="s">
        <v>73</v>
      </c>
      <c r="F2" s="43" t="s">
        <v>74</v>
      </c>
      <c r="G2" s="43" t="s">
        <v>75</v>
      </c>
      <c r="H2" s="44" t="s">
        <v>76</v>
      </c>
      <c r="I2" s="44" t="s">
        <v>77</v>
      </c>
      <c r="J2" s="44" t="s">
        <v>78</v>
      </c>
      <c r="K2" s="44" t="s">
        <v>79</v>
      </c>
      <c r="L2" s="44" t="s">
        <v>80</v>
      </c>
      <c r="M2" s="44" t="s">
        <v>81</v>
      </c>
      <c r="N2" s="44" t="s">
        <v>82</v>
      </c>
      <c r="O2" s="44" t="s">
        <v>83</v>
      </c>
      <c r="P2" s="44" t="s">
        <v>84</v>
      </c>
      <c r="Q2" s="44" t="s">
        <v>85</v>
      </c>
      <c r="R2" s="44" t="s">
        <v>86</v>
      </c>
      <c r="S2" s="44" t="s">
        <v>87</v>
      </c>
      <c r="T2" s="44" t="s">
        <v>88</v>
      </c>
      <c r="U2" s="44" t="s">
        <v>89</v>
      </c>
      <c r="V2" s="44" t="s">
        <v>90</v>
      </c>
      <c r="W2" s="44" t="s">
        <v>91</v>
      </c>
      <c r="X2" s="44" t="s">
        <v>92</v>
      </c>
    </row>
    <row r="3" spans="1:24" x14ac:dyDescent="0.25">
      <c r="A3" s="43">
        <v>57</v>
      </c>
      <c r="B3" s="43">
        <v>1</v>
      </c>
      <c r="C3" s="44">
        <v>0.41137397599100001</v>
      </c>
      <c r="D3" s="43">
        <v>417</v>
      </c>
      <c r="E3" s="43">
        <v>57</v>
      </c>
      <c r="F3" s="43">
        <v>1</v>
      </c>
      <c r="G3" s="43" t="s">
        <v>115</v>
      </c>
      <c r="H3" s="44">
        <v>4.6876026780000002</v>
      </c>
      <c r="I3" s="44">
        <v>0.186</v>
      </c>
      <c r="J3" s="44">
        <f>C3*H3</f>
        <v>1.9283577515149195</v>
      </c>
      <c r="K3" s="44">
        <f>C3*I3</f>
        <v>7.6515559534325997E-2</v>
      </c>
      <c r="L3" s="44">
        <v>0.65900000000000003</v>
      </c>
      <c r="M3" s="44">
        <v>0.45100000000000001</v>
      </c>
      <c r="N3" s="44">
        <v>3.0880000000000001</v>
      </c>
      <c r="O3" s="44">
        <f>I3*M3</f>
        <v>8.3886000000000002E-2</v>
      </c>
      <c r="P3" s="44">
        <f>C3*N3</f>
        <v>1.2703228378602081</v>
      </c>
      <c r="Q3" s="44">
        <f>C3*O3</f>
        <v>3.4508517349981026E-2</v>
      </c>
      <c r="R3" s="44">
        <v>0.41137397599100001</v>
      </c>
      <c r="S3" s="44">
        <v>0.55900000000000005</v>
      </c>
      <c r="T3" s="44">
        <v>2.5999999999999999E-2</v>
      </c>
      <c r="U3" s="44">
        <f>R3*S3</f>
        <v>0.22995805257896904</v>
      </c>
      <c r="V3" s="44">
        <f>R3*T3</f>
        <v>1.0695723375765999E-2</v>
      </c>
      <c r="W3" s="44">
        <v>0.11899999999999999</v>
      </c>
      <c r="X3" s="44">
        <v>0.14048743799999999</v>
      </c>
    </row>
    <row r="4" spans="1:24" x14ac:dyDescent="0.25">
      <c r="A4" s="43">
        <v>57</v>
      </c>
      <c r="B4" s="43">
        <v>4</v>
      </c>
      <c r="C4" s="44">
        <v>18.975916425800001</v>
      </c>
      <c r="D4" s="43">
        <v>420</v>
      </c>
      <c r="E4" s="43">
        <v>57</v>
      </c>
      <c r="F4" s="43">
        <v>4</v>
      </c>
      <c r="G4" s="43" t="s">
        <v>108</v>
      </c>
      <c r="H4" s="44">
        <v>14.964950200000001</v>
      </c>
      <c r="I4" s="44">
        <v>1.1180000000000001</v>
      </c>
      <c r="J4" s="44">
        <f t="shared" ref="J4:J5" si="0">C4*H4</f>
        <v>283.973644311459</v>
      </c>
      <c r="K4" s="44">
        <f t="shared" ref="K4:K5" si="1">C4*I4</f>
        <v>21.215074564044404</v>
      </c>
      <c r="L4" s="44">
        <v>0.65200000000000002</v>
      </c>
      <c r="M4" s="44">
        <v>0.441</v>
      </c>
      <c r="N4" s="44">
        <v>9.7569999999999997</v>
      </c>
      <c r="O4" s="44">
        <f t="shared" ref="O4:O5" si="2">I4*M4</f>
        <v>0.49303800000000003</v>
      </c>
      <c r="P4" s="44">
        <f t="shared" ref="P4:P5" si="3">C4*N4</f>
        <v>185.1480165665306</v>
      </c>
      <c r="Q4" s="44">
        <f t="shared" ref="Q4:Q5" si="4">C4*O4</f>
        <v>9.355847882743582</v>
      </c>
      <c r="R4" s="44">
        <v>18.975916425800001</v>
      </c>
      <c r="S4" s="44">
        <v>1.7170000000000001</v>
      </c>
      <c r="T4" s="44">
        <v>0.151</v>
      </c>
      <c r="U4" s="44">
        <f t="shared" ref="U4:U5" si="5">R4*S4</f>
        <v>32.581648503098606</v>
      </c>
      <c r="V4" s="44">
        <f t="shared" ref="V4:V5" si="6">R4*T4</f>
        <v>2.8653633802958001</v>
      </c>
      <c r="W4" s="44">
        <v>0.115</v>
      </c>
      <c r="X4" s="44">
        <v>0.13463839999999999</v>
      </c>
    </row>
    <row r="5" spans="1:24" x14ac:dyDescent="0.25">
      <c r="A5" s="43">
        <v>57</v>
      </c>
      <c r="B5" s="43">
        <v>6</v>
      </c>
      <c r="C5" s="44">
        <v>2.1021262747499998E-2</v>
      </c>
      <c r="D5" s="43">
        <v>421</v>
      </c>
      <c r="E5" s="43">
        <v>57</v>
      </c>
      <c r="F5" s="43">
        <v>6</v>
      </c>
      <c r="G5" s="43" t="s">
        <v>109</v>
      </c>
      <c r="H5" s="44">
        <v>4.1885888810000003</v>
      </c>
      <c r="I5" s="44">
        <v>0.157</v>
      </c>
      <c r="J5" s="44">
        <f t="shared" si="0"/>
        <v>8.8049427408758013E-2</v>
      </c>
      <c r="K5" s="44">
        <f t="shared" si="1"/>
        <v>3.3003382513574998E-3</v>
      </c>
      <c r="L5" s="44">
        <v>0.66300000000000003</v>
      </c>
      <c r="M5" s="44">
        <v>0.46100000000000002</v>
      </c>
      <c r="N5" s="44">
        <v>2.778</v>
      </c>
      <c r="O5" s="44">
        <f t="shared" si="2"/>
        <v>7.2376999999999997E-2</v>
      </c>
      <c r="P5" s="44">
        <f t="shared" si="3"/>
        <v>5.8397067912554994E-2</v>
      </c>
      <c r="Q5" s="44">
        <f t="shared" si="4"/>
        <v>1.5214559338758073E-3</v>
      </c>
      <c r="R5" s="44">
        <v>2.1021262747499998E-2</v>
      </c>
      <c r="S5" s="44">
        <v>0.51</v>
      </c>
      <c r="T5" s="44">
        <v>2.3E-2</v>
      </c>
      <c r="U5" s="44">
        <f t="shared" si="5"/>
        <v>1.0720844001224999E-2</v>
      </c>
      <c r="V5" s="44">
        <f t="shared" si="6"/>
        <v>4.8348904319249996E-4</v>
      </c>
      <c r="W5" s="44">
        <v>0.122</v>
      </c>
      <c r="X5" s="44">
        <v>0.148932816</v>
      </c>
    </row>
    <row r="6" spans="1:24" x14ac:dyDescent="0.25">
      <c r="U6" s="44">
        <f>ROUND(SUM(U3:U5),1)</f>
        <v>32.799999999999997</v>
      </c>
      <c r="V6" s="44">
        <f>ROUND(SUM(V3:V5),1)</f>
        <v>2.9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F1" workbookViewId="0">
      <selection activeCell="F1" sqref="A1:XFD1"/>
    </sheetView>
  </sheetViews>
  <sheetFormatPr defaultRowHeight="15" x14ac:dyDescent="0.25"/>
  <cols>
    <col min="1" max="1" width="10.140625" style="43" bestFit="1" customWidth="1"/>
    <col min="2" max="2" width="9.28515625" style="43" bestFit="1" customWidth="1"/>
    <col min="3" max="3" width="14.7109375" style="44" bestFit="1" customWidth="1"/>
    <col min="4" max="4" width="4.85546875" style="43" bestFit="1" customWidth="1"/>
    <col min="5" max="5" width="4.28515625" style="43" bestFit="1" customWidth="1"/>
    <col min="6" max="6" width="8" style="43" bestFit="1" customWidth="1"/>
    <col min="7" max="7" width="9.85546875" style="43" bestFit="1" customWidth="1"/>
    <col min="8" max="8" width="14.7109375" style="44" bestFit="1" customWidth="1"/>
    <col min="9" max="9" width="13.7109375" style="44" bestFit="1" customWidth="1"/>
    <col min="10" max="10" width="16.7109375" style="44" bestFit="1" customWidth="1"/>
    <col min="11" max="11" width="15.7109375" style="44" bestFit="1" customWidth="1"/>
    <col min="12" max="15" width="13.7109375" style="44" bestFit="1" customWidth="1"/>
    <col min="16" max="16" width="16.7109375" style="44" bestFit="1" customWidth="1"/>
    <col min="17" max="17" width="15.7109375" style="44" bestFit="1" customWidth="1"/>
    <col min="18" max="18" width="14.7109375" style="44" bestFit="1" customWidth="1"/>
    <col min="19" max="20" width="13.7109375" style="44" bestFit="1" customWidth="1"/>
    <col min="21" max="21" width="15.7109375" style="44" bestFit="1" customWidth="1"/>
    <col min="22" max="24" width="13.7109375" style="44" bestFit="1" customWidth="1"/>
  </cols>
  <sheetData>
    <row r="1" spans="1:24" x14ac:dyDescent="0.25">
      <c r="H1" s="44" t="s">
        <v>94</v>
      </c>
      <c r="I1" s="44" t="s">
        <v>94</v>
      </c>
      <c r="J1" s="44" t="s">
        <v>95</v>
      </c>
      <c r="K1" s="44" t="s">
        <v>96</v>
      </c>
      <c r="L1" s="44" t="s">
        <v>97</v>
      </c>
      <c r="M1" s="44" t="s">
        <v>97</v>
      </c>
      <c r="N1" s="44" t="s">
        <v>98</v>
      </c>
      <c r="O1" s="44" t="s">
        <v>99</v>
      </c>
      <c r="P1" s="44" t="s">
        <v>100</v>
      </c>
      <c r="Q1" s="44" t="s">
        <v>101</v>
      </c>
      <c r="S1" s="44" t="s">
        <v>102</v>
      </c>
      <c r="T1" s="44" t="s">
        <v>102</v>
      </c>
      <c r="U1" s="44" t="s">
        <v>103</v>
      </c>
      <c r="V1" s="44" t="s">
        <v>104</v>
      </c>
      <c r="W1" s="44" t="s">
        <v>105</v>
      </c>
      <c r="X1" s="44" t="s">
        <v>106</v>
      </c>
    </row>
    <row r="2" spans="1:24" x14ac:dyDescent="0.25">
      <c r="A2" s="43" t="s">
        <v>69</v>
      </c>
      <c r="B2" s="43" t="s">
        <v>70</v>
      </c>
      <c r="C2" s="44" t="s">
        <v>71</v>
      </c>
      <c r="D2" s="43" t="s">
        <v>72</v>
      </c>
      <c r="E2" s="43" t="s">
        <v>73</v>
      </c>
      <c r="F2" s="43" t="s">
        <v>74</v>
      </c>
      <c r="G2" s="43" t="s">
        <v>75</v>
      </c>
      <c r="H2" s="44" t="s">
        <v>76</v>
      </c>
      <c r="I2" s="44" t="s">
        <v>77</v>
      </c>
      <c r="J2" s="44" t="s">
        <v>78</v>
      </c>
      <c r="K2" s="44" t="s">
        <v>79</v>
      </c>
      <c r="L2" s="44" t="s">
        <v>80</v>
      </c>
      <c r="M2" s="44" t="s">
        <v>81</v>
      </c>
      <c r="N2" s="44" t="s">
        <v>82</v>
      </c>
      <c r="O2" s="44" t="s">
        <v>83</v>
      </c>
      <c r="P2" s="44" t="s">
        <v>84</v>
      </c>
      <c r="Q2" s="44" t="s">
        <v>85</v>
      </c>
      <c r="R2" s="44" t="s">
        <v>86</v>
      </c>
      <c r="S2" s="44" t="s">
        <v>87</v>
      </c>
      <c r="T2" s="44" t="s">
        <v>88</v>
      </c>
      <c r="U2" s="44" t="s">
        <v>89</v>
      </c>
      <c r="V2" s="44" t="s">
        <v>90</v>
      </c>
      <c r="W2" s="44" t="s">
        <v>91</v>
      </c>
      <c r="X2" s="44" t="s">
        <v>92</v>
      </c>
    </row>
    <row r="3" spans="1:24" x14ac:dyDescent="0.25">
      <c r="A3" s="43">
        <v>58</v>
      </c>
      <c r="B3" s="43">
        <v>2</v>
      </c>
      <c r="C3" s="44">
        <v>0.308535170779</v>
      </c>
      <c r="D3" s="43">
        <v>427</v>
      </c>
      <c r="E3" s="43">
        <v>58</v>
      </c>
      <c r="F3" s="43">
        <v>2</v>
      </c>
      <c r="G3" s="43" t="s">
        <v>93</v>
      </c>
      <c r="H3" s="44">
        <v>9.8280533529999996</v>
      </c>
      <c r="I3" s="44">
        <v>0.44</v>
      </c>
      <c r="J3" s="44">
        <f>C3*H3</f>
        <v>3.0323001196929784</v>
      </c>
      <c r="K3" s="44">
        <f>C3*I3</f>
        <v>0.13575547514276001</v>
      </c>
      <c r="L3" s="44">
        <v>0.501</v>
      </c>
      <c r="M3" s="44">
        <v>0.315</v>
      </c>
      <c r="N3" s="44">
        <f>H3*L3</f>
        <v>4.9238547298529998</v>
      </c>
      <c r="O3" s="44">
        <f>I3*M3</f>
        <v>0.1386</v>
      </c>
      <c r="P3" s="44">
        <f>C3*N3</f>
        <v>1.5191823599661822</v>
      </c>
      <c r="Q3" s="44">
        <f>C3*O3</f>
        <v>4.2762974669969402E-2</v>
      </c>
      <c r="R3" s="44">
        <v>0.308535170779</v>
      </c>
      <c r="S3" s="44">
        <v>0.63300000000000001</v>
      </c>
      <c r="T3" s="44">
        <v>2.3E-2</v>
      </c>
      <c r="U3" s="44">
        <f>R3*S3</f>
        <v>0.19530276310310701</v>
      </c>
      <c r="V3" s="44">
        <f>R3*T3</f>
        <v>7.0963089279170001E-3</v>
      </c>
      <c r="W3" s="44">
        <f>U3/J3</f>
        <v>6.4407464760737956E-2</v>
      </c>
      <c r="X3" s="44">
        <f>V3/K3</f>
        <v>5.2272727272727269E-2</v>
      </c>
    </row>
    <row r="4" spans="1:24" x14ac:dyDescent="0.25">
      <c r="A4" s="43">
        <v>61</v>
      </c>
      <c r="B4" s="43">
        <v>2</v>
      </c>
      <c r="C4" s="44">
        <v>0.53402578195200001</v>
      </c>
      <c r="D4" s="43">
        <v>452</v>
      </c>
      <c r="E4" s="43">
        <v>61</v>
      </c>
      <c r="F4" s="43">
        <v>2</v>
      </c>
      <c r="G4" s="43" t="s">
        <v>93</v>
      </c>
      <c r="H4" s="44">
        <v>14.683583840000001</v>
      </c>
      <c r="I4" s="44">
        <v>0.84599999999999997</v>
      </c>
      <c r="J4" s="44">
        <f t="shared" ref="J4:J5" si="0">C4*H4</f>
        <v>7.8414123420137516</v>
      </c>
      <c r="K4" s="44">
        <f t="shared" ref="K4:K5" si="1">C4*I4</f>
        <v>0.45178581153139202</v>
      </c>
      <c r="L4" s="44">
        <v>0.52200000000000002</v>
      </c>
      <c r="M4" s="44">
        <v>0.45500000000000002</v>
      </c>
      <c r="N4" s="44">
        <f t="shared" ref="N4:N5" si="2">H4*L4</f>
        <v>7.6648307644800004</v>
      </c>
      <c r="O4" s="44">
        <f t="shared" ref="O4:O5" si="3">I4*M4</f>
        <v>0.38492999999999999</v>
      </c>
      <c r="P4" s="44">
        <f t="shared" ref="P4:P5" si="4">C4*N4</f>
        <v>4.0932172425311784</v>
      </c>
      <c r="Q4" s="44">
        <f t="shared" ref="Q4:Q5" si="5">C4*O4</f>
        <v>0.20556254424678336</v>
      </c>
      <c r="R4" s="44">
        <v>0.53402578195200001</v>
      </c>
      <c r="S4" s="44">
        <v>0.54900000000000004</v>
      </c>
      <c r="T4" s="44">
        <v>2.8000000000000001E-2</v>
      </c>
      <c r="U4" s="44">
        <f t="shared" ref="U4:U5" si="6">R4*S4</f>
        <v>0.29318015429164801</v>
      </c>
      <c r="V4" s="44">
        <f t="shared" ref="V4:V5" si="7">R4*T4</f>
        <v>1.4952721894656001E-2</v>
      </c>
      <c r="W4" s="44">
        <f t="shared" ref="W4:W5" si="8">U4/J4</f>
        <v>3.738869243246E-2</v>
      </c>
      <c r="X4" s="44">
        <f t="shared" ref="X4:X5" si="9">V4/K4</f>
        <v>3.309692671394799E-2</v>
      </c>
    </row>
    <row r="5" spans="1:24" x14ac:dyDescent="0.25">
      <c r="A5" s="43">
        <v>62</v>
      </c>
      <c r="B5" s="43">
        <v>2</v>
      </c>
      <c r="C5" s="44">
        <v>27.632695337600001</v>
      </c>
      <c r="D5" s="43">
        <v>456</v>
      </c>
      <c r="E5" s="43">
        <v>62</v>
      </c>
      <c r="F5" s="43">
        <v>2</v>
      </c>
      <c r="G5" s="43" t="s">
        <v>93</v>
      </c>
      <c r="H5" s="44">
        <v>5.1315156589999997</v>
      </c>
      <c r="I5" s="44">
        <v>0.314</v>
      </c>
      <c r="J5" s="44">
        <f t="shared" si="0"/>
        <v>141.79760882527069</v>
      </c>
      <c r="K5" s="44">
        <f t="shared" si="1"/>
        <v>8.6766663360064005</v>
      </c>
      <c r="L5" s="44">
        <v>0.35799999999999998</v>
      </c>
      <c r="M5" s="44">
        <v>0.21099999999999999</v>
      </c>
      <c r="N5" s="44">
        <f t="shared" si="2"/>
        <v>1.8370826059219998</v>
      </c>
      <c r="O5" s="44">
        <f t="shared" si="3"/>
        <v>6.6253999999999993E-2</v>
      </c>
      <c r="P5" s="44">
        <f t="shared" si="4"/>
        <v>50.763543959446906</v>
      </c>
      <c r="Q5" s="44">
        <f t="shared" si="5"/>
        <v>1.8307765968973504</v>
      </c>
      <c r="R5" s="44">
        <v>27.632695337600001</v>
      </c>
      <c r="S5" s="44">
        <v>7.5999999999999998E-2</v>
      </c>
      <c r="T5" s="44">
        <v>3.0000000000000001E-3</v>
      </c>
      <c r="U5" s="44">
        <f t="shared" si="6"/>
        <v>2.1000848456576002</v>
      </c>
      <c r="V5" s="44">
        <f t="shared" si="7"/>
        <v>8.2898086012800007E-2</v>
      </c>
      <c r="W5" s="44">
        <f t="shared" si="8"/>
        <v>1.4810439069148324E-2</v>
      </c>
      <c r="X5" s="44">
        <f t="shared" si="9"/>
        <v>9.5541401273885346E-3</v>
      </c>
    </row>
    <row r="6" spans="1:24" x14ac:dyDescent="0.25">
      <c r="U6" s="44">
        <f>ROUND(SUM(U3:U5),1)</f>
        <v>2.6</v>
      </c>
      <c r="V6" s="44">
        <f>ROUND(SUM(V3:V5),1)</f>
        <v>0.1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opLeftCell="F1" workbookViewId="0">
      <selection activeCell="F1" sqref="A1:XFD1"/>
    </sheetView>
  </sheetViews>
  <sheetFormatPr defaultRowHeight="15" x14ac:dyDescent="0.25"/>
  <cols>
    <col min="1" max="1" width="10.140625" style="43" bestFit="1" customWidth="1"/>
    <col min="2" max="2" width="9.28515625" style="43" bestFit="1" customWidth="1"/>
    <col min="3" max="3" width="14.7109375" style="44" bestFit="1" customWidth="1"/>
    <col min="4" max="4" width="4.85546875" style="43" bestFit="1" customWidth="1"/>
    <col min="5" max="5" width="4.28515625" style="43" bestFit="1" customWidth="1"/>
    <col min="6" max="6" width="8" style="43" bestFit="1" customWidth="1"/>
    <col min="7" max="7" width="9.85546875" style="43" bestFit="1" customWidth="1"/>
    <col min="8" max="8" width="14.7109375" style="44" bestFit="1" customWidth="1"/>
    <col min="9" max="9" width="13.7109375" style="44" bestFit="1" customWidth="1"/>
    <col min="10" max="10" width="16.7109375" style="44" bestFit="1" customWidth="1"/>
    <col min="11" max="11" width="15.7109375" style="44" bestFit="1" customWidth="1"/>
    <col min="12" max="15" width="13.7109375" style="44" bestFit="1" customWidth="1"/>
    <col min="16" max="16" width="16.7109375" style="44" bestFit="1" customWidth="1"/>
    <col min="17" max="17" width="15.7109375" style="44" bestFit="1" customWidth="1"/>
    <col min="18" max="18" width="14.7109375" style="44" bestFit="1" customWidth="1"/>
    <col min="19" max="20" width="13.7109375" style="44" bestFit="1" customWidth="1"/>
    <col min="21" max="21" width="15.7109375" style="44" bestFit="1" customWidth="1"/>
    <col min="22" max="24" width="13.7109375" style="44" bestFit="1" customWidth="1"/>
  </cols>
  <sheetData>
    <row r="1" spans="1:24" x14ac:dyDescent="0.25">
      <c r="H1" s="44" t="s">
        <v>94</v>
      </c>
      <c r="I1" s="44" t="s">
        <v>94</v>
      </c>
      <c r="J1" s="44" t="s">
        <v>95</v>
      </c>
      <c r="K1" s="44" t="s">
        <v>96</v>
      </c>
      <c r="L1" s="44" t="s">
        <v>97</v>
      </c>
      <c r="M1" s="44" t="s">
        <v>97</v>
      </c>
      <c r="N1" s="44" t="s">
        <v>98</v>
      </c>
      <c r="O1" s="44" t="s">
        <v>99</v>
      </c>
      <c r="P1" s="44" t="s">
        <v>100</v>
      </c>
      <c r="Q1" s="44" t="s">
        <v>101</v>
      </c>
      <c r="S1" s="44" t="s">
        <v>102</v>
      </c>
      <c r="T1" s="44" t="s">
        <v>102</v>
      </c>
      <c r="U1" s="44" t="s">
        <v>103</v>
      </c>
      <c r="V1" s="44" t="s">
        <v>104</v>
      </c>
      <c r="W1" s="44" t="s">
        <v>105</v>
      </c>
      <c r="X1" s="44" t="s">
        <v>106</v>
      </c>
    </row>
    <row r="2" spans="1:24" x14ac:dyDescent="0.25">
      <c r="A2" s="43" t="s">
        <v>69</v>
      </c>
      <c r="B2" s="43" t="s">
        <v>70</v>
      </c>
      <c r="C2" s="44" t="s">
        <v>71</v>
      </c>
      <c r="D2" s="43" t="s">
        <v>72</v>
      </c>
      <c r="E2" s="43" t="s">
        <v>73</v>
      </c>
      <c r="F2" s="43" t="s">
        <v>74</v>
      </c>
      <c r="G2" s="43" t="s">
        <v>75</v>
      </c>
      <c r="H2" s="44" t="s">
        <v>76</v>
      </c>
      <c r="I2" s="44" t="s">
        <v>77</v>
      </c>
      <c r="J2" s="44" t="s">
        <v>78</v>
      </c>
      <c r="K2" s="44" t="s">
        <v>79</v>
      </c>
      <c r="L2" s="44" t="s">
        <v>80</v>
      </c>
      <c r="M2" s="44" t="s">
        <v>81</v>
      </c>
      <c r="N2" s="44" t="s">
        <v>82</v>
      </c>
      <c r="O2" s="44" t="s">
        <v>83</v>
      </c>
      <c r="P2" s="44" t="s">
        <v>84</v>
      </c>
      <c r="Q2" s="44" t="s">
        <v>85</v>
      </c>
      <c r="R2" s="44" t="s">
        <v>86</v>
      </c>
      <c r="S2" s="44" t="s">
        <v>87</v>
      </c>
      <c r="T2" s="44" t="s">
        <v>88</v>
      </c>
      <c r="U2" s="44" t="s">
        <v>89</v>
      </c>
      <c r="V2" s="44" t="s">
        <v>90</v>
      </c>
      <c r="W2" s="44" t="s">
        <v>91</v>
      </c>
      <c r="X2" s="44" t="s">
        <v>92</v>
      </c>
    </row>
    <row r="3" spans="1:24" x14ac:dyDescent="0.25">
      <c r="A3" s="43">
        <v>61</v>
      </c>
      <c r="B3" s="43">
        <v>2</v>
      </c>
      <c r="C3" s="44">
        <v>25.322615141499998</v>
      </c>
      <c r="D3" s="43">
        <v>452</v>
      </c>
      <c r="E3" s="43">
        <v>61</v>
      </c>
      <c r="F3" s="43">
        <v>2</v>
      </c>
      <c r="G3" s="43" t="s">
        <v>93</v>
      </c>
      <c r="H3" s="44">
        <v>14.683583840000001</v>
      </c>
      <c r="I3" s="44">
        <v>0.84599999999999997</v>
      </c>
      <c r="J3" s="44">
        <f>C3*H3</f>
        <v>371.82674247826873</v>
      </c>
      <c r="K3" s="44">
        <f>C3*I3</f>
        <v>21.422932409708999</v>
      </c>
      <c r="L3" s="44">
        <v>0.52200000000000002</v>
      </c>
      <c r="M3" s="44">
        <v>0.45500000000000002</v>
      </c>
      <c r="N3" s="44">
        <f>H3*L3</f>
        <v>7.6648307644800004</v>
      </c>
      <c r="O3" s="44">
        <f>I3*M3</f>
        <v>0.38492999999999999</v>
      </c>
      <c r="P3" s="44">
        <f>C3*N3</f>
        <v>194.09355957365628</v>
      </c>
      <c r="Q3" s="44">
        <f>N3*O3</f>
        <v>2.9504233061712863</v>
      </c>
      <c r="R3" s="44">
        <v>25.322615141499998</v>
      </c>
      <c r="S3" s="44">
        <v>0.54900000000000004</v>
      </c>
      <c r="T3" s="44">
        <v>2.8000000000000001E-2</v>
      </c>
      <c r="U3" s="44">
        <f>R3*S3</f>
        <v>13.9021157126835</v>
      </c>
      <c r="V3" s="44">
        <f>R3*T3</f>
        <v>0.70903322396199997</v>
      </c>
      <c r="W3" s="44">
        <f>U3/J3</f>
        <v>3.738869243246E-2</v>
      </c>
      <c r="X3" s="44">
        <f>V3/K3</f>
        <v>3.309692671394799E-2</v>
      </c>
    </row>
    <row r="4" spans="1:24" x14ac:dyDescent="0.25">
      <c r="A4" s="43">
        <v>62</v>
      </c>
      <c r="B4" s="43">
        <v>2</v>
      </c>
      <c r="C4" s="44">
        <v>2.5664492272100001E-3</v>
      </c>
      <c r="D4" s="43">
        <v>456</v>
      </c>
      <c r="E4" s="43">
        <v>62</v>
      </c>
      <c r="F4" s="43">
        <v>2</v>
      </c>
      <c r="G4" s="43" t="s">
        <v>93</v>
      </c>
      <c r="H4" s="44">
        <v>5.1315156589999997</v>
      </c>
      <c r="I4" s="44">
        <v>0.314</v>
      </c>
      <c r="J4" s="44">
        <f>C4*H4</f>
        <v>1.3169774397456565E-2</v>
      </c>
      <c r="K4" s="44">
        <f>C4*I4</f>
        <v>8.0586505734394004E-4</v>
      </c>
      <c r="L4" s="44">
        <v>0.35799999999999998</v>
      </c>
      <c r="M4" s="44">
        <v>0.21099999999999999</v>
      </c>
      <c r="N4" s="44">
        <f>H4*L4</f>
        <v>1.8370826059219998</v>
      </c>
      <c r="O4" s="44">
        <f>I4*M4</f>
        <v>6.6253999999999993E-2</v>
      </c>
      <c r="P4" s="44">
        <f>C4*N4</f>
        <v>4.7147792342894495E-3</v>
      </c>
      <c r="Q4" s="44">
        <f>N4*O4</f>
        <v>0.12171407097275616</v>
      </c>
      <c r="R4" s="44">
        <v>2.5664492272100001E-3</v>
      </c>
      <c r="S4" s="44">
        <v>7.5999999999999998E-2</v>
      </c>
      <c r="T4" s="44">
        <v>3.0000000000000001E-3</v>
      </c>
      <c r="U4" s="44">
        <f>R4*S4</f>
        <v>1.9505014126796E-4</v>
      </c>
      <c r="V4" s="44">
        <f>R4*T4</f>
        <v>7.6993476816300009E-6</v>
      </c>
      <c r="W4" s="44">
        <f>U4/J4</f>
        <v>1.4810439069148322E-2</v>
      </c>
      <c r="X4" s="44">
        <f>V4/K4</f>
        <v>9.5541401273885364E-3</v>
      </c>
    </row>
    <row r="5" spans="1:24" x14ac:dyDescent="0.25">
      <c r="U5" s="44">
        <f>ROUND(SUM(U3:U4),1)</f>
        <v>13.9</v>
      </c>
      <c r="V5" s="44">
        <f>ROUND(SUM(V3:V4),1)</f>
        <v>0.7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topLeftCell="L1" workbookViewId="0">
      <selection activeCell="U4" sqref="U4:V4"/>
    </sheetView>
  </sheetViews>
  <sheetFormatPr defaultRowHeight="15" x14ac:dyDescent="0.25"/>
  <cols>
    <col min="1" max="1" width="10.140625" style="43" bestFit="1" customWidth="1"/>
    <col min="2" max="2" width="9.28515625" style="43" bestFit="1" customWidth="1"/>
    <col min="3" max="3" width="14.7109375" style="44" bestFit="1" customWidth="1"/>
    <col min="4" max="4" width="4.85546875" style="43" bestFit="1" customWidth="1"/>
    <col min="5" max="5" width="4.28515625" style="43" bestFit="1" customWidth="1"/>
    <col min="6" max="6" width="8" style="43" bestFit="1" customWidth="1"/>
    <col min="7" max="7" width="9.85546875" style="43" bestFit="1" customWidth="1"/>
    <col min="8" max="8" width="14.7109375" style="44" bestFit="1" customWidth="1"/>
    <col min="9" max="9" width="13.7109375" style="44" bestFit="1" customWidth="1"/>
    <col min="10" max="10" width="16.7109375" style="44" bestFit="1" customWidth="1"/>
    <col min="11" max="11" width="15.7109375" style="44" bestFit="1" customWidth="1"/>
    <col min="12" max="15" width="13.7109375" style="44" bestFit="1" customWidth="1"/>
    <col min="16" max="16" width="16.7109375" style="44" bestFit="1" customWidth="1"/>
    <col min="17" max="17" width="15.7109375" style="44" bestFit="1" customWidth="1"/>
    <col min="18" max="18" width="14.7109375" style="44" bestFit="1" customWidth="1"/>
    <col min="19" max="20" width="13.7109375" style="44" bestFit="1" customWidth="1"/>
    <col min="21" max="21" width="16.7109375" style="44" bestFit="1" customWidth="1"/>
    <col min="22" max="22" width="15.7109375" style="44" bestFit="1" customWidth="1"/>
    <col min="23" max="24" width="13.7109375" style="44" bestFit="1" customWidth="1"/>
  </cols>
  <sheetData>
    <row r="1" spans="1:24" x14ac:dyDescent="0.25">
      <c r="H1" s="44" t="s">
        <v>94</v>
      </c>
      <c r="I1" s="44" t="s">
        <v>94</v>
      </c>
      <c r="J1" s="44" t="s">
        <v>95</v>
      </c>
      <c r="K1" s="44" t="s">
        <v>96</v>
      </c>
      <c r="L1" s="44" t="s">
        <v>97</v>
      </c>
      <c r="M1" s="44" t="s">
        <v>97</v>
      </c>
      <c r="N1" s="44" t="s">
        <v>98</v>
      </c>
      <c r="O1" s="44" t="s">
        <v>99</v>
      </c>
      <c r="P1" s="44" t="s">
        <v>100</v>
      </c>
      <c r="Q1" s="44" t="s">
        <v>101</v>
      </c>
      <c r="S1" s="44" t="s">
        <v>102</v>
      </c>
      <c r="T1" s="44" t="s">
        <v>102</v>
      </c>
      <c r="U1" s="44" t="s">
        <v>103</v>
      </c>
      <c r="V1" s="44" t="s">
        <v>104</v>
      </c>
      <c r="W1" s="44" t="s">
        <v>105</v>
      </c>
      <c r="X1" s="44" t="s">
        <v>106</v>
      </c>
    </row>
    <row r="2" spans="1:24" x14ac:dyDescent="0.25">
      <c r="A2" s="43" t="s">
        <v>69</v>
      </c>
      <c r="B2" s="43" t="s">
        <v>70</v>
      </c>
      <c r="C2" s="44" t="s">
        <v>71</v>
      </c>
      <c r="D2" s="43" t="s">
        <v>72</v>
      </c>
      <c r="E2" s="43" t="s">
        <v>73</v>
      </c>
      <c r="F2" s="43" t="s">
        <v>74</v>
      </c>
      <c r="G2" s="43" t="s">
        <v>75</v>
      </c>
      <c r="H2" s="44" t="s">
        <v>76</v>
      </c>
      <c r="I2" s="44" t="s">
        <v>77</v>
      </c>
      <c r="J2" s="44" t="s">
        <v>78</v>
      </c>
      <c r="K2" s="44" t="s">
        <v>79</v>
      </c>
      <c r="L2" s="44" t="s">
        <v>80</v>
      </c>
      <c r="M2" s="44" t="s">
        <v>81</v>
      </c>
      <c r="N2" s="44" t="s">
        <v>82</v>
      </c>
      <c r="O2" s="44" t="s">
        <v>83</v>
      </c>
      <c r="P2" s="44" t="s">
        <v>84</v>
      </c>
      <c r="Q2" s="44" t="s">
        <v>85</v>
      </c>
      <c r="R2" s="44" t="s">
        <v>86</v>
      </c>
      <c r="S2" s="44" t="s">
        <v>87</v>
      </c>
      <c r="T2" s="44" t="s">
        <v>88</v>
      </c>
      <c r="U2" s="44" t="s">
        <v>89</v>
      </c>
      <c r="V2" s="44" t="s">
        <v>90</v>
      </c>
      <c r="W2" s="44" t="s">
        <v>91</v>
      </c>
      <c r="X2" s="44" t="s">
        <v>92</v>
      </c>
    </row>
    <row r="3" spans="1:24" x14ac:dyDescent="0.25">
      <c r="A3" s="43">
        <v>51</v>
      </c>
      <c r="B3" s="43">
        <v>2</v>
      </c>
      <c r="C3" s="44">
        <v>22.3800985287</v>
      </c>
      <c r="D3" s="43">
        <v>381</v>
      </c>
      <c r="E3" s="43">
        <v>51</v>
      </c>
      <c r="F3" s="43">
        <v>2</v>
      </c>
      <c r="G3" s="43" t="s">
        <v>93</v>
      </c>
      <c r="H3" s="44">
        <v>12.31181539</v>
      </c>
      <c r="I3" s="44">
        <v>0.61</v>
      </c>
      <c r="J3" s="44">
        <f>C3*H3</f>
        <v>275.539641495365</v>
      </c>
      <c r="K3" s="44">
        <f>C3*I3</f>
        <v>13.651860102506999</v>
      </c>
      <c r="L3" s="44">
        <v>0.47099999999999997</v>
      </c>
      <c r="M3" s="44">
        <v>0.624</v>
      </c>
      <c r="N3" s="44">
        <f>H3*L3</f>
        <v>5.7988650486899997</v>
      </c>
      <c r="O3" s="44">
        <f>I3*M3</f>
        <v>0.38063999999999998</v>
      </c>
      <c r="P3" s="44">
        <f>C3*N3</f>
        <v>129.7791711443169</v>
      </c>
      <c r="Q3" s="44">
        <f>C3*O3</f>
        <v>8.518760703964368</v>
      </c>
      <c r="R3" s="44">
        <v>22.3800985287</v>
      </c>
      <c r="S3" s="44">
        <v>2.1040000000000001</v>
      </c>
      <c r="T3" s="44">
        <v>0.14699999999999999</v>
      </c>
      <c r="U3" s="44">
        <f>R3*S3</f>
        <v>47.087727304384799</v>
      </c>
      <c r="V3" s="44">
        <f>R3*T3</f>
        <v>3.2898744837188998</v>
      </c>
      <c r="W3" s="44">
        <v>0.17100000000000001</v>
      </c>
      <c r="X3" s="44">
        <v>0.241177222</v>
      </c>
    </row>
    <row r="4" spans="1:24" x14ac:dyDescent="0.25">
      <c r="U4" s="44">
        <f>ROUND(U3,1)</f>
        <v>47.1</v>
      </c>
      <c r="V4" s="44">
        <f>ROUND(V3,1)</f>
        <v>3.3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opLeftCell="G1" workbookViewId="0">
      <selection activeCell="G1" sqref="A1:XFD1"/>
    </sheetView>
  </sheetViews>
  <sheetFormatPr defaultRowHeight="15" x14ac:dyDescent="0.25"/>
  <cols>
    <col min="1" max="1" width="10.140625" style="43" bestFit="1" customWidth="1"/>
    <col min="2" max="2" width="9.28515625" style="43" bestFit="1" customWidth="1"/>
    <col min="3" max="3" width="15.7109375" style="44" bestFit="1" customWidth="1"/>
    <col min="4" max="4" width="4.85546875" style="43" bestFit="1" customWidth="1"/>
    <col min="5" max="5" width="4.28515625" style="43" bestFit="1" customWidth="1"/>
    <col min="6" max="6" width="8" style="43" bestFit="1" customWidth="1"/>
    <col min="7" max="7" width="9.85546875" style="43" bestFit="1" customWidth="1"/>
    <col min="8" max="8" width="14.7109375" style="44" bestFit="1" customWidth="1"/>
    <col min="9" max="9" width="13.7109375" style="44" bestFit="1" customWidth="1"/>
    <col min="10" max="10" width="16.7109375" style="44" bestFit="1" customWidth="1"/>
    <col min="11" max="11" width="15.7109375" style="44" bestFit="1" customWidth="1"/>
    <col min="12" max="13" width="13.7109375" style="44" bestFit="1" customWidth="1"/>
    <col min="14" max="14" width="14.7109375" style="44" bestFit="1" customWidth="1"/>
    <col min="15" max="15" width="13.7109375" style="44" bestFit="1" customWidth="1"/>
    <col min="16" max="16" width="16.7109375" style="44" bestFit="1" customWidth="1"/>
    <col min="17" max="18" width="15.7109375" style="44" bestFit="1" customWidth="1"/>
    <col min="19" max="19" width="14.7109375" style="44" bestFit="1" customWidth="1"/>
    <col min="20" max="20" width="13.7109375" style="44" bestFit="1" customWidth="1"/>
    <col min="21" max="21" width="16.7109375" style="44" bestFit="1" customWidth="1"/>
    <col min="22" max="22" width="15.7109375" style="44" bestFit="1" customWidth="1"/>
    <col min="23" max="24" width="13.7109375" style="44" bestFit="1" customWidth="1"/>
  </cols>
  <sheetData>
    <row r="1" spans="1:24" x14ac:dyDescent="0.25">
      <c r="H1" s="44" t="s">
        <v>94</v>
      </c>
      <c r="I1" s="44" t="s">
        <v>94</v>
      </c>
      <c r="J1" s="44" t="s">
        <v>95</v>
      </c>
      <c r="K1" s="44" t="s">
        <v>96</v>
      </c>
      <c r="L1" s="44" t="s">
        <v>97</v>
      </c>
      <c r="M1" s="44" t="s">
        <v>97</v>
      </c>
      <c r="N1" s="44" t="s">
        <v>98</v>
      </c>
      <c r="O1" s="44" t="s">
        <v>99</v>
      </c>
      <c r="P1" s="44" t="s">
        <v>100</v>
      </c>
      <c r="Q1" s="44" t="s">
        <v>101</v>
      </c>
      <c r="S1" s="44" t="s">
        <v>102</v>
      </c>
      <c r="T1" s="44" t="s">
        <v>102</v>
      </c>
      <c r="U1" s="44" t="s">
        <v>103</v>
      </c>
      <c r="V1" s="44" t="s">
        <v>104</v>
      </c>
      <c r="W1" s="44" t="s">
        <v>105</v>
      </c>
      <c r="X1" s="44" t="s">
        <v>106</v>
      </c>
    </row>
    <row r="2" spans="1:24" x14ac:dyDescent="0.25">
      <c r="A2" s="43" t="s">
        <v>69</v>
      </c>
      <c r="B2" s="43" t="s">
        <v>70</v>
      </c>
      <c r="C2" s="44" t="s">
        <v>71</v>
      </c>
      <c r="D2" s="43" t="s">
        <v>72</v>
      </c>
      <c r="E2" s="43" t="s">
        <v>73</v>
      </c>
      <c r="F2" s="43" t="s">
        <v>74</v>
      </c>
      <c r="G2" s="43" t="s">
        <v>75</v>
      </c>
      <c r="H2" s="44" t="s">
        <v>76</v>
      </c>
      <c r="I2" s="44" t="s">
        <v>77</v>
      </c>
      <c r="J2" s="44" t="s">
        <v>78</v>
      </c>
      <c r="K2" s="44" t="s">
        <v>79</v>
      </c>
      <c r="L2" s="44" t="s">
        <v>80</v>
      </c>
      <c r="M2" s="44" t="s">
        <v>81</v>
      </c>
      <c r="N2" s="44" t="s">
        <v>82</v>
      </c>
      <c r="O2" s="44" t="s">
        <v>83</v>
      </c>
      <c r="P2" s="44" t="s">
        <v>84</v>
      </c>
      <c r="Q2" s="44" t="s">
        <v>85</v>
      </c>
      <c r="R2" s="44" t="s">
        <v>86</v>
      </c>
      <c r="S2" s="44" t="s">
        <v>87</v>
      </c>
      <c r="T2" s="44" t="s">
        <v>88</v>
      </c>
      <c r="U2" s="44" t="s">
        <v>89</v>
      </c>
      <c r="V2" s="44" t="s">
        <v>90</v>
      </c>
      <c r="W2" s="44" t="s">
        <v>91</v>
      </c>
      <c r="X2" s="44" t="s">
        <v>92</v>
      </c>
    </row>
    <row r="3" spans="1:24" x14ac:dyDescent="0.25">
      <c r="A3" s="43">
        <v>49</v>
      </c>
      <c r="B3" s="43">
        <v>2</v>
      </c>
      <c r="C3" s="44">
        <v>114.11947476500001</v>
      </c>
      <c r="D3" s="43">
        <v>364</v>
      </c>
      <c r="E3" s="43">
        <v>49</v>
      </c>
      <c r="F3" s="43">
        <v>2</v>
      </c>
      <c r="G3" s="43" t="s">
        <v>93</v>
      </c>
      <c r="H3" s="44">
        <v>15.707751890000001</v>
      </c>
      <c r="I3" s="44">
        <v>0.86299999999999999</v>
      </c>
      <c r="J3" s="44">
        <f>C3*H3</f>
        <v>1792.5603954257363</v>
      </c>
      <c r="K3" s="44">
        <f>C3*I3</f>
        <v>98.485106722194999</v>
      </c>
      <c r="L3" s="44">
        <v>0.96799999999999997</v>
      </c>
      <c r="M3" s="44">
        <v>0.95199999999999996</v>
      </c>
      <c r="N3" s="44">
        <f>H3*L3</f>
        <v>15.205103829520001</v>
      </c>
      <c r="O3" s="44">
        <f>I3*M3</f>
        <v>0.82157599999999997</v>
      </c>
      <c r="P3" s="44">
        <f>C3*N3</f>
        <v>1735.1984627721126</v>
      </c>
      <c r="Q3" s="44">
        <f>C3*O3</f>
        <v>93.757821599529649</v>
      </c>
      <c r="R3" s="44">
        <v>114.11947476500001</v>
      </c>
      <c r="S3" s="44">
        <v>5.468</v>
      </c>
      <c r="T3" s="44">
        <v>0.32300000000000001</v>
      </c>
      <c r="U3" s="44">
        <f>R3*S3</f>
        <v>624.00528801502003</v>
      </c>
      <c r="V3" s="44">
        <f>R3*T3</f>
        <v>36.860590349095006</v>
      </c>
      <c r="W3" s="44">
        <f>U3/J3</f>
        <v>0.34810837593386507</v>
      </c>
      <c r="X3" s="44">
        <f>V3/K3</f>
        <v>0.37427578215527235</v>
      </c>
    </row>
    <row r="4" spans="1:24" x14ac:dyDescent="0.25">
      <c r="A4" s="43">
        <v>49</v>
      </c>
      <c r="B4" s="43">
        <v>3</v>
      </c>
      <c r="C4" s="44">
        <v>0.86624738596600004</v>
      </c>
      <c r="D4" s="43">
        <v>365</v>
      </c>
      <c r="E4" s="43">
        <v>49</v>
      </c>
      <c r="F4" s="43">
        <v>3</v>
      </c>
      <c r="G4" s="43" t="s">
        <v>107</v>
      </c>
      <c r="H4" s="44">
        <v>33.503786609999999</v>
      </c>
      <c r="I4" s="44">
        <v>2.8580000000000001</v>
      </c>
      <c r="J4" s="44">
        <f t="shared" ref="J4:J10" si="0">C4*H4</f>
        <v>29.022567570875172</v>
      </c>
      <c r="K4" s="44">
        <f t="shared" ref="K4:K10" si="1">C4*I4</f>
        <v>2.4757350290908282</v>
      </c>
      <c r="L4" s="44">
        <v>0.96799999999999997</v>
      </c>
      <c r="M4" s="44">
        <v>0.95099999999999996</v>
      </c>
      <c r="N4" s="44">
        <f t="shared" ref="N4:N10" si="2">H4*L4</f>
        <v>32.431665438479996</v>
      </c>
      <c r="O4" s="44">
        <f t="shared" ref="O4:O10" si="3">I4*M4</f>
        <v>2.7179579999999999</v>
      </c>
      <c r="P4" s="44">
        <f t="shared" ref="P4:P10" si="4">C4*N4</f>
        <v>28.093845408607166</v>
      </c>
      <c r="Q4" s="44">
        <f t="shared" ref="Q4:Q10" si="5">C4*O4</f>
        <v>2.3544240126653775</v>
      </c>
      <c r="R4" s="44">
        <v>0.86624738596600004</v>
      </c>
      <c r="S4" s="44">
        <v>11.653</v>
      </c>
      <c r="T4" s="44">
        <v>1.0860000000000001</v>
      </c>
      <c r="U4" s="44">
        <f t="shared" ref="U4:U10" si="6">R4*S4</f>
        <v>10.094380788661798</v>
      </c>
      <c r="V4" s="44">
        <f t="shared" ref="V4:V10" si="7">R4*T4</f>
        <v>0.94074466115907607</v>
      </c>
      <c r="W4" s="44">
        <f t="shared" ref="W4:W10" si="8">U4/J4</f>
        <v>0.34781143205233661</v>
      </c>
      <c r="X4" s="44">
        <f t="shared" ref="X4:X10" si="9">V4/K4</f>
        <v>0.37998600419874035</v>
      </c>
    </row>
    <row r="5" spans="1:24" x14ac:dyDescent="0.25">
      <c r="A5" s="43">
        <v>49</v>
      </c>
      <c r="B5" s="43">
        <v>4</v>
      </c>
      <c r="C5" s="44">
        <v>17.916699791700001</v>
      </c>
      <c r="D5" s="43">
        <v>366</v>
      </c>
      <c r="E5" s="43">
        <v>49</v>
      </c>
      <c r="F5" s="43">
        <v>4</v>
      </c>
      <c r="G5" s="43" t="s">
        <v>108</v>
      </c>
      <c r="H5" s="44">
        <v>19.432149599999999</v>
      </c>
      <c r="I5" s="44">
        <v>1.921</v>
      </c>
      <c r="J5" s="44">
        <f t="shared" si="0"/>
        <v>348.15999069060325</v>
      </c>
      <c r="K5" s="44">
        <f t="shared" si="1"/>
        <v>34.417980299855699</v>
      </c>
      <c r="L5" s="44">
        <v>0.96799999999999997</v>
      </c>
      <c r="M5" s="44">
        <v>0.95099999999999996</v>
      </c>
      <c r="N5" s="44">
        <f t="shared" si="2"/>
        <v>18.810320812799997</v>
      </c>
      <c r="O5" s="44">
        <f t="shared" si="3"/>
        <v>1.8268709999999999</v>
      </c>
      <c r="P5" s="44">
        <f t="shared" si="4"/>
        <v>337.01887098850392</v>
      </c>
      <c r="Q5" s="44">
        <f t="shared" si="5"/>
        <v>32.731499265162768</v>
      </c>
      <c r="R5" s="44">
        <v>17.916699791700001</v>
      </c>
      <c r="S5" s="44">
        <v>6.6829999999999998</v>
      </c>
      <c r="T5" s="44">
        <v>0.71199999999999997</v>
      </c>
      <c r="U5" s="44">
        <f t="shared" si="6"/>
        <v>119.7373047079311</v>
      </c>
      <c r="V5" s="44">
        <f t="shared" si="7"/>
        <v>12.756690251690401</v>
      </c>
      <c r="W5" s="44">
        <f t="shared" si="8"/>
        <v>0.3439146022218767</v>
      </c>
      <c r="X5" s="44">
        <f t="shared" si="9"/>
        <v>0.37064029151483607</v>
      </c>
    </row>
    <row r="6" spans="1:24" x14ac:dyDescent="0.25">
      <c r="A6" s="43">
        <v>49</v>
      </c>
      <c r="B6" s="43">
        <v>6</v>
      </c>
      <c r="C6" s="44">
        <v>0.66401117586400005</v>
      </c>
      <c r="D6" s="43">
        <v>367</v>
      </c>
      <c r="E6" s="43">
        <v>49</v>
      </c>
      <c r="F6" s="43">
        <v>6</v>
      </c>
      <c r="G6" s="43" t="s">
        <v>109</v>
      </c>
      <c r="H6" s="44">
        <v>8.9839368840000002</v>
      </c>
      <c r="I6" s="44">
        <v>0.45400000000000001</v>
      </c>
      <c r="J6" s="44">
        <f t="shared" si="0"/>
        <v>5.9654344942328006</v>
      </c>
      <c r="K6" s="44">
        <f t="shared" si="1"/>
        <v>0.30146107384225601</v>
      </c>
      <c r="L6" s="44">
        <v>0.96799999999999997</v>
      </c>
      <c r="M6" s="44">
        <v>0.95299999999999996</v>
      </c>
      <c r="N6" s="44">
        <f t="shared" si="2"/>
        <v>8.6964509037119999</v>
      </c>
      <c r="O6" s="44">
        <f t="shared" si="3"/>
        <v>0.43266199999999999</v>
      </c>
      <c r="P6" s="44">
        <f t="shared" si="4"/>
        <v>5.7745405904173506</v>
      </c>
      <c r="Q6" s="44">
        <f t="shared" si="5"/>
        <v>0.28729240337167</v>
      </c>
      <c r="R6" s="44">
        <v>0.66401117586400005</v>
      </c>
      <c r="S6" s="44">
        <v>3.15</v>
      </c>
      <c r="T6" s="44">
        <v>0.17399999999999999</v>
      </c>
      <c r="U6" s="44">
        <f t="shared" si="6"/>
        <v>2.0916352039716002</v>
      </c>
      <c r="V6" s="44">
        <f t="shared" si="7"/>
        <v>0.11553794460033601</v>
      </c>
      <c r="W6" s="44">
        <f t="shared" si="8"/>
        <v>0.35062579364398838</v>
      </c>
      <c r="X6" s="44">
        <f t="shared" si="9"/>
        <v>0.38325991189427311</v>
      </c>
    </row>
    <row r="7" spans="1:24" x14ac:dyDescent="0.25">
      <c r="A7" s="43">
        <v>49</v>
      </c>
      <c r="B7" s="43">
        <v>12</v>
      </c>
      <c r="C7" s="44">
        <v>3.5424002040499998</v>
      </c>
      <c r="D7" s="43">
        <v>369</v>
      </c>
      <c r="E7" s="43">
        <v>49</v>
      </c>
      <c r="F7" s="43">
        <v>12</v>
      </c>
      <c r="G7" s="43" t="s">
        <v>110</v>
      </c>
      <c r="H7" s="44">
        <v>1.4432317020000001</v>
      </c>
      <c r="I7" s="44">
        <v>6.4000000000000001E-2</v>
      </c>
      <c r="J7" s="44">
        <f t="shared" si="0"/>
        <v>5.1125042756562289</v>
      </c>
      <c r="K7" s="44">
        <f t="shared" si="1"/>
        <v>0.22671361305919999</v>
      </c>
      <c r="L7" s="44">
        <v>0.96399999999999997</v>
      </c>
      <c r="M7" s="44">
        <v>0.95099999999999996</v>
      </c>
      <c r="N7" s="44">
        <f t="shared" si="2"/>
        <v>1.391275360728</v>
      </c>
      <c r="O7" s="44">
        <f t="shared" si="3"/>
        <v>6.0864000000000001E-2</v>
      </c>
      <c r="P7" s="44">
        <f t="shared" si="4"/>
        <v>4.9284541217326039</v>
      </c>
      <c r="Q7" s="44">
        <f t="shared" si="5"/>
        <v>0.21560464601929918</v>
      </c>
      <c r="R7" s="44">
        <v>3.5424002040499998</v>
      </c>
      <c r="S7" s="44">
        <v>0.503</v>
      </c>
      <c r="T7" s="44">
        <v>2.5999999999999999E-2</v>
      </c>
      <c r="U7" s="44">
        <f t="shared" si="6"/>
        <v>1.7818273026371498</v>
      </c>
      <c r="V7" s="44">
        <f t="shared" si="7"/>
        <v>9.2102405305299992E-2</v>
      </c>
      <c r="W7" s="44">
        <f t="shared" si="8"/>
        <v>0.34852338630238872</v>
      </c>
      <c r="X7" s="44">
        <f t="shared" si="9"/>
        <v>0.40625</v>
      </c>
    </row>
    <row r="8" spans="1:24" x14ac:dyDescent="0.25">
      <c r="A8" s="43">
        <v>49</v>
      </c>
      <c r="B8" s="43">
        <v>13</v>
      </c>
      <c r="C8" s="44">
        <v>8.0095725367800004</v>
      </c>
      <c r="D8" s="43">
        <v>370</v>
      </c>
      <c r="E8" s="43">
        <v>49</v>
      </c>
      <c r="F8" s="43">
        <v>13</v>
      </c>
      <c r="G8" s="43" t="s">
        <v>111</v>
      </c>
      <c r="H8" s="44">
        <v>1.446167628</v>
      </c>
      <c r="I8" s="44">
        <v>6.4000000000000001E-2</v>
      </c>
      <c r="J8" s="44">
        <f t="shared" si="0"/>
        <v>11.583184516809077</v>
      </c>
      <c r="K8" s="44">
        <f t="shared" si="1"/>
        <v>0.51261264235392001</v>
      </c>
      <c r="L8" s="44">
        <v>0.96399999999999997</v>
      </c>
      <c r="M8" s="44">
        <v>0.95099999999999996</v>
      </c>
      <c r="N8" s="44">
        <f t="shared" si="2"/>
        <v>1.3941055933919999</v>
      </c>
      <c r="O8" s="44">
        <f t="shared" si="3"/>
        <v>6.0864000000000001E-2</v>
      </c>
      <c r="P8" s="44">
        <f t="shared" si="4"/>
        <v>11.166189874203948</v>
      </c>
      <c r="Q8" s="44">
        <f t="shared" si="5"/>
        <v>0.48749462287857798</v>
      </c>
      <c r="R8" s="44">
        <v>8.0095725367800004</v>
      </c>
      <c r="S8" s="44">
        <v>0.505</v>
      </c>
      <c r="T8" s="44">
        <v>2.5999999999999999E-2</v>
      </c>
      <c r="U8" s="44">
        <f t="shared" si="6"/>
        <v>4.0448341310739</v>
      </c>
      <c r="V8" s="44">
        <f t="shared" si="7"/>
        <v>0.20824888595627999</v>
      </c>
      <c r="W8" s="44">
        <f t="shared" si="8"/>
        <v>0.34919879979501239</v>
      </c>
      <c r="X8" s="44">
        <f t="shared" si="9"/>
        <v>0.40625</v>
      </c>
    </row>
    <row r="9" spans="1:24" x14ac:dyDescent="0.25">
      <c r="A9" s="43">
        <v>51</v>
      </c>
      <c r="B9" s="43">
        <v>2</v>
      </c>
      <c r="C9" s="44">
        <v>2.5589545659000001</v>
      </c>
      <c r="D9" s="43">
        <v>381</v>
      </c>
      <c r="E9" s="43">
        <v>51</v>
      </c>
      <c r="F9" s="43">
        <v>2</v>
      </c>
      <c r="G9" s="43" t="s">
        <v>93</v>
      </c>
      <c r="H9" s="44">
        <v>12.31181539</v>
      </c>
      <c r="I9" s="44">
        <v>0.61</v>
      </c>
      <c r="J9" s="44">
        <f t="shared" si="0"/>
        <v>31.505376206758388</v>
      </c>
      <c r="K9" s="44">
        <f t="shared" si="1"/>
        <v>1.5609622851990002</v>
      </c>
      <c r="L9" s="44">
        <v>0.47099999999999997</v>
      </c>
      <c r="M9" s="44">
        <v>0.624</v>
      </c>
      <c r="N9" s="44">
        <f t="shared" si="2"/>
        <v>5.7988650486899997</v>
      </c>
      <c r="O9" s="44">
        <f t="shared" si="3"/>
        <v>0.38063999999999998</v>
      </c>
      <c r="P9" s="44">
        <f t="shared" si="4"/>
        <v>14.839032193383202</v>
      </c>
      <c r="Q9" s="44">
        <f t="shared" si="5"/>
        <v>0.97404046596417604</v>
      </c>
      <c r="R9" s="44">
        <v>2.5589545659000001</v>
      </c>
      <c r="S9" s="44">
        <v>2.1040000000000001</v>
      </c>
      <c r="T9" s="44">
        <v>0.14699999999999999</v>
      </c>
      <c r="U9" s="44">
        <f t="shared" si="6"/>
        <v>5.3840404066536003</v>
      </c>
      <c r="V9" s="44">
        <f t="shared" si="7"/>
        <v>0.37616632118729998</v>
      </c>
      <c r="W9" s="44">
        <f t="shared" si="8"/>
        <v>0.17089275085369846</v>
      </c>
      <c r="X9" s="44">
        <f t="shared" si="9"/>
        <v>0.24098360655737702</v>
      </c>
    </row>
    <row r="10" spans="1:24" x14ac:dyDescent="0.25">
      <c r="A10" s="43">
        <v>51</v>
      </c>
      <c r="B10" s="43">
        <v>4</v>
      </c>
      <c r="C10" s="44">
        <v>0.203362216466</v>
      </c>
      <c r="D10" s="43">
        <v>383</v>
      </c>
      <c r="E10" s="43">
        <v>51</v>
      </c>
      <c r="F10" s="43">
        <v>4</v>
      </c>
      <c r="G10" s="43" t="s">
        <v>108</v>
      </c>
      <c r="H10" s="44">
        <v>19.692788700000001</v>
      </c>
      <c r="I10" s="44">
        <v>1.698</v>
      </c>
      <c r="J10" s="44">
        <f t="shared" si="0"/>
        <v>4.0047691584285987</v>
      </c>
      <c r="K10" s="44">
        <f t="shared" si="1"/>
        <v>0.345309043559268</v>
      </c>
      <c r="L10" s="44">
        <v>0.46600000000000003</v>
      </c>
      <c r="M10" s="44">
        <v>0.61199999999999999</v>
      </c>
      <c r="N10" s="44">
        <f t="shared" si="2"/>
        <v>9.1768395342000009</v>
      </c>
      <c r="O10" s="44">
        <f t="shared" si="3"/>
        <v>1.0391759999999999</v>
      </c>
      <c r="P10" s="44">
        <f t="shared" si="4"/>
        <v>1.8662224278277273</v>
      </c>
      <c r="Q10" s="44">
        <f t="shared" si="5"/>
        <v>0.21132913465827199</v>
      </c>
      <c r="R10" s="44">
        <v>0.203362216466</v>
      </c>
      <c r="S10" s="44">
        <v>3.274</v>
      </c>
      <c r="T10" s="44">
        <v>0.39900000000000002</v>
      </c>
      <c r="U10" s="44">
        <f t="shared" si="6"/>
        <v>0.66580789670968399</v>
      </c>
      <c r="V10" s="44">
        <f t="shared" si="7"/>
        <v>8.1141524369934007E-2</v>
      </c>
      <c r="W10" s="44">
        <f t="shared" si="8"/>
        <v>0.16625375155728961</v>
      </c>
      <c r="X10" s="44">
        <f t="shared" si="9"/>
        <v>0.23498233215547704</v>
      </c>
    </row>
    <row r="11" spans="1:24" x14ac:dyDescent="0.25">
      <c r="U11" s="44">
        <f>ROUND(SUM(U3:U10),1)</f>
        <v>767.8</v>
      </c>
      <c r="V11" s="44">
        <f>ROUND(SUM(V3:V10),1)</f>
        <v>51.4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opLeftCell="K1" workbookViewId="0">
      <selection activeCell="U11" sqref="U11:V11"/>
    </sheetView>
  </sheetViews>
  <sheetFormatPr defaultRowHeight="15" x14ac:dyDescent="0.25"/>
  <cols>
    <col min="1" max="1" width="10.140625" style="43" bestFit="1" customWidth="1"/>
    <col min="2" max="2" width="9.28515625" style="43" bestFit="1" customWidth="1"/>
    <col min="3" max="3" width="15.7109375" style="44" bestFit="1" customWidth="1"/>
    <col min="4" max="4" width="4.85546875" style="43" bestFit="1" customWidth="1"/>
    <col min="5" max="5" width="4.28515625" style="43" bestFit="1" customWidth="1"/>
    <col min="6" max="6" width="8" style="43" bestFit="1" customWidth="1"/>
    <col min="7" max="7" width="9.85546875" style="43" bestFit="1" customWidth="1"/>
    <col min="8" max="8" width="14.7109375" style="44" bestFit="1" customWidth="1"/>
    <col min="9" max="9" width="13.7109375" style="44" bestFit="1" customWidth="1"/>
    <col min="10" max="10" width="16.7109375" style="44" bestFit="1" customWidth="1"/>
    <col min="11" max="11" width="15.7109375" style="44" bestFit="1" customWidth="1"/>
    <col min="12" max="15" width="13.7109375" style="44" bestFit="1" customWidth="1"/>
    <col min="16" max="16" width="16.7109375" style="44" bestFit="1" customWidth="1"/>
    <col min="17" max="17" width="14.7109375" style="44" bestFit="1" customWidth="1"/>
    <col min="18" max="18" width="15.7109375" style="44" bestFit="1" customWidth="1"/>
    <col min="19" max="20" width="13.7109375" style="44" bestFit="1" customWidth="1"/>
    <col min="21" max="21" width="14.7109375" style="44" bestFit="1" customWidth="1"/>
    <col min="22" max="24" width="13.7109375" style="44" bestFit="1" customWidth="1"/>
  </cols>
  <sheetData>
    <row r="1" spans="1:24" x14ac:dyDescent="0.25">
      <c r="H1" s="44" t="s">
        <v>94</v>
      </c>
      <c r="I1" s="44" t="s">
        <v>94</v>
      </c>
      <c r="J1" s="44" t="s">
        <v>95</v>
      </c>
      <c r="K1" s="44" t="s">
        <v>96</v>
      </c>
      <c r="L1" s="44" t="s">
        <v>97</v>
      </c>
      <c r="M1" s="44" t="s">
        <v>97</v>
      </c>
      <c r="N1" s="44" t="s">
        <v>98</v>
      </c>
      <c r="O1" s="44" t="s">
        <v>99</v>
      </c>
      <c r="P1" s="44" t="s">
        <v>100</v>
      </c>
      <c r="Q1" s="44" t="s">
        <v>101</v>
      </c>
      <c r="S1" s="44" t="s">
        <v>102</v>
      </c>
      <c r="T1" s="44" t="s">
        <v>102</v>
      </c>
      <c r="U1" s="44" t="s">
        <v>103</v>
      </c>
      <c r="V1" s="44" t="s">
        <v>104</v>
      </c>
      <c r="W1" s="44" t="s">
        <v>105</v>
      </c>
      <c r="X1" s="44" t="s">
        <v>106</v>
      </c>
    </row>
    <row r="2" spans="1:24" x14ac:dyDescent="0.25">
      <c r="A2" s="43" t="s">
        <v>69</v>
      </c>
      <c r="B2" s="43" t="s">
        <v>70</v>
      </c>
      <c r="C2" s="44" t="s">
        <v>71</v>
      </c>
      <c r="D2" s="43" t="s">
        <v>72</v>
      </c>
      <c r="E2" s="43" t="s">
        <v>73</v>
      </c>
      <c r="F2" s="43" t="s">
        <v>74</v>
      </c>
      <c r="G2" s="43" t="s">
        <v>75</v>
      </c>
      <c r="H2" s="44" t="s">
        <v>76</v>
      </c>
      <c r="I2" s="44" t="s">
        <v>77</v>
      </c>
      <c r="J2" s="44" t="s">
        <v>78</v>
      </c>
      <c r="K2" s="44" t="s">
        <v>79</v>
      </c>
      <c r="L2" s="44" t="s">
        <v>80</v>
      </c>
      <c r="M2" s="44" t="s">
        <v>81</v>
      </c>
      <c r="N2" s="44" t="s">
        <v>82</v>
      </c>
      <c r="O2" s="44" t="s">
        <v>83</v>
      </c>
      <c r="P2" s="44" t="s">
        <v>84</v>
      </c>
      <c r="Q2" s="44" t="s">
        <v>85</v>
      </c>
      <c r="R2" s="44" t="s">
        <v>86</v>
      </c>
      <c r="S2" s="44" t="s">
        <v>87</v>
      </c>
      <c r="T2" s="44" t="s">
        <v>88</v>
      </c>
      <c r="U2" s="44" t="s">
        <v>89</v>
      </c>
      <c r="V2" s="44" t="s">
        <v>90</v>
      </c>
      <c r="W2" s="44" t="s">
        <v>91</v>
      </c>
      <c r="X2" s="44" t="s">
        <v>92</v>
      </c>
    </row>
    <row r="3" spans="1:24" x14ac:dyDescent="0.25">
      <c r="A3" s="43">
        <v>54</v>
      </c>
      <c r="B3" s="43">
        <v>2</v>
      </c>
      <c r="C3" s="44">
        <v>71.055355320999993</v>
      </c>
      <c r="D3" s="43">
        <v>403</v>
      </c>
      <c r="E3" s="43">
        <v>54</v>
      </c>
      <c r="F3" s="43">
        <v>2</v>
      </c>
      <c r="G3" s="43" t="s">
        <v>93</v>
      </c>
      <c r="H3" s="44">
        <v>7.7954070079999997</v>
      </c>
      <c r="I3" s="44">
        <v>0.38100000000000001</v>
      </c>
      <c r="J3" s="44">
        <f>C3*H3</f>
        <v>553.90541482525339</v>
      </c>
      <c r="K3" s="44">
        <f>C3*I3</f>
        <v>27.072090377300999</v>
      </c>
      <c r="L3" s="44">
        <v>0.25600000000000001</v>
      </c>
      <c r="M3" s="44">
        <v>9.7000000000000003E-2</v>
      </c>
      <c r="N3" s="44">
        <f>H3*L3</f>
        <v>1.995624194048</v>
      </c>
      <c r="O3" s="44">
        <f>I3*M3</f>
        <v>3.6957000000000004E-2</v>
      </c>
      <c r="P3" s="44">
        <f>C3*N3</f>
        <v>141.79978619526489</v>
      </c>
      <c r="Q3" s="44">
        <f>C3*O3</f>
        <v>2.625992766598197</v>
      </c>
      <c r="R3" s="44">
        <v>71.055355320999993</v>
      </c>
      <c r="S3" s="44">
        <v>0.157</v>
      </c>
      <c r="T3" s="44">
        <v>4.0000000000000001E-3</v>
      </c>
      <c r="U3" s="44">
        <f>R3*S3</f>
        <v>11.155690785396999</v>
      </c>
      <c r="V3" s="44">
        <f>R3*T3</f>
        <v>0.28422142128399996</v>
      </c>
      <c r="W3" s="44">
        <v>0.02</v>
      </c>
      <c r="X3" s="44">
        <v>1.097129E-2</v>
      </c>
    </row>
    <row r="4" spans="1:24" x14ac:dyDescent="0.25">
      <c r="A4" s="43">
        <v>54</v>
      </c>
      <c r="B4" s="43">
        <v>3</v>
      </c>
      <c r="C4" s="44">
        <v>2.7260911352299999</v>
      </c>
      <c r="D4" s="43">
        <v>404</v>
      </c>
      <c r="E4" s="43">
        <v>54</v>
      </c>
      <c r="F4" s="43">
        <v>3</v>
      </c>
      <c r="G4" s="43" t="s">
        <v>107</v>
      </c>
      <c r="H4" s="44">
        <v>17.845569439999998</v>
      </c>
      <c r="I4" s="44">
        <v>1.33</v>
      </c>
      <c r="J4" s="44">
        <f t="shared" ref="J4:J10" si="0">C4*H4</f>
        <v>48.648648653515387</v>
      </c>
      <c r="K4" s="44">
        <f t="shared" ref="K4:K10" si="1">C4*I4</f>
        <v>3.6257012098559001</v>
      </c>
      <c r="L4" s="44">
        <v>0.25600000000000001</v>
      </c>
      <c r="M4" s="44">
        <v>9.8000000000000004E-2</v>
      </c>
      <c r="N4" s="44">
        <f t="shared" ref="N4:N10" si="2">H4*L4</f>
        <v>4.5684657766400001</v>
      </c>
      <c r="O4" s="44">
        <f t="shared" ref="O4:O10" si="3">I4*M4</f>
        <v>0.13034000000000001</v>
      </c>
      <c r="P4" s="44">
        <f t="shared" ref="P4:P10" si="4">C4*N4</f>
        <v>12.454054055299942</v>
      </c>
      <c r="Q4" s="44">
        <f t="shared" ref="Q4:Q10" si="5">C4*O4</f>
        <v>0.35531871856587821</v>
      </c>
      <c r="R4" s="44">
        <v>2.7260911352299999</v>
      </c>
      <c r="S4" s="44">
        <v>0.36</v>
      </c>
      <c r="T4" s="44">
        <v>1.4999999999999999E-2</v>
      </c>
      <c r="U4" s="44">
        <f t="shared" ref="U4:U10" si="6">R4*S4</f>
        <v>0.98139280868279988</v>
      </c>
      <c r="V4" s="44">
        <f t="shared" ref="V4:V10" si="7">R4*T4</f>
        <v>4.0891367028449997E-2</v>
      </c>
      <c r="W4" s="44">
        <v>0.02</v>
      </c>
      <c r="X4" s="44">
        <v>1.1434224999999999E-2</v>
      </c>
    </row>
    <row r="5" spans="1:24" x14ac:dyDescent="0.25">
      <c r="A5" s="43">
        <v>54</v>
      </c>
      <c r="B5" s="43">
        <v>4</v>
      </c>
      <c r="C5" s="44">
        <v>160.852674554</v>
      </c>
      <c r="D5" s="43">
        <v>405</v>
      </c>
      <c r="E5" s="43">
        <v>54</v>
      </c>
      <c r="F5" s="43">
        <v>4</v>
      </c>
      <c r="G5" s="43" t="s">
        <v>108</v>
      </c>
      <c r="H5" s="44">
        <v>12.89140943</v>
      </c>
      <c r="I5" s="44">
        <v>1.1000000000000001</v>
      </c>
      <c r="J5" s="44">
        <f t="shared" si="0"/>
        <v>2073.6176855861568</v>
      </c>
      <c r="K5" s="44">
        <f t="shared" si="1"/>
        <v>176.93794200940002</v>
      </c>
      <c r="L5" s="44">
        <v>0.246</v>
      </c>
      <c r="M5" s="44">
        <v>9.5000000000000001E-2</v>
      </c>
      <c r="N5" s="44">
        <f t="shared" si="2"/>
        <v>3.1712867197799999</v>
      </c>
      <c r="O5" s="44">
        <f t="shared" si="3"/>
        <v>0.10450000000000001</v>
      </c>
      <c r="P5" s="44">
        <f t="shared" si="4"/>
        <v>510.10995065419451</v>
      </c>
      <c r="Q5" s="44">
        <f t="shared" si="5"/>
        <v>16.809104490893002</v>
      </c>
      <c r="R5" s="44">
        <v>160.852674554</v>
      </c>
      <c r="S5" s="44">
        <v>0.23899999999999999</v>
      </c>
      <c r="T5" s="44">
        <v>1.0999999999999999E-2</v>
      </c>
      <c r="U5" s="44">
        <f t="shared" si="6"/>
        <v>38.443789218405996</v>
      </c>
      <c r="V5" s="44">
        <f t="shared" si="7"/>
        <v>1.7693794200939998</v>
      </c>
      <c r="W5" s="44">
        <v>1.9E-2</v>
      </c>
      <c r="X5" s="44">
        <v>1.0459033E-2</v>
      </c>
    </row>
    <row r="6" spans="1:24" x14ac:dyDescent="0.25">
      <c r="A6" s="43">
        <v>54</v>
      </c>
      <c r="B6" s="43">
        <v>10</v>
      </c>
      <c r="C6" s="44">
        <v>0.38907223363400001</v>
      </c>
      <c r="D6" s="43">
        <v>406</v>
      </c>
      <c r="E6" s="43">
        <v>54</v>
      </c>
      <c r="F6" s="43">
        <v>10</v>
      </c>
      <c r="G6" s="43" t="s">
        <v>116</v>
      </c>
      <c r="H6" s="44">
        <v>2.7071580599999998</v>
      </c>
      <c r="I6" s="44">
        <v>0.108</v>
      </c>
      <c r="J6" s="44">
        <f t="shared" si="0"/>
        <v>1.053280033204486</v>
      </c>
      <c r="K6" s="44">
        <f t="shared" si="1"/>
        <v>4.2019801232472002E-2</v>
      </c>
      <c r="L6" s="44">
        <v>0.27100000000000002</v>
      </c>
      <c r="M6" s="44">
        <v>0.105</v>
      </c>
      <c r="N6" s="44">
        <f t="shared" si="2"/>
        <v>0.73363983426000001</v>
      </c>
      <c r="O6" s="44">
        <f t="shared" si="3"/>
        <v>1.1339999999999999E-2</v>
      </c>
      <c r="P6" s="44">
        <f t="shared" si="4"/>
        <v>0.2854388889984158</v>
      </c>
      <c r="Q6" s="44">
        <f t="shared" si="5"/>
        <v>4.4120791294095596E-3</v>
      </c>
      <c r="R6" s="44">
        <v>0.38907223363400001</v>
      </c>
      <c r="S6" s="44">
        <v>6.0999999999999999E-2</v>
      </c>
      <c r="T6" s="44">
        <v>1E-3</v>
      </c>
      <c r="U6" s="44">
        <f t="shared" si="6"/>
        <v>2.3733406251674E-2</v>
      </c>
      <c r="V6" s="44">
        <f t="shared" si="7"/>
        <v>3.8907223363400002E-4</v>
      </c>
      <c r="W6" s="44">
        <v>2.1999999999999999E-2</v>
      </c>
      <c r="X6" s="44">
        <v>1.3394355E-2</v>
      </c>
    </row>
    <row r="7" spans="1:24" x14ac:dyDescent="0.25">
      <c r="A7" s="43">
        <v>54</v>
      </c>
      <c r="B7" s="43">
        <v>12</v>
      </c>
      <c r="C7" s="44">
        <v>2.6116312178499999</v>
      </c>
      <c r="D7" s="43">
        <v>407</v>
      </c>
      <c r="E7" s="43">
        <v>54</v>
      </c>
      <c r="F7" s="43">
        <v>12</v>
      </c>
      <c r="G7" s="43" t="s">
        <v>110</v>
      </c>
      <c r="H7" s="44">
        <v>0.19347672199999999</v>
      </c>
      <c r="I7" s="44">
        <v>5.0000000000000001E-3</v>
      </c>
      <c r="J7" s="44">
        <f t="shared" si="0"/>
        <v>0.50528984710248581</v>
      </c>
      <c r="K7" s="44">
        <f t="shared" si="1"/>
        <v>1.3058156089249999E-2</v>
      </c>
      <c r="L7" s="44">
        <v>0.255</v>
      </c>
      <c r="M7" s="44">
        <v>0.108</v>
      </c>
      <c r="N7" s="44">
        <f t="shared" si="2"/>
        <v>4.9336564110000002E-2</v>
      </c>
      <c r="O7" s="44">
        <f t="shared" si="3"/>
        <v>5.4000000000000001E-4</v>
      </c>
      <c r="P7" s="44">
        <f t="shared" si="4"/>
        <v>0.12884891101113391</v>
      </c>
      <c r="Q7" s="44">
        <f t="shared" si="5"/>
        <v>1.4102808576389998E-3</v>
      </c>
      <c r="R7" s="44">
        <v>2.6116312178499999</v>
      </c>
      <c r="S7" s="44">
        <v>4.0000000000000001E-3</v>
      </c>
      <c r="T7" s="44">
        <v>0</v>
      </c>
      <c r="U7" s="44">
        <f t="shared" si="6"/>
        <v>1.0446524871399999E-2</v>
      </c>
      <c r="V7" s="44">
        <f t="shared" si="7"/>
        <v>0</v>
      </c>
      <c r="W7" s="44">
        <v>1.9E-2</v>
      </c>
      <c r="X7" s="44">
        <v>1.4625061E-2</v>
      </c>
    </row>
    <row r="8" spans="1:24" x14ac:dyDescent="0.25">
      <c r="A8" s="43">
        <v>54</v>
      </c>
      <c r="B8" s="43">
        <v>13</v>
      </c>
      <c r="C8" s="44">
        <v>1.18757229444</v>
      </c>
      <c r="D8" s="43">
        <v>408</v>
      </c>
      <c r="E8" s="43">
        <v>54</v>
      </c>
      <c r="F8" s="43">
        <v>13</v>
      </c>
      <c r="G8" s="43" t="s">
        <v>111</v>
      </c>
      <c r="H8" s="44">
        <v>0.52782273300000004</v>
      </c>
      <c r="I8" s="44">
        <v>0.02</v>
      </c>
      <c r="J8" s="44">
        <f t="shared" si="0"/>
        <v>0.62682765408640151</v>
      </c>
      <c r="K8" s="44">
        <f t="shared" si="1"/>
        <v>2.3751445888800002E-2</v>
      </c>
      <c r="L8" s="44">
        <v>0.25800000000000001</v>
      </c>
      <c r="M8" s="44">
        <v>0.114</v>
      </c>
      <c r="N8" s="44">
        <f t="shared" si="2"/>
        <v>0.13617826511400002</v>
      </c>
      <c r="O8" s="44">
        <f t="shared" si="3"/>
        <v>2.2800000000000003E-3</v>
      </c>
      <c r="P8" s="44">
        <f t="shared" si="4"/>
        <v>0.16172153475429163</v>
      </c>
      <c r="Q8" s="44">
        <f t="shared" si="5"/>
        <v>2.7076648313232006E-3</v>
      </c>
      <c r="R8" s="44">
        <v>1.18757229444</v>
      </c>
      <c r="S8" s="44">
        <v>0.01</v>
      </c>
      <c r="T8" s="44">
        <v>0</v>
      </c>
      <c r="U8" s="44">
        <f t="shared" si="6"/>
        <v>1.1875722944400001E-2</v>
      </c>
      <c r="V8" s="44">
        <f t="shared" si="7"/>
        <v>0</v>
      </c>
      <c r="W8" s="44">
        <v>1.9E-2</v>
      </c>
      <c r="X8" s="44">
        <v>1.3788514E-2</v>
      </c>
    </row>
    <row r="9" spans="1:24" x14ac:dyDescent="0.25">
      <c r="A9" s="43">
        <v>68</v>
      </c>
      <c r="B9" s="43">
        <v>2</v>
      </c>
      <c r="C9" s="44">
        <v>9.5581746124699993</v>
      </c>
      <c r="D9" s="43">
        <v>482</v>
      </c>
      <c r="E9" s="43">
        <v>68</v>
      </c>
      <c r="F9" s="43">
        <v>2</v>
      </c>
      <c r="G9" s="43" t="s">
        <v>93</v>
      </c>
      <c r="H9" s="44">
        <v>8.1781487510000002</v>
      </c>
      <c r="I9" s="44">
        <v>0.45100000000000001</v>
      </c>
      <c r="J9" s="44">
        <f t="shared" si="0"/>
        <v>78.168173768811442</v>
      </c>
      <c r="K9" s="44">
        <f t="shared" si="1"/>
        <v>4.3107367502239695</v>
      </c>
      <c r="L9" s="44">
        <v>0.36799999999999999</v>
      </c>
      <c r="M9" s="44">
        <v>0.35899999999999999</v>
      </c>
      <c r="N9" s="44">
        <f t="shared" si="2"/>
        <v>3.009558740368</v>
      </c>
      <c r="O9" s="44">
        <f t="shared" si="3"/>
        <v>0.161909</v>
      </c>
      <c r="P9" s="44">
        <f t="shared" si="4"/>
        <v>28.765887946922607</v>
      </c>
      <c r="Q9" s="44">
        <f t="shared" si="5"/>
        <v>1.5475544933304051</v>
      </c>
      <c r="R9" s="44">
        <v>9.5581746124699993</v>
      </c>
      <c r="S9" s="44">
        <v>2.9000000000000001E-2</v>
      </c>
      <c r="T9" s="44">
        <v>3.0000000000000001E-3</v>
      </c>
      <c r="U9" s="44">
        <f t="shared" si="6"/>
        <v>0.27718706376162999</v>
      </c>
      <c r="V9" s="44">
        <f t="shared" si="7"/>
        <v>2.8674523837409999E-2</v>
      </c>
      <c r="W9" s="44">
        <v>4.0000000000000001E-3</v>
      </c>
      <c r="X9" s="44">
        <v>6.6584219999999998E-3</v>
      </c>
    </row>
    <row r="10" spans="1:24" x14ac:dyDescent="0.25">
      <c r="A10" s="43">
        <v>68</v>
      </c>
      <c r="B10" s="43">
        <v>4</v>
      </c>
      <c r="C10" s="44">
        <v>1.25615731142</v>
      </c>
      <c r="D10" s="43">
        <v>484</v>
      </c>
      <c r="E10" s="43">
        <v>68</v>
      </c>
      <c r="F10" s="43">
        <v>4</v>
      </c>
      <c r="G10" s="43" t="s">
        <v>108</v>
      </c>
      <c r="H10" s="44">
        <v>13.010906289999999</v>
      </c>
      <c r="I10" s="44">
        <v>1.2709999999999999</v>
      </c>
      <c r="J10" s="44">
        <f t="shared" si="0"/>
        <v>16.343745064383967</v>
      </c>
      <c r="K10" s="44">
        <f t="shared" si="1"/>
        <v>1.5965759428148198</v>
      </c>
      <c r="L10" s="44">
        <v>0.35599999999999998</v>
      </c>
      <c r="M10" s="44">
        <v>0.35199999999999998</v>
      </c>
      <c r="N10" s="44">
        <f t="shared" si="2"/>
        <v>4.6318826392399997</v>
      </c>
      <c r="O10" s="44">
        <f t="shared" si="3"/>
        <v>0.44739199999999996</v>
      </c>
      <c r="P10" s="44">
        <f t="shared" si="4"/>
        <v>5.8183732429206918</v>
      </c>
      <c r="Q10" s="44">
        <f t="shared" si="5"/>
        <v>0.56199473187081661</v>
      </c>
      <c r="R10" s="44">
        <v>1.25615731142</v>
      </c>
      <c r="S10" s="44">
        <v>0.04</v>
      </c>
      <c r="T10" s="44">
        <v>8.0000000000000002E-3</v>
      </c>
      <c r="U10" s="44">
        <f t="shared" si="6"/>
        <v>5.0246292456799999E-2</v>
      </c>
      <c r="V10" s="44">
        <f t="shared" si="7"/>
        <v>1.004925849136E-2</v>
      </c>
      <c r="W10" s="44">
        <v>3.0000000000000001E-3</v>
      </c>
      <c r="X10" s="44">
        <v>6.0900040000000004E-3</v>
      </c>
    </row>
    <row r="11" spans="1:24" x14ac:dyDescent="0.25">
      <c r="U11" s="44">
        <f>ROUND(SUM(U3:U10),1)</f>
        <v>51</v>
      </c>
      <c r="V11" s="44">
        <f>ROUND(SUM(V3:V10),1)</f>
        <v>2.1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Project Credits</vt:lpstr>
      <vt:lpstr>Calculations</vt:lpstr>
      <vt:lpstr>Park North</vt:lpstr>
      <vt:lpstr>Canton</vt:lpstr>
      <vt:lpstr>Howard Drive</vt:lpstr>
      <vt:lpstr>W. Fawsett</vt:lpstr>
      <vt:lpstr>Dixie</vt:lpstr>
      <vt:lpstr>Howell Branch Pond</vt:lpstr>
      <vt:lpstr>Nicolet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Homann, Moira</dc:creator>
  <cp:lastModifiedBy>Frick, Marcy</cp:lastModifiedBy>
  <cp:lastPrinted>2016-10-12T18:54:07Z</cp:lastPrinted>
  <dcterms:created xsi:type="dcterms:W3CDTF">2016-09-08T18:25:54Z</dcterms:created>
  <dcterms:modified xsi:type="dcterms:W3CDTF">2017-09-05T21:00:21Z</dcterms:modified>
</cp:coreProperties>
</file>