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aulic_M\Desktop\Drive_E\Basin coordination\basin_management\planning\oklawaha\management\allocation\orange creek\allocation_2016\"/>
    </mc:Choice>
  </mc:AlternateContent>
  <xr:revisionPtr revIDLastSave="0" documentId="13_ncr:1_{D3FB9C58-BFB4-42F9-96FF-DB1644E8D159}" xr6:coauthVersionLast="36" xr6:coauthVersionMax="36" xr10:uidLastSave="{00000000-0000-0000-0000-000000000000}"/>
  <bookViews>
    <workbookView xWindow="600" yWindow="1065" windowWidth="15480" windowHeight="11640" xr2:uid="{00000000-000D-0000-FFFF-FFFF00000000}"/>
  </bookViews>
  <sheets>
    <sheet name="Note" sheetId="22" r:id="rId1"/>
    <sheet name="Lochloosa LU summary" sheetId="38" r:id="rId2"/>
    <sheet name="Lochloosa Lake TP Budget" sheetId="24" r:id="rId3"/>
    <sheet name="Lochloosa TP BMAP" sheetId="34" r:id="rId4"/>
    <sheet name="Lochloosa TP education" sheetId="35" r:id="rId5"/>
    <sheet name="Lochloosa TN BMAP" sheetId="37" r:id="rId6"/>
    <sheet name="Lochloosa Lake TN Budget" sheetId="27" r:id="rId7"/>
    <sheet name="Lochloosa TN Education" sheetId="36" r:id="rId8"/>
    <sheet name="Orange Lake BMAP" sheetId="6" r:id="rId9"/>
    <sheet name="Orange Lake tribs loading" sheetId="19" r:id="rId10"/>
    <sheet name="Orange Lake education credits" sheetId="25" r:id="rId11"/>
    <sheet name="Orange Lake LU" sheetId="20" r:id="rId12"/>
    <sheet name="Newnans Lake BMAP TP" sheetId="14" r:id="rId13"/>
    <sheet name="Newnans Lake TN" sheetId="15" r:id="rId14"/>
    <sheet name="Newnans Lake Tribs loading" sheetId="16" r:id="rId15"/>
    <sheet name="Newnans Lake Educ Credit" sheetId="26" r:id="rId16"/>
    <sheet name="Newnans LU" sheetId="17" r:id="rId17"/>
    <sheet name="nutrient budget summary" sheetId="33" r:id="rId18"/>
    <sheet name="Reductionssummary_TP" sheetId="28" r:id="rId19"/>
    <sheet name="Reductionsummary_TN" sheetId="30" r:id="rId20"/>
    <sheet name="education_summary" sheetId="32" r:id="rId21"/>
    <sheet name="LU_summary" sheetId="31" r:id="rId22"/>
    <sheet name="OSTDS-whole basin" sheetId="21" r:id="rId23"/>
    <sheet name="OSTDS-buffer" sheetId="23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2">'Lochloosa Lake TP Budget'!$A$158:$N$221</definedName>
    <definedName name="_xlnm.Print_Area" localSheetId="12">'Newnans Lake BMAP TP'!$A$62:$T$83</definedName>
    <definedName name="_xlnm.Print_Area" localSheetId="13">'Newnans Lake TN'!$A$62:$R$100</definedName>
    <definedName name="_xlnm.Print_Area" localSheetId="8">'Orange Lake BMAP'!$A$44:$T$65</definedName>
  </definedNames>
  <calcPr calcId="191029"/>
  <pivotCaches>
    <pivotCache cacheId="0" r:id="rId31"/>
    <pivotCache cacheId="1" r:id="rId32"/>
    <pivotCache cacheId="2" r:id="rId33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5" i="14" l="1"/>
  <c r="B7" i="14"/>
  <c r="F64" i="16" l="1"/>
  <c r="E64" i="16"/>
  <c r="D64" i="16"/>
  <c r="C64" i="16"/>
  <c r="F63" i="16"/>
  <c r="E63" i="16"/>
  <c r="D63" i="16"/>
  <c r="C63" i="16"/>
  <c r="B63" i="16"/>
  <c r="F62" i="16"/>
  <c r="E62" i="16"/>
  <c r="D62" i="16"/>
  <c r="C62" i="16"/>
  <c r="F61" i="16"/>
  <c r="E61" i="16"/>
  <c r="D61" i="16"/>
  <c r="C61" i="16"/>
  <c r="F60" i="16"/>
  <c r="E60" i="16"/>
  <c r="D60" i="16"/>
  <c r="C60" i="16"/>
  <c r="F59" i="16"/>
  <c r="E59" i="16"/>
  <c r="D59" i="16"/>
  <c r="C59" i="16"/>
  <c r="F58" i="16"/>
  <c r="E58" i="16"/>
  <c r="D58" i="16"/>
  <c r="C58" i="16"/>
  <c r="F57" i="16"/>
  <c r="E57" i="16"/>
  <c r="D57" i="16"/>
  <c r="C57" i="16"/>
  <c r="F56" i="16"/>
  <c r="E56" i="16"/>
  <c r="D56" i="16"/>
  <c r="C56" i="16"/>
  <c r="F55" i="16"/>
  <c r="E55" i="16"/>
  <c r="D55" i="16"/>
  <c r="C55" i="16"/>
  <c r="F54" i="16"/>
  <c r="E54" i="16"/>
  <c r="D54" i="16"/>
  <c r="C54" i="16"/>
  <c r="B64" i="16"/>
  <c r="B62" i="16"/>
  <c r="B61" i="16"/>
  <c r="B60" i="16"/>
  <c r="B58" i="16"/>
  <c r="B59" i="16"/>
  <c r="B57" i="16"/>
  <c r="B56" i="16"/>
  <c r="B55" i="16"/>
  <c r="B54" i="16"/>
  <c r="D35" i="23" l="1"/>
  <c r="D34" i="23"/>
  <c r="D33" i="23"/>
  <c r="B11" i="33"/>
  <c r="B10" i="33"/>
  <c r="B8" i="33"/>
  <c r="B7" i="33"/>
  <c r="B6" i="33"/>
  <c r="B4" i="33"/>
  <c r="B3" i="33"/>
  <c r="I38" i="6"/>
  <c r="P98" i="6"/>
  <c r="U109" i="14"/>
  <c r="B9" i="27" l="1"/>
  <c r="B6" i="27"/>
  <c r="B13" i="27"/>
  <c r="B20" i="27" l="1"/>
  <c r="B21" i="27"/>
  <c r="B14" i="27"/>
  <c r="B10" i="27"/>
  <c r="B67" i="24" l="1"/>
  <c r="D31" i="27" l="1"/>
  <c r="I31" i="27" s="1"/>
  <c r="D24" i="27"/>
  <c r="I24" i="27" s="1"/>
  <c r="D23" i="27"/>
  <c r="I23" i="27" s="1"/>
  <c r="D22" i="27"/>
  <c r="I22" i="27" s="1"/>
  <c r="D21" i="27"/>
  <c r="I21" i="27" s="1"/>
  <c r="D14" i="27"/>
  <c r="I14" i="27" s="1"/>
  <c r="D12" i="27"/>
  <c r="I12" i="27" s="1"/>
  <c r="D11" i="27"/>
  <c r="I11" i="27" s="1"/>
  <c r="D10" i="27"/>
  <c r="I10" i="27" s="1"/>
  <c r="B27" i="24"/>
  <c r="B4" i="24" l="1"/>
  <c r="I136" i="24"/>
  <c r="I79" i="24"/>
  <c r="D137" i="24"/>
  <c r="I137" i="24" s="1"/>
  <c r="D136" i="24"/>
  <c r="D27" i="24"/>
  <c r="I27" i="24" s="1"/>
  <c r="E16" i="6"/>
  <c r="E15" i="6"/>
  <c r="E14" i="6"/>
  <c r="E13" i="6"/>
  <c r="E12" i="6"/>
  <c r="E11" i="6"/>
  <c r="E10" i="6"/>
  <c r="E9" i="6"/>
  <c r="E8" i="6"/>
  <c r="D33" i="6"/>
  <c r="D32" i="6"/>
  <c r="D27" i="6"/>
  <c r="D26" i="6"/>
  <c r="D25" i="6"/>
  <c r="D24" i="6"/>
  <c r="D23" i="6"/>
  <c r="D22" i="6"/>
  <c r="D20" i="6"/>
  <c r="D19" i="6"/>
  <c r="D7" i="6"/>
  <c r="D6" i="6"/>
  <c r="D13" i="6"/>
  <c r="D12" i="6"/>
  <c r="D11" i="6"/>
  <c r="D10" i="6"/>
  <c r="D9" i="6"/>
  <c r="B25" i="27" l="1"/>
  <c r="E25" i="27"/>
  <c r="I25" i="27"/>
  <c r="C86" i="6" l="1"/>
  <c r="N92" i="6" l="1"/>
  <c r="B15" i="33"/>
  <c r="B16" i="33"/>
  <c r="G2" i="33"/>
  <c r="F2" i="33"/>
  <c r="C152" i="27" l="1"/>
  <c r="B152" i="27"/>
  <c r="B7" i="27"/>
  <c r="B5" i="27" s="1"/>
  <c r="D5" i="27" s="1"/>
  <c r="B4" i="27"/>
  <c r="I5" i="27" l="1"/>
  <c r="B153" i="27"/>
  <c r="D6" i="27"/>
  <c r="I6" i="27" s="1"/>
  <c r="D7" i="27"/>
  <c r="I7" i="27" s="1"/>
  <c r="E6" i="15"/>
  <c r="M4" i="14"/>
  <c r="E7" i="27" l="1"/>
  <c r="K15" i="19"/>
  <c r="K14" i="19"/>
  <c r="K13" i="19"/>
  <c r="K12" i="19"/>
  <c r="K11" i="19"/>
  <c r="K10" i="19"/>
  <c r="K9" i="19"/>
  <c r="K8" i="19"/>
  <c r="K7" i="19"/>
  <c r="K6" i="19"/>
  <c r="I30" i="19"/>
  <c r="I29" i="19"/>
  <c r="I28" i="19"/>
  <c r="I27" i="19"/>
  <c r="I26" i="19"/>
  <c r="I25" i="19"/>
  <c r="I24" i="19"/>
  <c r="I23" i="19"/>
  <c r="I22" i="19"/>
  <c r="I21" i="19"/>
  <c r="I20" i="19"/>
  <c r="I16" i="19"/>
  <c r="I15" i="19"/>
  <c r="I14" i="19"/>
  <c r="I13" i="19"/>
  <c r="I12" i="19"/>
  <c r="I11" i="19"/>
  <c r="I10" i="19"/>
  <c r="I9" i="19"/>
  <c r="I8" i="19"/>
  <c r="I7" i="19"/>
  <c r="I6" i="19"/>
  <c r="H17" i="16" l="1"/>
  <c r="H16" i="16"/>
  <c r="H14" i="16"/>
  <c r="H13" i="16"/>
  <c r="H12" i="16"/>
  <c r="H9" i="16"/>
  <c r="H8" i="16"/>
  <c r="H7" i="16"/>
  <c r="H6" i="16"/>
  <c r="H5" i="16"/>
  <c r="H33" i="16"/>
  <c r="H32" i="16"/>
  <c r="H31" i="16"/>
  <c r="H30" i="16"/>
  <c r="H29" i="16"/>
  <c r="H28" i="16"/>
  <c r="H25" i="16"/>
  <c r="H24" i="16"/>
  <c r="H23" i="16"/>
  <c r="H22" i="16"/>
  <c r="H21" i="16"/>
  <c r="Q49" i="16"/>
  <c r="Q48" i="16"/>
  <c r="Q47" i="16"/>
  <c r="Q46" i="16"/>
  <c r="Q45" i="16"/>
  <c r="Q44" i="16"/>
  <c r="Q41" i="16"/>
  <c r="Q40" i="16"/>
  <c r="Q39" i="16"/>
  <c r="Q38" i="16"/>
  <c r="Q37" i="16"/>
  <c r="H49" i="16"/>
  <c r="H48" i="16"/>
  <c r="H47" i="16"/>
  <c r="H46" i="16"/>
  <c r="H45" i="16"/>
  <c r="H44" i="16"/>
  <c r="H41" i="16"/>
  <c r="H40" i="16"/>
  <c r="H39" i="16"/>
  <c r="H38" i="16"/>
  <c r="H37" i="16"/>
  <c r="D136" i="27" l="1"/>
  <c r="I136" i="27" s="1"/>
  <c r="D135" i="27"/>
  <c r="I135" i="27" s="1"/>
  <c r="I32" i="38" l="1"/>
  <c r="C33" i="38"/>
  <c r="F32" i="38"/>
  <c r="G32" i="38"/>
  <c r="E32" i="38"/>
  <c r="E29" i="38"/>
  <c r="C27" i="38"/>
  <c r="E26" i="38"/>
  <c r="C24" i="38"/>
  <c r="C21" i="38"/>
  <c r="D22" i="38"/>
  <c r="I20" i="38"/>
  <c r="F22" i="38"/>
  <c r="E22" i="38"/>
  <c r="E20" i="38"/>
  <c r="I17" i="38"/>
  <c r="H17" i="38"/>
  <c r="C17" i="38"/>
  <c r="E17" i="38"/>
  <c r="C15" i="38"/>
  <c r="E16" i="38"/>
  <c r="E14" i="38"/>
  <c r="G11" i="38"/>
  <c r="F11" i="38"/>
  <c r="I11" i="38"/>
  <c r="C12" i="38"/>
  <c r="E11" i="38"/>
  <c r="G8" i="38"/>
  <c r="C9" i="38"/>
  <c r="E8" i="38"/>
  <c r="I5" i="38"/>
  <c r="C6" i="38"/>
  <c r="E5" i="38"/>
  <c r="E2" i="38"/>
  <c r="E20" i="37" l="1"/>
  <c r="E20" i="34"/>
  <c r="D29" i="20" l="1"/>
  <c r="C29" i="20"/>
  <c r="D10" i="20"/>
  <c r="D9" i="20"/>
  <c r="D8" i="20"/>
  <c r="C7" i="20"/>
  <c r="E6" i="17"/>
  <c r="D6" i="17"/>
  <c r="C3" i="25" l="1"/>
  <c r="F35" i="36" l="1"/>
  <c r="F33" i="36"/>
  <c r="E13" i="36"/>
  <c r="G13" i="36" s="1"/>
  <c r="C151" i="27" l="1"/>
  <c r="O53" i="35" l="1"/>
  <c r="F52" i="35"/>
  <c r="R33" i="35"/>
  <c r="L23" i="35"/>
  <c r="O18" i="35"/>
  <c r="F17" i="35"/>
  <c r="F12" i="35"/>
  <c r="F195" i="24" l="1"/>
  <c r="F193" i="24"/>
  <c r="F32" i="35" l="1"/>
  <c r="G20" i="38"/>
  <c r="F34" i="35"/>
  <c r="G22" i="38"/>
  <c r="F185" i="24"/>
  <c r="F183" i="24"/>
  <c r="F22" i="35" l="1"/>
  <c r="G14" i="38"/>
  <c r="F24" i="35"/>
  <c r="G16" i="38"/>
  <c r="B134" i="24"/>
  <c r="D134" i="24" s="1"/>
  <c r="I134" i="24" s="1"/>
  <c r="B133" i="24"/>
  <c r="D133" i="24" s="1"/>
  <c r="I133" i="24" s="1"/>
  <c r="B132" i="24"/>
  <c r="B128" i="24"/>
  <c r="D128" i="24" s="1"/>
  <c r="I128" i="24" s="1"/>
  <c r="B129" i="24"/>
  <c r="D129" i="24" s="1"/>
  <c r="I129" i="24" s="1"/>
  <c r="B120" i="24"/>
  <c r="B112" i="24"/>
  <c r="B103" i="24"/>
  <c r="D103" i="24" s="1"/>
  <c r="I103" i="24" s="1"/>
  <c r="B102" i="24"/>
  <c r="D102" i="24" s="1"/>
  <c r="B93" i="24"/>
  <c r="D93" i="24" s="1"/>
  <c r="I93" i="24" s="1"/>
  <c r="B92" i="24"/>
  <c r="D92" i="24" s="1"/>
  <c r="I92" i="24" s="1"/>
  <c r="B91" i="24"/>
  <c r="B86" i="24"/>
  <c r="D86" i="24" s="1"/>
  <c r="I86" i="24" s="1"/>
  <c r="B87" i="24"/>
  <c r="D87" i="24" s="1"/>
  <c r="I87" i="24" s="1"/>
  <c r="B75" i="24"/>
  <c r="D75" i="24" s="1"/>
  <c r="I75" i="24" s="1"/>
  <c r="B74" i="24"/>
  <c r="B63" i="24"/>
  <c r="D63" i="24" s="1"/>
  <c r="I63" i="24" s="1"/>
  <c r="B62" i="24"/>
  <c r="D62" i="24" s="1"/>
  <c r="I62" i="24" s="1"/>
  <c r="B61" i="24"/>
  <c r="D61" i="24" s="1"/>
  <c r="I61" i="24" s="1"/>
  <c r="B59" i="24"/>
  <c r="D59" i="24" s="1"/>
  <c r="I59" i="24" s="1"/>
  <c r="B58" i="24"/>
  <c r="D58" i="24" s="1"/>
  <c r="I58" i="24" s="1"/>
  <c r="B50" i="24"/>
  <c r="D50" i="24" s="1"/>
  <c r="I50" i="24" s="1"/>
  <c r="B49" i="24"/>
  <c r="D49" i="24" s="1"/>
  <c r="I49" i="24" s="1"/>
  <c r="B48" i="24"/>
  <c r="B46" i="24"/>
  <c r="D46" i="24" s="1"/>
  <c r="I46" i="24" s="1"/>
  <c r="B44" i="24"/>
  <c r="D44" i="24" s="1"/>
  <c r="I44" i="24" s="1"/>
  <c r="B36" i="24"/>
  <c r="D36" i="24" s="1"/>
  <c r="I36" i="24" s="1"/>
  <c r="B35" i="24"/>
  <c r="D35" i="24" s="1"/>
  <c r="I35" i="24" s="1"/>
  <c r="B34" i="24"/>
  <c r="D34" i="24" s="1"/>
  <c r="I34" i="24" s="1"/>
  <c r="B32" i="24"/>
  <c r="D32" i="24" s="1"/>
  <c r="I32" i="24" s="1"/>
  <c r="B31" i="24"/>
  <c r="D31" i="24" s="1"/>
  <c r="I31" i="24" s="1"/>
  <c r="B24" i="24"/>
  <c r="D24" i="24" s="1"/>
  <c r="I24" i="24" s="1"/>
  <c r="B23" i="24"/>
  <c r="D23" i="24" s="1"/>
  <c r="I23" i="24" s="1"/>
  <c r="B22" i="24"/>
  <c r="D22" i="24" s="1"/>
  <c r="I22" i="24" s="1"/>
  <c r="B12" i="24"/>
  <c r="D12" i="24" s="1"/>
  <c r="I12" i="24" s="1"/>
  <c r="B11" i="24"/>
  <c r="D11" i="24" s="1"/>
  <c r="B151" i="27"/>
  <c r="I102" i="24" l="1"/>
  <c r="J153" i="24"/>
  <c r="I11" i="24"/>
  <c r="B47" i="24"/>
  <c r="D48" i="24"/>
  <c r="I48" i="24" s="1"/>
  <c r="B73" i="24"/>
  <c r="D74" i="24"/>
  <c r="I74" i="24" s="1"/>
  <c r="B90" i="24"/>
  <c r="D91" i="24"/>
  <c r="B131" i="24"/>
  <c r="D132" i="24"/>
  <c r="I132" i="24" s="1"/>
  <c r="B111" i="24"/>
  <c r="D112" i="24"/>
  <c r="B119" i="24"/>
  <c r="D120" i="24"/>
  <c r="E120" i="24" s="1"/>
  <c r="B60" i="24"/>
  <c r="B10" i="24"/>
  <c r="B21" i="24"/>
  <c r="B33" i="24"/>
  <c r="B101" i="24"/>
  <c r="F153" i="24"/>
  <c r="K23" i="35"/>
  <c r="M23" i="35" s="1"/>
  <c r="N23" i="35" s="1"/>
  <c r="E52" i="35"/>
  <c r="E12" i="35"/>
  <c r="E17" i="35"/>
  <c r="E24" i="35"/>
  <c r="E103" i="24"/>
  <c r="E36" i="24"/>
  <c r="E49" i="24"/>
  <c r="E75" i="24"/>
  <c r="E92" i="24"/>
  <c r="E24" i="24"/>
  <c r="E35" i="24"/>
  <c r="E50" i="24"/>
  <c r="E62" i="24"/>
  <c r="E93" i="24"/>
  <c r="E133" i="24"/>
  <c r="E34" i="24"/>
  <c r="E63" i="24"/>
  <c r="E134" i="24"/>
  <c r="B226" i="24"/>
  <c r="B225" i="24"/>
  <c r="N18" i="35"/>
  <c r="P18" i="35" s="1"/>
  <c r="Q18" i="35" s="1"/>
  <c r="E34" i="35"/>
  <c r="E32" i="35"/>
  <c r="N53" i="35"/>
  <c r="P53" i="35" s="1"/>
  <c r="Q53" i="35" s="1"/>
  <c r="H13" i="35"/>
  <c r="J13" i="35" s="1"/>
  <c r="K13" i="35" s="1"/>
  <c r="Q33" i="35"/>
  <c r="S33" i="35" s="1"/>
  <c r="T33" i="35" s="1"/>
  <c r="D153" i="24"/>
  <c r="B133" i="27"/>
  <c r="D133" i="27" s="1"/>
  <c r="I133" i="27" s="1"/>
  <c r="B132" i="27"/>
  <c r="D132" i="27" s="1"/>
  <c r="I132" i="27" s="1"/>
  <c r="B131" i="27"/>
  <c r="B128" i="27"/>
  <c r="B125" i="27"/>
  <c r="B119" i="27"/>
  <c r="B111" i="27"/>
  <c r="B103" i="27"/>
  <c r="B102" i="27"/>
  <c r="B93" i="27"/>
  <c r="B92" i="27"/>
  <c r="B91" i="27"/>
  <c r="B87" i="27"/>
  <c r="B84" i="27"/>
  <c r="B75" i="27"/>
  <c r="B74" i="27"/>
  <c r="B69" i="27"/>
  <c r="B63" i="27"/>
  <c r="B62" i="27"/>
  <c r="B61" i="27"/>
  <c r="B59" i="27"/>
  <c r="B56" i="27"/>
  <c r="B50" i="27"/>
  <c r="B49" i="27"/>
  <c r="B48" i="27"/>
  <c r="B45" i="27"/>
  <c r="D45" i="27" s="1"/>
  <c r="I45" i="27" s="1"/>
  <c r="B44" i="27"/>
  <c r="B36" i="27"/>
  <c r="B35" i="27"/>
  <c r="B34" i="27"/>
  <c r="B32" i="27"/>
  <c r="E132" i="24" l="1"/>
  <c r="D101" i="24"/>
  <c r="I101" i="24" s="1"/>
  <c r="J156" i="24"/>
  <c r="D60" i="24"/>
  <c r="I60" i="24" s="1"/>
  <c r="F156" i="24"/>
  <c r="D111" i="24"/>
  <c r="I111" i="24" s="1"/>
  <c r="K156" i="24"/>
  <c r="D90" i="24"/>
  <c r="I90" i="24" s="1"/>
  <c r="I156" i="24"/>
  <c r="D47" i="24"/>
  <c r="I47" i="24" s="1"/>
  <c r="E156" i="24"/>
  <c r="D33" i="24"/>
  <c r="I33" i="24" s="1"/>
  <c r="D156" i="24"/>
  <c r="I120" i="24"/>
  <c r="L153" i="24"/>
  <c r="D21" i="24"/>
  <c r="I21" i="24" s="1"/>
  <c r="C156" i="24"/>
  <c r="D119" i="24"/>
  <c r="I119" i="24" s="1"/>
  <c r="L156" i="24"/>
  <c r="D131" i="24"/>
  <c r="I131" i="24" s="1"/>
  <c r="M156" i="24"/>
  <c r="D73" i="24"/>
  <c r="I73" i="24" s="1"/>
  <c r="G156" i="24"/>
  <c r="D10" i="24"/>
  <c r="I10" i="24" s="1"/>
  <c r="B156" i="24"/>
  <c r="I112" i="24"/>
  <c r="K153" i="24"/>
  <c r="I91" i="24"/>
  <c r="I153" i="24"/>
  <c r="D44" i="27"/>
  <c r="I44" i="27" s="1"/>
  <c r="D111" i="27"/>
  <c r="B110" i="27"/>
  <c r="D110" i="27" s="1"/>
  <c r="I110" i="27" s="1"/>
  <c r="D131" i="27"/>
  <c r="I131" i="27" s="1"/>
  <c r="B130" i="27"/>
  <c r="D34" i="27"/>
  <c r="I34" i="27" s="1"/>
  <c r="B33" i="27"/>
  <c r="D56" i="27"/>
  <c r="I56" i="27" s="1"/>
  <c r="D84" i="27"/>
  <c r="I84" i="27" s="1"/>
  <c r="D119" i="27"/>
  <c r="I119" i="27" s="1"/>
  <c r="B118" i="27"/>
  <c r="D118" i="27" s="1"/>
  <c r="I118" i="27" s="1"/>
  <c r="D48" i="27"/>
  <c r="I48" i="27" s="1"/>
  <c r="B47" i="27"/>
  <c r="D47" i="27" s="1"/>
  <c r="I47" i="27" s="1"/>
  <c r="D69" i="27"/>
  <c r="I69" i="27" s="1"/>
  <c r="D102" i="27"/>
  <c r="I102" i="27" s="1"/>
  <c r="B101" i="27"/>
  <c r="D101" i="27" s="1"/>
  <c r="I101" i="27" s="1"/>
  <c r="D125" i="27"/>
  <c r="I125" i="27" s="1"/>
  <c r="D61" i="27"/>
  <c r="I61" i="27" s="1"/>
  <c r="B60" i="27"/>
  <c r="D60" i="27" s="1"/>
  <c r="I60" i="27" s="1"/>
  <c r="D74" i="27"/>
  <c r="I74" i="27" s="1"/>
  <c r="B73" i="27"/>
  <c r="D73" i="27" s="1"/>
  <c r="I73" i="27" s="1"/>
  <c r="D91" i="27"/>
  <c r="I91" i="27" s="1"/>
  <c r="B90" i="27"/>
  <c r="D90" i="27" s="1"/>
  <c r="I90" i="27" s="1"/>
  <c r="D49" i="27"/>
  <c r="I49" i="27" s="1"/>
  <c r="D128" i="27"/>
  <c r="I128" i="27" s="1"/>
  <c r="D32" i="27"/>
  <c r="I32" i="27" s="1"/>
  <c r="D50" i="27"/>
  <c r="I50" i="27" s="1"/>
  <c r="D62" i="27"/>
  <c r="I62" i="27" s="1"/>
  <c r="D75" i="27"/>
  <c r="I75" i="27" s="1"/>
  <c r="D92" i="27"/>
  <c r="I92" i="27" s="1"/>
  <c r="E112" i="24"/>
  <c r="D35" i="27"/>
  <c r="I35" i="27" s="1"/>
  <c r="D59" i="27"/>
  <c r="I59" i="27" s="1"/>
  <c r="D87" i="27"/>
  <c r="I87" i="27" s="1"/>
  <c r="D36" i="27"/>
  <c r="I36" i="27" s="1"/>
  <c r="D103" i="27"/>
  <c r="I103" i="27" s="1"/>
  <c r="D63" i="27"/>
  <c r="I63" i="27" s="1"/>
  <c r="D93" i="27"/>
  <c r="I93" i="27" s="1"/>
  <c r="E153" i="24"/>
  <c r="E48" i="24"/>
  <c r="E91" i="24"/>
  <c r="M153" i="24"/>
  <c r="G152" i="27"/>
  <c r="M152" i="27"/>
  <c r="D152" i="27"/>
  <c r="L152" i="27"/>
  <c r="F152" i="27"/>
  <c r="I152" i="27"/>
  <c r="K152" i="27"/>
  <c r="E152" i="27"/>
  <c r="J152" i="27"/>
  <c r="G153" i="24"/>
  <c r="E74" i="24"/>
  <c r="N19" i="36"/>
  <c r="P19" i="36" s="1"/>
  <c r="Q19" i="36" s="1"/>
  <c r="E18" i="36"/>
  <c r="K24" i="36"/>
  <c r="M24" i="36" s="1"/>
  <c r="N24" i="36" s="1"/>
  <c r="Q34" i="36"/>
  <c r="S34" i="36" s="1"/>
  <c r="T34" i="36" s="1"/>
  <c r="E29" i="36"/>
  <c r="N54" i="36"/>
  <c r="P54" i="36" s="1"/>
  <c r="Q54" i="36" s="1"/>
  <c r="E59" i="24"/>
  <c r="E61" i="24"/>
  <c r="E32" i="24"/>
  <c r="E22" i="24"/>
  <c r="E23" i="24"/>
  <c r="E12" i="24"/>
  <c r="E87" i="24"/>
  <c r="E129" i="24"/>
  <c r="E46" i="24"/>
  <c r="E11" i="24"/>
  <c r="H14" i="36"/>
  <c r="J14" i="36" s="1"/>
  <c r="K14" i="36" s="1"/>
  <c r="E53" i="36"/>
  <c r="E25" i="36"/>
  <c r="E23" i="36"/>
  <c r="E33" i="36"/>
  <c r="E35" i="36"/>
  <c r="B153" i="24"/>
  <c r="E102" i="24"/>
  <c r="C153" i="24"/>
  <c r="E24" i="27"/>
  <c r="E23" i="27"/>
  <c r="E22" i="27"/>
  <c r="O153" i="24" l="1"/>
  <c r="I111" i="27"/>
  <c r="K151" i="27"/>
  <c r="D33" i="27"/>
  <c r="I33" i="27" s="1"/>
  <c r="D130" i="27"/>
  <c r="I130" i="27" s="1"/>
  <c r="N152" i="27"/>
  <c r="E56" i="27"/>
  <c r="E133" i="27"/>
  <c r="E132" i="27"/>
  <c r="E125" i="27"/>
  <c r="E103" i="27"/>
  <c r="E93" i="27"/>
  <c r="E92" i="27"/>
  <c r="E84" i="27"/>
  <c r="E75" i="27"/>
  <c r="E69" i="27"/>
  <c r="E62" i="27"/>
  <c r="E63" i="27"/>
  <c r="E50" i="27"/>
  <c r="E49" i="27"/>
  <c r="E44" i="27"/>
  <c r="E36" i="27"/>
  <c r="E35" i="27"/>
  <c r="E32" i="27"/>
  <c r="E12" i="27"/>
  <c r="E91" i="27" l="1"/>
  <c r="I151" i="27"/>
  <c r="E131" i="27"/>
  <c r="M151" i="27"/>
  <c r="E111" i="27"/>
  <c r="E34" i="27"/>
  <c r="D151" i="27"/>
  <c r="E48" i="27"/>
  <c r="E151" i="27"/>
  <c r="E74" i="27"/>
  <c r="G151" i="27"/>
  <c r="E119" i="27"/>
  <c r="L151" i="27"/>
  <c r="E61" i="27"/>
  <c r="F151" i="27"/>
  <c r="E102" i="27"/>
  <c r="J151" i="27"/>
  <c r="Q31" i="26" l="1"/>
  <c r="N30" i="26"/>
  <c r="K33" i="26"/>
  <c r="K30" i="26"/>
  <c r="H33" i="26"/>
  <c r="H30" i="26"/>
  <c r="F23" i="17" l="1"/>
  <c r="F19" i="17"/>
  <c r="F15" i="17"/>
  <c r="F12" i="17"/>
  <c r="I48" i="26" s="1"/>
  <c r="F7" i="17"/>
  <c r="C39" i="26" s="1"/>
  <c r="E17" i="17"/>
  <c r="F17" i="17" s="1"/>
  <c r="L79" i="15" l="1"/>
  <c r="L79" i="14"/>
  <c r="I3" i="26"/>
  <c r="I30" i="26"/>
  <c r="R79" i="14"/>
  <c r="R79" i="15"/>
  <c r="R83" i="15" s="1"/>
  <c r="O3" i="26"/>
  <c r="O30" i="26"/>
  <c r="F79" i="14"/>
  <c r="F79" i="15"/>
  <c r="L30" i="26"/>
  <c r="L3" i="26"/>
  <c r="F39" i="17"/>
  <c r="L41" i="26" s="1"/>
  <c r="F40" i="17"/>
  <c r="E42" i="17"/>
  <c r="F42" i="17" s="1"/>
  <c r="F41" i="17"/>
  <c r="I41" i="26" s="1"/>
  <c r="F38" i="17"/>
  <c r="F37" i="17"/>
  <c r="R49" i="26" s="1"/>
  <c r="F36" i="17"/>
  <c r="R40" i="26" s="1"/>
  <c r="E35" i="17"/>
  <c r="F35" i="17" s="1"/>
  <c r="C33" i="26" s="1"/>
  <c r="E34" i="17"/>
  <c r="F34" i="17" s="1"/>
  <c r="F32" i="17"/>
  <c r="F33" i="17"/>
  <c r="F31" i="17"/>
  <c r="E30" i="17"/>
  <c r="F30" i="17" s="1"/>
  <c r="E29" i="17"/>
  <c r="F29" i="17" s="1"/>
  <c r="C51" i="26" s="1"/>
  <c r="F28" i="17"/>
  <c r="I51" i="26" s="1"/>
  <c r="I52" i="26" s="1"/>
  <c r="F27" i="17"/>
  <c r="F26" i="17"/>
  <c r="F25" i="17"/>
  <c r="R51" i="26" s="1"/>
  <c r="F24" i="17"/>
  <c r="C42" i="26" s="1"/>
  <c r="E22" i="17"/>
  <c r="F22" i="17" s="1"/>
  <c r="F42" i="26" s="1"/>
  <c r="F21" i="17"/>
  <c r="F20" i="17"/>
  <c r="R42" i="26" s="1"/>
  <c r="E18" i="17"/>
  <c r="F18" i="17" s="1"/>
  <c r="C30" i="26" s="1"/>
  <c r="F16" i="17"/>
  <c r="E13" i="17"/>
  <c r="F13" i="17" s="1"/>
  <c r="C48" i="26" s="1"/>
  <c r="F11" i="17"/>
  <c r="F10" i="17"/>
  <c r="F9" i="17"/>
  <c r="R48" i="26" s="1"/>
  <c r="O66" i="15" l="1"/>
  <c r="O66" i="14"/>
  <c r="C41" i="26"/>
  <c r="C14" i="26"/>
  <c r="C52" i="26"/>
  <c r="O51" i="26"/>
  <c r="R72" i="15"/>
  <c r="R72" i="14"/>
  <c r="O24" i="26"/>
  <c r="L80" i="15"/>
  <c r="L80" i="14"/>
  <c r="I33" i="26"/>
  <c r="I6" i="26"/>
  <c r="I80" i="15"/>
  <c r="I80" i="14"/>
  <c r="F6" i="26"/>
  <c r="F33" i="26"/>
  <c r="I79" i="14"/>
  <c r="I79" i="15"/>
  <c r="F30" i="26"/>
  <c r="F3" i="26"/>
  <c r="F80" i="14"/>
  <c r="F80" i="15"/>
  <c r="L33" i="26"/>
  <c r="L6" i="26"/>
  <c r="C79" i="14"/>
  <c r="C79" i="15"/>
  <c r="R30" i="26"/>
  <c r="C80" i="14"/>
  <c r="R33" i="26"/>
  <c r="R3" i="26"/>
  <c r="F51" i="26"/>
  <c r="I72" i="14"/>
  <c r="I72" i="15"/>
  <c r="F24" i="26"/>
  <c r="L51" i="26"/>
  <c r="F72" i="15"/>
  <c r="F72" i="14"/>
  <c r="L24" i="26"/>
  <c r="R52" i="26"/>
  <c r="I66" i="14"/>
  <c r="I66" i="15"/>
  <c r="F41" i="26"/>
  <c r="F14" i="26"/>
  <c r="C81" i="15"/>
  <c r="C81" i="14"/>
  <c r="R31" i="26"/>
  <c r="R4" i="26"/>
  <c r="F64" i="14"/>
  <c r="L42" i="26"/>
  <c r="L15" i="26"/>
  <c r="I71" i="14"/>
  <c r="I71" i="15"/>
  <c r="F48" i="26"/>
  <c r="F21" i="26"/>
  <c r="L48" i="26"/>
  <c r="L52" i="26" s="1"/>
  <c r="F71" i="15"/>
  <c r="F71" i="14"/>
  <c r="L21" i="26"/>
  <c r="E8" i="17"/>
  <c r="F8" i="17" s="1"/>
  <c r="F6" i="17"/>
  <c r="I39" i="26" s="1"/>
  <c r="F5" i="17"/>
  <c r="E64" i="17"/>
  <c r="E63" i="17"/>
  <c r="E62" i="17"/>
  <c r="E61" i="17"/>
  <c r="E60" i="17"/>
  <c r="E59" i="17"/>
  <c r="D65" i="17"/>
  <c r="C65" i="17"/>
  <c r="B65" i="17"/>
  <c r="R63" i="14" l="1"/>
  <c r="R63" i="15"/>
  <c r="O39" i="26"/>
  <c r="O43" i="26" s="1"/>
  <c r="O12" i="26"/>
  <c r="F52" i="26"/>
  <c r="E65" i="17"/>
  <c r="I63" i="15"/>
  <c r="I63" i="14"/>
  <c r="F39" i="26"/>
  <c r="F12" i="26"/>
  <c r="L25" i="26"/>
  <c r="E4" i="30"/>
  <c r="G4" i="30" s="1"/>
  <c r="F4" i="30"/>
  <c r="E5" i="30"/>
  <c r="G5" i="30" s="1"/>
  <c r="F5" i="30"/>
  <c r="E6" i="30"/>
  <c r="G6" i="30" s="1"/>
  <c r="F6" i="30"/>
  <c r="E7" i="30"/>
  <c r="G7" i="30" s="1"/>
  <c r="F7" i="30"/>
  <c r="E8" i="30"/>
  <c r="F8" i="30"/>
  <c r="J8" i="33"/>
  <c r="G8" i="30" l="1"/>
  <c r="D40" i="36" l="1"/>
  <c r="H40" i="36" s="1"/>
  <c r="M35" i="36"/>
  <c r="G35" i="36"/>
  <c r="D35" i="36"/>
  <c r="J25" i="36"/>
  <c r="F13" i="37" s="1"/>
  <c r="G25" i="36"/>
  <c r="D25" i="36"/>
  <c r="B13" i="37" l="1"/>
  <c r="C13" i="37"/>
  <c r="N25" i="36"/>
  <c r="M34" i="35"/>
  <c r="G34" i="35"/>
  <c r="D34" i="35"/>
  <c r="G24" i="35"/>
  <c r="D24" i="35"/>
  <c r="C13" i="34" l="1"/>
  <c r="C190" i="27"/>
  <c r="D190" i="27" s="1"/>
  <c r="C188" i="27"/>
  <c r="L186" i="27"/>
  <c r="M186" i="27" s="1"/>
  <c r="D186" i="27"/>
  <c r="I178" i="27"/>
  <c r="J178" i="27" s="1"/>
  <c r="D178" i="27"/>
  <c r="I176" i="27"/>
  <c r="F207" i="27" l="1"/>
  <c r="F4" i="37" s="1"/>
  <c r="B207" i="27"/>
  <c r="B4" i="37" s="1"/>
  <c r="G214" i="24"/>
  <c r="G194" i="24"/>
  <c r="D195" i="24"/>
  <c r="D185" i="24"/>
  <c r="C200" i="24" l="1"/>
  <c r="E25" i="38" s="1"/>
  <c r="C198" i="24"/>
  <c r="E23" i="38" s="1"/>
  <c r="L195" i="24"/>
  <c r="I185" i="24"/>
  <c r="I183" i="24"/>
  <c r="I14" i="38" s="1"/>
  <c r="G184" i="24"/>
  <c r="M195" i="24" l="1"/>
  <c r="I22" i="38"/>
  <c r="J185" i="24"/>
  <c r="I16" i="38"/>
  <c r="G179" i="24"/>
  <c r="G220" i="24" l="1"/>
  <c r="F4" i="34" s="1"/>
  <c r="B129" i="27"/>
  <c r="E128" i="27"/>
  <c r="B127" i="27"/>
  <c r="D127" i="27" s="1"/>
  <c r="I127" i="27" s="1"/>
  <c r="B126" i="27"/>
  <c r="B123" i="27"/>
  <c r="B122" i="27"/>
  <c r="B120" i="27"/>
  <c r="B117" i="27"/>
  <c r="B115" i="27"/>
  <c r="B114" i="27"/>
  <c r="B112" i="27"/>
  <c r="L148" i="27" s="1"/>
  <c r="L146" i="27" s="1"/>
  <c r="B109" i="27"/>
  <c r="B108" i="27"/>
  <c r="B106" i="27"/>
  <c r="B105" i="27" s="1"/>
  <c r="D105" i="27" s="1"/>
  <c r="I105" i="27" s="1"/>
  <c r="B104" i="27"/>
  <c r="K148" i="27" s="1"/>
  <c r="K146" i="27" s="1"/>
  <c r="B100" i="27"/>
  <c r="B99" i="27"/>
  <c r="B97" i="27"/>
  <c r="B96" i="27"/>
  <c r="B94" i="27"/>
  <c r="J148" i="27" s="1"/>
  <c r="J146" i="27" s="1"/>
  <c r="B89" i="27"/>
  <c r="B88" i="27"/>
  <c r="E87" i="27"/>
  <c r="B86" i="27"/>
  <c r="D86" i="27" s="1"/>
  <c r="I86" i="27" s="1"/>
  <c r="B85" i="27"/>
  <c r="B82" i="27"/>
  <c r="B81" i="27"/>
  <c r="B79" i="27"/>
  <c r="I148" i="27" s="1"/>
  <c r="I146" i="27" s="1"/>
  <c r="B78" i="27"/>
  <c r="B77" i="27" s="1"/>
  <c r="D77" i="27" s="1"/>
  <c r="I77" i="27" s="1"/>
  <c r="B76" i="27"/>
  <c r="H148" i="27" s="1"/>
  <c r="H146" i="27" s="1"/>
  <c r="B72" i="27"/>
  <c r="B71" i="27"/>
  <c r="B70" i="27"/>
  <c r="B67" i="27"/>
  <c r="B66" i="27"/>
  <c r="B64" i="27"/>
  <c r="G148" i="27" s="1"/>
  <c r="G146" i="27" s="1"/>
  <c r="B58" i="27"/>
  <c r="B57" i="27"/>
  <c r="B54" i="27"/>
  <c r="B53" i="27"/>
  <c r="B51" i="27"/>
  <c r="F148" i="27" s="1"/>
  <c r="F146" i="27" s="1"/>
  <c r="B46" i="27"/>
  <c r="B43" i="27"/>
  <c r="B42" i="27"/>
  <c r="B40" i="27"/>
  <c r="B39" i="27"/>
  <c r="B37" i="27"/>
  <c r="E148" i="27" s="1"/>
  <c r="E146" i="27" s="1"/>
  <c r="B30" i="27"/>
  <c r="B28" i="27"/>
  <c r="B27" i="27"/>
  <c r="D148" i="27"/>
  <c r="D146" i="27" s="1"/>
  <c r="B19" i="27"/>
  <c r="D19" i="27" s="1"/>
  <c r="I19" i="27" s="1"/>
  <c r="B18" i="27"/>
  <c r="D15" i="27"/>
  <c r="I15" i="27" s="1"/>
  <c r="C148" i="27"/>
  <c r="C146" i="27" s="1"/>
  <c r="D140" i="27"/>
  <c r="M148" i="27" l="1"/>
  <c r="M146" i="27" s="1"/>
  <c r="B55" i="27"/>
  <c r="D66" i="27"/>
  <c r="I66" i="27" s="1"/>
  <c r="B65" i="27"/>
  <c r="D65" i="27" s="1"/>
  <c r="I65" i="27" s="1"/>
  <c r="D81" i="27"/>
  <c r="I81" i="27" s="1"/>
  <c r="B80" i="27"/>
  <c r="D80" i="27" s="1"/>
  <c r="I80" i="27" s="1"/>
  <c r="D96" i="27"/>
  <c r="I96" i="27" s="1"/>
  <c r="B95" i="27"/>
  <c r="D95" i="27" s="1"/>
  <c r="I95" i="27" s="1"/>
  <c r="B41" i="27"/>
  <c r="D114" i="27"/>
  <c r="I114" i="27" s="1"/>
  <c r="B113" i="27"/>
  <c r="D113" i="27" s="1"/>
  <c r="I113" i="27" s="1"/>
  <c r="D122" i="27"/>
  <c r="I122" i="27" s="1"/>
  <c r="B121" i="27"/>
  <c r="D121" i="27" s="1"/>
  <c r="I121" i="27" s="1"/>
  <c r="B17" i="27"/>
  <c r="B68" i="27"/>
  <c r="B98" i="27"/>
  <c r="B107" i="27"/>
  <c r="D27" i="27"/>
  <c r="I27" i="27" s="1"/>
  <c r="B26" i="27"/>
  <c r="D39" i="27"/>
  <c r="I39" i="27" s="1"/>
  <c r="B38" i="27"/>
  <c r="D38" i="27" s="1"/>
  <c r="I38" i="27" s="1"/>
  <c r="D9" i="27"/>
  <c r="I9" i="27" s="1"/>
  <c r="B8" i="27"/>
  <c r="D30" i="27"/>
  <c r="B29" i="27"/>
  <c r="D154" i="27" s="1"/>
  <c r="D53" i="27"/>
  <c r="I53" i="27" s="1"/>
  <c r="B52" i="27"/>
  <c r="D52" i="27" s="1"/>
  <c r="I52" i="27" s="1"/>
  <c r="D117" i="27"/>
  <c r="B116" i="27"/>
  <c r="B83" i="27"/>
  <c r="B124" i="27"/>
  <c r="D16" i="27"/>
  <c r="I16" i="27" s="1"/>
  <c r="D18" i="27"/>
  <c r="I18" i="27" s="1"/>
  <c r="D82" i="27"/>
  <c r="I82" i="27" s="1"/>
  <c r="D97" i="27"/>
  <c r="I97" i="27" s="1"/>
  <c r="K153" i="27"/>
  <c r="D106" i="27"/>
  <c r="I106" i="27" s="1"/>
  <c r="D28" i="27"/>
  <c r="I28" i="27" s="1"/>
  <c r="D40" i="27"/>
  <c r="I40" i="27" s="1"/>
  <c r="D58" i="27"/>
  <c r="I58" i="27" s="1"/>
  <c r="D70" i="27"/>
  <c r="I70" i="27" s="1"/>
  <c r="H153" i="27"/>
  <c r="D78" i="27"/>
  <c r="I78" i="27" s="1"/>
  <c r="D85" i="27"/>
  <c r="I85" i="27" s="1"/>
  <c r="D89" i="27"/>
  <c r="D99" i="27"/>
  <c r="I99" i="27" s="1"/>
  <c r="D108" i="27"/>
  <c r="D115" i="27"/>
  <c r="I115" i="27" s="1"/>
  <c r="D123" i="27"/>
  <c r="I123" i="27" s="1"/>
  <c r="D129" i="27"/>
  <c r="I129" i="27" s="1"/>
  <c r="D43" i="27"/>
  <c r="D54" i="27"/>
  <c r="I54" i="27" s="1"/>
  <c r="D72" i="27"/>
  <c r="I72" i="27" s="1"/>
  <c r="D46" i="27"/>
  <c r="I46" i="27" s="1"/>
  <c r="D57" i="27"/>
  <c r="I57" i="27" s="1"/>
  <c r="D67" i="27"/>
  <c r="I67" i="27" s="1"/>
  <c r="D88" i="27"/>
  <c r="D20" i="27"/>
  <c r="I20" i="27" s="1"/>
  <c r="D42" i="27"/>
  <c r="D71" i="27"/>
  <c r="I71" i="27" s="1"/>
  <c r="D100" i="27"/>
  <c r="I100" i="27" s="1"/>
  <c r="D109" i="27"/>
  <c r="I109" i="27" s="1"/>
  <c r="D126" i="27"/>
  <c r="I126" i="27" s="1"/>
  <c r="I153" i="27"/>
  <c r="J153" i="27"/>
  <c r="L153" i="27"/>
  <c r="M153" i="27"/>
  <c r="G153" i="27"/>
  <c r="D153" i="27"/>
  <c r="E153" i="27"/>
  <c r="C153" i="27"/>
  <c r="F153" i="27"/>
  <c r="B134" i="27"/>
  <c r="G53" i="36"/>
  <c r="G33" i="36"/>
  <c r="B148" i="27"/>
  <c r="B146" i="27" s="1"/>
  <c r="E136" i="27"/>
  <c r="J13" i="33"/>
  <c r="E130" i="27"/>
  <c r="E59" i="27"/>
  <c r="E31" i="27"/>
  <c r="E45" i="27"/>
  <c r="G29" i="36"/>
  <c r="N29" i="36" s="1"/>
  <c r="D140" i="24"/>
  <c r="I140" i="24" s="1"/>
  <c r="H8" i="33"/>
  <c r="B144" i="24"/>
  <c r="B30" i="24"/>
  <c r="B28" i="24"/>
  <c r="D28" i="24" s="1"/>
  <c r="I28" i="24" s="1"/>
  <c r="B25" i="24"/>
  <c r="D150" i="24" s="1"/>
  <c r="B130" i="24"/>
  <c r="D130" i="24" s="1"/>
  <c r="I130" i="24" s="1"/>
  <c r="B127" i="24"/>
  <c r="D127" i="24" s="1"/>
  <c r="I127" i="24" s="1"/>
  <c r="B126" i="24"/>
  <c r="D126" i="24" s="1"/>
  <c r="I126" i="24" s="1"/>
  <c r="B124" i="24"/>
  <c r="D124" i="24" s="1"/>
  <c r="I124" i="24" s="1"/>
  <c r="B123" i="24"/>
  <c r="B121" i="24"/>
  <c r="M150" i="24" s="1"/>
  <c r="B118" i="24"/>
  <c r="B116" i="24"/>
  <c r="D116" i="24" s="1"/>
  <c r="I116" i="24" s="1"/>
  <c r="B115" i="24"/>
  <c r="B113" i="24"/>
  <c r="L150" i="24" s="1"/>
  <c r="B110" i="24"/>
  <c r="D110" i="24" s="1"/>
  <c r="I110" i="24" s="1"/>
  <c r="B109" i="24"/>
  <c r="B107" i="24"/>
  <c r="D107" i="24" s="1"/>
  <c r="I107" i="24" s="1"/>
  <c r="B106" i="24"/>
  <c r="D106" i="24" s="1"/>
  <c r="I106" i="24" s="1"/>
  <c r="B104" i="24"/>
  <c r="K150" i="24" s="1"/>
  <c r="B100" i="24"/>
  <c r="D100" i="24" s="1"/>
  <c r="I100" i="24" s="1"/>
  <c r="B99" i="24"/>
  <c r="D99" i="24" s="1"/>
  <c r="I99" i="24" s="1"/>
  <c r="B97" i="24"/>
  <c r="D97" i="24" s="1"/>
  <c r="I97" i="24" s="1"/>
  <c r="B96" i="24"/>
  <c r="B94" i="24"/>
  <c r="J150" i="24" s="1"/>
  <c r="B89" i="24"/>
  <c r="D89" i="24" s="1"/>
  <c r="I89" i="24" s="1"/>
  <c r="B88" i="24"/>
  <c r="D88" i="24" s="1"/>
  <c r="I88" i="24" s="1"/>
  <c r="B85" i="24"/>
  <c r="D85" i="24" s="1"/>
  <c r="I85" i="24" s="1"/>
  <c r="B84" i="24"/>
  <c r="B82" i="24"/>
  <c r="D82" i="24" s="1"/>
  <c r="I82" i="24" s="1"/>
  <c r="B81" i="24"/>
  <c r="D81" i="24" s="1"/>
  <c r="I81" i="24" s="1"/>
  <c r="B79" i="24"/>
  <c r="I150" i="24" s="1"/>
  <c r="B78" i="24"/>
  <c r="D78" i="24" s="1"/>
  <c r="I78" i="24" s="1"/>
  <c r="B76" i="24"/>
  <c r="H150" i="24" s="1"/>
  <c r="B72" i="24"/>
  <c r="D72" i="24" s="1"/>
  <c r="I72" i="24" s="1"/>
  <c r="B71" i="24"/>
  <c r="D71" i="24" s="1"/>
  <c r="I71" i="24" s="1"/>
  <c r="B70" i="24"/>
  <c r="D70" i="24" s="1"/>
  <c r="I70" i="24" s="1"/>
  <c r="B69" i="24"/>
  <c r="D69" i="24" s="1"/>
  <c r="I69" i="24" s="1"/>
  <c r="D67" i="24"/>
  <c r="I67" i="24" s="1"/>
  <c r="B66" i="24"/>
  <c r="B65" i="24" s="1"/>
  <c r="B64" i="24"/>
  <c r="G150" i="24" s="1"/>
  <c r="N146" i="27" l="1"/>
  <c r="E109" i="27"/>
  <c r="E44" i="36" s="1"/>
  <c r="G44" i="36" s="1"/>
  <c r="H44" i="36" s="1"/>
  <c r="C149" i="27"/>
  <c r="E89" i="27"/>
  <c r="N35" i="36" s="1"/>
  <c r="P35" i="36" s="1"/>
  <c r="E13" i="37" s="1"/>
  <c r="I89" i="27"/>
  <c r="D41" i="27"/>
  <c r="I41" i="27" s="1"/>
  <c r="E154" i="27"/>
  <c r="L150" i="27"/>
  <c r="I117" i="27"/>
  <c r="E42" i="27"/>
  <c r="I42" i="27"/>
  <c r="E43" i="27"/>
  <c r="I43" i="27"/>
  <c r="E108" i="27"/>
  <c r="B43" i="36" s="1"/>
  <c r="D43" i="36" s="1"/>
  <c r="H43" i="36" s="1"/>
  <c r="I108" i="27"/>
  <c r="D124" i="27"/>
  <c r="I124" i="27" s="1"/>
  <c r="M154" i="27"/>
  <c r="D8" i="27"/>
  <c r="B154" i="27"/>
  <c r="D68" i="27"/>
  <c r="I68" i="27" s="1"/>
  <c r="G154" i="27"/>
  <c r="E88" i="27"/>
  <c r="H35" i="36" s="1"/>
  <c r="J35" i="36" s="1"/>
  <c r="I88" i="27"/>
  <c r="D116" i="27"/>
  <c r="I116" i="27" s="1"/>
  <c r="L154" i="27"/>
  <c r="B139" i="27"/>
  <c r="J15" i="33" s="1"/>
  <c r="D150" i="27"/>
  <c r="I30" i="27"/>
  <c r="D98" i="27"/>
  <c r="I98" i="27" s="1"/>
  <c r="J154" i="27"/>
  <c r="E72" i="27"/>
  <c r="H28" i="36" s="1"/>
  <c r="J28" i="36" s="1"/>
  <c r="G11" i="37" s="1"/>
  <c r="D83" i="27"/>
  <c r="I83" i="27" s="1"/>
  <c r="I154" i="27"/>
  <c r="D17" i="27"/>
  <c r="I17" i="27" s="1"/>
  <c r="C154" i="27"/>
  <c r="D55" i="27"/>
  <c r="F154" i="27"/>
  <c r="D107" i="27"/>
  <c r="I107" i="27" s="1"/>
  <c r="K154" i="27"/>
  <c r="E126" i="27"/>
  <c r="F149" i="27"/>
  <c r="G149" i="27"/>
  <c r="E85" i="27"/>
  <c r="K33" i="36" s="1"/>
  <c r="M33" i="36" s="1"/>
  <c r="E71" i="27"/>
  <c r="B28" i="36" s="1"/>
  <c r="D28" i="36" s="1"/>
  <c r="E149" i="27"/>
  <c r="E99" i="27"/>
  <c r="B38" i="36" s="1"/>
  <c r="D38" i="36" s="1"/>
  <c r="H38" i="36" s="1"/>
  <c r="J150" i="27"/>
  <c r="E116" i="27"/>
  <c r="D29" i="27"/>
  <c r="I149" i="27"/>
  <c r="D26" i="27"/>
  <c r="I26" i="27" s="1"/>
  <c r="E68" i="27"/>
  <c r="D134" i="27"/>
  <c r="I134" i="27" s="1"/>
  <c r="D96" i="24"/>
  <c r="I96" i="24" s="1"/>
  <c r="B95" i="24"/>
  <c r="D95" i="24" s="1"/>
  <c r="I95" i="24" s="1"/>
  <c r="B117" i="24"/>
  <c r="D118" i="24"/>
  <c r="I118" i="24" s="1"/>
  <c r="B114" i="24"/>
  <c r="D114" i="24" s="1"/>
  <c r="I114" i="24" s="1"/>
  <c r="D115" i="24"/>
  <c r="I115" i="24" s="1"/>
  <c r="B122" i="24"/>
  <c r="D122" i="24" s="1"/>
  <c r="I122" i="24" s="1"/>
  <c r="D123" i="24"/>
  <c r="I123" i="24" s="1"/>
  <c r="B29" i="24"/>
  <c r="D30" i="24"/>
  <c r="I30" i="24" s="1"/>
  <c r="E58" i="27"/>
  <c r="K150" i="27"/>
  <c r="D65" i="24"/>
  <c r="I65" i="24" s="1"/>
  <c r="D66" i="24"/>
  <c r="I66" i="24" s="1"/>
  <c r="B26" i="24"/>
  <c r="D26" i="24" s="1"/>
  <c r="I26" i="24" s="1"/>
  <c r="E100" i="27"/>
  <c r="E39" i="36" s="1"/>
  <c r="G39" i="36" s="1"/>
  <c r="H39" i="36" s="1"/>
  <c r="B83" i="24"/>
  <c r="D84" i="24"/>
  <c r="I84" i="24" s="1"/>
  <c r="B108" i="24"/>
  <c r="D109" i="24"/>
  <c r="I109" i="24" s="1"/>
  <c r="B77" i="24"/>
  <c r="D77" i="24" s="1"/>
  <c r="I77" i="24" s="1"/>
  <c r="B98" i="24"/>
  <c r="B80" i="24"/>
  <c r="D80" i="24" s="1"/>
  <c r="I80" i="24" s="1"/>
  <c r="B125" i="24"/>
  <c r="B149" i="27"/>
  <c r="B68" i="24"/>
  <c r="B105" i="24"/>
  <c r="D105" i="24" s="1"/>
  <c r="I105" i="24" s="1"/>
  <c r="N153" i="27"/>
  <c r="E117" i="27"/>
  <c r="B48" i="36" s="1"/>
  <c r="D48" i="36" s="1"/>
  <c r="E48" i="36" s="1"/>
  <c r="M149" i="27"/>
  <c r="C150" i="27"/>
  <c r="E9" i="27"/>
  <c r="E30" i="27"/>
  <c r="B13" i="36" s="1"/>
  <c r="D13" i="36" s="1"/>
  <c r="K13" i="36" s="1"/>
  <c r="M150" i="27"/>
  <c r="H149" i="27"/>
  <c r="E86" i="27"/>
  <c r="B33" i="36" s="1"/>
  <c r="D33" i="36" s="1"/>
  <c r="K149" i="27"/>
  <c r="E19" i="27"/>
  <c r="B8" i="36" s="1"/>
  <c r="D8" i="36" s="1"/>
  <c r="B150" i="27"/>
  <c r="E127" i="27"/>
  <c r="B53" i="36" s="1"/>
  <c r="D53" i="36" s="1"/>
  <c r="H151" i="24"/>
  <c r="E110" i="24"/>
  <c r="E43" i="35" s="1"/>
  <c r="G43" i="35" s="1"/>
  <c r="H43" i="35" s="1"/>
  <c r="E130" i="24"/>
  <c r="H52" i="35" s="1"/>
  <c r="J52" i="35" s="1"/>
  <c r="E31" i="24"/>
  <c r="G12" i="35" s="1"/>
  <c r="E71" i="24"/>
  <c r="E28" i="35" s="1"/>
  <c r="G28" i="35" s="1"/>
  <c r="N28" i="35" s="1"/>
  <c r="E85" i="24"/>
  <c r="B32" i="35" s="1"/>
  <c r="D32" i="35" s="1"/>
  <c r="E70" i="24"/>
  <c r="B27" i="35" s="1"/>
  <c r="D27" i="35" s="1"/>
  <c r="E89" i="24"/>
  <c r="N34" i="35" s="1"/>
  <c r="P34" i="35" s="1"/>
  <c r="E13" i="34" s="1"/>
  <c r="E72" i="24"/>
  <c r="H27" i="35" s="1"/>
  <c r="J27" i="35" s="1"/>
  <c r="G11" i="34" s="1"/>
  <c r="E127" i="24"/>
  <c r="B52" i="35" s="1"/>
  <c r="D52" i="35" s="1"/>
  <c r="E88" i="24"/>
  <c r="H34" i="35" s="1"/>
  <c r="J34" i="35" s="1"/>
  <c r="J149" i="27"/>
  <c r="G150" i="27"/>
  <c r="D149" i="27"/>
  <c r="L149" i="27"/>
  <c r="F150" i="27"/>
  <c r="I150" i="27"/>
  <c r="E150" i="27"/>
  <c r="E38" i="35"/>
  <c r="G38" i="35" s="1"/>
  <c r="H38" i="35" s="1"/>
  <c r="B39" i="35"/>
  <c r="D39" i="35" s="1"/>
  <c r="B37" i="35"/>
  <c r="D37" i="35" s="1"/>
  <c r="H37" i="35" s="1"/>
  <c r="E128" i="24"/>
  <c r="G52" i="35" s="1"/>
  <c r="M152" i="24"/>
  <c r="E86" i="24"/>
  <c r="G32" i="35" s="1"/>
  <c r="E73" i="24"/>
  <c r="B23" i="36"/>
  <c r="D23" i="36" s="1"/>
  <c r="K18" i="36"/>
  <c r="M18" i="36" s="1"/>
  <c r="K53" i="36"/>
  <c r="M53" i="36" s="1"/>
  <c r="G18" i="36"/>
  <c r="B18" i="36"/>
  <c r="D18" i="36" s="1"/>
  <c r="G23" i="36"/>
  <c r="E90" i="24"/>
  <c r="E111" i="24"/>
  <c r="E126" i="24"/>
  <c r="K52" i="35" s="1"/>
  <c r="M52" i="35" s="1"/>
  <c r="E131" i="24"/>
  <c r="E60" i="27"/>
  <c r="E101" i="24"/>
  <c r="E101" i="27"/>
  <c r="E47" i="27"/>
  <c r="E118" i="27"/>
  <c r="E90" i="27"/>
  <c r="E33" i="24"/>
  <c r="E11" i="27"/>
  <c r="E33" i="27"/>
  <c r="E21" i="27"/>
  <c r="K151" i="24"/>
  <c r="E119" i="24"/>
  <c r="E110" i="27"/>
  <c r="E73" i="27"/>
  <c r="N148" i="27"/>
  <c r="J3" i="33" s="1"/>
  <c r="E46" i="27"/>
  <c r="E18" i="27"/>
  <c r="H8" i="36" s="1"/>
  <c r="J8" i="36" s="1"/>
  <c r="E57" i="27"/>
  <c r="E129" i="27"/>
  <c r="E70" i="27"/>
  <c r="K28" i="36" s="1"/>
  <c r="M28" i="36" s="1"/>
  <c r="E20" i="27"/>
  <c r="E9" i="36" s="1"/>
  <c r="G9" i="36" s="1"/>
  <c r="E137" i="24"/>
  <c r="H13" i="33"/>
  <c r="D13" i="37"/>
  <c r="I13" i="37" s="1"/>
  <c r="B56" i="24"/>
  <c r="D56" i="24" s="1"/>
  <c r="I56" i="24" s="1"/>
  <c r="B57" i="24"/>
  <c r="D57" i="24" s="1"/>
  <c r="I57" i="24" s="1"/>
  <c r="B54" i="24"/>
  <c r="D54" i="24" s="1"/>
  <c r="I54" i="24" s="1"/>
  <c r="B53" i="24"/>
  <c r="D53" i="24" s="1"/>
  <c r="I53" i="24" s="1"/>
  <c r="B51" i="24"/>
  <c r="F150" i="24" s="1"/>
  <c r="B45" i="24"/>
  <c r="D45" i="24" s="1"/>
  <c r="B43" i="24"/>
  <c r="D43" i="24" s="1"/>
  <c r="I43" i="24" s="1"/>
  <c r="B42" i="24"/>
  <c r="D42" i="24" s="1"/>
  <c r="I42" i="24" s="1"/>
  <c r="B40" i="24"/>
  <c r="D40" i="24" s="1"/>
  <c r="I40" i="24" s="1"/>
  <c r="B39" i="24"/>
  <c r="D39" i="24" s="1"/>
  <c r="I39" i="24" s="1"/>
  <c r="B37" i="24"/>
  <c r="E150" i="24" s="1"/>
  <c r="B20" i="24"/>
  <c r="D20" i="24" s="1"/>
  <c r="I20" i="24" s="1"/>
  <c r="B19" i="24"/>
  <c r="D19" i="24" s="1"/>
  <c r="I19" i="24" s="1"/>
  <c r="B18" i="24"/>
  <c r="D18" i="24" s="1"/>
  <c r="I18" i="24" s="1"/>
  <c r="B16" i="24"/>
  <c r="D16" i="24" s="1"/>
  <c r="I16" i="24" s="1"/>
  <c r="B15" i="24"/>
  <c r="B13" i="24"/>
  <c r="C150" i="24" s="1"/>
  <c r="B9" i="24"/>
  <c r="D9" i="24" s="1"/>
  <c r="I9" i="24" s="1"/>
  <c r="B7" i="24"/>
  <c r="D7" i="24" s="1"/>
  <c r="I7" i="24" s="1"/>
  <c r="B6" i="24"/>
  <c r="D6" i="24" s="1"/>
  <c r="I6" i="24" s="1"/>
  <c r="D139" i="27" l="1"/>
  <c r="E41" i="27"/>
  <c r="E98" i="27"/>
  <c r="T35" i="36"/>
  <c r="E83" i="27"/>
  <c r="D125" i="24"/>
  <c r="I125" i="24" s="1"/>
  <c r="M155" i="24"/>
  <c r="E29" i="27"/>
  <c r="I29" i="27"/>
  <c r="D108" i="24"/>
  <c r="I108" i="24" s="1"/>
  <c r="K155" i="24"/>
  <c r="D117" i="24"/>
  <c r="I117" i="24" s="1"/>
  <c r="L155" i="24"/>
  <c r="E8" i="27"/>
  <c r="I8" i="27"/>
  <c r="D68" i="24"/>
  <c r="I68" i="24" s="1"/>
  <c r="G155" i="24"/>
  <c r="D98" i="24"/>
  <c r="I98" i="24" s="1"/>
  <c r="J155" i="24"/>
  <c r="E124" i="27"/>
  <c r="E17" i="27"/>
  <c r="D83" i="24"/>
  <c r="I83" i="24" s="1"/>
  <c r="I155" i="24"/>
  <c r="D29" i="24"/>
  <c r="I29" i="24" s="1"/>
  <c r="D155" i="24"/>
  <c r="E107" i="27"/>
  <c r="E55" i="27"/>
  <c r="I55" i="27"/>
  <c r="N28" i="36"/>
  <c r="K152" i="24"/>
  <c r="D152" i="24"/>
  <c r="E83" i="24"/>
  <c r="D15" i="24"/>
  <c r="I15" i="24" s="1"/>
  <c r="B14" i="24"/>
  <c r="D14" i="24" s="1"/>
  <c r="I14" i="24" s="1"/>
  <c r="I45" i="24"/>
  <c r="E29" i="24"/>
  <c r="B5" i="24"/>
  <c r="B3" i="36"/>
  <c r="D3" i="36" s="1"/>
  <c r="E3" i="36" s="1"/>
  <c r="N154" i="27"/>
  <c r="E68" i="24"/>
  <c r="B41" i="24"/>
  <c r="E155" i="24" s="1"/>
  <c r="B52" i="24"/>
  <c r="D52" i="24" s="1"/>
  <c r="I52" i="24" s="1"/>
  <c r="B55" i="24"/>
  <c r="E125" i="24"/>
  <c r="B150" i="24"/>
  <c r="N150" i="24" s="1"/>
  <c r="B8" i="24"/>
  <c r="B155" i="24" s="1"/>
  <c r="B17" i="24"/>
  <c r="C155" i="24" s="1"/>
  <c r="B38" i="24"/>
  <c r="D38" i="24" s="1"/>
  <c r="I38" i="24" s="1"/>
  <c r="C130" i="27"/>
  <c r="C131" i="27"/>
  <c r="C132" i="27"/>
  <c r="C111" i="27"/>
  <c r="C133" i="27"/>
  <c r="C119" i="27"/>
  <c r="E98" i="24"/>
  <c r="G151" i="24"/>
  <c r="D13" i="34"/>
  <c r="E134" i="27"/>
  <c r="E109" i="24"/>
  <c r="B42" i="35" s="1"/>
  <c r="D42" i="35" s="1"/>
  <c r="H42" i="35" s="1"/>
  <c r="L151" i="24"/>
  <c r="M151" i="24"/>
  <c r="I151" i="24"/>
  <c r="E69" i="24"/>
  <c r="K27" i="35" s="1"/>
  <c r="M27" i="35" s="1"/>
  <c r="N27" i="35" s="1"/>
  <c r="E84" i="24"/>
  <c r="K32" i="35" s="1"/>
  <c r="M32" i="35" s="1"/>
  <c r="T32" i="35" s="1"/>
  <c r="J151" i="24"/>
  <c r="L152" i="24"/>
  <c r="T33" i="36"/>
  <c r="I152" i="24"/>
  <c r="G152" i="24"/>
  <c r="E30" i="24"/>
  <c r="B12" i="35" s="1"/>
  <c r="D12" i="35" s="1"/>
  <c r="K12" i="35" s="1"/>
  <c r="E118" i="24"/>
  <c r="B47" i="35" s="1"/>
  <c r="D47" i="35" s="1"/>
  <c r="E47" i="35" s="1"/>
  <c r="D151" i="24"/>
  <c r="E152" i="24"/>
  <c r="K8" i="36"/>
  <c r="T34" i="35"/>
  <c r="E19" i="24"/>
  <c r="B7" i="35" s="1"/>
  <c r="D7" i="35" s="1"/>
  <c r="E20" i="24"/>
  <c r="E8" i="35" s="1"/>
  <c r="G8" i="35" s="1"/>
  <c r="H12" i="34" s="1"/>
  <c r="I12" i="34" s="1"/>
  <c r="E57" i="24"/>
  <c r="B22" i="35" s="1"/>
  <c r="D22" i="35" s="1"/>
  <c r="E100" i="24"/>
  <c r="E45" i="24"/>
  <c r="H17" i="35" s="1"/>
  <c r="J17" i="35" s="1"/>
  <c r="D11" i="34" s="1"/>
  <c r="C11" i="37"/>
  <c r="N149" i="27"/>
  <c r="J4" i="33" s="1"/>
  <c r="E43" i="24"/>
  <c r="B17" i="35" s="1"/>
  <c r="D17" i="35" s="1"/>
  <c r="J152" i="24"/>
  <c r="B223" i="24"/>
  <c r="B224" i="24"/>
  <c r="E99" i="24"/>
  <c r="K9" i="36"/>
  <c r="H12" i="37"/>
  <c r="I12" i="37" s="1"/>
  <c r="H39" i="35"/>
  <c r="B13" i="34"/>
  <c r="H24" i="35"/>
  <c r="J24" i="35" s="1"/>
  <c r="Q52" i="35"/>
  <c r="E58" i="24"/>
  <c r="E22" i="35" s="1"/>
  <c r="G22" i="35" s="1"/>
  <c r="E44" i="24"/>
  <c r="G17" i="35" s="1"/>
  <c r="H53" i="36"/>
  <c r="J53" i="36" s="1"/>
  <c r="Q53" i="36" s="1"/>
  <c r="H18" i="36"/>
  <c r="J18" i="36" s="1"/>
  <c r="Q18" i="36" s="1"/>
  <c r="H23" i="36"/>
  <c r="J23" i="36" s="1"/>
  <c r="N23" i="36" s="1"/>
  <c r="C103" i="27"/>
  <c r="C91" i="27"/>
  <c r="C62" i="27"/>
  <c r="C22" i="27"/>
  <c r="C50" i="27"/>
  <c r="C63" i="27"/>
  <c r="C102" i="27"/>
  <c r="C75" i="27"/>
  <c r="C61" i="27"/>
  <c r="C36" i="27"/>
  <c r="C49" i="27"/>
  <c r="C92" i="27"/>
  <c r="C34" i="27"/>
  <c r="C93" i="27"/>
  <c r="C74" i="27"/>
  <c r="C24" i="27"/>
  <c r="C35" i="27"/>
  <c r="C48" i="27"/>
  <c r="C23" i="27"/>
  <c r="C44" i="27"/>
  <c r="C56" i="27"/>
  <c r="C125" i="27"/>
  <c r="C84" i="27"/>
  <c r="C32" i="27"/>
  <c r="C69" i="27"/>
  <c r="C12" i="27"/>
  <c r="C10" i="27"/>
  <c r="E21" i="24"/>
  <c r="E60" i="24"/>
  <c r="E47" i="24"/>
  <c r="K13" i="37"/>
  <c r="D19" i="37" s="1"/>
  <c r="K10" i="32"/>
  <c r="L10" i="32" s="1"/>
  <c r="H3" i="33"/>
  <c r="N150" i="27"/>
  <c r="J5" i="33" s="1"/>
  <c r="N151" i="27"/>
  <c r="J6" i="33" s="1"/>
  <c r="E9" i="24"/>
  <c r="E10" i="24"/>
  <c r="B141" i="27"/>
  <c r="C121" i="27"/>
  <c r="C116" i="27"/>
  <c r="C107" i="27"/>
  <c r="C98" i="27"/>
  <c r="C68" i="27"/>
  <c r="C52" i="27"/>
  <c r="C17" i="27"/>
  <c r="C135" i="27"/>
  <c r="C124" i="27"/>
  <c r="C77" i="27"/>
  <c r="C55" i="27"/>
  <c r="C136" i="27"/>
  <c r="C117" i="27"/>
  <c r="C99" i="27"/>
  <c r="C79" i="27"/>
  <c r="C70" i="27"/>
  <c r="C46" i="27"/>
  <c r="C25" i="27"/>
  <c r="C14" i="27"/>
  <c r="C4" i="27"/>
  <c r="C113" i="27"/>
  <c r="C95" i="27"/>
  <c r="C73" i="27"/>
  <c r="C53" i="27"/>
  <c r="C18" i="27"/>
  <c r="C8" i="27"/>
  <c r="C128" i="27"/>
  <c r="C109" i="27"/>
  <c r="C89" i="27"/>
  <c r="C71" i="27"/>
  <c r="C47" i="27"/>
  <c r="C26" i="27"/>
  <c r="C5" i="27"/>
  <c r="C123" i="27"/>
  <c r="C54" i="27"/>
  <c r="C30" i="27"/>
  <c r="C9" i="27"/>
  <c r="C122" i="27"/>
  <c r="C105" i="27"/>
  <c r="C83" i="27"/>
  <c r="C65" i="27"/>
  <c r="C41" i="27"/>
  <c r="C29" i="27"/>
  <c r="C118" i="27"/>
  <c r="C100" i="27"/>
  <c r="C80" i="27"/>
  <c r="C59" i="27"/>
  <c r="C38" i="27"/>
  <c r="C15" i="27"/>
  <c r="C88" i="27"/>
  <c r="C85" i="27"/>
  <c r="C27" i="27"/>
  <c r="C82" i="27"/>
  <c r="C28" i="27"/>
  <c r="C78" i="27"/>
  <c r="C66" i="27"/>
  <c r="C112" i="27"/>
  <c r="C21" i="27"/>
  <c r="C129" i="27"/>
  <c r="C60" i="27"/>
  <c r="C37" i="27"/>
  <c r="C94" i="27"/>
  <c r="C72" i="27"/>
  <c r="C114" i="27"/>
  <c r="C120" i="27"/>
  <c r="C16" i="27"/>
  <c r="C110" i="27"/>
  <c r="C96" i="27"/>
  <c r="C81" i="27"/>
  <c r="C101" i="27"/>
  <c r="C7" i="27"/>
  <c r="C43" i="27"/>
  <c r="C97" i="27"/>
  <c r="C115" i="27"/>
  <c r="C40" i="27"/>
  <c r="C126" i="27"/>
  <c r="C33" i="27"/>
  <c r="C39" i="27"/>
  <c r="C86" i="27"/>
  <c r="C108" i="27"/>
  <c r="C106" i="27"/>
  <c r="C6" i="27"/>
  <c r="C57" i="27"/>
  <c r="C20" i="27"/>
  <c r="C51" i="27"/>
  <c r="C104" i="27"/>
  <c r="C19" i="27"/>
  <c r="C45" i="27"/>
  <c r="C90" i="27"/>
  <c r="C127" i="27"/>
  <c r="C76" i="27"/>
  <c r="C58" i="27"/>
  <c r="C13" i="27"/>
  <c r="C42" i="27"/>
  <c r="C11" i="27"/>
  <c r="C64" i="27"/>
  <c r="C67" i="27"/>
  <c r="C31" i="27"/>
  <c r="C87" i="27"/>
  <c r="F8" i="33"/>
  <c r="F83" i="27" l="1"/>
  <c r="F130" i="27"/>
  <c r="E108" i="24"/>
  <c r="F33" i="27"/>
  <c r="E117" i="24"/>
  <c r="F107" i="27"/>
  <c r="F8" i="27"/>
  <c r="E139" i="27"/>
  <c r="C139" i="27"/>
  <c r="J16" i="33"/>
  <c r="J18" i="33" s="1"/>
  <c r="F98" i="27"/>
  <c r="F60" i="27"/>
  <c r="F55" i="27"/>
  <c r="F47" i="27"/>
  <c r="F25" i="27"/>
  <c r="F68" i="27"/>
  <c r="F73" i="27"/>
  <c r="D142" i="27"/>
  <c r="F10" i="27"/>
  <c r="D55" i="24"/>
  <c r="I55" i="24" s="1"/>
  <c r="F155" i="24"/>
  <c r="N155" i="24" s="1"/>
  <c r="F17" i="27"/>
  <c r="F41" i="27"/>
  <c r="F29" i="27"/>
  <c r="D5" i="24"/>
  <c r="I5" i="24" s="1"/>
  <c r="B154" i="24"/>
  <c r="B139" i="24"/>
  <c r="H15" i="33" s="1"/>
  <c r="F118" i="27"/>
  <c r="I139" i="27"/>
  <c r="I141" i="27" s="1"/>
  <c r="F21" i="27"/>
  <c r="F124" i="27"/>
  <c r="F116" i="27"/>
  <c r="F101" i="27"/>
  <c r="F90" i="27"/>
  <c r="D8" i="24"/>
  <c r="I8" i="24" s="1"/>
  <c r="B11" i="37"/>
  <c r="D17" i="24"/>
  <c r="I17" i="24" s="1"/>
  <c r="D139" i="24"/>
  <c r="H16" i="33" s="1"/>
  <c r="D41" i="24"/>
  <c r="I41" i="24" s="1"/>
  <c r="K8" i="35"/>
  <c r="B151" i="24"/>
  <c r="C152" i="24"/>
  <c r="E18" i="24"/>
  <c r="H7" i="35" s="1"/>
  <c r="J7" i="35" s="1"/>
  <c r="K7" i="35" s="1"/>
  <c r="C151" i="24"/>
  <c r="E151" i="24"/>
  <c r="E42" i="24"/>
  <c r="K17" i="35" s="1"/>
  <c r="M17" i="35" s="1"/>
  <c r="Q17" i="35" s="1"/>
  <c r="H4" i="33"/>
  <c r="F151" i="24"/>
  <c r="B2" i="35"/>
  <c r="D2" i="35" s="1"/>
  <c r="E2" i="35" s="1"/>
  <c r="B152" i="24"/>
  <c r="I139" i="24"/>
  <c r="F152" i="24"/>
  <c r="E56" i="24"/>
  <c r="H22" i="35" s="1"/>
  <c r="J22" i="35" s="1"/>
  <c r="N22" i="35" s="1"/>
  <c r="C11" i="34"/>
  <c r="D11" i="37"/>
  <c r="F13" i="34"/>
  <c r="I13" i="34" s="1"/>
  <c r="N24" i="35"/>
  <c r="F11" i="37"/>
  <c r="N153" i="24"/>
  <c r="K12" i="34"/>
  <c r="D18" i="34" s="1"/>
  <c r="I3" i="32"/>
  <c r="J3" i="32" s="1"/>
  <c r="K12" i="37"/>
  <c r="D18" i="37" s="1"/>
  <c r="K3" i="32"/>
  <c r="L3" i="32" s="1"/>
  <c r="C134" i="27"/>
  <c r="D8" i="33"/>
  <c r="D3" i="33"/>
  <c r="D2" i="33"/>
  <c r="B18" i="33"/>
  <c r="B9" i="33"/>
  <c r="W109" i="14"/>
  <c r="F108" i="14"/>
  <c r="R105" i="14"/>
  <c r="L108" i="14"/>
  <c r="M107" i="14"/>
  <c r="L107" i="14"/>
  <c r="F107" i="14"/>
  <c r="E107" i="14"/>
  <c r="D107" i="14"/>
  <c r="C107" i="14"/>
  <c r="C5" i="24" l="1"/>
  <c r="E55" i="24"/>
  <c r="E17" i="24"/>
  <c r="E8" i="24"/>
  <c r="F8" i="24" s="1"/>
  <c r="E41" i="24"/>
  <c r="F41" i="24" s="1"/>
  <c r="E139" i="24"/>
  <c r="F68" i="24"/>
  <c r="F29" i="24"/>
  <c r="F83" i="24"/>
  <c r="F117" i="24"/>
  <c r="F108" i="24"/>
  <c r="F125" i="24"/>
  <c r="F133" i="24"/>
  <c r="F17" i="24"/>
  <c r="F98" i="24"/>
  <c r="F55" i="24"/>
  <c r="H6" i="33"/>
  <c r="N152" i="24"/>
  <c r="N151" i="24"/>
  <c r="B11" i="34"/>
  <c r="I141" i="24"/>
  <c r="F134" i="24"/>
  <c r="F20" i="24"/>
  <c r="F128" i="24"/>
  <c r="F101" i="24"/>
  <c r="F18" i="24"/>
  <c r="F130" i="24"/>
  <c r="F42" i="24"/>
  <c r="F33" i="24"/>
  <c r="F72" i="24"/>
  <c r="F129" i="24"/>
  <c r="F43" i="24"/>
  <c r="F100" i="24"/>
  <c r="F47" i="24"/>
  <c r="F99" i="24"/>
  <c r="F88" i="24"/>
  <c r="F19" i="24"/>
  <c r="F136" i="24"/>
  <c r="F58" i="24"/>
  <c r="F60" i="24"/>
  <c r="F84" i="24"/>
  <c r="F119" i="24"/>
  <c r="F44" i="24"/>
  <c r="F111" i="24"/>
  <c r="F89" i="24"/>
  <c r="F109" i="24"/>
  <c r="F131" i="24"/>
  <c r="F86" i="24"/>
  <c r="F73" i="24"/>
  <c r="F32" i="24"/>
  <c r="D141" i="24"/>
  <c r="F10" i="24"/>
  <c r="F56" i="24"/>
  <c r="F45" i="24"/>
  <c r="F71" i="24"/>
  <c r="G71" i="24" s="1"/>
  <c r="E189" i="24" s="1"/>
  <c r="G189" i="24" s="1"/>
  <c r="N189" i="24" s="1"/>
  <c r="F127" i="24"/>
  <c r="F31" i="24"/>
  <c r="F70" i="24"/>
  <c r="F126" i="24"/>
  <c r="G126" i="24" s="1"/>
  <c r="K213" i="24" s="1"/>
  <c r="M213" i="24" s="1"/>
  <c r="F9" i="24"/>
  <c r="F50" i="24"/>
  <c r="F11" i="24"/>
  <c r="F59" i="24"/>
  <c r="G59" i="24" s="1"/>
  <c r="K184" i="24" s="1"/>
  <c r="M184" i="24" s="1"/>
  <c r="N184" i="24" s="1"/>
  <c r="F90" i="24"/>
  <c r="F69" i="24"/>
  <c r="F110" i="24"/>
  <c r="F11" i="34"/>
  <c r="F57" i="24"/>
  <c r="F74" i="24"/>
  <c r="F85" i="24"/>
  <c r="F137" i="24"/>
  <c r="G137" i="24" s="1"/>
  <c r="I13" i="33" s="1"/>
  <c r="F23" i="24"/>
  <c r="F46" i="24"/>
  <c r="F87" i="24"/>
  <c r="F36" i="24"/>
  <c r="G36" i="24" s="1"/>
  <c r="F61" i="24"/>
  <c r="F102" i="24"/>
  <c r="F24" i="24"/>
  <c r="F35" i="24"/>
  <c r="G35" i="24" s="1"/>
  <c r="F49" i="24"/>
  <c r="F63" i="24"/>
  <c r="F93" i="24"/>
  <c r="F103" i="24"/>
  <c r="G103" i="24" s="1"/>
  <c r="F30" i="24"/>
  <c r="F118" i="24"/>
  <c r="F21" i="24"/>
  <c r="F12" i="24"/>
  <c r="G12" i="24" s="1"/>
  <c r="F22" i="24"/>
  <c r="F34" i="24"/>
  <c r="F48" i="24"/>
  <c r="F62" i="24"/>
  <c r="G62" i="24" s="1"/>
  <c r="F92" i="24"/>
  <c r="F112" i="24"/>
  <c r="F132" i="24"/>
  <c r="F75" i="24"/>
  <c r="G75" i="24" s="1"/>
  <c r="F91" i="24"/>
  <c r="F120" i="24"/>
  <c r="I11" i="37"/>
  <c r="K13" i="34"/>
  <c r="D19" i="34" s="1"/>
  <c r="I10" i="32"/>
  <c r="J10" i="32" s="1"/>
  <c r="H5" i="33" l="1"/>
  <c r="O152" i="24"/>
  <c r="N156" i="24"/>
  <c r="K11" i="37"/>
  <c r="D17" i="37" s="1"/>
  <c r="D20" i="37" s="1"/>
  <c r="I14" i="37"/>
  <c r="K14" i="37" s="1"/>
  <c r="I11" i="34"/>
  <c r="F139" i="24"/>
  <c r="G133" i="24"/>
  <c r="G98" i="24"/>
  <c r="G108" i="24"/>
  <c r="G68" i="24"/>
  <c r="G17" i="24"/>
  <c r="G117" i="24"/>
  <c r="G41" i="24"/>
  <c r="G83" i="24"/>
  <c r="G55" i="24"/>
  <c r="G125" i="24"/>
  <c r="G29" i="24"/>
  <c r="G8" i="24"/>
  <c r="G130" i="24"/>
  <c r="H213" i="24" s="1"/>
  <c r="J213" i="24" s="1"/>
  <c r="G91" i="24"/>
  <c r="G92" i="24"/>
  <c r="G22" i="24"/>
  <c r="G30" i="24"/>
  <c r="B173" i="24" s="1"/>
  <c r="D173" i="24" s="1"/>
  <c r="G49" i="24"/>
  <c r="G61" i="24"/>
  <c r="G23" i="24"/>
  <c r="G57" i="24"/>
  <c r="B183" i="24" s="1"/>
  <c r="D183" i="24" s="1"/>
  <c r="G90" i="24"/>
  <c r="G9" i="24"/>
  <c r="G127" i="24"/>
  <c r="B213" i="24" s="1"/>
  <c r="D213" i="24" s="1"/>
  <c r="G88" i="24"/>
  <c r="H195" i="24" s="1"/>
  <c r="J195" i="24" s="1"/>
  <c r="E220" i="24" s="1"/>
  <c r="D4" i="34" s="1"/>
  <c r="G128" i="24"/>
  <c r="E213" i="24" s="1"/>
  <c r="G213" i="24" s="1"/>
  <c r="G44" i="24"/>
  <c r="E178" i="24" s="1"/>
  <c r="G178" i="24" s="1"/>
  <c r="G58" i="24"/>
  <c r="E185" i="24" s="1"/>
  <c r="G185" i="24" s="1"/>
  <c r="G10" i="24"/>
  <c r="G47" i="24"/>
  <c r="G18" i="24"/>
  <c r="H168" i="24" s="1"/>
  <c r="J168" i="24" s="1"/>
  <c r="G134" i="24"/>
  <c r="G86" i="24"/>
  <c r="E193" i="24" s="1"/>
  <c r="G193" i="24" s="1"/>
  <c r="G111" i="24"/>
  <c r="G60" i="24"/>
  <c r="G43" i="24"/>
  <c r="B178" i="24" s="1"/>
  <c r="D178" i="24" s="1"/>
  <c r="G42" i="24"/>
  <c r="K178" i="24" s="1"/>
  <c r="M178" i="24" s="1"/>
  <c r="G32" i="24"/>
  <c r="E174" i="24" s="1"/>
  <c r="J174" i="24" s="1"/>
  <c r="G131" i="24"/>
  <c r="G99" i="24"/>
  <c r="B200" i="24" s="1"/>
  <c r="D200" i="24" s="1"/>
  <c r="B220" i="24" s="1"/>
  <c r="G129" i="24"/>
  <c r="N214" i="24" s="1"/>
  <c r="P214" i="24" s="1"/>
  <c r="Q214" i="24" s="1"/>
  <c r="G20" i="24"/>
  <c r="E169" i="24" s="1"/>
  <c r="G169" i="24" s="1"/>
  <c r="K169" i="24" s="1"/>
  <c r="G48" i="24"/>
  <c r="G93" i="24"/>
  <c r="G87" i="24"/>
  <c r="Q194" i="24" s="1"/>
  <c r="S194" i="24" s="1"/>
  <c r="T194" i="24" s="1"/>
  <c r="G110" i="24"/>
  <c r="E204" i="24" s="1"/>
  <c r="G204" i="24" s="1"/>
  <c r="H204" i="24" s="1"/>
  <c r="G70" i="24"/>
  <c r="B188" i="24" s="1"/>
  <c r="D188" i="24" s="1"/>
  <c r="G120" i="24"/>
  <c r="L159" i="24" s="1"/>
  <c r="G112" i="24"/>
  <c r="K159" i="24" s="1"/>
  <c r="G34" i="24"/>
  <c r="D159" i="24" s="1"/>
  <c r="G118" i="24"/>
  <c r="B208" i="24" s="1"/>
  <c r="D208" i="24" s="1"/>
  <c r="F208" i="24" s="1"/>
  <c r="L160" i="24" s="1"/>
  <c r="G63" i="24"/>
  <c r="G102" i="24"/>
  <c r="J159" i="24" s="1"/>
  <c r="G46" i="24"/>
  <c r="N179" i="24" s="1"/>
  <c r="P179" i="24" s="1"/>
  <c r="Q179" i="24" s="1"/>
  <c r="G74" i="24"/>
  <c r="G159" i="24" s="1"/>
  <c r="G69" i="24"/>
  <c r="K188" i="24" s="1"/>
  <c r="M188" i="24" s="1"/>
  <c r="G50" i="24"/>
  <c r="G31" i="24"/>
  <c r="H173" i="24" s="1"/>
  <c r="J173" i="24" s="1"/>
  <c r="G56" i="24"/>
  <c r="H183" i="24" s="1"/>
  <c r="J183" i="24" s="1"/>
  <c r="G73" i="24"/>
  <c r="G89" i="24"/>
  <c r="N195" i="24" s="1"/>
  <c r="P195" i="24" s="1"/>
  <c r="F220" i="24" s="1"/>
  <c r="E4" i="34" s="1"/>
  <c r="G84" i="24"/>
  <c r="K193" i="24" s="1"/>
  <c r="M193" i="24" s="1"/>
  <c r="G19" i="24"/>
  <c r="B168" i="24" s="1"/>
  <c r="D168" i="24" s="1"/>
  <c r="K168" i="24" s="1"/>
  <c r="G100" i="24"/>
  <c r="E199" i="24" s="1"/>
  <c r="G199" i="24" s="1"/>
  <c r="H199" i="24" s="1"/>
  <c r="G33" i="24"/>
  <c r="G101" i="24"/>
  <c r="G132" i="24"/>
  <c r="G21" i="24"/>
  <c r="G24" i="24"/>
  <c r="G85" i="24"/>
  <c r="B193" i="24" s="1"/>
  <c r="D193" i="24" s="1"/>
  <c r="G11" i="24"/>
  <c r="B159" i="24" s="1"/>
  <c r="G45" i="24"/>
  <c r="H178" i="24" s="1"/>
  <c r="J178" i="24" s="1"/>
  <c r="G119" i="24"/>
  <c r="G136" i="24"/>
  <c r="G72" i="24"/>
  <c r="H188" i="24" s="1"/>
  <c r="J188" i="24" s="1"/>
  <c r="H218" i="24" s="1"/>
  <c r="G109" i="24"/>
  <c r="B203" i="24" s="1"/>
  <c r="D203" i="24" s="1"/>
  <c r="H203" i="24" s="1"/>
  <c r="K2" i="32"/>
  <c r="K12" i="32" s="1"/>
  <c r="I2" i="32"/>
  <c r="I12" i="32" s="1"/>
  <c r="F26" i="31"/>
  <c r="E26" i="31"/>
  <c r="D26" i="31"/>
  <c r="G23" i="31"/>
  <c r="G21" i="31"/>
  <c r="H21" i="31"/>
  <c r="F21" i="31"/>
  <c r="D21" i="31"/>
  <c r="F20" i="31"/>
  <c r="D20" i="31"/>
  <c r="H19" i="31"/>
  <c r="F19" i="31"/>
  <c r="E19" i="31"/>
  <c r="D19" i="31"/>
  <c r="C19" i="31"/>
  <c r="F18" i="31"/>
  <c r="E18" i="31"/>
  <c r="D18" i="31"/>
  <c r="C18" i="31"/>
  <c r="G17" i="31"/>
  <c r="G16" i="31"/>
  <c r="H15" i="31"/>
  <c r="G15" i="31"/>
  <c r="F15" i="31"/>
  <c r="E15" i="31"/>
  <c r="D15" i="31"/>
  <c r="C15" i="31"/>
  <c r="H14" i="31"/>
  <c r="F14" i="31"/>
  <c r="E14" i="31"/>
  <c r="D14" i="31"/>
  <c r="C14" i="31"/>
  <c r="F11" i="31"/>
  <c r="E11" i="31"/>
  <c r="D11" i="31"/>
  <c r="C11" i="31"/>
  <c r="H10" i="31"/>
  <c r="G10" i="31"/>
  <c r="F10" i="31"/>
  <c r="E10" i="31"/>
  <c r="D10" i="31"/>
  <c r="C10" i="31"/>
  <c r="G8" i="31"/>
  <c r="H7" i="31"/>
  <c r="G7" i="31"/>
  <c r="E7" i="31"/>
  <c r="C7" i="31"/>
  <c r="G6" i="31"/>
  <c r="E6" i="31"/>
  <c r="C6" i="31"/>
  <c r="F5" i="31"/>
  <c r="E5" i="31"/>
  <c r="D5" i="31"/>
  <c r="G3" i="31"/>
  <c r="D3" i="31"/>
  <c r="G4" i="31"/>
  <c r="E2" i="31"/>
  <c r="D2" i="31"/>
  <c r="C5" i="31"/>
  <c r="C3" i="31"/>
  <c r="C2" i="31"/>
  <c r="F11" i="30"/>
  <c r="F3" i="30"/>
  <c r="H11" i="28"/>
  <c r="H8" i="28"/>
  <c r="H7" i="28"/>
  <c r="H4" i="28"/>
  <c r="H3" i="28"/>
  <c r="G139" i="24" l="1"/>
  <c r="K11" i="34"/>
  <c r="D17" i="34" s="1"/>
  <c r="D20" i="34" s="1"/>
  <c r="I14" i="34"/>
  <c r="K14" i="34" s="1"/>
  <c r="K173" i="24"/>
  <c r="E218" i="24"/>
  <c r="D2" i="34" s="1"/>
  <c r="D6" i="34" s="1"/>
  <c r="B163" i="24"/>
  <c r="D163" i="24" s="1"/>
  <c r="H18" i="33"/>
  <c r="I159" i="24"/>
  <c r="Q213" i="24"/>
  <c r="R213" i="24" s="1"/>
  <c r="M160" i="24" s="1"/>
  <c r="E183" i="24"/>
  <c r="G183" i="24" s="1"/>
  <c r="N183" i="24" s="1"/>
  <c r="M159" i="24"/>
  <c r="H221" i="24"/>
  <c r="G2" i="34"/>
  <c r="G6" i="34" s="1"/>
  <c r="E159" i="24"/>
  <c r="T193" i="24"/>
  <c r="E195" i="24"/>
  <c r="G195" i="24" s="1"/>
  <c r="T195" i="24" s="1"/>
  <c r="C159" i="24"/>
  <c r="G218" i="24"/>
  <c r="E208" i="24"/>
  <c r="B198" i="24"/>
  <c r="D198" i="24" s="1"/>
  <c r="H198" i="24" s="1"/>
  <c r="G174" i="24"/>
  <c r="K174" i="24" s="1"/>
  <c r="L168" i="24"/>
  <c r="C160" i="24" s="1"/>
  <c r="F159" i="24"/>
  <c r="R178" i="24"/>
  <c r="E160" i="24" s="1"/>
  <c r="O188" i="24"/>
  <c r="G160" i="24" s="1"/>
  <c r="N188" i="24"/>
  <c r="I203" i="24"/>
  <c r="K160" i="24" s="1"/>
  <c r="Q178" i="24"/>
  <c r="L2" i="32"/>
  <c r="L12" i="32" s="1"/>
  <c r="H200" i="24"/>
  <c r="F221" i="24"/>
  <c r="E6" i="34"/>
  <c r="N185" i="24"/>
  <c r="F163" i="24"/>
  <c r="B160" i="24" s="1"/>
  <c r="J2" i="32"/>
  <c r="J12" i="32" s="1"/>
  <c r="E221" i="24" l="1"/>
  <c r="E163" i="24"/>
  <c r="B218" i="24"/>
  <c r="B2" i="34" s="1"/>
  <c r="C218" i="24"/>
  <c r="C2" i="34" s="1"/>
  <c r="C220" i="24"/>
  <c r="C4" i="34" s="1"/>
  <c r="G221" i="24"/>
  <c r="F2" i="34"/>
  <c r="F6" i="34" s="1"/>
  <c r="B4" i="34"/>
  <c r="I220" i="24"/>
  <c r="U193" i="24"/>
  <c r="I160" i="24" s="1"/>
  <c r="N159" i="24"/>
  <c r="O183" i="24"/>
  <c r="F160" i="24" s="1"/>
  <c r="D219" i="24"/>
  <c r="D221" i="24" s="1"/>
  <c r="I3" i="34" s="1"/>
  <c r="L173" i="24"/>
  <c r="D160" i="24" s="1"/>
  <c r="I198" i="24"/>
  <c r="J160" i="24" s="1"/>
  <c r="C221" i="24" l="1"/>
  <c r="C6" i="34"/>
  <c r="J4" i="34"/>
  <c r="F11" i="28" s="1"/>
  <c r="G11" i="28" s="1"/>
  <c r="I11" i="28" s="1"/>
  <c r="I6" i="33"/>
  <c r="H5" i="34"/>
  <c r="H6" i="34" s="1"/>
  <c r="B6" i="34"/>
  <c r="J2" i="34"/>
  <c r="F2" i="28" s="1"/>
  <c r="I6" i="34"/>
  <c r="J3" i="34"/>
  <c r="B18" i="34" s="1"/>
  <c r="C18" i="34" s="1"/>
  <c r="B221" i="24"/>
  <c r="N160" i="24"/>
  <c r="I5" i="33" s="1"/>
  <c r="B19" i="34" l="1"/>
  <c r="C19" i="34" s="1"/>
  <c r="F19" i="34" s="1"/>
  <c r="J19" i="34" s="1"/>
  <c r="F18" i="34"/>
  <c r="B17" i="34"/>
  <c r="C17" i="34" s="1"/>
  <c r="J6" i="34"/>
  <c r="F3" i="28"/>
  <c r="F12" i="28" s="1"/>
  <c r="N161" i="24"/>
  <c r="C20" i="34" l="1"/>
  <c r="G18" i="34"/>
  <c r="B20" i="34"/>
  <c r="M107" i="15"/>
  <c r="I117" i="15"/>
  <c r="K116" i="15"/>
  <c r="E116" i="15"/>
  <c r="E117" i="15" s="1"/>
  <c r="S107" i="15"/>
  <c r="R107" i="15"/>
  <c r="Q107" i="15"/>
  <c r="P107" i="15"/>
  <c r="O107" i="15"/>
  <c r="N107" i="15"/>
  <c r="R106" i="15"/>
  <c r="Q106" i="15"/>
  <c r="P106" i="15"/>
  <c r="O106" i="15"/>
  <c r="N106" i="15"/>
  <c r="R105" i="15"/>
  <c r="S107" i="14"/>
  <c r="R107" i="14"/>
  <c r="R106" i="14"/>
  <c r="Q107" i="14"/>
  <c r="Q106" i="14"/>
  <c r="P107" i="14"/>
  <c r="P106" i="14"/>
  <c r="O107" i="14"/>
  <c r="O106" i="14"/>
  <c r="N107" i="14"/>
  <c r="N106" i="14"/>
  <c r="I117" i="14"/>
  <c r="E116" i="14"/>
  <c r="G17" i="34" l="1"/>
  <c r="G20" i="34" s="1"/>
  <c r="F17" i="34"/>
  <c r="E117" i="14"/>
  <c r="E108" i="6"/>
  <c r="E107" i="6"/>
  <c r="E106" i="6"/>
  <c r="E105" i="6"/>
  <c r="E102" i="6"/>
  <c r="F20" i="34" l="1"/>
  <c r="J17" i="34"/>
  <c r="J20" i="34" s="1"/>
  <c r="E109" i="6"/>
  <c r="I109" i="6"/>
  <c r="P51" i="26" l="1"/>
  <c r="R108" i="15" s="1"/>
  <c r="R24" i="26"/>
  <c r="R22" i="26"/>
  <c r="R21" i="26"/>
  <c r="Q24" i="26"/>
  <c r="Q22" i="26"/>
  <c r="Q21" i="26"/>
  <c r="O25" i="26"/>
  <c r="N24" i="26"/>
  <c r="K24" i="26"/>
  <c r="K21" i="26"/>
  <c r="I24" i="26"/>
  <c r="I21" i="26"/>
  <c r="H24" i="26"/>
  <c r="H21" i="26"/>
  <c r="E24" i="26"/>
  <c r="E21" i="26"/>
  <c r="C24" i="26"/>
  <c r="C21" i="26"/>
  <c r="C25" i="26" s="1"/>
  <c r="B24" i="26"/>
  <c r="B21" i="26"/>
  <c r="R15" i="26"/>
  <c r="R13" i="26"/>
  <c r="Q15" i="26"/>
  <c r="Q13" i="26"/>
  <c r="Q12" i="26"/>
  <c r="N12" i="26"/>
  <c r="L14" i="26"/>
  <c r="K15" i="26"/>
  <c r="K14" i="26"/>
  <c r="K12" i="26"/>
  <c r="I14" i="26"/>
  <c r="I12" i="26"/>
  <c r="H15" i="26"/>
  <c r="H14" i="26"/>
  <c r="H12" i="26"/>
  <c r="C12" i="26"/>
  <c r="C15" i="26"/>
  <c r="F15" i="26"/>
  <c r="E15" i="26"/>
  <c r="E14" i="26"/>
  <c r="E12" i="26"/>
  <c r="B15" i="26"/>
  <c r="B14" i="26"/>
  <c r="B12" i="26"/>
  <c r="O16" i="26"/>
  <c r="I15" i="26"/>
  <c r="Q6" i="26"/>
  <c r="Q4" i="26"/>
  <c r="Q3" i="26"/>
  <c r="P3" i="26"/>
  <c r="F105" i="14" s="1"/>
  <c r="O7" i="26"/>
  <c r="N3" i="26"/>
  <c r="K6" i="26"/>
  <c r="K3" i="26"/>
  <c r="H6" i="26"/>
  <c r="H3" i="26"/>
  <c r="E6" i="26"/>
  <c r="E3" i="26"/>
  <c r="C6" i="26"/>
  <c r="C3" i="26"/>
  <c r="B6" i="26"/>
  <c r="B3" i="26"/>
  <c r="P52" i="26" l="1"/>
  <c r="R25" i="26"/>
  <c r="F4" i="17"/>
  <c r="F3" i="31"/>
  <c r="F3" i="17"/>
  <c r="R39" i="26" s="1"/>
  <c r="F7" i="31"/>
  <c r="D7" i="31"/>
  <c r="G12" i="31"/>
  <c r="D6" i="31"/>
  <c r="F6" i="31"/>
  <c r="I16" i="26"/>
  <c r="I25" i="26"/>
  <c r="C16" i="26"/>
  <c r="R43" i="26" l="1"/>
  <c r="F2" i="31"/>
  <c r="F63" i="14"/>
  <c r="F63" i="15"/>
  <c r="L39" i="26"/>
  <c r="L12" i="26"/>
  <c r="L16" i="26" s="1"/>
  <c r="G2" i="31"/>
  <c r="R12" i="26"/>
  <c r="R16" i="26" s="1"/>
  <c r="G11" i="31"/>
  <c r="R6" i="26"/>
  <c r="R7" i="26" s="1"/>
  <c r="M97" i="6"/>
  <c r="M96" i="6"/>
  <c r="M95" i="6"/>
  <c r="M94" i="6"/>
  <c r="M93" i="6"/>
  <c r="L92" i="6"/>
  <c r="K97" i="6"/>
  <c r="K95" i="6"/>
  <c r="K94" i="6"/>
  <c r="K93" i="6"/>
  <c r="K92" i="6"/>
  <c r="J97" i="6"/>
  <c r="J95" i="6"/>
  <c r="J94" i="6"/>
  <c r="J93" i="6"/>
  <c r="J92" i="6"/>
  <c r="J91" i="6"/>
  <c r="I97" i="6"/>
  <c r="I95" i="6"/>
  <c r="I94" i="6"/>
  <c r="I93" i="6"/>
  <c r="I92" i="6"/>
  <c r="H91" i="6"/>
  <c r="G97" i="6"/>
  <c r="G96" i="6"/>
  <c r="G95" i="6"/>
  <c r="G94" i="6"/>
  <c r="G92" i="6"/>
  <c r="G91" i="6"/>
  <c r="F97" i="6"/>
  <c r="F96" i="6"/>
  <c r="F95" i="6"/>
  <c r="F93" i="6"/>
  <c r="F92" i="6"/>
  <c r="E93" i="6"/>
  <c r="E92" i="6"/>
  <c r="D97" i="6"/>
  <c r="D93" i="6"/>
  <c r="D92" i="6"/>
  <c r="C93" i="6"/>
  <c r="C92" i="6"/>
  <c r="L43" i="26" l="1"/>
  <c r="R16" i="25"/>
  <c r="Q16" i="25"/>
  <c r="R15" i="25"/>
  <c r="Q15" i="25"/>
  <c r="O15" i="25"/>
  <c r="P15" i="25" s="1"/>
  <c r="N15" i="25"/>
  <c r="M20" i="25"/>
  <c r="K96" i="6" s="1"/>
  <c r="K20" i="25"/>
  <c r="K15" i="25"/>
  <c r="H20" i="25"/>
  <c r="F20" i="25"/>
  <c r="E20" i="25"/>
  <c r="F15" i="25"/>
  <c r="E15" i="25"/>
  <c r="L91" i="6" l="1"/>
  <c r="T4" i="25"/>
  <c r="O22" i="25"/>
  <c r="C22" i="25"/>
  <c r="D22" i="25"/>
  <c r="R22" i="25"/>
  <c r="L22" i="25"/>
  <c r="I22" i="25"/>
  <c r="F22" i="25"/>
  <c r="R6" i="25"/>
  <c r="R5" i="25"/>
  <c r="R4" i="25"/>
  <c r="R10" i="25" s="1"/>
  <c r="Q6" i="25"/>
  <c r="Q5" i="25"/>
  <c r="Q4" i="25"/>
  <c r="O6" i="25"/>
  <c r="O3" i="25"/>
  <c r="N8" i="25"/>
  <c r="N6" i="25"/>
  <c r="N3" i="25"/>
  <c r="L9" i="25"/>
  <c r="L8" i="25"/>
  <c r="L7" i="25"/>
  <c r="L6" i="25"/>
  <c r="L3" i="25"/>
  <c r="K9" i="25"/>
  <c r="K8" i="25"/>
  <c r="K7" i="25"/>
  <c r="K6" i="25"/>
  <c r="K3" i="25"/>
  <c r="I7" i="25"/>
  <c r="I6" i="25"/>
  <c r="H8" i="25"/>
  <c r="H7" i="25"/>
  <c r="H6" i="25"/>
  <c r="H3" i="25"/>
  <c r="F9" i="25"/>
  <c r="F8" i="25"/>
  <c r="F7" i="25"/>
  <c r="F6" i="25"/>
  <c r="F3" i="25"/>
  <c r="E9" i="25"/>
  <c r="E8" i="25"/>
  <c r="E7" i="25"/>
  <c r="E6" i="25"/>
  <c r="E3" i="25"/>
  <c r="B8" i="25"/>
  <c r="C7" i="25"/>
  <c r="B7" i="25"/>
  <c r="C6" i="25"/>
  <c r="B6" i="25"/>
  <c r="B3" i="25"/>
  <c r="L10" i="25" l="1"/>
  <c r="I10" i="25"/>
  <c r="O10" i="25"/>
  <c r="P22" i="25"/>
  <c r="F10" i="25"/>
  <c r="C10" i="25"/>
  <c r="C44" i="23"/>
  <c r="C54" i="23"/>
  <c r="E71" i="6" s="1"/>
  <c r="C53" i="23"/>
  <c r="C52" i="23"/>
  <c r="C51" i="23"/>
  <c r="C50" i="23"/>
  <c r="H87" i="15" s="1"/>
  <c r="C49" i="23"/>
  <c r="C48" i="23"/>
  <c r="D48" i="23" s="1"/>
  <c r="F69" i="6" s="1"/>
  <c r="C47" i="23"/>
  <c r="C46" i="23"/>
  <c r="E69" i="6" s="1"/>
  <c r="C45" i="23"/>
  <c r="C43" i="23"/>
  <c r="B69" i="6" s="1"/>
  <c r="B38" i="23"/>
  <c r="B37" i="23"/>
  <c r="B36" i="23"/>
  <c r="B35" i="23"/>
  <c r="B34" i="23"/>
  <c r="B33" i="23"/>
  <c r="D29" i="23"/>
  <c r="D44" i="23" l="1"/>
  <c r="C87" i="15" s="1"/>
  <c r="D47" i="23"/>
  <c r="I87" i="15" s="1"/>
  <c r="D51" i="23"/>
  <c r="I88" i="14" s="1"/>
  <c r="B87" i="14"/>
  <c r="D45" i="23"/>
  <c r="F87" i="15" s="1"/>
  <c r="D49" i="23"/>
  <c r="D53" i="23"/>
  <c r="F70" i="6" s="1"/>
  <c r="B87" i="15"/>
  <c r="D50" i="23"/>
  <c r="I87" i="14" s="1"/>
  <c r="E87" i="15"/>
  <c r="H87" i="14"/>
  <c r="E70" i="6"/>
  <c r="B88" i="14"/>
  <c r="D46" i="23"/>
  <c r="E87" i="14"/>
  <c r="F88" i="15"/>
  <c r="I88" i="15"/>
  <c r="H88" i="15"/>
  <c r="D52" i="23"/>
  <c r="B88" i="15"/>
  <c r="E88" i="15"/>
  <c r="E88" i="14"/>
  <c r="H88" i="14"/>
  <c r="C87" i="14"/>
  <c r="D54" i="23"/>
  <c r="F71" i="6" s="1"/>
  <c r="J29" i="21"/>
  <c r="J26" i="21"/>
  <c r="J22" i="21"/>
  <c r="J19" i="21"/>
  <c r="J16" i="21"/>
  <c r="J12" i="21"/>
  <c r="J8" i="21"/>
  <c r="J4" i="21"/>
  <c r="J32" i="21" s="1"/>
  <c r="E41" i="21"/>
  <c r="E40" i="21"/>
  <c r="E39" i="21"/>
  <c r="E38" i="21"/>
  <c r="E37" i="21"/>
  <c r="E36" i="21"/>
  <c r="F41" i="21"/>
  <c r="F40" i="21"/>
  <c r="F39" i="21"/>
  <c r="F38" i="21"/>
  <c r="F37" i="21"/>
  <c r="F36" i="21"/>
  <c r="C58" i="21"/>
  <c r="C50" i="21"/>
  <c r="C51" i="21"/>
  <c r="B41" i="21"/>
  <c r="B37" i="21"/>
  <c r="C56" i="21"/>
  <c r="C53" i="21"/>
  <c r="C49" i="21"/>
  <c r="B40" i="21"/>
  <c r="B36" i="21"/>
  <c r="C55" i="21"/>
  <c r="C52" i="21"/>
  <c r="C48" i="21"/>
  <c r="B39" i="21"/>
  <c r="C59" i="21"/>
  <c r="C54" i="21"/>
  <c r="C46" i="21"/>
  <c r="C47" i="21"/>
  <c r="B38" i="21"/>
  <c r="D46" i="21" l="1"/>
  <c r="F87" i="14"/>
  <c r="F88" i="14"/>
  <c r="C88" i="14"/>
  <c r="C88" i="15"/>
  <c r="H2" i="31"/>
  <c r="E89" i="15" l="1"/>
  <c r="E89" i="14"/>
  <c r="E74" i="6" l="1"/>
  <c r="B74" i="6"/>
  <c r="F74" i="6"/>
  <c r="C74" i="6"/>
  <c r="C60" i="21"/>
  <c r="C57" i="21"/>
  <c r="C61" i="21"/>
  <c r="D48" i="21" l="1"/>
  <c r="D56" i="21"/>
  <c r="D49" i="21"/>
  <c r="D57" i="21"/>
  <c r="D50" i="21"/>
  <c r="D54" i="21"/>
  <c r="D58" i="21"/>
  <c r="B63" i="21" s="1"/>
  <c r="D52" i="21"/>
  <c r="D60" i="21"/>
  <c r="D53" i="21"/>
  <c r="D61" i="21"/>
  <c r="D47" i="21"/>
  <c r="D51" i="21"/>
  <c r="D55" i="21"/>
  <c r="D59" i="21"/>
  <c r="I45" i="15"/>
  <c r="S79" i="14"/>
  <c r="B67" i="21" l="1"/>
  <c r="B90" i="14"/>
  <c r="H90" i="15"/>
  <c r="E90" i="15"/>
  <c r="B68" i="21"/>
  <c r="H90" i="14"/>
  <c r="B64" i="21"/>
  <c r="B65" i="21"/>
  <c r="B90" i="15"/>
  <c r="B66" i="21"/>
  <c r="E90" i="14"/>
  <c r="D57" i="15"/>
  <c r="C90" i="14" l="1"/>
  <c r="I90" i="15"/>
  <c r="F90" i="15"/>
  <c r="C90" i="15"/>
  <c r="I90" i="14"/>
  <c r="F90" i="14"/>
  <c r="D50" i="15"/>
  <c r="F13" i="33" s="1"/>
  <c r="D49" i="15"/>
  <c r="D45" i="15"/>
  <c r="D31" i="15"/>
  <c r="D17" i="15"/>
  <c r="E31" i="15"/>
  <c r="P39" i="26" s="1"/>
  <c r="I31" i="15"/>
  <c r="E17" i="15"/>
  <c r="P30" i="26" s="1"/>
  <c r="I17" i="15"/>
  <c r="D50" i="14"/>
  <c r="D49" i="14"/>
  <c r="D13" i="33" s="1"/>
  <c r="D45" i="14"/>
  <c r="E45" i="14" s="1"/>
  <c r="P24" i="26" s="1"/>
  <c r="D31" i="14"/>
  <c r="E31" i="14" s="1"/>
  <c r="P12" i="26" s="1"/>
  <c r="D17" i="14"/>
  <c r="L105" i="15" l="1"/>
  <c r="P43" i="26"/>
  <c r="F105" i="15"/>
  <c r="P34" i="26"/>
  <c r="P25" i="26"/>
  <c r="R108" i="14"/>
  <c r="P16" i="26"/>
  <c r="L105" i="14"/>
  <c r="R53" i="6" l="1"/>
  <c r="Q53" i="6"/>
  <c r="Q64" i="6"/>
  <c r="R64" i="6"/>
  <c r="S57" i="6"/>
  <c r="S64" i="6" l="1"/>
  <c r="I33" i="6" l="1"/>
  <c r="I32" i="6"/>
  <c r="I27" i="6"/>
  <c r="I25" i="6"/>
  <c r="I24" i="6"/>
  <c r="I23" i="6"/>
  <c r="I22" i="6"/>
  <c r="I20" i="6"/>
  <c r="I19" i="6"/>
  <c r="I14" i="6"/>
  <c r="I13" i="6"/>
  <c r="I12" i="6"/>
  <c r="I11" i="6"/>
  <c r="I10" i="6"/>
  <c r="I9" i="6"/>
  <c r="I7" i="6"/>
  <c r="I6" i="6"/>
  <c r="D39" i="6" l="1"/>
  <c r="D35" i="6"/>
  <c r="I35" i="6" s="1"/>
  <c r="D34" i="6"/>
  <c r="I34" i="6" s="1"/>
  <c r="D30" i="6"/>
  <c r="I30" i="6" s="1"/>
  <c r="P3" i="25" l="1"/>
  <c r="P6" i="25"/>
  <c r="F94" i="6" s="1"/>
  <c r="E66" i="15"/>
  <c r="E47" i="20"/>
  <c r="F54" i="17"/>
  <c r="G53" i="17"/>
  <c r="G52" i="17"/>
  <c r="G51" i="17"/>
  <c r="G50" i="17"/>
  <c r="P10" i="25" l="1"/>
  <c r="F91" i="6"/>
  <c r="G54" i="17"/>
  <c r="G49" i="17"/>
  <c r="N49" i="6"/>
  <c r="O49" i="6"/>
  <c r="N50" i="6"/>
  <c r="O50" i="6"/>
  <c r="L62" i="6"/>
  <c r="L64" i="6" s="1"/>
  <c r="K62" i="6"/>
  <c r="K64" i="6" s="1"/>
  <c r="I62" i="6"/>
  <c r="I57" i="6"/>
  <c r="H62" i="6"/>
  <c r="H57" i="6"/>
  <c r="C58" i="6"/>
  <c r="C57" i="6"/>
  <c r="B58" i="6"/>
  <c r="B57" i="6"/>
  <c r="T59" i="6"/>
  <c r="L50" i="6"/>
  <c r="L49" i="6"/>
  <c r="K50" i="6"/>
  <c r="K49" i="6"/>
  <c r="I52" i="6"/>
  <c r="I51" i="6"/>
  <c r="I50" i="6"/>
  <c r="I49" i="6"/>
  <c r="I46" i="6"/>
  <c r="H52" i="6"/>
  <c r="H50" i="6"/>
  <c r="H49" i="6"/>
  <c r="H53" i="6" s="1"/>
  <c r="F46" i="20"/>
  <c r="F45" i="20"/>
  <c r="F44" i="20"/>
  <c r="F43" i="20"/>
  <c r="F42" i="20"/>
  <c r="E64" i="6" l="1"/>
  <c r="C64" i="6"/>
  <c r="H64" i="6"/>
  <c r="B64" i="6"/>
  <c r="I64" i="6"/>
  <c r="F64" i="6"/>
  <c r="F52" i="6" l="1"/>
  <c r="F51" i="6"/>
  <c r="F50" i="6"/>
  <c r="F49" i="6"/>
  <c r="F46" i="6"/>
  <c r="E52" i="6"/>
  <c r="E51" i="6"/>
  <c r="E50" i="6"/>
  <c r="E49" i="6"/>
  <c r="C49" i="6"/>
  <c r="C48" i="6"/>
  <c r="C47" i="6"/>
  <c r="B49" i="6"/>
  <c r="B48" i="6"/>
  <c r="B47" i="6"/>
  <c r="C53" i="6" l="1"/>
  <c r="D98" i="14"/>
  <c r="B98" i="14"/>
  <c r="B81" i="14"/>
  <c r="O80" i="14"/>
  <c r="N80" i="14"/>
  <c r="K80" i="14"/>
  <c r="H80" i="14"/>
  <c r="E80" i="14"/>
  <c r="B80" i="14"/>
  <c r="O79" i="14"/>
  <c r="N79" i="14"/>
  <c r="K79" i="14"/>
  <c r="H79" i="14"/>
  <c r="E79" i="14"/>
  <c r="I75" i="14"/>
  <c r="C73" i="14"/>
  <c r="B73" i="14"/>
  <c r="B75" i="14" s="1"/>
  <c r="O72" i="14"/>
  <c r="P72" i="14" s="1"/>
  <c r="L72" i="14"/>
  <c r="K72" i="14"/>
  <c r="H72" i="14"/>
  <c r="E72" i="14"/>
  <c r="E75" i="14" s="1"/>
  <c r="C72" i="14"/>
  <c r="O71" i="14"/>
  <c r="N71" i="14"/>
  <c r="N75" i="14" s="1"/>
  <c r="L71" i="14"/>
  <c r="K71" i="14"/>
  <c r="H71" i="14"/>
  <c r="C71" i="14"/>
  <c r="N66" i="14"/>
  <c r="L66" i="14"/>
  <c r="K66" i="14"/>
  <c r="H66" i="14"/>
  <c r="F66" i="14"/>
  <c r="E66" i="14"/>
  <c r="C65" i="14"/>
  <c r="B65" i="14"/>
  <c r="O64" i="14"/>
  <c r="N64" i="14"/>
  <c r="L64" i="14"/>
  <c r="K64" i="14"/>
  <c r="I64" i="14"/>
  <c r="H64" i="14"/>
  <c r="E64" i="14"/>
  <c r="C64" i="14"/>
  <c r="B64" i="14"/>
  <c r="O63" i="14"/>
  <c r="N63" i="14"/>
  <c r="L63" i="14"/>
  <c r="K63" i="14"/>
  <c r="H63" i="14"/>
  <c r="C63" i="14"/>
  <c r="B63" i="14"/>
  <c r="D97" i="15"/>
  <c r="H75" i="14" l="1"/>
  <c r="O83" i="14"/>
  <c r="N67" i="14"/>
  <c r="E67" i="14"/>
  <c r="K75" i="14"/>
  <c r="O75" i="14"/>
  <c r="P71" i="14"/>
  <c r="F75" i="14"/>
  <c r="L75" i="14"/>
  <c r="C75" i="14"/>
  <c r="F67" i="14"/>
  <c r="H83" i="14"/>
  <c r="N83" i="14"/>
  <c r="H67" i="14"/>
  <c r="K67" i="14"/>
  <c r="B67" i="14"/>
  <c r="E83" i="14"/>
  <c r="K83" i="14"/>
  <c r="B83" i="14"/>
  <c r="C83" i="14"/>
  <c r="B53" i="6"/>
  <c r="I53" i="6"/>
  <c r="N53" i="6"/>
  <c r="E53" i="6"/>
  <c r="K53" i="6"/>
  <c r="O53" i="6"/>
  <c r="F53" i="6"/>
  <c r="L53" i="6"/>
  <c r="I67" i="14"/>
  <c r="C67" i="14"/>
  <c r="L67" i="14"/>
  <c r="L83" i="14"/>
  <c r="I83" i="14"/>
  <c r="F83" i="14"/>
  <c r="I5" i="15"/>
  <c r="G49" i="16" l="1"/>
  <c r="B20" i="15" s="1"/>
  <c r="D20" i="15" s="1"/>
  <c r="G48" i="16"/>
  <c r="B7" i="15" s="1"/>
  <c r="F3" i="33" s="1"/>
  <c r="G47" i="16"/>
  <c r="B19" i="15" s="1"/>
  <c r="G46" i="16"/>
  <c r="B10" i="15" s="1"/>
  <c r="G45" i="16"/>
  <c r="B9" i="15" s="1"/>
  <c r="G44" i="16"/>
  <c r="G41" i="16"/>
  <c r="B12" i="15" s="1"/>
  <c r="G40" i="16"/>
  <c r="B14" i="15" s="1"/>
  <c r="G39" i="16"/>
  <c r="B13" i="15" s="1"/>
  <c r="G38" i="16"/>
  <c r="B15" i="15" s="1"/>
  <c r="G37" i="16"/>
  <c r="B16" i="15" s="1"/>
  <c r="G29" i="16"/>
  <c r="B37" i="15" s="1"/>
  <c r="G13" i="16"/>
  <c r="B23" i="15" s="1"/>
  <c r="P49" i="16"/>
  <c r="B20" i="14" s="1"/>
  <c r="P48" i="16"/>
  <c r="P47" i="16"/>
  <c r="B19" i="14" s="1"/>
  <c r="P46" i="16"/>
  <c r="B10" i="14" s="1"/>
  <c r="P45" i="16"/>
  <c r="B9" i="14" s="1"/>
  <c r="P44" i="16"/>
  <c r="P41" i="16"/>
  <c r="B12" i="14" s="1"/>
  <c r="P40" i="16"/>
  <c r="B14" i="14" s="1"/>
  <c r="P39" i="16"/>
  <c r="B13" i="14" s="1"/>
  <c r="P38" i="16"/>
  <c r="B15" i="14" s="1"/>
  <c r="P37" i="16"/>
  <c r="B16" i="14" s="1"/>
  <c r="P33" i="16"/>
  <c r="B47" i="14" s="1"/>
  <c r="P32" i="16"/>
  <c r="P31" i="16"/>
  <c r="B48" i="14" s="1"/>
  <c r="P30" i="16"/>
  <c r="B38" i="14" s="1"/>
  <c r="P29" i="16"/>
  <c r="B37" i="14" s="1"/>
  <c r="P28" i="16"/>
  <c r="P25" i="16"/>
  <c r="B40" i="14" s="1"/>
  <c r="P24" i="16"/>
  <c r="B42" i="14" s="1"/>
  <c r="P23" i="16"/>
  <c r="B41" i="14" s="1"/>
  <c r="P22" i="16"/>
  <c r="B43" i="14" s="1"/>
  <c r="P21" i="16"/>
  <c r="P17" i="16"/>
  <c r="B33" i="14" s="1"/>
  <c r="P16" i="16"/>
  <c r="P15" i="16"/>
  <c r="B34" i="14" s="1"/>
  <c r="P14" i="16"/>
  <c r="B24" i="14" s="1"/>
  <c r="P13" i="16"/>
  <c r="B23" i="14" s="1"/>
  <c r="P12" i="16"/>
  <c r="P9" i="16"/>
  <c r="B26" i="14" s="1"/>
  <c r="P8" i="16"/>
  <c r="B28" i="14" s="1"/>
  <c r="P7" i="16"/>
  <c r="B27" i="14" s="1"/>
  <c r="P6" i="16"/>
  <c r="B29" i="14" s="1"/>
  <c r="P5" i="16"/>
  <c r="D16" i="15" l="1"/>
  <c r="I16" i="15"/>
  <c r="M8" i="14"/>
  <c r="D20" i="14"/>
  <c r="E20" i="14"/>
  <c r="D15" i="15"/>
  <c r="I15" i="15"/>
  <c r="B11" i="15"/>
  <c r="D11" i="15" s="1"/>
  <c r="D12" i="15"/>
  <c r="I12" i="15"/>
  <c r="D13" i="15"/>
  <c r="I13" i="15"/>
  <c r="D9" i="15"/>
  <c r="I9" i="15"/>
  <c r="D16" i="14"/>
  <c r="I16" i="14"/>
  <c r="M9" i="14"/>
  <c r="D14" i="15"/>
  <c r="I14" i="15"/>
  <c r="D10" i="15"/>
  <c r="I10" i="15"/>
  <c r="I20" i="14"/>
  <c r="D19" i="15"/>
  <c r="I23" i="15"/>
  <c r="D23" i="15"/>
  <c r="I37" i="15"/>
  <c r="D37" i="15"/>
  <c r="I28" i="14"/>
  <c r="D28" i="14"/>
  <c r="I24" i="14"/>
  <c r="D24" i="14"/>
  <c r="E40" i="14"/>
  <c r="D40" i="14"/>
  <c r="I48" i="14"/>
  <c r="D48" i="14"/>
  <c r="I15" i="14"/>
  <c r="D15" i="14"/>
  <c r="E26" i="14"/>
  <c r="D26" i="14"/>
  <c r="I34" i="14"/>
  <c r="D34" i="14"/>
  <c r="E43" i="14"/>
  <c r="D43" i="14"/>
  <c r="I13" i="14"/>
  <c r="D13" i="14"/>
  <c r="I9" i="14"/>
  <c r="D9" i="14"/>
  <c r="E47" i="14"/>
  <c r="D47" i="14"/>
  <c r="I29" i="14"/>
  <c r="D29" i="14"/>
  <c r="E41" i="14"/>
  <c r="D41" i="14"/>
  <c r="I37" i="14"/>
  <c r="D37" i="14"/>
  <c r="I14" i="14"/>
  <c r="D14" i="14"/>
  <c r="I10" i="14"/>
  <c r="D10" i="14"/>
  <c r="E27" i="14"/>
  <c r="D27" i="14"/>
  <c r="I23" i="14"/>
  <c r="D23" i="14"/>
  <c r="B22" i="14"/>
  <c r="D22" i="14" s="1"/>
  <c r="E33" i="14"/>
  <c r="D33" i="14"/>
  <c r="E42" i="14"/>
  <c r="D42" i="14"/>
  <c r="I38" i="14"/>
  <c r="D38" i="14"/>
  <c r="I12" i="14"/>
  <c r="D12" i="14"/>
  <c r="B11" i="14"/>
  <c r="I19" i="14"/>
  <c r="D19" i="14"/>
  <c r="D12" i="33" s="1"/>
  <c r="I26" i="14"/>
  <c r="I47" i="14"/>
  <c r="I27" i="14"/>
  <c r="B36" i="14"/>
  <c r="E29" i="14"/>
  <c r="I33" i="14"/>
  <c r="P43" i="16"/>
  <c r="B18" i="14"/>
  <c r="G50" i="16"/>
  <c r="G42" i="16"/>
  <c r="P10" i="16"/>
  <c r="P18" i="16"/>
  <c r="B30" i="14"/>
  <c r="D30" i="14" s="1"/>
  <c r="P11" i="16"/>
  <c r="B32" i="14"/>
  <c r="D32" i="14" s="1"/>
  <c r="P34" i="16"/>
  <c r="P26" i="16"/>
  <c r="B44" i="14"/>
  <c r="B39" i="14" s="1"/>
  <c r="D39" i="14" s="1"/>
  <c r="P27" i="16"/>
  <c r="B46" i="14"/>
  <c r="G43" i="16"/>
  <c r="B18" i="15"/>
  <c r="D18" i="15" s="1"/>
  <c r="I40" i="14"/>
  <c r="P42" i="16"/>
  <c r="P50" i="16"/>
  <c r="I43" i="14"/>
  <c r="I42" i="14"/>
  <c r="E28" i="14"/>
  <c r="I41" i="14"/>
  <c r="D18" i="14" l="1"/>
  <c r="M6" i="14"/>
  <c r="D7" i="33"/>
  <c r="D11" i="14"/>
  <c r="I11" i="14" s="1"/>
  <c r="D46" i="14"/>
  <c r="D6" i="33" s="1"/>
  <c r="B53" i="14"/>
  <c r="J14" i="26"/>
  <c r="J107" i="14" s="1"/>
  <c r="J12" i="26"/>
  <c r="J15" i="26"/>
  <c r="J108" i="14" s="1"/>
  <c r="M21" i="26"/>
  <c r="M24" i="26"/>
  <c r="Q108" i="14" s="1"/>
  <c r="D15" i="26"/>
  <c r="H108" i="14" s="1"/>
  <c r="D12" i="26"/>
  <c r="H105" i="14" s="1"/>
  <c r="D14" i="26"/>
  <c r="H107" i="14" s="1"/>
  <c r="J21" i="26"/>
  <c r="P105" i="14" s="1"/>
  <c r="J24" i="26"/>
  <c r="P108" i="14" s="1"/>
  <c r="M14" i="26"/>
  <c r="K107" i="14" s="1"/>
  <c r="M15" i="26"/>
  <c r="K108" i="14" s="1"/>
  <c r="M12" i="26"/>
  <c r="K105" i="14" s="1"/>
  <c r="G12" i="26"/>
  <c r="I105" i="14" s="1"/>
  <c r="G15" i="26"/>
  <c r="I108" i="14" s="1"/>
  <c r="G14" i="26"/>
  <c r="I107" i="14" s="1"/>
  <c r="G21" i="26"/>
  <c r="O105" i="14" s="1"/>
  <c r="G24" i="26"/>
  <c r="O108" i="14" s="1"/>
  <c r="D21" i="26"/>
  <c r="N105" i="14" s="1"/>
  <c r="D24" i="26"/>
  <c r="N108" i="14" s="1"/>
  <c r="B25" i="14"/>
  <c r="D25" i="14" s="1"/>
  <c r="E44" i="14"/>
  <c r="D44" i="14"/>
  <c r="I36" i="14"/>
  <c r="D36" i="14"/>
  <c r="E39" i="14"/>
  <c r="I22" i="14"/>
  <c r="I30" i="14"/>
  <c r="E30" i="14"/>
  <c r="E46" i="14"/>
  <c r="I46" i="14"/>
  <c r="I32" i="14"/>
  <c r="E32" i="14"/>
  <c r="T107" i="14" l="1"/>
  <c r="V107" i="14" s="1"/>
  <c r="D5" i="33"/>
  <c r="M7" i="14"/>
  <c r="W107" i="14"/>
  <c r="J16" i="26"/>
  <c r="J105" i="14"/>
  <c r="M25" i="26"/>
  <c r="Q105" i="14"/>
  <c r="D25" i="26"/>
  <c r="D16" i="26"/>
  <c r="S21" i="26"/>
  <c r="S105" i="14" s="1"/>
  <c r="S24" i="26"/>
  <c r="S108" i="14" s="1"/>
  <c r="S22" i="26"/>
  <c r="G16" i="26"/>
  <c r="T14" i="26"/>
  <c r="S15" i="26"/>
  <c r="S13" i="26"/>
  <c r="S12" i="26"/>
  <c r="G25" i="26"/>
  <c r="M16" i="26"/>
  <c r="J25" i="26"/>
  <c r="E25" i="14"/>
  <c r="I25" i="14"/>
  <c r="B52" i="14"/>
  <c r="I39" i="14"/>
  <c r="B29" i="6"/>
  <c r="D29" i="6" s="1"/>
  <c r="I29" i="6" s="1"/>
  <c r="H29" i="19"/>
  <c r="H28" i="19"/>
  <c r="B7" i="6" s="1"/>
  <c r="H27" i="19"/>
  <c r="B6" i="6" s="1"/>
  <c r="H26" i="19"/>
  <c r="B14" i="6" s="1"/>
  <c r="H25" i="19"/>
  <c r="B12" i="6" s="1"/>
  <c r="H24" i="19"/>
  <c r="B11" i="6" s="1"/>
  <c r="H23" i="19"/>
  <c r="B10" i="6" s="1"/>
  <c r="H22" i="19"/>
  <c r="H21" i="19"/>
  <c r="B9" i="6" s="1"/>
  <c r="H20" i="19"/>
  <c r="H15" i="19"/>
  <c r="B28" i="6" s="1"/>
  <c r="H14" i="19"/>
  <c r="B20" i="6" s="1"/>
  <c r="H13" i="19"/>
  <c r="B19" i="6" s="1"/>
  <c r="H12" i="19"/>
  <c r="B27" i="6" s="1"/>
  <c r="E27" i="6" s="1"/>
  <c r="H11" i="19"/>
  <c r="B25" i="6" s="1"/>
  <c r="E25" i="6" s="1"/>
  <c r="M15" i="25" s="1"/>
  <c r="H10" i="19"/>
  <c r="B24" i="6" s="1"/>
  <c r="E24" i="6" s="1"/>
  <c r="J20" i="25" s="1"/>
  <c r="H9" i="19"/>
  <c r="B23" i="6" s="1"/>
  <c r="E23" i="6" s="1"/>
  <c r="H8" i="19"/>
  <c r="H7" i="19"/>
  <c r="B22" i="6" s="1"/>
  <c r="E22" i="6" s="1"/>
  <c r="H6" i="19"/>
  <c r="H16" i="19" s="1"/>
  <c r="K91" i="6" l="1"/>
  <c r="M22" i="25"/>
  <c r="J96" i="6"/>
  <c r="J22" i="25"/>
  <c r="S15" i="25"/>
  <c r="S16" i="25"/>
  <c r="H30" i="19"/>
  <c r="B32" i="19" s="1"/>
  <c r="G15" i="25"/>
  <c r="G20" i="25"/>
  <c r="C5" i="32"/>
  <c r="D5" i="32" s="1"/>
  <c r="D116" i="14"/>
  <c r="F116" i="14" s="1"/>
  <c r="T22" i="26"/>
  <c r="S106" i="14"/>
  <c r="T13" i="26"/>
  <c r="M106" i="14"/>
  <c r="T15" i="26"/>
  <c r="M108" i="14"/>
  <c r="T12" i="26"/>
  <c r="M105" i="14"/>
  <c r="T24" i="26"/>
  <c r="S16" i="26"/>
  <c r="S25" i="26"/>
  <c r="T21" i="26"/>
  <c r="B51" i="14"/>
  <c r="B21" i="6"/>
  <c r="D21" i="6" s="1"/>
  <c r="I21" i="6" s="1"/>
  <c r="B16" i="6"/>
  <c r="D16" i="6" s="1"/>
  <c r="I16" i="6" s="1"/>
  <c r="D28" i="6"/>
  <c r="I28" i="6" s="1"/>
  <c r="B18" i="6"/>
  <c r="B15" i="6"/>
  <c r="D15" i="6" s="1"/>
  <c r="I15" i="6" s="1"/>
  <c r="E29" i="6"/>
  <c r="E28" i="6"/>
  <c r="B57" i="14"/>
  <c r="D57" i="14" s="1"/>
  <c r="G33" i="16"/>
  <c r="B48" i="15" s="1"/>
  <c r="D48" i="15" s="1"/>
  <c r="G32" i="16"/>
  <c r="G31" i="16"/>
  <c r="B47" i="15" s="1"/>
  <c r="G30" i="16"/>
  <c r="B38" i="15" s="1"/>
  <c r="G28" i="16"/>
  <c r="G17" i="16"/>
  <c r="B34" i="15" s="1"/>
  <c r="D34" i="15" s="1"/>
  <c r="F7" i="33" s="1"/>
  <c r="G16" i="16"/>
  <c r="G14" i="16"/>
  <c r="B24" i="15" s="1"/>
  <c r="G12" i="16"/>
  <c r="C15" i="16"/>
  <c r="G15" i="16" l="1"/>
  <c r="B33" i="15" s="1"/>
  <c r="H15" i="16"/>
  <c r="F12" i="33"/>
  <c r="M92" i="6"/>
  <c r="T16" i="25"/>
  <c r="I96" i="6"/>
  <c r="T20" i="25"/>
  <c r="M91" i="6"/>
  <c r="S22" i="25"/>
  <c r="I91" i="6"/>
  <c r="T15" i="25"/>
  <c r="T22" i="25" s="1"/>
  <c r="G22" i="25"/>
  <c r="T25" i="26"/>
  <c r="T16" i="26"/>
  <c r="E21" i="6"/>
  <c r="I47" i="15"/>
  <c r="D47" i="15"/>
  <c r="I24" i="15"/>
  <c r="D24" i="15"/>
  <c r="I33" i="15"/>
  <c r="D33" i="15"/>
  <c r="I38" i="15"/>
  <c r="D38" i="15"/>
  <c r="E34" i="15"/>
  <c r="I34" i="15"/>
  <c r="B46" i="15"/>
  <c r="D46" i="15" s="1"/>
  <c r="B32" i="15"/>
  <c r="D32" i="15" s="1"/>
  <c r="B36" i="15"/>
  <c r="D36" i="15" s="1"/>
  <c r="E48" i="15"/>
  <c r="I48" i="15"/>
  <c r="B22" i="15"/>
  <c r="D22" i="15" s="1"/>
  <c r="D18" i="6"/>
  <c r="I18" i="6" s="1"/>
  <c r="H71" i="15"/>
  <c r="F6" i="33" l="1"/>
  <c r="G3" i="32"/>
  <c r="H3" i="32" s="1"/>
  <c r="P92" i="6"/>
  <c r="D103" i="6" s="1"/>
  <c r="I32" i="15"/>
  <c r="E32" i="15"/>
  <c r="I36" i="15"/>
  <c r="I22" i="15"/>
  <c r="I46" i="15"/>
  <c r="E46" i="15"/>
  <c r="N79" i="15"/>
  <c r="O80" i="15"/>
  <c r="N80" i="15"/>
  <c r="O79" i="15"/>
  <c r="K80" i="15"/>
  <c r="K79" i="15"/>
  <c r="H80" i="15"/>
  <c r="H79" i="15"/>
  <c r="E79" i="15"/>
  <c r="E80" i="15"/>
  <c r="C80" i="15"/>
  <c r="B81" i="15"/>
  <c r="B80" i="15"/>
  <c r="B83" i="15" l="1"/>
  <c r="C83" i="15"/>
  <c r="O72" i="15"/>
  <c r="O71" i="15"/>
  <c r="N71" i="15"/>
  <c r="L72" i="15"/>
  <c r="L71" i="15"/>
  <c r="K72" i="15"/>
  <c r="K71" i="15"/>
  <c r="H72" i="15"/>
  <c r="H63" i="15"/>
  <c r="E72" i="15"/>
  <c r="C73" i="15"/>
  <c r="B73" i="15"/>
  <c r="C72" i="15"/>
  <c r="B72" i="15"/>
  <c r="C71" i="15"/>
  <c r="B71" i="15"/>
  <c r="O83" i="15"/>
  <c r="N83" i="15"/>
  <c r="L83" i="15"/>
  <c r="K83" i="15"/>
  <c r="I83" i="15"/>
  <c r="H83" i="15"/>
  <c r="E83" i="15"/>
  <c r="O64" i="15"/>
  <c r="O63" i="15"/>
  <c r="N66" i="15"/>
  <c r="N64" i="15"/>
  <c r="N63" i="15"/>
  <c r="L66" i="15"/>
  <c r="L64" i="15"/>
  <c r="L63" i="15"/>
  <c r="I64" i="15"/>
  <c r="K66" i="15"/>
  <c r="K64" i="15"/>
  <c r="K63" i="15"/>
  <c r="H66" i="15"/>
  <c r="H64" i="15"/>
  <c r="F66" i="15"/>
  <c r="F64" i="15"/>
  <c r="E64" i="15"/>
  <c r="C65" i="15"/>
  <c r="C64" i="15"/>
  <c r="C63" i="15"/>
  <c r="B65" i="15"/>
  <c r="B64" i="15"/>
  <c r="B63" i="15"/>
  <c r="C75" i="15" l="1"/>
  <c r="N67" i="15"/>
  <c r="E67" i="15"/>
  <c r="B67" i="15"/>
  <c r="C67" i="15"/>
  <c r="H75" i="15"/>
  <c r="N75" i="15"/>
  <c r="L67" i="15"/>
  <c r="I75" i="15"/>
  <c r="E75" i="15"/>
  <c r="H67" i="15"/>
  <c r="K75" i="15"/>
  <c r="I67" i="15"/>
  <c r="F75" i="15"/>
  <c r="O75" i="15"/>
  <c r="F83" i="15"/>
  <c r="F67" i="15"/>
  <c r="K67" i="15"/>
  <c r="L75" i="15"/>
  <c r="G25" i="16" l="1"/>
  <c r="B44" i="15" s="1"/>
  <c r="G24" i="16"/>
  <c r="B43" i="15" s="1"/>
  <c r="G23" i="16"/>
  <c r="B42" i="15" s="1"/>
  <c r="G22" i="16"/>
  <c r="B41" i="15" s="1"/>
  <c r="G21" i="16"/>
  <c r="G9" i="16"/>
  <c r="B30" i="15" s="1"/>
  <c r="G8" i="16"/>
  <c r="B29" i="15" s="1"/>
  <c r="E29" i="15" s="1"/>
  <c r="G7" i="16"/>
  <c r="B28" i="15" s="1"/>
  <c r="G6" i="16"/>
  <c r="B27" i="15" s="1"/>
  <c r="E27" i="15" s="1"/>
  <c r="G5" i="16"/>
  <c r="B26" i="15" s="1"/>
  <c r="D30" i="15" l="1"/>
  <c r="I30" i="15"/>
  <c r="D27" i="15"/>
  <c r="I27" i="15"/>
  <c r="D28" i="15"/>
  <c r="E28" i="15"/>
  <c r="G42" i="26" s="1"/>
  <c r="I108" i="15" s="1"/>
  <c r="I28" i="15"/>
  <c r="E30" i="15"/>
  <c r="D41" i="26" s="1"/>
  <c r="B25" i="15"/>
  <c r="D26" i="15"/>
  <c r="I26" i="15"/>
  <c r="D29" i="15"/>
  <c r="I29" i="15"/>
  <c r="E26" i="15"/>
  <c r="S40" i="26" s="1"/>
  <c r="G41" i="26"/>
  <c r="I107" i="15" s="1"/>
  <c r="G39" i="26"/>
  <c r="J41" i="26"/>
  <c r="J107" i="15" s="1"/>
  <c r="J39" i="26"/>
  <c r="S42" i="26"/>
  <c r="M108" i="15" s="1"/>
  <c r="S39" i="26"/>
  <c r="G10" i="16"/>
  <c r="M41" i="26"/>
  <c r="K107" i="15" s="1"/>
  <c r="M42" i="26"/>
  <c r="K108" i="15" s="1"/>
  <c r="M39" i="26"/>
  <c r="I41" i="15"/>
  <c r="D41" i="15"/>
  <c r="E42" i="15"/>
  <c r="D42" i="15"/>
  <c r="E43" i="15"/>
  <c r="D43" i="15"/>
  <c r="I44" i="15"/>
  <c r="D44" i="15"/>
  <c r="E41" i="15"/>
  <c r="E44" i="15"/>
  <c r="I42" i="15"/>
  <c r="B40" i="15"/>
  <c r="G34" i="16"/>
  <c r="I43" i="15"/>
  <c r="G26" i="16"/>
  <c r="G18" i="16"/>
  <c r="I57" i="15"/>
  <c r="I50" i="15"/>
  <c r="I20" i="15"/>
  <c r="I19" i="15"/>
  <c r="I49" i="15"/>
  <c r="I18" i="15"/>
  <c r="E50" i="15"/>
  <c r="D42" i="26" l="1"/>
  <c r="T42" i="26" s="1"/>
  <c r="D39" i="26"/>
  <c r="D25" i="15"/>
  <c r="B52" i="15"/>
  <c r="I52" i="15" s="1"/>
  <c r="E25" i="15"/>
  <c r="I25" i="15"/>
  <c r="M51" i="26"/>
  <c r="Q108" i="15" s="1"/>
  <c r="M48" i="26"/>
  <c r="K105" i="15"/>
  <c r="M43" i="26"/>
  <c r="H107" i="15"/>
  <c r="T107" i="15" s="1"/>
  <c r="T41" i="26"/>
  <c r="M106" i="15"/>
  <c r="T40" i="26"/>
  <c r="G51" i="26"/>
  <c r="O108" i="15" s="1"/>
  <c r="G48" i="26"/>
  <c r="H108" i="15"/>
  <c r="I105" i="15"/>
  <c r="G43" i="26"/>
  <c r="J51" i="26"/>
  <c r="P108" i="15" s="1"/>
  <c r="J48" i="26"/>
  <c r="M105" i="15"/>
  <c r="S43" i="26"/>
  <c r="D51" i="26"/>
  <c r="D48" i="26"/>
  <c r="H105" i="15"/>
  <c r="D43" i="26"/>
  <c r="T39" i="26"/>
  <c r="J105" i="15"/>
  <c r="J43" i="26"/>
  <c r="B39" i="15"/>
  <c r="D39" i="15" s="1"/>
  <c r="F5" i="33" s="1"/>
  <c r="D40" i="15"/>
  <c r="I40" i="15"/>
  <c r="E40" i="15"/>
  <c r="I39" i="6"/>
  <c r="H38" i="6"/>
  <c r="B5" i="6"/>
  <c r="B8" i="6"/>
  <c r="B5" i="33" s="1"/>
  <c r="S5" i="25"/>
  <c r="B31" i="6"/>
  <c r="D31" i="6" s="1"/>
  <c r="I31" i="6" s="1"/>
  <c r="E32" i="6"/>
  <c r="E33" i="6"/>
  <c r="I49" i="14"/>
  <c r="I44" i="14"/>
  <c r="I53" i="14"/>
  <c r="I52" i="14"/>
  <c r="I50" i="14"/>
  <c r="I18" i="14"/>
  <c r="G11" i="16" l="1"/>
  <c r="J3" i="25"/>
  <c r="J8" i="25"/>
  <c r="D96" i="6" s="1"/>
  <c r="J6" i="25"/>
  <c r="D94" i="6" s="1"/>
  <c r="J7" i="25"/>
  <c r="D95" i="6" s="1"/>
  <c r="N105" i="15"/>
  <c r="D52" i="26"/>
  <c r="P105" i="15"/>
  <c r="J52" i="26"/>
  <c r="G9" i="25"/>
  <c r="G7" i="25"/>
  <c r="C95" i="6" s="1"/>
  <c r="N95" i="6" s="1"/>
  <c r="G8" i="25"/>
  <c r="C96" i="6" s="1"/>
  <c r="G3" i="25"/>
  <c r="G6" i="25"/>
  <c r="C94" i="6" s="1"/>
  <c r="N94" i="6" s="1"/>
  <c r="T43" i="26"/>
  <c r="N108" i="15"/>
  <c r="O105" i="15"/>
  <c r="G52" i="26"/>
  <c r="Q105" i="15"/>
  <c r="M52" i="26"/>
  <c r="S10" i="25"/>
  <c r="T5" i="25"/>
  <c r="G93" i="6"/>
  <c r="N93" i="6" s="1"/>
  <c r="D8" i="25"/>
  <c r="D3" i="25"/>
  <c r="D6" i="25"/>
  <c r="T6" i="25" s="1"/>
  <c r="D7" i="25"/>
  <c r="M9" i="25"/>
  <c r="E97" i="6" s="1"/>
  <c r="M8" i="25"/>
  <c r="E96" i="6" s="1"/>
  <c r="M7" i="25"/>
  <c r="E95" i="6" s="1"/>
  <c r="M3" i="25"/>
  <c r="M6" i="25"/>
  <c r="E94" i="6" s="1"/>
  <c r="S51" i="26"/>
  <c r="S108" i="15" s="1"/>
  <c r="S49" i="26"/>
  <c r="S48" i="26"/>
  <c r="T48" i="26" s="1"/>
  <c r="E5" i="32"/>
  <c r="F5" i="32" s="1"/>
  <c r="V107" i="15"/>
  <c r="D116" i="15" s="1"/>
  <c r="D8" i="6"/>
  <c r="D5" i="6"/>
  <c r="B38" i="6"/>
  <c r="B53" i="15"/>
  <c r="E39" i="15"/>
  <c r="I39" i="15"/>
  <c r="E31" i="6"/>
  <c r="N96" i="6" l="1"/>
  <c r="B91" i="6"/>
  <c r="D10" i="25"/>
  <c r="T3" i="25"/>
  <c r="T8" i="25"/>
  <c r="C97" i="6"/>
  <c r="N97" i="6" s="1"/>
  <c r="T9" i="25"/>
  <c r="S106" i="15"/>
  <c r="T49" i="26"/>
  <c r="G8" i="32"/>
  <c r="H8" i="32" s="1"/>
  <c r="P96" i="6"/>
  <c r="D107" i="6" s="1"/>
  <c r="S105" i="15"/>
  <c r="S52" i="26"/>
  <c r="M10" i="25"/>
  <c r="E91" i="6"/>
  <c r="T7" i="25"/>
  <c r="G11" i="32"/>
  <c r="H11" i="32" s="1"/>
  <c r="P93" i="6"/>
  <c r="D104" i="6" s="1"/>
  <c r="T51" i="26"/>
  <c r="T52" i="26" s="1"/>
  <c r="C91" i="6"/>
  <c r="G10" i="25"/>
  <c r="D91" i="6"/>
  <c r="J10" i="25"/>
  <c r="I8" i="6"/>
  <c r="D38" i="6"/>
  <c r="F8" i="6" s="1"/>
  <c r="E38" i="6"/>
  <c r="B51" i="15"/>
  <c r="G27" i="16"/>
  <c r="I53" i="15"/>
  <c r="E53" i="15"/>
  <c r="I5" i="6"/>
  <c r="C26" i="6"/>
  <c r="C17" i="6"/>
  <c r="C13" i="6"/>
  <c r="C4" i="6"/>
  <c r="C25" i="6"/>
  <c r="C24" i="6"/>
  <c r="C22" i="6"/>
  <c r="C27" i="6"/>
  <c r="C23" i="6"/>
  <c r="C29" i="6"/>
  <c r="C28" i="6"/>
  <c r="C19" i="6"/>
  <c r="C20" i="6"/>
  <c r="C21" i="6"/>
  <c r="C18" i="6"/>
  <c r="C8" i="6"/>
  <c r="C33" i="6"/>
  <c r="C30" i="6"/>
  <c r="C32" i="6"/>
  <c r="C5" i="6"/>
  <c r="C14" i="6"/>
  <c r="C9" i="6"/>
  <c r="C7" i="6"/>
  <c r="C10" i="6"/>
  <c r="C12" i="6"/>
  <c r="C11" i="6"/>
  <c r="C6" i="6"/>
  <c r="C31" i="6"/>
  <c r="C16" i="6"/>
  <c r="C15" i="6"/>
  <c r="B40" i="6"/>
  <c r="N91" i="6" l="1"/>
  <c r="G9" i="32"/>
  <c r="H9" i="32" s="1"/>
  <c r="P97" i="6"/>
  <c r="D108" i="6" s="1"/>
  <c r="T10" i="25"/>
  <c r="G7" i="32"/>
  <c r="H7" i="32" s="1"/>
  <c r="P95" i="6"/>
  <c r="D106" i="6" s="1"/>
  <c r="G6" i="32"/>
  <c r="H6" i="32" s="1"/>
  <c r="P94" i="6"/>
  <c r="D105" i="6" s="1"/>
  <c r="I40" i="6"/>
  <c r="F31" i="6"/>
  <c r="D40" i="6"/>
  <c r="F13" i="6"/>
  <c r="F22" i="6"/>
  <c r="F23" i="6"/>
  <c r="F25" i="6"/>
  <c r="G25" i="6" s="1"/>
  <c r="G57" i="6" s="1"/>
  <c r="F24" i="6"/>
  <c r="F27" i="6"/>
  <c r="F28" i="6"/>
  <c r="F29" i="6"/>
  <c r="G29" i="6" s="1"/>
  <c r="F21" i="6"/>
  <c r="F9" i="6"/>
  <c r="F32" i="6"/>
  <c r="F10" i="6"/>
  <c r="G10" i="6" s="1"/>
  <c r="F12" i="6"/>
  <c r="F33" i="6"/>
  <c r="F16" i="6"/>
  <c r="F11" i="6"/>
  <c r="G11" i="6" s="1"/>
  <c r="F15" i="6"/>
  <c r="F14" i="6"/>
  <c r="C38" i="6"/>
  <c r="P91" i="6" l="1"/>
  <c r="D102" i="6" s="1"/>
  <c r="G2" i="32"/>
  <c r="G12" i="32" s="1"/>
  <c r="N98" i="6"/>
  <c r="Q91" i="6" s="1"/>
  <c r="G16" i="6"/>
  <c r="G14" i="6"/>
  <c r="D48" i="6" s="1"/>
  <c r="T48" i="6" s="1"/>
  <c r="B81" i="6" s="1"/>
  <c r="D81" i="6" s="1"/>
  <c r="F81" i="6" s="1"/>
  <c r="G33" i="6"/>
  <c r="C11" i="33" s="1"/>
  <c r="G9" i="6"/>
  <c r="P49" i="6" s="1"/>
  <c r="G27" i="6"/>
  <c r="D57" i="6" s="1"/>
  <c r="G22" i="6"/>
  <c r="G15" i="6"/>
  <c r="B86" i="6" s="1"/>
  <c r="D86" i="6" s="1"/>
  <c r="G12" i="6"/>
  <c r="G49" i="6" s="1"/>
  <c r="G21" i="6"/>
  <c r="G24" i="6"/>
  <c r="M62" i="6" s="1"/>
  <c r="M64" i="6" s="1"/>
  <c r="F38" i="6"/>
  <c r="G31" i="6"/>
  <c r="C9" i="33" s="1"/>
  <c r="G13" i="6"/>
  <c r="G32" i="6"/>
  <c r="C10" i="33" s="1"/>
  <c r="G28" i="6"/>
  <c r="G23" i="6"/>
  <c r="J57" i="6" s="1"/>
  <c r="J50" i="6"/>
  <c r="J51" i="6"/>
  <c r="J46" i="6"/>
  <c r="J52" i="6"/>
  <c r="J49" i="6"/>
  <c r="G62" i="6"/>
  <c r="M49" i="6"/>
  <c r="M50" i="6"/>
  <c r="M51" i="6"/>
  <c r="M46" i="6"/>
  <c r="D72" i="6" l="1"/>
  <c r="D69" i="6"/>
  <c r="C6" i="33"/>
  <c r="Q92" i="6"/>
  <c r="Q96" i="6"/>
  <c r="Q93" i="6"/>
  <c r="Q97" i="6"/>
  <c r="Q95" i="6"/>
  <c r="Q94" i="6"/>
  <c r="B104" i="6"/>
  <c r="C104" i="6" s="1"/>
  <c r="H2" i="32"/>
  <c r="H12" i="32" s="1"/>
  <c r="C7" i="33"/>
  <c r="D74" i="6"/>
  <c r="G72" i="6"/>
  <c r="E84" i="6" s="1"/>
  <c r="K107" i="6" s="1"/>
  <c r="G69" i="6"/>
  <c r="G71" i="6"/>
  <c r="E83" i="6" s="1"/>
  <c r="G70" i="6"/>
  <c r="E82" i="6" s="1"/>
  <c r="G73" i="6"/>
  <c r="E85" i="6" s="1"/>
  <c r="D47" i="6"/>
  <c r="T47" i="6" s="1"/>
  <c r="B80" i="6" s="1"/>
  <c r="D80" i="6" s="1"/>
  <c r="F80" i="6" s="1"/>
  <c r="D49" i="6"/>
  <c r="G52" i="6"/>
  <c r="T52" i="6" s="1"/>
  <c r="B85" i="6" s="1"/>
  <c r="P51" i="6"/>
  <c r="D58" i="6"/>
  <c r="T58" i="6" s="1"/>
  <c r="C80" i="6" s="1"/>
  <c r="G8" i="6"/>
  <c r="G50" i="6"/>
  <c r="P46" i="6"/>
  <c r="J62" i="6"/>
  <c r="J64" i="6" s="1"/>
  <c r="G51" i="6"/>
  <c r="G46" i="6"/>
  <c r="P50" i="6"/>
  <c r="S49" i="6"/>
  <c r="S50" i="6"/>
  <c r="S46" i="6"/>
  <c r="F86" i="6"/>
  <c r="G64" i="6"/>
  <c r="M53" i="6"/>
  <c r="T57" i="6"/>
  <c r="J53" i="6"/>
  <c r="D85" i="6" l="1"/>
  <c r="F85" i="6" s="1"/>
  <c r="B4" i="28"/>
  <c r="G4" i="28" s="1"/>
  <c r="I4" i="28" s="1"/>
  <c r="G104" i="6"/>
  <c r="J104" i="6" s="1"/>
  <c r="G38" i="6"/>
  <c r="C5" i="33"/>
  <c r="C18" i="33" s="1"/>
  <c r="B103" i="6"/>
  <c r="C103" i="6" s="1"/>
  <c r="F103" i="6" s="1"/>
  <c r="K108" i="6"/>
  <c r="E79" i="6"/>
  <c r="K102" i="6" s="1"/>
  <c r="C2" i="28" s="1"/>
  <c r="K106" i="6"/>
  <c r="K105" i="6"/>
  <c r="G74" i="6"/>
  <c r="T49" i="6"/>
  <c r="B82" i="6" s="1"/>
  <c r="D53" i="6"/>
  <c r="G53" i="6"/>
  <c r="D64" i="6"/>
  <c r="T51" i="6"/>
  <c r="B84" i="6" s="1"/>
  <c r="D84" i="6" s="1"/>
  <c r="F84" i="6" s="1"/>
  <c r="T50" i="6"/>
  <c r="B83" i="6" s="1"/>
  <c r="T62" i="6"/>
  <c r="C84" i="6" s="1"/>
  <c r="T46" i="6"/>
  <c r="B79" i="6" s="1"/>
  <c r="D79" i="6" s="1"/>
  <c r="S53" i="6"/>
  <c r="C79" i="6"/>
  <c r="P53" i="6"/>
  <c r="E49" i="14"/>
  <c r="F79" i="6" l="1"/>
  <c r="D82" i="6"/>
  <c r="F82" i="6" s="1"/>
  <c r="B108" i="6"/>
  <c r="D83" i="6"/>
  <c r="F83" i="6" s="1"/>
  <c r="B3" i="28"/>
  <c r="G103" i="6"/>
  <c r="C5" i="28"/>
  <c r="H5" i="28" s="1"/>
  <c r="C6" i="28"/>
  <c r="H6" i="28" s="1"/>
  <c r="K109" i="6"/>
  <c r="T53" i="6"/>
  <c r="T64" i="6"/>
  <c r="B102" i="6"/>
  <c r="E52" i="15"/>
  <c r="E16" i="15"/>
  <c r="E15" i="15"/>
  <c r="E14" i="15"/>
  <c r="E13" i="15"/>
  <c r="E12" i="15"/>
  <c r="E20" i="15"/>
  <c r="I51" i="15"/>
  <c r="E18" i="15"/>
  <c r="B8" i="15"/>
  <c r="B56" i="15" s="1"/>
  <c r="I51" i="14"/>
  <c r="B8" i="14"/>
  <c r="E18" i="14"/>
  <c r="E16" i="14"/>
  <c r="E15" i="14"/>
  <c r="E14" i="14"/>
  <c r="E13" i="14"/>
  <c r="E12" i="14"/>
  <c r="C45" i="15" l="1"/>
  <c r="F15" i="33"/>
  <c r="B56" i="14"/>
  <c r="D15" i="33" s="1"/>
  <c r="M5" i="14"/>
  <c r="C108" i="6"/>
  <c r="F108" i="6" s="1"/>
  <c r="B8" i="28"/>
  <c r="G8" i="28" s="1"/>
  <c r="I8" i="28" s="1"/>
  <c r="B2" i="28"/>
  <c r="G102" i="6"/>
  <c r="B105" i="6"/>
  <c r="B106" i="6"/>
  <c r="J103" i="6"/>
  <c r="C50" i="15"/>
  <c r="C39" i="15"/>
  <c r="C28" i="15"/>
  <c r="D30" i="26"/>
  <c r="D33" i="26"/>
  <c r="S33" i="26"/>
  <c r="G108" i="15" s="1"/>
  <c r="S31" i="26"/>
  <c r="S30" i="26"/>
  <c r="G33" i="26"/>
  <c r="C108" i="15" s="1"/>
  <c r="G30" i="26"/>
  <c r="C12" i="28"/>
  <c r="J30" i="26"/>
  <c r="J33" i="26"/>
  <c r="D108" i="15" s="1"/>
  <c r="M33" i="26"/>
  <c r="E108" i="15" s="1"/>
  <c r="M30" i="26"/>
  <c r="B107" i="6"/>
  <c r="C107" i="6" s="1"/>
  <c r="C102" i="6"/>
  <c r="J3" i="26"/>
  <c r="D105" i="14" s="1"/>
  <c r="J6" i="26"/>
  <c r="D108" i="14" s="1"/>
  <c r="S4" i="26"/>
  <c r="S6" i="26"/>
  <c r="G108" i="14" s="1"/>
  <c r="S3" i="26"/>
  <c r="G105" i="14" s="1"/>
  <c r="M6" i="26"/>
  <c r="E108" i="14" s="1"/>
  <c r="M3" i="26"/>
  <c r="D6" i="26"/>
  <c r="B108" i="14" s="1"/>
  <c r="T108" i="14" s="1"/>
  <c r="V108" i="14" s="1"/>
  <c r="D3" i="26"/>
  <c r="B105" i="14" s="1"/>
  <c r="G3" i="26"/>
  <c r="C105" i="14" s="1"/>
  <c r="G6" i="26"/>
  <c r="C108" i="14" s="1"/>
  <c r="I8" i="15"/>
  <c r="D8" i="15"/>
  <c r="D56" i="15" s="1"/>
  <c r="F16" i="33" s="1"/>
  <c r="I8" i="14"/>
  <c r="D8" i="14"/>
  <c r="D56" i="14" s="1"/>
  <c r="D16" i="33" s="1"/>
  <c r="I11" i="15"/>
  <c r="E11" i="14"/>
  <c r="E56" i="14" s="1"/>
  <c r="E51" i="15"/>
  <c r="E11" i="15"/>
  <c r="E56" i="15" s="1"/>
  <c r="I56" i="15" l="1"/>
  <c r="I58" i="15" s="1"/>
  <c r="G18" i="33" s="1"/>
  <c r="B6" i="28"/>
  <c r="G6" i="28" s="1"/>
  <c r="I6" i="28" s="1"/>
  <c r="C106" i="6"/>
  <c r="F106" i="6" s="1"/>
  <c r="C105" i="6"/>
  <c r="B5" i="28"/>
  <c r="G5" i="28" s="1"/>
  <c r="I5" i="28" s="1"/>
  <c r="G105" i="6"/>
  <c r="J105" i="6" s="1"/>
  <c r="L105" i="6" s="1"/>
  <c r="J108" i="6"/>
  <c r="L108" i="6" s="1"/>
  <c r="G108" i="6"/>
  <c r="B7" i="28"/>
  <c r="G107" i="6"/>
  <c r="B108" i="15"/>
  <c r="T108" i="15" s="1"/>
  <c r="T33" i="26"/>
  <c r="G105" i="15"/>
  <c r="S34" i="26"/>
  <c r="F4" i="33"/>
  <c r="D105" i="15"/>
  <c r="J34" i="26"/>
  <c r="G106" i="15"/>
  <c r="T106" i="15" s="1"/>
  <c r="T31" i="26"/>
  <c r="F14" i="14"/>
  <c r="D4" i="33"/>
  <c r="C105" i="15"/>
  <c r="G34" i="26"/>
  <c r="B105" i="15"/>
  <c r="D34" i="26"/>
  <c r="T30" i="26"/>
  <c r="E105" i="15"/>
  <c r="M34" i="26"/>
  <c r="T4" i="26"/>
  <c r="G106" i="14"/>
  <c r="T106" i="14" s="1"/>
  <c r="V106" i="14" s="1"/>
  <c r="T6" i="26"/>
  <c r="M7" i="26"/>
  <c r="E105" i="14"/>
  <c r="T105" i="14" s="1"/>
  <c r="V105" i="14" s="1"/>
  <c r="W108" i="14"/>
  <c r="F107" i="6"/>
  <c r="B109" i="6"/>
  <c r="F102" i="6"/>
  <c r="C109" i="6"/>
  <c r="G7" i="26"/>
  <c r="T3" i="26"/>
  <c r="D7" i="26"/>
  <c r="S7" i="26"/>
  <c r="J7" i="26"/>
  <c r="C7" i="15"/>
  <c r="C21" i="15"/>
  <c r="C17" i="15"/>
  <c r="C31" i="15"/>
  <c r="C35" i="15"/>
  <c r="C44" i="15"/>
  <c r="C17" i="14"/>
  <c r="C45" i="14"/>
  <c r="C31" i="14"/>
  <c r="C35" i="14"/>
  <c r="C7" i="14"/>
  <c r="C21" i="14"/>
  <c r="C47" i="15"/>
  <c r="C32" i="15"/>
  <c r="C22" i="15"/>
  <c r="C46" i="15"/>
  <c r="C36" i="15"/>
  <c r="C24" i="15"/>
  <c r="C38" i="15"/>
  <c r="C34" i="15"/>
  <c r="C23" i="15"/>
  <c r="C48" i="15"/>
  <c r="C37" i="15"/>
  <c r="C33" i="15"/>
  <c r="C42" i="14"/>
  <c r="C19" i="14"/>
  <c r="F51" i="14"/>
  <c r="C48" i="14"/>
  <c r="C41" i="14"/>
  <c r="C28" i="14"/>
  <c r="C27" i="14"/>
  <c r="C37" i="14"/>
  <c r="C47" i="14"/>
  <c r="C23" i="14"/>
  <c r="C38" i="14"/>
  <c r="C29" i="14"/>
  <c r="C34" i="14"/>
  <c r="C43" i="14"/>
  <c r="C30" i="14"/>
  <c r="C40" i="14"/>
  <c r="C24" i="14"/>
  <c r="C26" i="14"/>
  <c r="C33" i="14"/>
  <c r="C22" i="14"/>
  <c r="C39" i="14"/>
  <c r="C25" i="14"/>
  <c r="C36" i="14"/>
  <c r="F53" i="14"/>
  <c r="F52" i="14"/>
  <c r="C20" i="14"/>
  <c r="C8" i="14"/>
  <c r="C32" i="14"/>
  <c r="C46" i="14"/>
  <c r="C42" i="15"/>
  <c r="C30" i="15"/>
  <c r="C26" i="15"/>
  <c r="C41" i="15"/>
  <c r="C29" i="15"/>
  <c r="C40" i="15"/>
  <c r="C43" i="15"/>
  <c r="C27" i="15"/>
  <c r="C25" i="15"/>
  <c r="C53" i="15"/>
  <c r="C11" i="15"/>
  <c r="C20" i="15"/>
  <c r="C6" i="15"/>
  <c r="C16" i="15"/>
  <c r="C10" i="15"/>
  <c r="C12" i="15"/>
  <c r="C52" i="15"/>
  <c r="C4" i="15"/>
  <c r="C15" i="15"/>
  <c r="C9" i="15"/>
  <c r="C13" i="15"/>
  <c r="C18" i="15"/>
  <c r="C51" i="15"/>
  <c r="B58" i="15"/>
  <c r="C14" i="15"/>
  <c r="C19" i="15"/>
  <c r="C49" i="15"/>
  <c r="C8" i="15"/>
  <c r="T105" i="15" l="1"/>
  <c r="J106" i="6"/>
  <c r="L106" i="6" s="1"/>
  <c r="G109" i="6"/>
  <c r="G106" i="6"/>
  <c r="F109" i="6"/>
  <c r="G7" i="28"/>
  <c r="I7" i="28" s="1"/>
  <c r="B12" i="28"/>
  <c r="F12" i="15"/>
  <c r="F28" i="15"/>
  <c r="F30" i="14"/>
  <c r="F33" i="14"/>
  <c r="G33" i="14" s="1"/>
  <c r="F11" i="14"/>
  <c r="F46" i="14"/>
  <c r="F40" i="14"/>
  <c r="F15" i="14"/>
  <c r="G15" i="14" s="1"/>
  <c r="F41" i="14"/>
  <c r="F26" i="14"/>
  <c r="F49" i="14"/>
  <c r="F27" i="14"/>
  <c r="G27" i="14" s="1"/>
  <c r="F31" i="14"/>
  <c r="G31" i="14" s="1"/>
  <c r="S63" i="14" s="1"/>
  <c r="F40" i="15"/>
  <c r="F25" i="15"/>
  <c r="F31" i="15"/>
  <c r="F26" i="15"/>
  <c r="F14" i="15"/>
  <c r="F50" i="15"/>
  <c r="F17" i="15"/>
  <c r="F16" i="15"/>
  <c r="F28" i="14"/>
  <c r="F16" i="14"/>
  <c r="F18" i="14"/>
  <c r="F25" i="14"/>
  <c r="F44" i="14"/>
  <c r="F29" i="14"/>
  <c r="F43" i="14"/>
  <c r="G43" i="14" s="1"/>
  <c r="F20" i="14"/>
  <c r="D58" i="14"/>
  <c r="F12" i="14"/>
  <c r="F13" i="14"/>
  <c r="G13" i="14" s="1"/>
  <c r="F32" i="14"/>
  <c r="F39" i="14"/>
  <c r="F42" i="14"/>
  <c r="F47" i="14"/>
  <c r="G47" i="14" s="1"/>
  <c r="F45" i="14"/>
  <c r="G45" i="14" s="1"/>
  <c r="S72" i="14" s="1"/>
  <c r="F44" i="15"/>
  <c r="F46" i="15"/>
  <c r="F45" i="15"/>
  <c r="F18" i="15"/>
  <c r="F41" i="15"/>
  <c r="F32" i="15"/>
  <c r="V106" i="15"/>
  <c r="D115" i="15" s="1"/>
  <c r="E3" i="32"/>
  <c r="F3" i="32" s="1"/>
  <c r="V108" i="15"/>
  <c r="D114" i="15" s="1"/>
  <c r="E4" i="32"/>
  <c r="F4" i="32" s="1"/>
  <c r="F11" i="15"/>
  <c r="F42" i="15"/>
  <c r="F30" i="15"/>
  <c r="F27" i="15"/>
  <c r="F34" i="15"/>
  <c r="D58" i="15"/>
  <c r="F15" i="15"/>
  <c r="T34" i="26"/>
  <c r="F13" i="15"/>
  <c r="F20" i="15"/>
  <c r="G20" i="15" s="1"/>
  <c r="F39" i="15"/>
  <c r="F43" i="15"/>
  <c r="F29" i="15"/>
  <c r="F48" i="15"/>
  <c r="C2" i="32"/>
  <c r="D2" i="32" s="1"/>
  <c r="D113" i="14"/>
  <c r="J107" i="6"/>
  <c r="L107" i="6" s="1"/>
  <c r="C3" i="32"/>
  <c r="D3" i="32" s="1"/>
  <c r="W106" i="14"/>
  <c r="D115" i="14"/>
  <c r="T7" i="26"/>
  <c r="D114" i="14"/>
  <c r="C4" i="32"/>
  <c r="D4" i="32" s="1"/>
  <c r="W105" i="14"/>
  <c r="J102" i="6"/>
  <c r="G11" i="14"/>
  <c r="G49" i="14"/>
  <c r="E13" i="33" s="1"/>
  <c r="G40" i="14"/>
  <c r="C56" i="15"/>
  <c r="G32" i="14"/>
  <c r="C99" i="14" s="1"/>
  <c r="G39" i="14"/>
  <c r="E2" i="33"/>
  <c r="G30" i="14"/>
  <c r="D65" i="14" s="1"/>
  <c r="T65" i="14" s="1"/>
  <c r="C97" i="14" s="1"/>
  <c r="G41" i="14"/>
  <c r="I56" i="14"/>
  <c r="I58" i="14" s="1"/>
  <c r="C13" i="14"/>
  <c r="C4" i="14"/>
  <c r="C15" i="14"/>
  <c r="C49" i="14"/>
  <c r="C18" i="14"/>
  <c r="C9" i="14"/>
  <c r="C14" i="14"/>
  <c r="B58" i="14"/>
  <c r="C51" i="14"/>
  <c r="C53" i="14"/>
  <c r="C11" i="14"/>
  <c r="C44" i="14"/>
  <c r="C52" i="14"/>
  <c r="C12" i="14"/>
  <c r="C10" i="14"/>
  <c r="C6" i="14"/>
  <c r="C16" i="14"/>
  <c r="C50" i="14"/>
  <c r="G42" i="14" l="1"/>
  <c r="G12" i="14"/>
  <c r="G19" i="15"/>
  <c r="F18" i="33"/>
  <c r="F56" i="14"/>
  <c r="F56" i="15"/>
  <c r="B60" i="14"/>
  <c r="G29" i="14"/>
  <c r="G16" i="14"/>
  <c r="D12" i="32"/>
  <c r="G14" i="14"/>
  <c r="D18" i="33"/>
  <c r="G28" i="14"/>
  <c r="G26" i="14"/>
  <c r="G46" i="14"/>
  <c r="D99" i="14" s="1"/>
  <c r="G29" i="15"/>
  <c r="M63" i="15" s="1"/>
  <c r="G28" i="15"/>
  <c r="G18" i="14"/>
  <c r="B99" i="14" s="1"/>
  <c r="G44" i="14"/>
  <c r="G20" i="14"/>
  <c r="G25" i="14"/>
  <c r="E5" i="33" s="1"/>
  <c r="G13" i="15"/>
  <c r="G48" i="15"/>
  <c r="G88" i="15" s="1"/>
  <c r="G39" i="15"/>
  <c r="G15" i="15"/>
  <c r="G79" i="15" s="1"/>
  <c r="G30" i="15"/>
  <c r="P66" i="15" s="1"/>
  <c r="G50" i="15"/>
  <c r="G13" i="33" s="1"/>
  <c r="G11" i="15"/>
  <c r="G17" i="15"/>
  <c r="S79" i="15" s="1"/>
  <c r="G46" i="15"/>
  <c r="D99" i="15" s="1"/>
  <c r="G32" i="15"/>
  <c r="C99" i="15" s="1"/>
  <c r="G26" i="15"/>
  <c r="D63" i="15" s="1"/>
  <c r="G14" i="15"/>
  <c r="M79" i="15" s="1"/>
  <c r="G16" i="15"/>
  <c r="D80" i="15" s="1"/>
  <c r="G25" i="15"/>
  <c r="G44" i="15"/>
  <c r="P71" i="15" s="1"/>
  <c r="J64" i="15"/>
  <c r="G18" i="15"/>
  <c r="G34" i="15"/>
  <c r="G12" i="15"/>
  <c r="P79" i="15" s="1"/>
  <c r="G45" i="15"/>
  <c r="S72" i="15" s="1"/>
  <c r="G41" i="15"/>
  <c r="G72" i="15" s="1"/>
  <c r="G31" i="15"/>
  <c r="S63" i="15" s="1"/>
  <c r="S67" i="15" s="1"/>
  <c r="G40" i="15"/>
  <c r="D73" i="15" s="1"/>
  <c r="T73" i="15" s="1"/>
  <c r="D98" i="15" s="1"/>
  <c r="G43" i="15"/>
  <c r="M71" i="15" s="1"/>
  <c r="B99" i="15"/>
  <c r="E2" i="32"/>
  <c r="E12" i="32" s="1"/>
  <c r="V105" i="15"/>
  <c r="D113" i="15" s="1"/>
  <c r="D117" i="15" s="1"/>
  <c r="T109" i="15"/>
  <c r="V109" i="15" s="1"/>
  <c r="G42" i="15"/>
  <c r="J71" i="15" s="1"/>
  <c r="E6" i="33"/>
  <c r="G27" i="15"/>
  <c r="G64" i="15" s="1"/>
  <c r="J109" i="6"/>
  <c r="D117" i="14"/>
  <c r="C12" i="32"/>
  <c r="L102" i="6"/>
  <c r="L109" i="6" s="1"/>
  <c r="G88" i="14"/>
  <c r="G87" i="14"/>
  <c r="D89" i="14"/>
  <c r="F98" i="14" s="1"/>
  <c r="D88" i="14"/>
  <c r="D87" i="14"/>
  <c r="J88" i="15"/>
  <c r="J87" i="15"/>
  <c r="C56" i="14"/>
  <c r="J80" i="15"/>
  <c r="J79" i="15"/>
  <c r="G51" i="14"/>
  <c r="G52" i="14"/>
  <c r="G53" i="14"/>
  <c r="M66" i="15" l="1"/>
  <c r="M64" i="15"/>
  <c r="G56" i="14"/>
  <c r="P63" i="15"/>
  <c r="F96" i="14"/>
  <c r="G56" i="15"/>
  <c r="G87" i="15"/>
  <c r="G89" i="15"/>
  <c r="G90" i="15" s="1"/>
  <c r="E7" i="33"/>
  <c r="E18" i="33" s="1"/>
  <c r="J66" i="15"/>
  <c r="J88" i="14"/>
  <c r="J87" i="14"/>
  <c r="J90" i="14" s="1"/>
  <c r="P64" i="15"/>
  <c r="G80" i="15"/>
  <c r="D79" i="15"/>
  <c r="M80" i="15"/>
  <c r="M83" i="15" s="1"/>
  <c r="D72" i="15"/>
  <c r="P72" i="15"/>
  <c r="P75" i="15" s="1"/>
  <c r="P80" i="15"/>
  <c r="P83" i="15" s="1"/>
  <c r="D71" i="15"/>
  <c r="G5" i="33"/>
  <c r="G66" i="15"/>
  <c r="J72" i="15"/>
  <c r="J75" i="15" s="1"/>
  <c r="J63" i="15"/>
  <c r="M72" i="15"/>
  <c r="D81" i="15"/>
  <c r="T81" i="15" s="1"/>
  <c r="B98" i="15" s="1"/>
  <c r="G6" i="33"/>
  <c r="D65" i="15"/>
  <c r="T65" i="15" s="1"/>
  <c r="C98" i="15" s="1"/>
  <c r="G63" i="15"/>
  <c r="D64" i="15"/>
  <c r="G71" i="15"/>
  <c r="G75" i="15" s="1"/>
  <c r="D89" i="15"/>
  <c r="F97" i="15" s="1"/>
  <c r="D87" i="15"/>
  <c r="F95" i="15" s="1"/>
  <c r="D88" i="15"/>
  <c r="F96" i="15" s="1"/>
  <c r="G7" i="33"/>
  <c r="E9" i="28"/>
  <c r="H9" i="28" s="1"/>
  <c r="K116" i="14"/>
  <c r="W105" i="15"/>
  <c r="W107" i="15"/>
  <c r="W108" i="15"/>
  <c r="W106" i="15"/>
  <c r="F2" i="32"/>
  <c r="F12" i="32" s="1"/>
  <c r="G90" i="14"/>
  <c r="D90" i="14"/>
  <c r="J90" i="15"/>
  <c r="T79" i="15"/>
  <c r="B95" i="15" s="1"/>
  <c r="D71" i="14"/>
  <c r="D72" i="14"/>
  <c r="D73" i="14"/>
  <c r="T73" i="14" s="1"/>
  <c r="D97" i="14" s="1"/>
  <c r="D63" i="14"/>
  <c r="D64" i="14"/>
  <c r="J72" i="14"/>
  <c r="J71" i="14"/>
  <c r="P66" i="14"/>
  <c r="P63" i="14"/>
  <c r="P64" i="14"/>
  <c r="M63" i="14"/>
  <c r="M66" i="14"/>
  <c r="G63" i="14"/>
  <c r="G64" i="14"/>
  <c r="G66" i="14"/>
  <c r="G71" i="14"/>
  <c r="G72" i="14"/>
  <c r="J63" i="14"/>
  <c r="J64" i="14"/>
  <c r="J66" i="14"/>
  <c r="M71" i="14"/>
  <c r="M72" i="14"/>
  <c r="G79" i="14"/>
  <c r="G80" i="14"/>
  <c r="M79" i="14"/>
  <c r="M80" i="14"/>
  <c r="J79" i="14"/>
  <c r="J80" i="14"/>
  <c r="D81" i="14"/>
  <c r="T81" i="14" s="1"/>
  <c r="B97" i="14" s="1"/>
  <c r="E97" i="14" s="1"/>
  <c r="D80" i="14"/>
  <c r="D79" i="14"/>
  <c r="P80" i="14"/>
  <c r="P79" i="14"/>
  <c r="M64" i="14"/>
  <c r="E99" i="15"/>
  <c r="G99" i="15" s="1"/>
  <c r="M67" i="15"/>
  <c r="J83" i="15"/>
  <c r="B97" i="15"/>
  <c r="G83" i="15"/>
  <c r="P67" i="15" l="1"/>
  <c r="E98" i="15"/>
  <c r="B115" i="15" s="1"/>
  <c r="C115" i="15" s="1"/>
  <c r="F95" i="14"/>
  <c r="J67" i="15"/>
  <c r="T66" i="15"/>
  <c r="C97" i="15" s="1"/>
  <c r="E97" i="15" s="1"/>
  <c r="T80" i="14"/>
  <c r="B96" i="14" s="1"/>
  <c r="K113" i="14"/>
  <c r="T80" i="15"/>
  <c r="B96" i="15" s="1"/>
  <c r="D75" i="15"/>
  <c r="T66" i="14"/>
  <c r="C98" i="14" s="1"/>
  <c r="E98" i="14" s="1"/>
  <c r="G67" i="15"/>
  <c r="T72" i="15"/>
  <c r="D96" i="15" s="1"/>
  <c r="T63" i="15"/>
  <c r="C95" i="15" s="1"/>
  <c r="D67" i="15"/>
  <c r="D83" i="15"/>
  <c r="M75" i="15"/>
  <c r="T64" i="15"/>
  <c r="C96" i="15" s="1"/>
  <c r="T71" i="15"/>
  <c r="D95" i="15" s="1"/>
  <c r="D90" i="15"/>
  <c r="T64" i="14"/>
  <c r="C96" i="14" s="1"/>
  <c r="K114" i="14"/>
  <c r="E10" i="28"/>
  <c r="H10" i="28" s="1"/>
  <c r="K113" i="15"/>
  <c r="C2" i="30"/>
  <c r="K114" i="15"/>
  <c r="C10" i="30"/>
  <c r="F10" i="30" s="1"/>
  <c r="E2" i="28"/>
  <c r="T63" i="14"/>
  <c r="C95" i="14" s="1"/>
  <c r="T79" i="14"/>
  <c r="B95" i="14" s="1"/>
  <c r="E99" i="14"/>
  <c r="G99" i="14" s="1"/>
  <c r="M75" i="14"/>
  <c r="D75" i="14"/>
  <c r="T71" i="14"/>
  <c r="D95" i="14" s="1"/>
  <c r="P83" i="14"/>
  <c r="G97" i="14"/>
  <c r="P67" i="14"/>
  <c r="J75" i="14"/>
  <c r="J67" i="14"/>
  <c r="D67" i="14"/>
  <c r="G75" i="14"/>
  <c r="G67" i="14"/>
  <c r="T72" i="14"/>
  <c r="D96" i="14" s="1"/>
  <c r="M67" i="14"/>
  <c r="D83" i="14"/>
  <c r="J83" i="14"/>
  <c r="P75" i="14"/>
  <c r="M83" i="14"/>
  <c r="G83" i="14"/>
  <c r="T83" i="15" l="1"/>
  <c r="E95" i="15"/>
  <c r="G95" i="15" s="1"/>
  <c r="E96" i="15"/>
  <c r="E95" i="14"/>
  <c r="E96" i="14"/>
  <c r="G96" i="14" s="1"/>
  <c r="K117" i="15"/>
  <c r="G98" i="15"/>
  <c r="B116" i="15"/>
  <c r="C116" i="15" s="1"/>
  <c r="F116" i="15" s="1"/>
  <c r="G97" i="15"/>
  <c r="B116" i="14"/>
  <c r="G116" i="14" s="1"/>
  <c r="J116" i="14" s="1"/>
  <c r="L116" i="14" s="1"/>
  <c r="G98" i="14"/>
  <c r="K117" i="14"/>
  <c r="G96" i="15"/>
  <c r="T67" i="15"/>
  <c r="T75" i="15"/>
  <c r="B3" i="30"/>
  <c r="E12" i="28"/>
  <c r="T67" i="14"/>
  <c r="D9" i="28"/>
  <c r="G9" i="28" s="1"/>
  <c r="I9" i="28" s="1"/>
  <c r="B9" i="30"/>
  <c r="D3" i="28"/>
  <c r="G3" i="28" s="1"/>
  <c r="I3" i="28" s="1"/>
  <c r="B115" i="14"/>
  <c r="H2" i="28"/>
  <c r="H12" i="28" s="1"/>
  <c r="F2" i="30"/>
  <c r="C12" i="30"/>
  <c r="T75" i="14"/>
  <c r="T83" i="14"/>
  <c r="G100" i="15" l="1"/>
  <c r="G115" i="15"/>
  <c r="B113" i="15"/>
  <c r="B114" i="15"/>
  <c r="C114" i="15" s="1"/>
  <c r="B10" i="30"/>
  <c r="E10" i="30" s="1"/>
  <c r="G10" i="30" s="1"/>
  <c r="B2" i="30"/>
  <c r="G116" i="15"/>
  <c r="J116" i="15" s="1"/>
  <c r="L116" i="15" s="1"/>
  <c r="C115" i="14"/>
  <c r="G115" i="14" s="1"/>
  <c r="E9" i="30"/>
  <c r="D10" i="28"/>
  <c r="B114" i="14"/>
  <c r="F12" i="30"/>
  <c r="G95" i="14"/>
  <c r="B12" i="30" l="1"/>
  <c r="B117" i="15"/>
  <c r="C113" i="15"/>
  <c r="G113" i="15" s="1"/>
  <c r="F114" i="15"/>
  <c r="C114" i="14"/>
  <c r="G114" i="14" s="1"/>
  <c r="F115" i="14"/>
  <c r="J115" i="14" s="1"/>
  <c r="G9" i="30"/>
  <c r="F115" i="15"/>
  <c r="D2" i="28"/>
  <c r="G2" i="28" s="1"/>
  <c r="I2" i="28" s="1"/>
  <c r="B113" i="14"/>
  <c r="G10" i="28"/>
  <c r="F113" i="15" l="1"/>
  <c r="J113" i="15" s="1"/>
  <c r="L113" i="15" s="1"/>
  <c r="C117" i="15"/>
  <c r="F117" i="15" s="1"/>
  <c r="G114" i="15"/>
  <c r="G117" i="15" s="1"/>
  <c r="C113" i="14"/>
  <c r="G113" i="14" s="1"/>
  <c r="G117" i="14" s="1"/>
  <c r="B117" i="14"/>
  <c r="J115" i="15"/>
  <c r="D12" i="28"/>
  <c r="F114" i="14"/>
  <c r="J114" i="14" s="1"/>
  <c r="G12" i="28"/>
  <c r="I10" i="28"/>
  <c r="I12" i="28" s="1"/>
  <c r="J114" i="15" l="1"/>
  <c r="L114" i="15" s="1"/>
  <c r="L117" i="15" s="1"/>
  <c r="C117" i="14"/>
  <c r="F117" i="14" s="1"/>
  <c r="F113" i="14"/>
  <c r="L114" i="14"/>
  <c r="J117" i="15" l="1"/>
  <c r="J113" i="14"/>
  <c r="L113" i="14" s="1"/>
  <c r="L117" i="14" s="1"/>
  <c r="F102" i="27"/>
  <c r="J117" i="14" l="1"/>
  <c r="F20" i="27"/>
  <c r="F46" i="27"/>
  <c r="F109" i="27"/>
  <c r="F86" i="27"/>
  <c r="F11" i="27"/>
  <c r="F129" i="27"/>
  <c r="F30" i="27"/>
  <c r="F69" i="27"/>
  <c r="F74" i="27"/>
  <c r="F132" i="27"/>
  <c r="F75" i="27"/>
  <c r="F128" i="27"/>
  <c r="F92" i="27"/>
  <c r="F34" i="27"/>
  <c r="F71" i="27"/>
  <c r="F49" i="27"/>
  <c r="F131" i="27"/>
  <c r="F45" i="27"/>
  <c r="F103" i="27"/>
  <c r="F125" i="27"/>
  <c r="F22" i="27"/>
  <c r="F136" i="27"/>
  <c r="F133" i="27"/>
  <c r="F12" i="27"/>
  <c r="F36" i="27"/>
  <c r="F119" i="27"/>
  <c r="F23" i="27"/>
  <c r="F9" i="27"/>
  <c r="F18" i="27"/>
  <c r="F87" i="27"/>
  <c r="F72" i="27"/>
  <c r="F58" i="27"/>
  <c r="F43" i="27"/>
  <c r="F31" i="27"/>
  <c r="F89" i="27"/>
  <c r="F70" i="27"/>
  <c r="F59" i="27"/>
  <c r="F56" i="27"/>
  <c r="F48" i="27"/>
  <c r="F35" i="27"/>
  <c r="F84" i="27"/>
  <c r="F126" i="27"/>
  <c r="F108" i="27"/>
  <c r="F99" i="27"/>
  <c r="F19" i="27"/>
  <c r="F42" i="27"/>
  <c r="F127" i="27"/>
  <c r="F100" i="27"/>
  <c r="F24" i="27"/>
  <c r="F57" i="27"/>
  <c r="F88" i="27"/>
  <c r="D141" i="27"/>
  <c r="F110" i="27"/>
  <c r="F32" i="27"/>
  <c r="F61" i="27"/>
  <c r="F50" i="27"/>
  <c r="G50" i="27" s="1"/>
  <c r="F111" i="27"/>
  <c r="F44" i="27"/>
  <c r="F117" i="27"/>
  <c r="F85" i="27"/>
  <c r="G85" i="27" s="1"/>
  <c r="K184" i="27" s="1"/>
  <c r="M184" i="27" s="1"/>
  <c r="F93" i="27"/>
  <c r="F63" i="27"/>
  <c r="F91" i="27"/>
  <c r="F62" i="27"/>
  <c r="G62" i="27" s="1"/>
  <c r="F139" i="27" l="1"/>
  <c r="G73" i="27"/>
  <c r="G83" i="27"/>
  <c r="G118" i="27"/>
  <c r="G90" i="27"/>
  <c r="G60" i="27"/>
  <c r="G55" i="27"/>
  <c r="G47" i="27"/>
  <c r="G98" i="27"/>
  <c r="G130" i="27"/>
  <c r="G116" i="27"/>
  <c r="G68" i="27"/>
  <c r="G124" i="27"/>
  <c r="G29" i="27"/>
  <c r="G107" i="27"/>
  <c r="G41" i="27"/>
  <c r="G17" i="27"/>
  <c r="G21" i="27"/>
  <c r="G25" i="27"/>
  <c r="G8" i="27"/>
  <c r="G10" i="27"/>
  <c r="G91" i="27"/>
  <c r="G117" i="27"/>
  <c r="B196" i="27" s="1"/>
  <c r="D196" i="27" s="1"/>
  <c r="E196" i="27" s="1"/>
  <c r="L157" i="27" s="1"/>
  <c r="G61" i="27"/>
  <c r="G88" i="27"/>
  <c r="H186" i="27" s="1"/>
  <c r="J186" i="27" s="1"/>
  <c r="D207" i="27" s="1"/>
  <c r="D4" i="37" s="1"/>
  <c r="G127" i="27"/>
  <c r="B200" i="27" s="1"/>
  <c r="D200" i="27" s="1"/>
  <c r="G44" i="27"/>
  <c r="N173" i="27" s="1"/>
  <c r="P173" i="27" s="1"/>
  <c r="G32" i="27"/>
  <c r="H169" i="27" s="1"/>
  <c r="J169" i="27" s="1"/>
  <c r="G57" i="27"/>
  <c r="H176" i="27" s="1"/>
  <c r="J176" i="27" s="1"/>
  <c r="G42" i="27"/>
  <c r="G63" i="27"/>
  <c r="G93" i="27"/>
  <c r="G111" i="27"/>
  <c r="K156" i="27" s="1"/>
  <c r="G110" i="27"/>
  <c r="G24" i="27"/>
  <c r="G19" i="27"/>
  <c r="B164" i="27" s="1"/>
  <c r="D164" i="27" s="1"/>
  <c r="G108" i="27"/>
  <c r="B192" i="27" s="1"/>
  <c r="D192" i="27" s="1"/>
  <c r="G48" i="27"/>
  <c r="G89" i="27"/>
  <c r="N186" i="27" s="1"/>
  <c r="P186" i="27" s="1"/>
  <c r="G72" i="27"/>
  <c r="H180" i="27" s="1"/>
  <c r="J180" i="27" s="1"/>
  <c r="G205" i="27" s="1"/>
  <c r="G2" i="37" s="1"/>
  <c r="G23" i="27"/>
  <c r="G133" i="27"/>
  <c r="G103" i="27"/>
  <c r="G71" i="27"/>
  <c r="B180" i="27" s="1"/>
  <c r="D180" i="27" s="1"/>
  <c r="G75" i="27"/>
  <c r="G30" i="27"/>
  <c r="G109" i="27"/>
  <c r="E193" i="27" s="1"/>
  <c r="G193" i="27" s="1"/>
  <c r="G126" i="27"/>
  <c r="K200" i="27" s="1"/>
  <c r="M200" i="27" s="1"/>
  <c r="G56" i="27"/>
  <c r="K177" i="27" s="1"/>
  <c r="M177" i="27" s="1"/>
  <c r="G31" i="27"/>
  <c r="G87" i="27"/>
  <c r="G119" i="27"/>
  <c r="L156" i="27" s="1"/>
  <c r="G136" i="27"/>
  <c r="K13" i="33" s="1"/>
  <c r="G45" i="27"/>
  <c r="E172" i="27" s="1"/>
  <c r="G172" i="27" s="1"/>
  <c r="G34" i="27"/>
  <c r="G132" i="27"/>
  <c r="G129" i="27"/>
  <c r="H200" i="27" s="1"/>
  <c r="J200" i="27" s="1"/>
  <c r="G46" i="27"/>
  <c r="H172" i="27" s="1"/>
  <c r="J172" i="27" s="1"/>
  <c r="G84" i="27"/>
  <c r="Q185" i="27" s="1"/>
  <c r="S185" i="27" s="1"/>
  <c r="G59" i="27"/>
  <c r="G43" i="27"/>
  <c r="B172" i="27" s="1"/>
  <c r="D172" i="27" s="1"/>
  <c r="G18" i="27"/>
  <c r="G36" i="27"/>
  <c r="G22" i="27"/>
  <c r="G131" i="27"/>
  <c r="G92" i="27"/>
  <c r="G74" i="27"/>
  <c r="G11" i="27"/>
  <c r="G20" i="27"/>
  <c r="G101" i="27"/>
  <c r="G33" i="27"/>
  <c r="G100" i="27"/>
  <c r="E189" i="27" s="1"/>
  <c r="G189" i="27" s="1"/>
  <c r="G99" i="27"/>
  <c r="B188" i="27" s="1"/>
  <c r="D188" i="27" s="1"/>
  <c r="G35" i="27"/>
  <c r="G70" i="27"/>
  <c r="K180" i="27" s="1"/>
  <c r="M180" i="27" s="1"/>
  <c r="G58" i="27"/>
  <c r="B176" i="27" s="1"/>
  <c r="D176" i="27" s="1"/>
  <c r="G9" i="27"/>
  <c r="B158" i="27" s="1"/>
  <c r="G12" i="27"/>
  <c r="G125" i="27"/>
  <c r="N201" i="27" s="1"/>
  <c r="P201" i="27" s="1"/>
  <c r="G49" i="27"/>
  <c r="G128" i="27"/>
  <c r="G69" i="27"/>
  <c r="E181" i="27" s="1"/>
  <c r="G181" i="27" s="1"/>
  <c r="G86" i="27"/>
  <c r="B184" i="27" s="1"/>
  <c r="D184" i="27" s="1"/>
  <c r="G102" i="27"/>
  <c r="G139" i="27" l="1"/>
  <c r="H192" i="27"/>
  <c r="K157" i="27" s="1"/>
  <c r="G156" i="27"/>
  <c r="J156" i="27"/>
  <c r="C156" i="27"/>
  <c r="D205" i="27"/>
  <c r="E178" i="27"/>
  <c r="G178" i="27" s="1"/>
  <c r="E176" i="27"/>
  <c r="G176" i="27" s="1"/>
  <c r="G6" i="37"/>
  <c r="G208" i="27"/>
  <c r="N180" i="27"/>
  <c r="G157" i="27" s="1"/>
  <c r="E186" i="27"/>
  <c r="G186" i="27" s="1"/>
  <c r="E184" i="27"/>
  <c r="G184" i="27" s="1"/>
  <c r="F156" i="27"/>
  <c r="E200" i="27"/>
  <c r="G200" i="27" s="1"/>
  <c r="Q200" i="27" s="1"/>
  <c r="M157" i="27" s="1"/>
  <c r="J164" i="27"/>
  <c r="C158" i="27"/>
  <c r="E168" i="27"/>
  <c r="G168" i="27" s="1"/>
  <c r="E156" i="27"/>
  <c r="M156" i="27"/>
  <c r="K172" i="27"/>
  <c r="M172" i="27" s="1"/>
  <c r="Q172" i="27" s="1"/>
  <c r="E157" i="27" s="1"/>
  <c r="E158" i="27"/>
  <c r="I156" i="27"/>
  <c r="G134" i="27"/>
  <c r="B160" i="27"/>
  <c r="D160" i="27" s="1"/>
  <c r="H188" i="27"/>
  <c r="J157" i="27" s="1"/>
  <c r="B156" i="27"/>
  <c r="B168" i="27"/>
  <c r="D168" i="27" s="1"/>
  <c r="D158" i="27"/>
  <c r="D156" i="27"/>
  <c r="E165" i="27"/>
  <c r="G165" i="27" s="1"/>
  <c r="H206" i="27" s="1"/>
  <c r="H164" i="27"/>
  <c r="E207" i="27"/>
  <c r="E4" i="37" s="1"/>
  <c r="D208" i="27" l="1"/>
  <c r="D2" i="37"/>
  <c r="D6" i="37" s="1"/>
  <c r="F205" i="27"/>
  <c r="N176" i="27"/>
  <c r="F157" i="27" s="1"/>
  <c r="T184" i="27"/>
  <c r="I157" i="27" s="1"/>
  <c r="K168" i="27"/>
  <c r="D157" i="27" s="1"/>
  <c r="C205" i="27"/>
  <c r="C2" i="37" s="1"/>
  <c r="I206" i="27"/>
  <c r="I3" i="37"/>
  <c r="J3" i="37" s="1"/>
  <c r="H208" i="27"/>
  <c r="C207" i="27"/>
  <c r="C4" i="37" s="1"/>
  <c r="K164" i="27"/>
  <c r="C157" i="27" s="1"/>
  <c r="B205" i="27"/>
  <c r="B2" i="37" s="1"/>
  <c r="E160" i="27"/>
  <c r="B157" i="27" s="1"/>
  <c r="E208" i="27"/>
  <c r="N156" i="27"/>
  <c r="H5" i="37" s="1"/>
  <c r="F208" i="27" l="1"/>
  <c r="F2" i="37"/>
  <c r="F6" i="37" s="1"/>
  <c r="J4" i="37"/>
  <c r="I207" i="27"/>
  <c r="C208" i="27"/>
  <c r="N157" i="27"/>
  <c r="K5" i="33" s="1"/>
  <c r="I6" i="37"/>
  <c r="C3" i="37"/>
  <c r="E6" i="37"/>
  <c r="I205" i="27"/>
  <c r="B208" i="27"/>
  <c r="H6" i="37"/>
  <c r="K6" i="33"/>
  <c r="J2" i="37" l="1"/>
  <c r="J7" i="37" s="1"/>
  <c r="I208" i="27"/>
  <c r="N158" i="27"/>
  <c r="K18" i="33"/>
  <c r="B18" i="37"/>
  <c r="C6" i="37"/>
  <c r="D3" i="30"/>
  <c r="E3" i="30" s="1"/>
  <c r="G3" i="30" s="1"/>
  <c r="D11" i="30"/>
  <c r="E11" i="30" s="1"/>
  <c r="G11" i="30" s="1"/>
  <c r="B19" i="37"/>
  <c r="C19" i="37" s="1"/>
  <c r="B6" i="37"/>
  <c r="C18" i="37" l="1"/>
  <c r="F18" i="37" s="1"/>
  <c r="J6" i="37"/>
  <c r="F19" i="37"/>
  <c r="B17" i="37"/>
  <c r="D2" i="30"/>
  <c r="G18" i="37" l="1"/>
  <c r="B20" i="37"/>
  <c r="C17" i="37"/>
  <c r="E2" i="30"/>
  <c r="D12" i="30"/>
  <c r="G19" i="37"/>
  <c r="J19" i="37" s="1"/>
  <c r="E12" i="30" l="1"/>
  <c r="G2" i="30"/>
  <c r="G12" i="30" s="1"/>
  <c r="F17" i="37"/>
  <c r="C20" i="37"/>
  <c r="G17" i="37"/>
  <c r="G20" i="37" s="1"/>
  <c r="F20" i="37" l="1"/>
  <c r="J17" i="37"/>
  <c r="J20" i="37" s="1"/>
  <c r="C133" i="24"/>
  <c r="C31" i="24"/>
  <c r="C128" i="24"/>
  <c r="C110" i="24"/>
  <c r="C126" i="24"/>
  <c r="C45" i="24"/>
  <c r="C121" i="24"/>
  <c r="C30" i="24"/>
  <c r="C76" i="24"/>
  <c r="C51" i="24"/>
  <c r="C15" i="24"/>
  <c r="C72" i="24"/>
  <c r="C24" i="24"/>
  <c r="C87" i="24"/>
  <c r="C66" i="24"/>
  <c r="C61" i="24"/>
  <c r="C37" i="24"/>
  <c r="C71" i="24"/>
  <c r="C41" i="24"/>
  <c r="C74" i="24"/>
  <c r="C34" i="24"/>
  <c r="C91" i="24"/>
  <c r="C88" i="24"/>
  <c r="C56" i="24"/>
  <c r="C13" i="24"/>
  <c r="C104" i="24"/>
  <c r="C107" i="24"/>
  <c r="C129" i="24"/>
  <c r="C79" i="24"/>
  <c r="C11" i="24"/>
  <c r="C120" i="24"/>
  <c r="C35" i="24"/>
  <c r="C73" i="24"/>
  <c r="C49" i="24"/>
  <c r="C46" i="24"/>
  <c r="C130" i="24"/>
  <c r="C103" i="24"/>
  <c r="C113" i="24"/>
  <c r="C32" i="24"/>
  <c r="C109" i="24"/>
  <c r="C102" i="24"/>
  <c r="C52" i="24"/>
  <c r="C84" i="24"/>
  <c r="C137" i="24"/>
  <c r="C78" i="24"/>
  <c r="C82" i="24"/>
  <c r="C21" i="24"/>
  <c r="C12" i="24"/>
  <c r="C55" i="24"/>
  <c r="C59" i="24"/>
  <c r="C131" i="24"/>
  <c r="C108" i="24"/>
  <c r="C39" i="24"/>
  <c r="C67" i="24"/>
  <c r="C17" i="24"/>
  <c r="C60" i="24"/>
  <c r="C22" i="24"/>
  <c r="C95" i="24"/>
  <c r="C124" i="24"/>
  <c r="C57" i="24"/>
  <c r="C99" i="24"/>
  <c r="C69" i="24"/>
  <c r="C89" i="24"/>
  <c r="C83" i="24"/>
  <c r="C18" i="24"/>
  <c r="C101" i="24"/>
  <c r="C40" i="24"/>
  <c r="C50" i="24"/>
  <c r="C123" i="24"/>
  <c r="C63" i="24"/>
  <c r="C36" i="24"/>
  <c r="C85" i="24"/>
  <c r="C20" i="24"/>
  <c r="C19" i="24"/>
  <c r="C115" i="24"/>
  <c r="C136" i="24"/>
  <c r="C94" i="24"/>
  <c r="C80" i="24"/>
  <c r="C105" i="24"/>
  <c r="C29" i="24"/>
  <c r="C92" i="24"/>
  <c r="C62" i="24"/>
  <c r="C68" i="24"/>
  <c r="C23" i="24"/>
  <c r="C38" i="24"/>
  <c r="C33" i="24"/>
  <c r="C93" i="24"/>
  <c r="C44" i="24"/>
  <c r="C100" i="24"/>
  <c r="C58" i="24"/>
  <c r="C6" i="24"/>
  <c r="C134" i="24"/>
  <c r="C81" i="24"/>
  <c r="C27" i="24"/>
  <c r="C77" i="24"/>
  <c r="C53" i="24"/>
  <c r="C26" i="24"/>
  <c r="C28" i="24"/>
  <c r="C48" i="24"/>
  <c r="C43" i="24"/>
  <c r="C97" i="24"/>
  <c r="C127" i="24"/>
  <c r="C118" i="24"/>
  <c r="C70" i="24"/>
  <c r="C106" i="24"/>
  <c r="C8" i="24"/>
  <c r="C75" i="24"/>
  <c r="C10" i="24"/>
  <c r="C117" i="24"/>
  <c r="C16" i="24"/>
  <c r="C132" i="24"/>
  <c r="C42" i="24"/>
  <c r="C14" i="24"/>
  <c r="C116" i="24"/>
  <c r="C90" i="24"/>
  <c r="C111" i="24"/>
  <c r="C47" i="24"/>
  <c r="C112" i="24"/>
  <c r="C96" i="24"/>
  <c r="C98" i="24"/>
  <c r="C125" i="24"/>
  <c r="C54" i="24"/>
  <c r="C9" i="24"/>
  <c r="C7" i="24"/>
  <c r="C25" i="24"/>
  <c r="C122" i="24"/>
  <c r="C65" i="24"/>
  <c r="C119" i="24"/>
  <c r="C64" i="24"/>
  <c r="C86" i="24"/>
  <c r="C114" i="24"/>
  <c r="C4" i="24"/>
  <c r="B141" i="24"/>
  <c r="C139" i="24" l="1"/>
</calcChain>
</file>

<file path=xl/sharedStrings.xml><?xml version="1.0" encoding="utf-8"?>
<sst xmlns="http://schemas.openxmlformats.org/spreadsheetml/2006/main" count="3782" uniqueCount="784">
  <si>
    <t>Atmospheric deposition (wet/dry)</t>
  </si>
  <si>
    <t>Tributary inflows</t>
  </si>
  <si>
    <t>Point sources</t>
  </si>
  <si>
    <t>Seepage/groundwater</t>
  </si>
  <si>
    <t>Loading information</t>
  </si>
  <si>
    <t xml:space="preserve">     rangeland</t>
  </si>
  <si>
    <t xml:space="preserve">     water/wetland</t>
  </si>
  <si>
    <t xml:space="preserve">     Urban open</t>
  </si>
  <si>
    <t xml:space="preserve">     L-D residential</t>
  </si>
  <si>
    <t xml:space="preserve">     M-D residential</t>
  </si>
  <si>
    <t xml:space="preserve">     H-D residential</t>
  </si>
  <si>
    <t xml:space="preserve">     Trans/comm</t>
  </si>
  <si>
    <t xml:space="preserve">  Hatchett Creek</t>
  </si>
  <si>
    <t>Internal nutrient recycling</t>
  </si>
  <si>
    <t>Total Maximum Daily Load (lbs/yr)</t>
  </si>
  <si>
    <t>Reduction needed in loading and % (lbs/yr)</t>
  </si>
  <si>
    <t>Sources of total phosphorus (loading in lbs/yr)</t>
  </si>
  <si>
    <t>TMDL Baseline loading*</t>
  </si>
  <si>
    <t>Expected load reduction from current projects</t>
  </si>
  <si>
    <t>Remaining phosphorus load</t>
  </si>
  <si>
    <t>Net estimated TP load</t>
  </si>
  <si>
    <t>Controllable TMDL baseline loading</t>
  </si>
  <si>
    <t>TMDL baseline TP-loading and % (lbs/yr)</t>
  </si>
  <si>
    <t>Controllable TMDL baseline % contribution**</t>
  </si>
  <si>
    <t>Proportional reduction needed to meet TMDL</t>
  </si>
  <si>
    <t xml:space="preserve">  WWTP discharges</t>
  </si>
  <si>
    <t xml:space="preserve">     Brittany Estates Mobile Home Park</t>
  </si>
  <si>
    <t>Agriculture</t>
  </si>
  <si>
    <t>Percent of Baseline Loading</t>
  </si>
  <si>
    <t>Nitrogen loading for TMDL baseline, reductions needed,  and reductions expected from restoration and stormwater projects</t>
  </si>
  <si>
    <t>TMDL baseline TN-loading and % (lbs/yr)</t>
  </si>
  <si>
    <t>Percent of TMDL Baseline Loading</t>
  </si>
  <si>
    <t>Forest/rural open</t>
  </si>
  <si>
    <t>Rangeland</t>
  </si>
  <si>
    <t>Low Density Residential</t>
  </si>
  <si>
    <t>Medium Density Residential</t>
  </si>
  <si>
    <t>High Density Residential</t>
  </si>
  <si>
    <t>Septic Systems</t>
  </si>
  <si>
    <t>Phosphorus loading for TMDL baseline, reductions needed, and reductions expected from restoration and stormwater projects</t>
  </si>
  <si>
    <t>Reduction needed in loading (lbs/yr)</t>
  </si>
  <si>
    <t>Sources of total nitrogen (loading in lbs/yr)</t>
  </si>
  <si>
    <t>TMDL Baseline loading</t>
  </si>
  <si>
    <t>Communication and Transportation</t>
  </si>
  <si>
    <t>Urban Open</t>
  </si>
  <si>
    <t>Loads in lbs/yr TP</t>
  </si>
  <si>
    <t>Loads in lbs/yr TN</t>
  </si>
  <si>
    <t>Average</t>
  </si>
  <si>
    <t>Urban Stormwater</t>
  </si>
  <si>
    <t>Other Land Uses</t>
  </si>
  <si>
    <t>Little Hatchett Creek</t>
  </si>
  <si>
    <t xml:space="preserve">    Communication and Transportation</t>
  </si>
  <si>
    <t xml:space="preserve">    High Density Residential</t>
  </si>
  <si>
    <t xml:space="preserve">    Low Density Residential</t>
  </si>
  <si>
    <t xml:space="preserve"> Little Hatchett Creek</t>
  </si>
  <si>
    <t xml:space="preserve">    Medium Density Residential</t>
  </si>
  <si>
    <t xml:space="preserve">    Urban Open</t>
  </si>
  <si>
    <t>City</t>
  </si>
  <si>
    <t>Land Use Category</t>
  </si>
  <si>
    <t>Major Trib</t>
  </si>
  <si>
    <t>Acres</t>
  </si>
  <si>
    <t>Portion</t>
  </si>
  <si>
    <t>% of Total Land Use by Major Trib</t>
  </si>
  <si>
    <t>Alachua County</t>
  </si>
  <si>
    <t>Hatchet Creek</t>
  </si>
  <si>
    <t>Little Hatchet Creek</t>
  </si>
  <si>
    <t>Newnans Lake</t>
  </si>
  <si>
    <t>Gainesville</t>
  </si>
  <si>
    <t>Waldo</t>
  </si>
  <si>
    <t>Total</t>
  </si>
  <si>
    <t>Acres Transportation/Communication</t>
  </si>
  <si>
    <t>Acres High Density Residential</t>
  </si>
  <si>
    <t>High Density Residential Percent of Area</t>
  </si>
  <si>
    <t>Reduction for High Density Residential lbs/yr TN</t>
  </si>
  <si>
    <t>Low Density Residential Percent of Area</t>
  </si>
  <si>
    <t>Reduction for Low Density Residential lbs/yr TN</t>
  </si>
  <si>
    <t>Hatchett Creek</t>
  </si>
  <si>
    <t>Acres Low Density Residential</t>
  </si>
  <si>
    <t>Acres Medium Density Residential</t>
  </si>
  <si>
    <t>Medium Density Residential Percent of Area</t>
  </si>
  <si>
    <t>Acres Urban Open</t>
  </si>
  <si>
    <t>Urban Open Percent of Area</t>
  </si>
  <si>
    <t>Reduction for Medium density Residential lbs/yr TN</t>
  </si>
  <si>
    <t>Reduction for Transportation/Communication lbs/yr TN</t>
  </si>
  <si>
    <t>Transportation/Communication Percent of Area</t>
  </si>
  <si>
    <t>Reduction for Urban Open lbs/yr TN</t>
  </si>
  <si>
    <t>Remaining nitrogen load</t>
  </si>
  <si>
    <t>Net estimated TN load</t>
  </si>
  <si>
    <t>Groundwater baseflow</t>
  </si>
  <si>
    <t>Septic System</t>
  </si>
  <si>
    <t xml:space="preserve">  Camps Canal (Newnans Lake)</t>
  </si>
  <si>
    <t xml:space="preserve">  Cross Creek (Lochloosa Lake)</t>
  </si>
  <si>
    <t>CCRS Land use</t>
  </si>
  <si>
    <t>Year Loading lbs/yr TP</t>
  </si>
  <si>
    <t>Transportation/Communication</t>
  </si>
  <si>
    <t>Water/Wetlands</t>
  </si>
  <si>
    <t>Orange Lake</t>
  </si>
  <si>
    <t>Agriculture CCRS</t>
  </si>
  <si>
    <t>Agriculture Orange Lake</t>
  </si>
  <si>
    <t>Septic systems Orange Lake</t>
  </si>
  <si>
    <t>Septic systems CCRS</t>
  </si>
  <si>
    <t>Water, wetlands</t>
  </si>
  <si>
    <t>&lt;1</t>
  </si>
  <si>
    <t>Seepage/groundwater Hatchett Creek</t>
  </si>
  <si>
    <t>Seepage/groundwater Little Hatchett Creek</t>
  </si>
  <si>
    <t>Seepage/groundwater Newnans Lake</t>
  </si>
  <si>
    <t>Stormwater runoff undeveloped land uses Newnans Lake</t>
  </si>
  <si>
    <t>Stormwater runoff from developed uses Newnans Lake</t>
  </si>
  <si>
    <t>Agriculture Newnans Lake</t>
  </si>
  <si>
    <t>Agriculture Hatchett Creek</t>
  </si>
  <si>
    <t>Agriculture Little Hatchett Creek</t>
  </si>
  <si>
    <t>Groundwater seepage Newnans Lake</t>
  </si>
  <si>
    <t>Groundwater seepage Hatchett Creek</t>
  </si>
  <si>
    <t>Groundwater seepage Little Hatchett Creek</t>
  </si>
  <si>
    <t>Stormwater runoff undeveloped land uses Hatchett Creek</t>
  </si>
  <si>
    <t>Stormwater runoff from developed uses Hatchett Creek</t>
  </si>
  <si>
    <t>Stormwater runoff undeveloped land uses Little Hatchett Creek</t>
  </si>
  <si>
    <t xml:space="preserve">   Hatchett Creek</t>
  </si>
  <si>
    <t xml:space="preserve">   Little Hatchett Creek</t>
  </si>
  <si>
    <t>Stormwater runoff from developed uses Little Hatchett Creek</t>
  </si>
  <si>
    <t>FDOT, District 2</t>
  </si>
  <si>
    <t>Percent of Baseline Loading*</t>
  </si>
  <si>
    <t>Controllable TMDL baseline % contribution **</t>
  </si>
  <si>
    <t>Jurisdiction</t>
  </si>
  <si>
    <t>Total lbs/yr TN</t>
  </si>
  <si>
    <t>Little Hatchett Creek lbs/yr TN</t>
  </si>
  <si>
    <t>Hatchett Creek lbs/yr TN</t>
  </si>
  <si>
    <t>Newnans Lake lbs/yr TN</t>
  </si>
  <si>
    <t xml:space="preserve"> Transportation/Communication Percent of Area</t>
  </si>
  <si>
    <t>na</t>
  </si>
  <si>
    <t>Newnans Lake lbs/yr TP</t>
  </si>
  <si>
    <t>Hatchett Creek lbs/yr TP</t>
  </si>
  <si>
    <t>Little Hatchett Creek lbs/yr TP</t>
  </si>
  <si>
    <t>Total lbs/yr TP</t>
  </si>
  <si>
    <t>Reduction for Transportation/Communication lbs/yr TP</t>
  </si>
  <si>
    <t>Reduction for High Density Residential lbs/yr TP</t>
  </si>
  <si>
    <t>Reduction for Low Density Residential lbs/yr TP</t>
  </si>
  <si>
    <t>Reduction for Medium density Residential lbs/yr TP</t>
  </si>
  <si>
    <t>Reduction for Urban Open lbs/yr TP</t>
  </si>
  <si>
    <t>Total Reduction Developed lbs/yr TP</t>
  </si>
  <si>
    <t>FDOT, District 5</t>
  </si>
  <si>
    <t>Marion County</t>
  </si>
  <si>
    <t>Reddick</t>
  </si>
  <si>
    <t>McIntosh</t>
  </si>
  <si>
    <t>Micanopy</t>
  </si>
  <si>
    <t>Communication</t>
  </si>
  <si>
    <t>Camps Canal/River Styx</t>
  </si>
  <si>
    <t>FDOT, 2</t>
  </si>
  <si>
    <t>FDOT, 5</t>
  </si>
  <si>
    <t>Row Labels</t>
  </si>
  <si>
    <t>Grand Total</t>
  </si>
  <si>
    <t>Sum of Acres</t>
  </si>
  <si>
    <t>Column Labels</t>
  </si>
  <si>
    <t>1995 totals acres</t>
  </si>
  <si>
    <t>Orange Lake Urban Sources TP</t>
  </si>
  <si>
    <t>Camps Canal and River Styx Urban Sources TP</t>
  </si>
  <si>
    <t>Orange Lake lbs/yr TP</t>
  </si>
  <si>
    <t>Camps Canal and River Styx lbs/yr TP</t>
  </si>
  <si>
    <t>Total TN loading reduction by jurisdiction</t>
  </si>
  <si>
    <t>Total TP loading reduction by jurisdiction</t>
  </si>
  <si>
    <t>Hatchett Creek Urban Developed Land Uses Sources TP</t>
  </si>
  <si>
    <t>Little Hatchett Creek Urban Developed Land USes Sources TP</t>
  </si>
  <si>
    <t>Newnans Lake Urban Developed Land Uses Sources TP</t>
  </si>
  <si>
    <t>2009 Land Uses</t>
  </si>
  <si>
    <t>Hatchet Creek 1995 Land Use Acres</t>
  </si>
  <si>
    <t>Difference (2009 LU- 1995 LU) Acres</t>
  </si>
  <si>
    <t>*Calculated as straight percent of total baseline loading</t>
  </si>
  <si>
    <t>**Proportional percent</t>
  </si>
  <si>
    <t>Stormwater runoff from developed land uses Hatchett Creek</t>
  </si>
  <si>
    <t>Stormwater undeveloped land use Hatchett Creek</t>
  </si>
  <si>
    <t>Stormwater undeveloped land use Little Hatchett Creek</t>
  </si>
  <si>
    <t>Septic systems Little Hatchett Creek</t>
  </si>
  <si>
    <t>nd</t>
  </si>
  <si>
    <t>nd=no data, land use not present</t>
  </si>
  <si>
    <t>CCRS=Camps Canal and River Styx</t>
  </si>
  <si>
    <t xml:space="preserve">Total TP loading reduction by jurisdiction </t>
  </si>
  <si>
    <t>DRAFT Newnans Lake TP Budget</t>
  </si>
  <si>
    <t>Septic systems Newnans Lake</t>
  </si>
  <si>
    <t>Septic systems Hatchett Creek</t>
  </si>
  <si>
    <t>Tributary inflows (not part of allocation)</t>
  </si>
  <si>
    <t>Total Nitrogen Loading calculation by land use lbs/yr TN</t>
  </si>
  <si>
    <t>Total Phosphorus Loading calculation by land use lbs/yr TP</t>
  </si>
  <si>
    <t>DRAFT Urban Land Use by Acreage and Jurisdiction</t>
  </si>
  <si>
    <t>Portion=acres of LU within a jurisdiction/total acres of LU for the major tributary basin</t>
  </si>
  <si>
    <t>Grand Total Acres</t>
  </si>
  <si>
    <t>DRAFT Newnans Lake TN</t>
  </si>
  <si>
    <t>Loading data obtained from Orange Lake TMDL document</t>
  </si>
  <si>
    <t>Total Phosphorus calculation of loading by land use lbs/yr TP</t>
  </si>
  <si>
    <t>DRAFT Orange Lake TP Budget includes OL and CCRS subbasins</t>
  </si>
  <si>
    <t xml:space="preserve">     rural open</t>
  </si>
  <si>
    <t xml:space="preserve">     Rural open</t>
  </si>
  <si>
    <t>Stormwater runoff forest Orange Lake</t>
  </si>
  <si>
    <t>Stormwater runoff forest CCRS</t>
  </si>
  <si>
    <t>Stormwater runoff undeveloped land use CCRS</t>
  </si>
  <si>
    <t>Stormwater runoff from developed uses CCRS</t>
  </si>
  <si>
    <t>Stormwater runoff undeveloped land use Orange Lake</t>
  </si>
  <si>
    <t>Stormwater runoff from developed uses Orange Lake</t>
  </si>
  <si>
    <t xml:space="preserve">TMDL Baseline Loading without Forest </t>
  </si>
  <si>
    <t>Acres Rural Open</t>
  </si>
  <si>
    <t>Rural Open Percent of Area</t>
  </si>
  <si>
    <t>Reduction for Rural Open lbs/yr TP</t>
  </si>
  <si>
    <t>Rural Open</t>
  </si>
  <si>
    <t>Agriculture (DACS BMP implementation)</t>
  </si>
  <si>
    <t>nd=no data, land use not present or too small to calculate loading</t>
  </si>
  <si>
    <t>Stormwater runoff forest Newnans Lake</t>
  </si>
  <si>
    <t>Stormwater runoff forest Hatchett Creek</t>
  </si>
  <si>
    <t>Stormwater runoff forest Little Hatchett Creek</t>
  </si>
  <si>
    <t xml:space="preserve">    Rural Open</t>
  </si>
  <si>
    <t>Agriculture (DACS BMP Implementation)</t>
  </si>
  <si>
    <t>Reduction for Rural Open lbs/yr TN</t>
  </si>
  <si>
    <t>Total Reduction Developed lbs/yr TN</t>
  </si>
  <si>
    <t>Total watershed loading lbs TP/yr</t>
  </si>
  <si>
    <t>Sum of COUNT_WW</t>
  </si>
  <si>
    <t>CCRS</t>
  </si>
  <si>
    <t>Lochloosa Lake</t>
  </si>
  <si>
    <t>Not modeled</t>
  </si>
  <si>
    <t>KnownSeptic</t>
  </si>
  <si>
    <t>ALACHUA</t>
  </si>
  <si>
    <t>City of Gainesville</t>
  </si>
  <si>
    <t>Hawthorne</t>
  </si>
  <si>
    <t>MARION</t>
  </si>
  <si>
    <t>LikelySeptic</t>
  </si>
  <si>
    <t>SWLSeptic</t>
  </si>
  <si>
    <t>Entity</t>
  </si>
  <si>
    <t>Basin</t>
  </si>
  <si>
    <t>Number of Septic Systems</t>
  </si>
  <si>
    <t>Septic System Loading</t>
  </si>
  <si>
    <t>Percent of Septics in Entity</t>
  </si>
  <si>
    <t>Hatchet Creek 2009 Acres</t>
  </si>
  <si>
    <t>Little Hatchet Creek 2009 Acres</t>
  </si>
  <si>
    <t>Newnans Lake 2009 Acres</t>
  </si>
  <si>
    <t>Camps Canal and River Styx</t>
  </si>
  <si>
    <t>Hawthorne city</t>
  </si>
  <si>
    <t>McIntosh town</t>
  </si>
  <si>
    <t>Micanopy town</t>
  </si>
  <si>
    <t>Reddick town</t>
  </si>
  <si>
    <t>Waldo city</t>
  </si>
  <si>
    <t>Lochlooa Lake</t>
  </si>
  <si>
    <t>Number of Septic Systems CCRS</t>
  </si>
  <si>
    <t>Percent of Septics CCRS</t>
  </si>
  <si>
    <t>Reduction for Septic Systems lbs/yr TP CCRS</t>
  </si>
  <si>
    <t>Septic System Loading Reductions</t>
  </si>
  <si>
    <t>Number of Septic Systems Orange Lake</t>
  </si>
  <si>
    <t>Percent of Septics Orange Lake</t>
  </si>
  <si>
    <t>Reduction for Septic Systems lbs/yr TP Orange Lake</t>
  </si>
  <si>
    <t>Total Stormwater lbs/yr TP</t>
  </si>
  <si>
    <t>Septic System Reduction lbs/yr TP</t>
  </si>
  <si>
    <t>Total Reductions lbs/yr TP</t>
  </si>
  <si>
    <t>Number of Septic Systems Hatchett Creek</t>
  </si>
  <si>
    <t>Percent of Septics Hatchett Creek</t>
  </si>
  <si>
    <t>Reduction for Septic Systems lbs/yr TP Hatchett Creek</t>
  </si>
  <si>
    <t>Number of Septic Systems Little Hatchett Creek</t>
  </si>
  <si>
    <t>Percent of Septics Little Hatchett Creek</t>
  </si>
  <si>
    <t>Reduction for Septic Systems lbs/yr TP Little Hatchett Creek</t>
  </si>
  <si>
    <t>Number of Septic Systems Newnans Lake</t>
  </si>
  <si>
    <t>Percent of Septics Newnans Lake</t>
  </si>
  <si>
    <t>Reduction for Septic Systems lbs/yr TP Newnans Lake</t>
  </si>
  <si>
    <t>Reduction for Septic Systems lbs/yr TN Hatchett Creek</t>
  </si>
  <si>
    <t>Reduction for Septic Systems lbs/yr TN Little Hatchett Creek</t>
  </si>
  <si>
    <t>Reduction for Septic Systems lbs/yr TN Newnans Lake</t>
  </si>
  <si>
    <t>Septic System Reduction lbs/yr TN</t>
  </si>
  <si>
    <t>Total Reductions lbs/yr TN</t>
  </si>
  <si>
    <t>Total Stormwater lbs/yr TN</t>
  </si>
  <si>
    <t>FDOT District 2</t>
  </si>
  <si>
    <t>DRAFT DATA</t>
  </si>
  <si>
    <t>Prepared August 22, 2016</t>
  </si>
  <si>
    <r>
      <rPr>
        <b/>
        <sz val="10"/>
        <color rgb="FFFF0000"/>
        <rFont val="Arial"/>
        <family val="2"/>
      </rPr>
      <t>DRAFT DATA</t>
    </r>
    <r>
      <rPr>
        <sz val="10"/>
        <rFont val="Arial"/>
        <family val="2"/>
      </rPr>
      <t>.  Nutrient data obtained from Newnans Lake TMDL document.  Average used for nutrient budget and partitioning of reductions.</t>
    </r>
  </si>
  <si>
    <t>This workbook contains draft calculations proposed for the apportioning of nutrient reductions among Orange Creek Basin entities for Orange Lake and Newnans Lake.</t>
  </si>
  <si>
    <t>For more information contact Mary Paulic at mary.paulic@dep.state.fl.us or 850-245-8560.</t>
  </si>
  <si>
    <t>Material prepared August 22, 2016.</t>
  </si>
  <si>
    <t>by Division of Environmental Assessment and Restoration</t>
  </si>
  <si>
    <t>Water Quality Restoration Program</t>
  </si>
  <si>
    <t>Watershed Planning and Coordination Section</t>
  </si>
  <si>
    <t>Hachett Creek</t>
  </si>
  <si>
    <t>Data obtained from DOH inventory of water and wastewater service.</t>
  </si>
  <si>
    <t>Revised total</t>
  </si>
  <si>
    <t>Percent of total septic</t>
  </si>
  <si>
    <t>Number of some what likely septic</t>
  </si>
  <si>
    <t>Sub-Basin</t>
  </si>
  <si>
    <t>Number of Septic Systems (not including somewhat likely )</t>
  </si>
  <si>
    <t>Lake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</si>
  <si>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</si>
  <si>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</si>
  <si>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</si>
  <si>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</si>
  <si>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</si>
  <si>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</si>
  <si>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</si>
  <si>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</si>
  <si>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</si>
  <si>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27</t>
  </si>
  <si>
    <t>28</t>
  </si>
  <si>
    <t>Lower Hatchett Creek</t>
  </si>
  <si>
    <t>Lower Little Hatchett</t>
  </si>
  <si>
    <t>Upper Hatchett Creek</t>
  </si>
  <si>
    <t>Upper Little Hatchett</t>
  </si>
  <si>
    <t>Camps Canal and River St*</t>
  </si>
  <si>
    <t>OSTDS data updated September 28, 2016</t>
  </si>
  <si>
    <t>Education Credit Information</t>
  </si>
  <si>
    <t xml:space="preserve"> Developed Land Uses Stormwater Loading by Jurisdiction</t>
  </si>
  <si>
    <t>Urban Open Percent of Total Land Use Area</t>
  </si>
  <si>
    <t>Urban Open Stormwater Loading</t>
  </si>
  <si>
    <t>Urban Open Acres</t>
  </si>
  <si>
    <t xml:space="preserve">     Transporation/Communication Acres</t>
  </si>
  <si>
    <t>High Density Residential Acres</t>
  </si>
  <si>
    <t xml:space="preserve"> High Density Residential Percent of Total Land Use Area</t>
  </si>
  <si>
    <t>High Density Residential Stormwater Loading lbs/yr TP</t>
  </si>
  <si>
    <t>Rural Open Acres</t>
  </si>
  <si>
    <t>Rural Open Percent of Total Land Use Area</t>
  </si>
  <si>
    <t>Rural Open Stormwater Loading lbs/yr TP</t>
  </si>
  <si>
    <t>Low Density Residential Percent of Total Land Use Area</t>
  </si>
  <si>
    <t>Low Density Residential Stormwater Loading lbs/yr TP</t>
  </si>
  <si>
    <t>Medium Density Residential Acres</t>
  </si>
  <si>
    <t>Medium Density Residential Percent of Total Land Use Area</t>
  </si>
  <si>
    <t>Medium Density Residential Stormwater Loading lbs/yr TP</t>
  </si>
  <si>
    <t>Low Density Residential Acres</t>
  </si>
  <si>
    <t xml:space="preserve">     Transporation/Communication Percent of Total Land Use Area</t>
  </si>
  <si>
    <t xml:space="preserve">     Transporation/Communication Stormwater Loading lbs/yr TP</t>
  </si>
  <si>
    <t>Total Stormwater Loading lbs/yr TP</t>
  </si>
  <si>
    <t>Urban Open Stormwater Loading lbs/yr TP</t>
  </si>
  <si>
    <t>Percent Education Credit</t>
  </si>
  <si>
    <t>Education Credit lbs/yr TP</t>
  </si>
  <si>
    <t>CCRS High Density Residential Stormwater Loading lbs/yr TP</t>
  </si>
  <si>
    <t>CCRS Low Density Residential Stormwater Loading lbs/yr TP</t>
  </si>
  <si>
    <t xml:space="preserve">   Orange Lake  Transporation/Communication Stormwater Loading lbs/yr TP</t>
  </si>
  <si>
    <t>Orange Lake Rural Open Stormwater Loading lbs/yr TP</t>
  </si>
  <si>
    <t>Orange Lake High Density Residential Stormwater Loading lbs/yr TP</t>
  </si>
  <si>
    <t>Orange Lake Medium Density Residential Stormwater Loading lbs/yr TP</t>
  </si>
  <si>
    <t>Orange Lake Low Density Residential Stormwater Loading lbs/yr TP</t>
  </si>
  <si>
    <t>CCRS Urban Open Stormwater Loading Orange Lake lbs/yr TP</t>
  </si>
  <si>
    <t>Orange Lake Urban Open Stormwater Loading lbs/yr TP</t>
  </si>
  <si>
    <t>CCRS Rural Open Stormwater Loading lbs/yr TP</t>
  </si>
  <si>
    <t>CCRS  Transporation/Communication Stormwater Loading lbs/yr TP</t>
  </si>
  <si>
    <t>CCRS Medium Density Residential Stormwater Loading lbs/yr TP</t>
  </si>
  <si>
    <t>Newnans Lake Urban Open Stormwater Loading lbs/yr TP</t>
  </si>
  <si>
    <t>Newnans Lake Low Density Residential Stormwater Loading lbs/yr TP</t>
  </si>
  <si>
    <t>Newnans Lake Medium Density Residential Stormwater Loading lbs/yr TP</t>
  </si>
  <si>
    <t>Newnans Lake High Density Residential Stormwater Loading lbs/yr TP</t>
  </si>
  <si>
    <t>Newnans Lake Rural Open Stormwater Loading lbs/yr TP</t>
  </si>
  <si>
    <t xml:space="preserve">  Nenwnans Lake  Transporation/Communication Stormwater Loading lbs/yr TP</t>
  </si>
  <si>
    <t>Hatchett Creek Urban Open Stormwater Loading Orange Lake lbs/yr TP</t>
  </si>
  <si>
    <t>Hatchett Creek Low Density Residential Stormwater Loading lbs/yr TP</t>
  </si>
  <si>
    <t>Hatchett Creek Medium Density Residential Stormwater Loading lbs/yr TP</t>
  </si>
  <si>
    <t>Hatchett Creek High Density Residential Stormwater Loading lbs/yr TP</t>
  </si>
  <si>
    <t>Hatchett Creek Rural Open Stormwater Loading lbs/yr TP</t>
  </si>
  <si>
    <t>Hatchett Creek Transporation/Communication Stormwater Loading lbs/yr TP</t>
  </si>
  <si>
    <t>Little Hatchett Creek Urban Open Stormwater Loading Orange Lake lbs/yr TP</t>
  </si>
  <si>
    <t>Little Hatchett Creek Low Density Residential Stormwater Loading lbs/yr TP</t>
  </si>
  <si>
    <t>Little Hatchett Creek Medium Density Residential Stormwater Loading lbs/yr TP</t>
  </si>
  <si>
    <t>Little Hatchett Creek High Density Residential Stormwater Loading lbs/yr TP</t>
  </si>
  <si>
    <t>Little Hatchett Creek Rural Open Stormwater Loading lbs/yr TP</t>
  </si>
  <si>
    <t>Little Hatchett Creek Transporation/Communication Stormwater Loading lbs/yr TP</t>
  </si>
  <si>
    <t>TP CREDIT</t>
  </si>
  <si>
    <t>TN CREDIT</t>
  </si>
  <si>
    <t>Total Stormwater Loading lbs/yr TN</t>
  </si>
  <si>
    <t xml:space="preserve">     Transporation/Communication Stormwater Loading lbs/yr TN</t>
  </si>
  <si>
    <t>Rural Open Stormwater Loading lbs/yr TN</t>
  </si>
  <si>
    <t>High Density Residential Stormwater Loading lbs/yr TN</t>
  </si>
  <si>
    <t>Medium Density Residential Stormwater Loading lbs/yr TN</t>
  </si>
  <si>
    <t>Low Density Residential Stormwater Loading lbs/yr TN</t>
  </si>
  <si>
    <t>Urban Open Stormwater Loading lbs/yr TN</t>
  </si>
  <si>
    <t xml:space="preserve">na=not applicable </t>
  </si>
  <si>
    <t>Urban Open has 3 lbs/yr TP loading but no acreage</t>
  </si>
  <si>
    <t>Second Five Year Additional Education Credits lbs/yr TP</t>
  </si>
  <si>
    <t>Note: Full education credit awarded first five years. If additional education activities added, credits will be added in the future.</t>
  </si>
  <si>
    <t xml:space="preserve">Reductions and Credits by Jurisdiction for Orange Lake </t>
  </si>
  <si>
    <t xml:space="preserve">Reductions and Credits by Jurisdiction for Newnans Lake </t>
  </si>
  <si>
    <t xml:space="preserve">Summary of Estimated Credits and Required Reductions: Reductions based on urban stormwater required reduction. </t>
  </si>
  <si>
    <t>Newnans Lake Urban Open Stormwater Loading lbs/yr TN</t>
  </si>
  <si>
    <t>Newnans Lake Low Density Residential Stormwater Loading lbs/yr TN</t>
  </si>
  <si>
    <t>Newnans Lake Medium Density Residential Stormwater Loading lbs/yr TN</t>
  </si>
  <si>
    <t>Newnans Lake High Density Residential Stormwater Loading lbs/yr TN</t>
  </si>
  <si>
    <t>Newnans Lake Rural Open Stormwater Loading lbs/yr TN</t>
  </si>
  <si>
    <t xml:space="preserve">  Nenwnans Lake  Transporation/Communication Stormwater Loading lbs/yr TN</t>
  </si>
  <si>
    <t>Hatchett Creek Urban Open Stormwater Loading Orange Lake lbs/yr TN</t>
  </si>
  <si>
    <t>Hatchett Creek Low Density Residential Stormwater Loading lbs/yr TN</t>
  </si>
  <si>
    <t>Education Credits added September 30, 2016</t>
  </si>
  <si>
    <t>DRAFT Estimated Stormwater runoff from developed uses Newnans Lake</t>
  </si>
  <si>
    <t>DRAFT Estimated Stormwater runoff from developed uses Hatchett Creek</t>
  </si>
  <si>
    <t>DRAFT Estimated Stormwater runoff from developed uses Little Hatchett Creek</t>
  </si>
  <si>
    <t>DRAFT data</t>
  </si>
  <si>
    <t xml:space="preserve">DRAFT Summary of Credits and Required Reductions: Reductions based on urban stormwater required reduction. </t>
  </si>
  <si>
    <t>DRAFT Estimated Stormwater runoff from developed uses Orange Lake</t>
  </si>
  <si>
    <t>DRAFT Estimated Stormwater runoff from developed uses Camps Canal River Styx</t>
  </si>
  <si>
    <t>Additional Projects Credits lbs/yr TN</t>
  </si>
  <si>
    <t>Second Five Year Additional Education Credits lbs/yr TN</t>
  </si>
  <si>
    <t>Additional Projects Credits lbs/yr TP</t>
  </si>
  <si>
    <t>Summary tables added October 17, 2016</t>
  </si>
  <si>
    <t>Count</t>
  </si>
  <si>
    <t>Model Segment</t>
  </si>
  <si>
    <t>Stormwater Loading Total</t>
  </si>
  <si>
    <t xml:space="preserve">Total Reduction Developed Land Use and Septic Systems </t>
  </si>
  <si>
    <t>Orange Lake Developed Land Use TP Reduction lbs/yr</t>
  </si>
  <si>
    <t>Newnans Lake Developed Land Use TP Reduction lbs/yr</t>
  </si>
  <si>
    <t>-</t>
  </si>
  <si>
    <t>Newnans Lake Developed Land Use TN Reduction lbs/yr</t>
  </si>
  <si>
    <t>Newnans Lake Septic System TN Reduction lbs/yr</t>
  </si>
  <si>
    <t>Lochloosa Lake Developed Land Use TN Reduction lbs/yr</t>
  </si>
  <si>
    <t xml:space="preserve">Total Reduction TN lbs/yr </t>
  </si>
  <si>
    <t>Watershed</t>
  </si>
  <si>
    <t>Low Density Residential Percent</t>
  </si>
  <si>
    <t>Medium Density Residential Percent</t>
  </si>
  <si>
    <t>High Density Residential Percent</t>
  </si>
  <si>
    <t>Transportation and Communi-cation Percent</t>
  </si>
  <si>
    <t>Rural Open Percent</t>
  </si>
  <si>
    <t>Urban Open Percent</t>
  </si>
  <si>
    <t>Newnans Lake - Hatchett Creek</t>
  </si>
  <si>
    <t>Newnans Lake - Little Hatchett Creek</t>
  </si>
  <si>
    <t>Newnans Lake -Little  Hatchett Creek</t>
  </si>
  <si>
    <t>Newnans Lake - Newnans Lake</t>
  </si>
  <si>
    <t>Orange Lake - Orange Lake</t>
  </si>
  <si>
    <t>Orange Lake - Camps Canal River Styx</t>
  </si>
  <si>
    <t>Credit for Educational Activities as Percent</t>
  </si>
  <si>
    <t>Newnans Lake Stormwater Loading TP lbs/yr</t>
  </si>
  <si>
    <t>Newnans Lake TP Education Credit lbs/yr</t>
  </si>
  <si>
    <t>Newnans Lake Stormwater Loading TN lbs/yr</t>
  </si>
  <si>
    <t>Orange Lake Stormwater Loading TP lbs/yr</t>
  </si>
  <si>
    <t>Lake Newnans Lake TN Education Credit lbs/yr</t>
  </si>
  <si>
    <t>Orange Lake TP Education Credit lbs/yr</t>
  </si>
  <si>
    <t xml:space="preserve">Total Stormwater Loading and Education Credits </t>
  </si>
  <si>
    <t>Percent of Stormwater Loading lbs/yr  TP</t>
  </si>
  <si>
    <t>Percent of developed land use loading</t>
  </si>
  <si>
    <t xml:space="preserve">Septic systems </t>
  </si>
  <si>
    <t xml:space="preserve">Stormwater runoff undeveloped land use </t>
  </si>
  <si>
    <t xml:space="preserve">Stormwater runoff from developed uses </t>
  </si>
  <si>
    <t>Newnans Lake TP TMDL Baseline Loading</t>
  </si>
  <si>
    <t>Newnans Lake TN TMDL Baseline Loading</t>
  </si>
  <si>
    <t>NR</t>
  </si>
  <si>
    <t>Orange Lake TP TMDL Baseline loading</t>
  </si>
  <si>
    <t xml:space="preserve">Orange Lake Net TP Reductions </t>
  </si>
  <si>
    <t>Newnans Lake Net TP Reductions</t>
  </si>
  <si>
    <t>Newnans Lake Net TN Reductions</t>
  </si>
  <si>
    <t>Point Source</t>
  </si>
  <si>
    <t>percent of total stormwater loading</t>
  </si>
  <si>
    <t>Sources of total phosphorus and total nitrogen (loading in lbs/yr)</t>
  </si>
  <si>
    <t xml:space="preserve">     Open land and barren land</t>
  </si>
  <si>
    <t xml:space="preserve">     Industrial and Commercial</t>
  </si>
  <si>
    <t xml:space="preserve">     Mining</t>
  </si>
  <si>
    <t xml:space="preserve">     Medium density residential</t>
  </si>
  <si>
    <t xml:space="preserve">     High density residential</t>
  </si>
  <si>
    <t>Atmospheric Deposition</t>
  </si>
  <si>
    <t>Internal Loading</t>
  </si>
  <si>
    <t xml:space="preserve"> Stormwater runoff forest/forest regeneration Segment 16</t>
  </si>
  <si>
    <t xml:space="preserve"> Stormwater runoff undeveloped land use Segment 16</t>
  </si>
  <si>
    <t xml:space="preserve"> Stormwater runoff from developed uses Segment 16</t>
  </si>
  <si>
    <t xml:space="preserve"> Agriculture Lochloosa Lake</t>
  </si>
  <si>
    <t xml:space="preserve"> Stormwater runoff forest/forest regeneration Segment 17</t>
  </si>
  <si>
    <t xml:space="preserve"> Stormwater runoff undeveloped land use Segment 17</t>
  </si>
  <si>
    <t xml:space="preserve"> Stormwater runoff from developed uses Segment 17</t>
  </si>
  <si>
    <t xml:space="preserve"> Agriculture Segment 17</t>
  </si>
  <si>
    <t xml:space="preserve"> Stormwater runoff forest/forest regeneration Segment 18</t>
  </si>
  <si>
    <t xml:space="preserve"> Stormwater runoff undeveloped land use Segment 18</t>
  </si>
  <si>
    <t xml:space="preserve"> Stormwater runoff from developed uses Segment 18</t>
  </si>
  <si>
    <t xml:space="preserve"> Agriculture Segment 18</t>
  </si>
  <si>
    <t xml:space="preserve"> Stormwater runoff forest/forest regeneration Segment 19</t>
  </si>
  <si>
    <t xml:space="preserve"> Stormwater runoff undeveloped land use Segment 19</t>
  </si>
  <si>
    <t xml:space="preserve"> Stormwater runoff from developed uses Segment 19</t>
  </si>
  <si>
    <t xml:space="preserve"> Agriculture Segment 19</t>
  </si>
  <si>
    <t xml:space="preserve"> Stormwater runoff forest/forest regeneration Segment 20</t>
  </si>
  <si>
    <t xml:space="preserve"> Stormwater runoff undeveloped land use Segment 20</t>
  </si>
  <si>
    <t xml:space="preserve"> Stormwater runoff from developed uses Segment 20</t>
  </si>
  <si>
    <t xml:space="preserve"> Agriculture Segment 20</t>
  </si>
  <si>
    <t xml:space="preserve"> Stormwater runoff forest/forest regeneration Segment 21</t>
  </si>
  <si>
    <t xml:space="preserve"> Stormwater runoff undeveloped land use Segment 21</t>
  </si>
  <si>
    <t xml:space="preserve"> Stormwater runoff from developed uses Segment 21</t>
  </si>
  <si>
    <t xml:space="preserve"> Agriculture Segment 21</t>
  </si>
  <si>
    <t xml:space="preserve"> Stormwater runoff forest/forest regeneration Segment 22</t>
  </si>
  <si>
    <t xml:space="preserve"> Stormwater runoff undeveloped land use Segment 22</t>
  </si>
  <si>
    <t xml:space="preserve"> Stormwater runoff forest/forest regeneration Segment 23</t>
  </si>
  <si>
    <t xml:space="preserve"> Stormwater runoff undeveloped land use Segment 23</t>
  </si>
  <si>
    <t xml:space="preserve"> Stormwater runoff from developed uses Segment 23</t>
  </si>
  <si>
    <t xml:space="preserve"> Agriculture Segment 23</t>
  </si>
  <si>
    <t xml:space="preserve"> Stormwater runoff forest/forest regeneration Segment 24</t>
  </si>
  <si>
    <t xml:space="preserve"> Stormwater runoff undeveloped land use Segment 24</t>
  </si>
  <si>
    <t xml:space="preserve"> Stormwater runoff from developed uses Segment 24</t>
  </si>
  <si>
    <t xml:space="preserve"> Agriculture Segment 24</t>
  </si>
  <si>
    <t xml:space="preserve"> Stormwater runoff forest/forest regeneration Segment 25</t>
  </si>
  <si>
    <t xml:space="preserve"> Stormwater runoff undeveloped land use Segment 25</t>
  </si>
  <si>
    <t xml:space="preserve"> Stormwater runoff from developed uses Segment 25</t>
  </si>
  <si>
    <t xml:space="preserve"> Agriculture Segment 25</t>
  </si>
  <si>
    <t xml:space="preserve"> Stormwater runoff forest/forest regeneration Segment 26</t>
  </si>
  <si>
    <t xml:space="preserve"> Stormwater runoff undeveloped land use Segment 26</t>
  </si>
  <si>
    <t xml:space="preserve"> Stormwater runoff from developed uses Segment 26</t>
  </si>
  <si>
    <t xml:space="preserve"> Agriculture Segment 26</t>
  </si>
  <si>
    <t xml:space="preserve"> Stormwater runoff forest/forest regeneration Segment 27</t>
  </si>
  <si>
    <t xml:space="preserve"> Stormwater runoff undeveloped land use Segment 27</t>
  </si>
  <si>
    <t xml:space="preserve"> Stormwater runoff from developed uses Segment 27</t>
  </si>
  <si>
    <t xml:space="preserve"> Agriculture Segment 27</t>
  </si>
  <si>
    <t>TMDL Baseline loading adjusted for attenuation</t>
  </si>
  <si>
    <t>Loading Reduction lbs TP/yr</t>
  </si>
  <si>
    <t>Segment 16</t>
  </si>
  <si>
    <t>Segment 19</t>
  </si>
  <si>
    <t>Segment 20</t>
  </si>
  <si>
    <t>Segment 21</t>
  </si>
  <si>
    <t>Segment 22</t>
  </si>
  <si>
    <t>Segment 23</t>
  </si>
  <si>
    <t>Segment 26</t>
  </si>
  <si>
    <t>Segment 27</t>
  </si>
  <si>
    <t>Segment 24</t>
  </si>
  <si>
    <t>Segment 25</t>
  </si>
  <si>
    <t>Loading Reduction lbs TP/yr Developed land use</t>
  </si>
  <si>
    <t>% of loading</t>
  </si>
  <si>
    <t>Segment 16 loading Reduction lbs TP/yr</t>
  </si>
  <si>
    <t>Segment 16 Low density residential</t>
  </si>
  <si>
    <t>Segment 17 Low density residential</t>
  </si>
  <si>
    <t>Segment 17 Industrial and Commercial\</t>
  </si>
  <si>
    <t>%loading</t>
  </si>
  <si>
    <t xml:space="preserve">Segment 17 Industrial and Commercial Reduction </t>
  </si>
  <si>
    <t>Segment 17 low density residential loading Reduction</t>
  </si>
  <si>
    <t xml:space="preserve">Segment 17 Open Land </t>
  </si>
  <si>
    <t>% of Loading</t>
  </si>
  <si>
    <t>Segment 17 Open Land  Reduction</t>
  </si>
  <si>
    <t>Segment 18 Low density residential</t>
  </si>
  <si>
    <t>Segment 18 Low density residential reduction</t>
  </si>
  <si>
    <t>Segment 18 Industrial and Commercial</t>
  </si>
  <si>
    <t>% Loading</t>
  </si>
  <si>
    <t>Segment 18 Industrial and Commercial Reduction</t>
  </si>
  <si>
    <t>Segment 19 Low density residential</t>
  </si>
  <si>
    <t>Segment 19 Low density residential reduction</t>
  </si>
  <si>
    <t>Segment 19 Industrial and Commercial</t>
  </si>
  <si>
    <t>Segment 19 Industrial and Commercial Reduction</t>
  </si>
  <si>
    <t xml:space="preserve">Segment 19 Open Land </t>
  </si>
  <si>
    <t>Segment 19 Open Land  Reduction</t>
  </si>
  <si>
    <t>Segment 19 Medium Density Residential</t>
  </si>
  <si>
    <t>Segment 19 Medium Density Residential Reduction</t>
  </si>
  <si>
    <t>Segment 20 Low density residential</t>
  </si>
  <si>
    <t>Segment 20 Low density residential reduction</t>
  </si>
  <si>
    <t>Segment 20 Industrial and Commercial</t>
  </si>
  <si>
    <t>Segment 20 Industrial and Commercial Reduction</t>
  </si>
  <si>
    <t xml:space="preserve">Segment 20 Open Land </t>
  </si>
  <si>
    <t>Segment 20 Open Land  Reduction</t>
  </si>
  <si>
    <t>Segment 21 Low density residential</t>
  </si>
  <si>
    <t>Segment 21 Low density residential reduction</t>
  </si>
  <si>
    <t xml:space="preserve">Segment 21 Open Land </t>
  </si>
  <si>
    <t>Segment 21 Open Land  Reduction</t>
  </si>
  <si>
    <t>Segment 21 Mining</t>
  </si>
  <si>
    <t>Segment 21 Mining Reduction</t>
  </si>
  <si>
    <t>Segment 23 Low density residential</t>
  </si>
  <si>
    <t>Segment 23 Low density residential reduction</t>
  </si>
  <si>
    <t>Segment 23 Industrial and Commercial</t>
  </si>
  <si>
    <t>Segment 23 Industrial and Commercial Reduction</t>
  </si>
  <si>
    <t>Segment 23 Medium Density Residential</t>
  </si>
  <si>
    <t xml:space="preserve">Segment 23 Open Land </t>
  </si>
  <si>
    <t>Segment 23 Open Land  Reduction</t>
  </si>
  <si>
    <t>Segment 23 High Density Residential</t>
  </si>
  <si>
    <t>Segment 23 High Density Residential Reduction</t>
  </si>
  <si>
    <t>Segment 24 Low density residential</t>
  </si>
  <si>
    <t>Segment 24 Low density residential reduction</t>
  </si>
  <si>
    <t>Segment 25 Low density residential</t>
  </si>
  <si>
    <t>Segment 25 Low density residential reduction</t>
  </si>
  <si>
    <t>Segment 26 Low density residential</t>
  </si>
  <si>
    <t>Segment 26 Low density residential reduction</t>
  </si>
  <si>
    <t>Segment 27 Low density residential</t>
  </si>
  <si>
    <t>Segment 27 Low density residential reduction</t>
  </si>
  <si>
    <t>Segment 27 Industrial and Commercial</t>
  </si>
  <si>
    <t>Segment 27 Industrial and Commercial Reduction</t>
  </si>
  <si>
    <t>Segment 27 Medium Density Residential</t>
  </si>
  <si>
    <t xml:space="preserve">Segment 27 Open Land </t>
  </si>
  <si>
    <t>Segment 27 Open Land  Reduction</t>
  </si>
  <si>
    <t>Loading Reduction Summary lbs TP/yr</t>
  </si>
  <si>
    <t>Industrial and Commercial</t>
  </si>
  <si>
    <t xml:space="preserve">Open Land </t>
  </si>
  <si>
    <t>Mining</t>
  </si>
  <si>
    <t>Stormwater</t>
  </si>
  <si>
    <t>Segment 17</t>
  </si>
  <si>
    <t>Segment 18</t>
  </si>
  <si>
    <t>All numbers are DRAFT</t>
  </si>
  <si>
    <t>TMDL calculation</t>
  </si>
  <si>
    <t>table calculation</t>
  </si>
  <si>
    <t>Comparison of lbs TP/yr as calculated and as referenced in</t>
  </si>
  <si>
    <t>TMDL document</t>
  </si>
  <si>
    <t>Loading Reduction lbs TP/yr Developed land use Segment 16</t>
  </si>
  <si>
    <t>Loading Reduction lbs TP/yr Developed land use Segment 17</t>
  </si>
  <si>
    <t>Loading Reduction lbs TP/yr Developed land use Segment 18</t>
  </si>
  <si>
    <t>Loading Reduction lbs TP/yr Developed land use Segment 19</t>
  </si>
  <si>
    <t>DRAFT Lochloosa Lake TP Budget</t>
  </si>
  <si>
    <t>Loading Reduction lbs TP/yr Developed land use Segment 20</t>
  </si>
  <si>
    <t>Total for all Jurisdictions</t>
  </si>
  <si>
    <t>Open Land and Barren Land</t>
  </si>
  <si>
    <t>Developed Land Uses Stormwater Loading by Jurisdiction</t>
  </si>
  <si>
    <t>Industrial and Commercial Stormwater Loading lbs/yr TP</t>
  </si>
  <si>
    <t>Open Land and Barren Land Stormwater Loading lbs/yr TP</t>
  </si>
  <si>
    <t xml:space="preserve">   Mining Stormwater Loading lbs/yr TP</t>
  </si>
  <si>
    <t xml:space="preserve">Reductions and Credits by Jurisdiction for Lochloosa Lake </t>
  </si>
  <si>
    <t>Stormwater Loading lbs TP/yr Developed land use Segment 16</t>
  </si>
  <si>
    <t>Stormwater Loading lbs TP/yr Developed land use Segment 17</t>
  </si>
  <si>
    <t>Stormwater Loading lbs TP/yr Developed land use Segment 18</t>
  </si>
  <si>
    <t>Segment 21 Mining Loading</t>
  </si>
  <si>
    <t>Segment 21 Open Land Loading</t>
  </si>
  <si>
    <t>Segment 23 Open Land Loading</t>
  </si>
  <si>
    <t>Segment 27 Open Land Loading</t>
  </si>
  <si>
    <t>Segment 20 Open Land Loading</t>
  </si>
  <si>
    <t>Segment 19 Open Land Open Land Loading</t>
  </si>
  <si>
    <t>Segment 17 Open Land Loading</t>
  </si>
  <si>
    <t>Segment 16 Low Density Residential Loading lbs TP/yr</t>
  </si>
  <si>
    <t>Segment 17  Low Density Residential Loading lbs TP/yr</t>
  </si>
  <si>
    <t>Segment 18  Low Density Residential Loading lbs TP/yr</t>
  </si>
  <si>
    <t>Segment 19  Low Density Residential Loading lbs TP/yr</t>
  </si>
  <si>
    <t>Segment 20 Low Density Residential Loading lbs TP/yr</t>
  </si>
  <si>
    <t>Segment 21  Low Density Residential Loading lbs TP/yr</t>
  </si>
  <si>
    <t>Segment 23 Low Density Residential Loading lbs TP/yr</t>
  </si>
  <si>
    <t>Segment 24  Low Density Residential Loading lbs TP/yr</t>
  </si>
  <si>
    <t>Segment 25 Low Density Residential Loading lbs TP/yr</t>
  </si>
  <si>
    <t>Segment 26  Low Density Residential Loading lbs TP/yr</t>
  </si>
  <si>
    <t>Segment 27 Low Density Residential Loading lbs TP/yr</t>
  </si>
  <si>
    <t xml:space="preserve">Segment 17 Industrial and Commercial Loading </t>
  </si>
  <si>
    <t>Segment 18 Industrial and Commercial Loading</t>
  </si>
  <si>
    <t>Segment 19 Industrial and Commercial Loading</t>
  </si>
  <si>
    <t>Segment 19 Medium Density Residential Loading</t>
  </si>
  <si>
    <t>Segment 20 Industrial and Commercial Loading</t>
  </si>
  <si>
    <t>Segment 23 Industrial and Commercial Loading</t>
  </si>
  <si>
    <t>Segment 23 High Density Residential Loading</t>
  </si>
  <si>
    <t>Segment 23 Medium Density Residential Loading</t>
  </si>
  <si>
    <t>Segment 27 Medium Density Residential Loading</t>
  </si>
  <si>
    <t>Segment 27 Industrial and Commercial Loading</t>
  </si>
  <si>
    <t>Loading Reduction lbs TN/yr</t>
  </si>
  <si>
    <t>Loading Reduction lbs TN/yr Developed land use</t>
  </si>
  <si>
    <t>Segment 16 loading Reduction lbs TN/yr</t>
  </si>
  <si>
    <t>Loading Reduction Summary lbs TN/yr</t>
  </si>
  <si>
    <t>Open Land and Barren Land Stormwater Loading lbs/yr TN</t>
  </si>
  <si>
    <t xml:space="preserve">   Mining Stormwater Loading lbs/yr TN</t>
  </si>
  <si>
    <t>Education Credit lbs/yr TN</t>
  </si>
  <si>
    <t>Industrial and Commercial Stormwater Loading lbs/yr TN</t>
  </si>
  <si>
    <t>Loading Reduction Summary TP</t>
  </si>
  <si>
    <t>Low Density Residential Reduction lbs/yr TP</t>
  </si>
  <si>
    <t>Industrial and Commercial Reduction lbs /yr TP</t>
  </si>
  <si>
    <t>Medium Density Residential Reduction lbs /yr TP</t>
  </si>
  <si>
    <t>High Density Residential Reduction lbs /yr TP</t>
  </si>
  <si>
    <t>Mining Reduction lbs /yr TP</t>
  </si>
  <si>
    <t>Low Density Residential Reduction lbs /yr TN</t>
  </si>
  <si>
    <t>Loading Reduction Summary TN</t>
  </si>
  <si>
    <t>Industrial and Commercial Reduction lbs /yr TN</t>
  </si>
  <si>
    <t>Medium Density Residential Reduction lbs /yr TN</t>
  </si>
  <si>
    <t>High Density Residential Reduction lbs /yr TN</t>
  </si>
  <si>
    <t>Open Land and Barren Land Reduction lbs /yr TN</t>
  </si>
  <si>
    <t>Mining Reduction lbs /yr TN</t>
  </si>
  <si>
    <t>Total Reduction lbs /yr TN</t>
  </si>
  <si>
    <t>Lochloosa Lake data updated June 1, 2017</t>
  </si>
  <si>
    <t>Jurisdictional boundaries updated April 2017 based on GIS data from Alachua County Planning Dept.</t>
  </si>
  <si>
    <t>NR=no reduction</t>
  </si>
  <si>
    <t>Lochloosa Lake Net TN Reductions</t>
  </si>
  <si>
    <t>Lochloosa Lake TP TMDL Baseline Loading</t>
  </si>
  <si>
    <t>Lochloosa Lake Net TP Reductions</t>
  </si>
  <si>
    <t>Lochloosa Lake TN TMDL Baseline Loading</t>
  </si>
  <si>
    <t>Stormwater runoff forest not allocated</t>
  </si>
  <si>
    <t>Forest runoff not included</t>
  </si>
  <si>
    <t>Stormwater Loading</t>
  </si>
  <si>
    <t xml:space="preserve">Loading lbs TP/yr Developed Land Use </t>
  </si>
  <si>
    <t>Undeveloped Land</t>
  </si>
  <si>
    <t>Developed Land</t>
  </si>
  <si>
    <t>Forest/forest regeneration</t>
  </si>
  <si>
    <t>Developed Land Stormwater</t>
  </si>
  <si>
    <t>"- = not included in TMDL"</t>
  </si>
  <si>
    <t>Orange Lake Septic System TP Reduction lbs/yr</t>
  </si>
  <si>
    <t>Newnans Lake Septic System TP Reduction lbs/yr</t>
  </si>
  <si>
    <t>Lochloosa Lake Developed Land Use TP Reduction lbs/yr</t>
  </si>
  <si>
    <t>Total Developed Land Use TP Reduction lbs/yr</t>
  </si>
  <si>
    <t xml:space="preserve">Total TP Reduction lbs/yr </t>
  </si>
  <si>
    <t>Total Septic System TP Reduction lbs/yr</t>
  </si>
  <si>
    <t>Total Developed Land Use TN Reduction lbs/yr</t>
  </si>
  <si>
    <t>Total Septic System TN Reduction lbs/yr</t>
  </si>
  <si>
    <t>Elements of Alachua County education programs and ordinances apply within Waldo, Hawthorne, and Micanopy.</t>
  </si>
  <si>
    <t>Lochloosa Lake TP Education Credit lbs/yr</t>
  </si>
  <si>
    <t>Lochloosa Lake TN Education Credit lbs/yr</t>
  </si>
  <si>
    <t>Lochloosa Lake TP Stormwater Loading lbs/yr</t>
  </si>
  <si>
    <t>Lochloosa Lake TN Stormwater Loading lbs/yr</t>
  </si>
  <si>
    <t>Corrected acreage due to change in jurisdictional boundary.</t>
  </si>
  <si>
    <t>Updated from table OCB_allocate_jurisdiction</t>
  </si>
  <si>
    <t>Agriculture Reduction lbs /yr TP</t>
  </si>
  <si>
    <t>Total Developed Land Reduction lbs /yr TP</t>
  </si>
  <si>
    <t>Agriculture Reduction lbs / yr TN</t>
  </si>
  <si>
    <t>The Alachua County Fertilizer Code and Water Quality Code apply throughout the County, so every municipality should get credit for such.</t>
  </si>
  <si>
    <t> </t>
  </si>
  <si>
    <t>The Irrigation Restrictions (days of the week and timing) applies in Unincorporated Alachua County, Gainesville, Hawthorne, Alachua, and Archer.</t>
  </si>
  <si>
    <t>Assigned 3% FYN credit to Waldo, Hawthorne, Micanopy, McIntosh, and Reddick based on county program.</t>
  </si>
  <si>
    <t>Assigned Hawthorne 1% credit for additional county code application.</t>
  </si>
  <si>
    <t>Assigned 0.5% credit for Micanopy and Waldo based on county fertilizer ordinance.</t>
  </si>
  <si>
    <t>Agriculture Segment 16</t>
  </si>
  <si>
    <t xml:space="preserve">     Crops</t>
  </si>
  <si>
    <t xml:space="preserve">     Pasture</t>
  </si>
  <si>
    <t xml:space="preserve">     Tree Crops</t>
  </si>
  <si>
    <t xml:space="preserve">     Communication and Transportation</t>
  </si>
  <si>
    <t xml:space="preserve">   Tree Crops </t>
  </si>
  <si>
    <t xml:space="preserve">   Pasture </t>
  </si>
  <si>
    <t xml:space="preserve">    Crops</t>
  </si>
  <si>
    <t xml:space="preserve">    Tree Crops</t>
  </si>
  <si>
    <t xml:space="preserve">    Pasture</t>
  </si>
  <si>
    <t>Segment 17 Communication and Transportation\</t>
  </si>
  <si>
    <t>Total for Each Jurisdiction</t>
  </si>
  <si>
    <t xml:space="preserve">Segment 18 Communication and Transportation </t>
  </si>
  <si>
    <t>Segment 18 Communication and Transportation Reduction</t>
  </si>
  <si>
    <t>Segment 19 Communication and Transportation</t>
  </si>
  <si>
    <t>Segment 19   Communication and Transportation Reduction</t>
  </si>
  <si>
    <t>Segment 20 Communication and Transportation</t>
  </si>
  <si>
    <t>Segment 20 Communication and Transportation Reduction</t>
  </si>
  <si>
    <t>Segment 21 Communication and Transportation</t>
  </si>
  <si>
    <t>Segment 23 Communication and Transportation</t>
  </si>
  <si>
    <t>Segment 23 Communication and Transportation Reduction</t>
  </si>
  <si>
    <t>Segment 24 Communication and Transportation</t>
  </si>
  <si>
    <t>Segment 24 Communication and Transportation Reduction</t>
  </si>
  <si>
    <t>Segment 25 Communication and Transportation</t>
  </si>
  <si>
    <t>Segment 27 Communication and Transportation</t>
  </si>
  <si>
    <t>Segment 27 Communication and Transportation Reduction</t>
  </si>
  <si>
    <t>.</t>
  </si>
  <si>
    <t>Segment 17 Communication and Transportation</t>
  </si>
  <si>
    <t>Segment 18 Communication and Transportation</t>
  </si>
  <si>
    <t>Segment 18 Communication and Transportation Loading</t>
  </si>
  <si>
    <t>Segment 19 Communication and Transportation Loading</t>
  </si>
  <si>
    <t>Segment 20 Communication and Transportation Loading</t>
  </si>
  <si>
    <t>Segment 23 Communication and Transportation Loading</t>
  </si>
  <si>
    <t>Segment 24 Communication and Transportation Loading</t>
  </si>
  <si>
    <t>Segment 25 Communication and Transportation Loading</t>
  </si>
  <si>
    <t>Segment 27 Communication and Transportation Loading</t>
  </si>
  <si>
    <t>Communication and Transportation Loading lbs/yr TP</t>
  </si>
  <si>
    <t>Developed Land Stormwater Budget Table</t>
  </si>
  <si>
    <t>Segment 21 Communication and Transportation Reduction</t>
  </si>
  <si>
    <t>Segment 19 Communication and Transportation Reduction</t>
  </si>
  <si>
    <t>Segment 25 Communication and Transportation Reduction</t>
  </si>
  <si>
    <t>Communication and Transportaion lbs/yr TP</t>
  </si>
  <si>
    <t>Communication and Transportation lbs/yr/TP</t>
  </si>
  <si>
    <t>Segment 18 Communication and Transportation Loading lbs/yr TN</t>
  </si>
  <si>
    <t>Segment 17  Low Density Residential Loading lbs TN/yr</t>
  </si>
  <si>
    <t>Segment 16 Low Density Residential Loading lbs TN/yr</t>
  </si>
  <si>
    <t>Segment 18  Low Density Residential Loading lbs TN/yr</t>
  </si>
  <si>
    <t>Segment 19  Low Density Residential Loading lbs TN/yr</t>
  </si>
  <si>
    <t>Segment 19 Communication and Transportation Loading lbs/yr TN</t>
  </si>
  <si>
    <t>Segment 21 Communication and Transportation Loading</t>
  </si>
  <si>
    <t>Segment 25 Communication and Transporation</t>
  </si>
  <si>
    <t>Total Loading from undeveloped Land uses</t>
  </si>
  <si>
    <t>Total loading from developed land uses</t>
  </si>
  <si>
    <t>Total loading from crops</t>
  </si>
  <si>
    <t>Total loading from pasture</t>
  </si>
  <si>
    <t>TMDL baseline loading and % (lbs/yr)</t>
  </si>
  <si>
    <t>Sub-basin</t>
  </si>
  <si>
    <t>Open Land</t>
  </si>
  <si>
    <t>Remaining TP load</t>
  </si>
  <si>
    <t>Lochloosa Lake edited August 2018 to separate Communication and Transportation from Industrial and Commercial loadings.</t>
  </si>
  <si>
    <t>Adjustments made to acreage considered Transportation and Communication August 2018. Accounted for FDOT, District 2 open channels and added state roads not in 2014 landuse.</t>
  </si>
  <si>
    <t>Kg/yr</t>
  </si>
  <si>
    <t>TMDL Document totals</t>
  </si>
  <si>
    <t>Forest/Rural Open</t>
  </si>
  <si>
    <t>Total allocation</t>
  </si>
  <si>
    <t>all forest</t>
  </si>
  <si>
    <t>natural land</t>
  </si>
  <si>
    <t>Developed land</t>
  </si>
  <si>
    <t xml:space="preserve">septic </t>
  </si>
  <si>
    <t>seepage</t>
  </si>
  <si>
    <t>Total BaselineTN loading with forest (lbs/yr)</t>
  </si>
  <si>
    <t>TMDL Baseline TN Loading and % (lbs/yr)</t>
  </si>
  <si>
    <t>Open Land and Barren Land Reduction lbs /yr TP</t>
  </si>
  <si>
    <t>Net TMDL baseline loading and % (lbs/yr) without forest and point source</t>
  </si>
  <si>
    <t>TMDL Baseline Loading without Forest and Point Source</t>
  </si>
  <si>
    <t>Maximum credit</t>
  </si>
  <si>
    <t>maximum credit</t>
  </si>
  <si>
    <t>Newnans Lake Watershed</t>
  </si>
  <si>
    <t>Orange Lake Watershed</t>
  </si>
  <si>
    <t>Lochloosa Lake Watershed</t>
  </si>
  <si>
    <t>Lake Watershed</t>
  </si>
  <si>
    <t>Alachua County has a landscaping code, an irrigation design code, and a pet waste ordinance that applies solely within unincorporated Alachua County.</t>
  </si>
  <si>
    <t>Alachua County’s Land Use Development Regulations also encourage FFL. The FFL educational program is implemented countywide.</t>
  </si>
  <si>
    <t>Newnans Lake Watershed Totals</t>
  </si>
  <si>
    <t>Load kg/yr TN</t>
  </si>
  <si>
    <t>Urban Open and Rangeland</t>
  </si>
  <si>
    <t>Newnans Lake nutrient budget adjusted by removing point source March 2019.</t>
  </si>
  <si>
    <t>First Five Year 50% Developed Land Use Reduction lbs/yr TP</t>
  </si>
  <si>
    <t>Second Five Year 50% Developed Land Use Reduction lbs/yr TP</t>
  </si>
  <si>
    <t>Second Five Year 50% Developed Land Use Reduction lbs/yr TN</t>
  </si>
  <si>
    <t xml:space="preserve"> First Five Year Remaining Developed Land Use Reduction with a Target Date of 2023 in lbs/yr TP</t>
  </si>
  <si>
    <t>Remaining Developed Land Use Reduction with a Target Date of 2028 lbs TP/yr</t>
  </si>
  <si>
    <t>Total OSTDS Reduction with a Target Date of 2028 lbs/yr TP</t>
  </si>
  <si>
    <t>First Five Year 50% Developed Land Use Reduction lbs/yr TN</t>
  </si>
  <si>
    <t>Total Developed Land Use Reduction       lbs/yr TN</t>
  </si>
  <si>
    <t xml:space="preserve"> First Five Year Remaining Developed Land Use Reduction with a Target Date of 2023 in lbs/yr TN</t>
  </si>
  <si>
    <t>Total Developed Land Use Reduction       lbs/yr TP</t>
  </si>
  <si>
    <t>na=not applicable</t>
  </si>
  <si>
    <t>Total OSTDS Reduction with a Target Date of 2028 lbs/yr TN</t>
  </si>
  <si>
    <t>Remaining Developed Land Use Reduction with a Target Date of 2028 lbs/yr TN</t>
  </si>
  <si>
    <t>Project Credits  lbs/yr TN</t>
  </si>
  <si>
    <t>Remaining Total Reduction to be achieved with a Target Date of 2028 lbs/yr TN</t>
  </si>
  <si>
    <t>Remaining Total Reduction to be achieved with a Target Date of 2028 lbs/yr TP</t>
  </si>
  <si>
    <t>Project Credits  lbs/yr TP</t>
  </si>
  <si>
    <t>Remaining Total  Reduction to be Achieved with a Target Date of 2028 lbs/yr TP</t>
  </si>
  <si>
    <t>Total Reduction to be Achieved with a Target Date of 2028* lbs/yr TP</t>
  </si>
  <si>
    <t>Total Reduction to be Achieved with a Target Date of 2028* lbs/yr TN</t>
  </si>
  <si>
    <t>Project Credits lbs/yr 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</si>
</sst>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%"/>
    <numFmt numFmtId="165" formatCode="#,##0.0"/>
    <numFmt numFmtId="166" formatCode="0.0"/>
    <numFmt numFmtId="167" formatCode="0.0000"/>
    <numFmt numFmtId="168" formatCode="0.00000"/>
    <numFmt numFmtId="169" formatCode="#,##0;[Red]#,##0"/>
    <numFmt numFmtId="170" formatCode="#,##0.0_);\(#,##0.0\)"/>
    <numFmt numFmtId="171" formatCode="0.000"/>
    <numFmt numFmtId="172" formatCode="0.000%"/>
    <numFmt numFmtId="173" formatCode="#,##0.000"/>
    <numFmt numFmtId="174" formatCode="0.0000000000"/>
  </numFmts>
  <fonts count="22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rgb="FF7030A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rgb="FF993366"/>
      <name val="Arial"/>
      <family val="2"/>
    </font>
    <font>
      <i/>
      <sz val="10"/>
      <color rgb="FF993366"/>
      <name val="Arial"/>
      <family val="2"/>
    </font>
    <font>
      <sz val="10"/>
      <color theme="1"/>
      <name val="Arial"/>
      <family val="2"/>
    </font>
    <font>
      <b/>
      <sz val="10"/>
      <color rgb="FF7030A0"/>
      <name val="Arial"/>
      <family val="2"/>
    </font>
    <font>
      <i/>
      <sz val="10"/>
      <color rgb="FF7030A0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rgb="FFFF0000"/>
      <name val="Arial"/>
      <family val="2"/>
    </font>
    <font>
      <sz val="11"/>
      <color rgb="FF1F497D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5">
    <xf numFmtId="0" fontId="0" fillId="0" borderId="0" xfId="0"/>
    <xf numFmtId="0" fontId="0" fillId="0" borderId="1" xfId="0" applyBorder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164" fontId="0" fillId="3" borderId="9" xfId="0" applyNumberFormat="1" applyFill="1" applyBorder="1"/>
    <xf numFmtId="3" fontId="0" fillId="0" borderId="9" xfId="0" applyNumberFormat="1" applyFill="1" applyBorder="1"/>
    <xf numFmtId="3" fontId="0" fillId="3" borderId="5" xfId="0" applyNumberFormat="1" applyFill="1" applyBorder="1"/>
    <xf numFmtId="0" fontId="0" fillId="0" borderId="9" xfId="0" applyFill="1" applyBorder="1"/>
    <xf numFmtId="0" fontId="0" fillId="3" borderId="5" xfId="0" applyFill="1" applyBorder="1"/>
    <xf numFmtId="3" fontId="0" fillId="3" borderId="9" xfId="0" applyNumberFormat="1" applyFill="1" applyBorder="1"/>
    <xf numFmtId="3" fontId="0" fillId="2" borderId="9" xfId="0" applyNumberFormat="1" applyFill="1" applyBorder="1"/>
    <xf numFmtId="164" fontId="0" fillId="2" borderId="9" xfId="0" applyNumberFormat="1" applyFill="1" applyBorder="1"/>
    <xf numFmtId="0" fontId="0" fillId="2" borderId="9" xfId="0" applyFill="1" applyBorder="1"/>
    <xf numFmtId="164" fontId="0" fillId="3" borderId="10" xfId="0" applyNumberFormat="1" applyFill="1" applyBorder="1"/>
    <xf numFmtId="0" fontId="0" fillId="0" borderId="10" xfId="0" applyFill="1" applyBorder="1"/>
    <xf numFmtId="0" fontId="0" fillId="3" borderId="10" xfId="0" applyFill="1" applyBorder="1"/>
    <xf numFmtId="0" fontId="0" fillId="3" borderId="7" xfId="0" applyFill="1" applyBorder="1"/>
    <xf numFmtId="3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" fontId="0" fillId="0" borderId="0" xfId="0" applyNumberFormat="1"/>
    <xf numFmtId="3" fontId="1" fillId="3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3" fontId="0" fillId="4" borderId="9" xfId="0" applyNumberFormat="1" applyFill="1" applyBorder="1"/>
    <xf numFmtId="0" fontId="3" fillId="0" borderId="4" xfId="0" applyFont="1" applyFill="1" applyBorder="1"/>
    <xf numFmtId="0" fontId="0" fillId="0" borderId="4" xfId="0" applyBorder="1"/>
    <xf numFmtId="3" fontId="2" fillId="3" borderId="9" xfId="0" applyNumberFormat="1" applyFont="1" applyFill="1" applyBorder="1" applyAlignment="1">
      <alignment horizontal="right" vertical="top" wrapText="1"/>
    </xf>
    <xf numFmtId="0" fontId="1" fillId="0" borderId="4" xfId="0" applyFont="1" applyBorder="1"/>
    <xf numFmtId="165" fontId="0" fillId="3" borderId="9" xfId="0" applyNumberFormat="1" applyFill="1" applyBorder="1"/>
    <xf numFmtId="0" fontId="3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3" fontId="0" fillId="2" borderId="5" xfId="0" applyNumberFormat="1" applyFill="1" applyBorder="1"/>
    <xf numFmtId="0" fontId="0" fillId="0" borderId="4" xfId="0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3" fontId="0" fillId="0" borderId="10" xfId="0" applyNumberFormat="1" applyFill="1" applyBorder="1"/>
    <xf numFmtId="3" fontId="0" fillId="3" borderId="10" xfId="0" applyNumberFormat="1" applyFill="1" applyBorder="1"/>
    <xf numFmtId="0" fontId="0" fillId="0" borderId="14" xfId="0" applyBorder="1"/>
    <xf numFmtId="0" fontId="4" fillId="0" borderId="4" xfId="0" applyFont="1" applyFill="1" applyBorder="1"/>
    <xf numFmtId="0" fontId="1" fillId="3" borderId="20" xfId="0" applyFont="1" applyFill="1" applyBorder="1" applyAlignment="1">
      <alignment horizontal="center" vertical="center" wrapText="1"/>
    </xf>
    <xf numFmtId="0" fontId="0" fillId="3" borderId="20" xfId="0" applyFill="1" applyBorder="1"/>
    <xf numFmtId="3" fontId="0" fillId="3" borderId="20" xfId="0" applyNumberFormat="1" applyFill="1" applyBorder="1"/>
    <xf numFmtId="3" fontId="0" fillId="2" borderId="20" xfId="0" applyNumberFormat="1" applyFill="1" applyBorder="1"/>
    <xf numFmtId="0" fontId="0" fillId="0" borderId="14" xfId="0" applyBorder="1" applyAlignment="1">
      <alignment horizontal="center" vertical="center" wrapText="1"/>
    </xf>
    <xf numFmtId="3" fontId="1" fillId="3" borderId="15" xfId="0" applyNumberFormat="1" applyFont="1" applyFill="1" applyBorder="1" applyAlignment="1">
      <alignment horizontal="center" vertical="center" wrapText="1"/>
    </xf>
    <xf numFmtId="3" fontId="1" fillId="4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3" fontId="0" fillId="0" borderId="5" xfId="0" applyNumberFormat="1" applyFill="1" applyBorder="1"/>
    <xf numFmtId="0" fontId="0" fillId="0" borderId="5" xfId="0" applyFill="1" applyBorder="1"/>
    <xf numFmtId="0" fontId="0" fillId="2" borderId="6" xfId="0" applyFill="1" applyBorder="1" applyAlignment="1">
      <alignment horizontal="center"/>
    </xf>
    <xf numFmtId="3" fontId="0" fillId="2" borderId="10" xfId="0" applyNumberFormat="1" applyFill="1" applyBorder="1"/>
    <xf numFmtId="164" fontId="0" fillId="2" borderId="10" xfId="0" applyNumberFormat="1" applyFill="1" applyBorder="1"/>
    <xf numFmtId="3" fontId="0" fillId="2" borderId="7" xfId="0" applyNumberFormat="1" applyFill="1" applyBorder="1"/>
    <xf numFmtId="3" fontId="1" fillId="3" borderId="9" xfId="0" applyNumberFormat="1" applyFont="1" applyFill="1" applyBorder="1" applyAlignment="1">
      <alignment horizontal="center" vertical="center" wrapText="1"/>
    </xf>
    <xf numFmtId="3" fontId="1" fillId="6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0" fontId="0" fillId="6" borderId="9" xfId="0" applyNumberFormat="1" applyFill="1" applyBorder="1"/>
    <xf numFmtId="3" fontId="0" fillId="6" borderId="9" xfId="0" applyNumberFormat="1" applyFill="1" applyBorder="1"/>
    <xf numFmtId="0" fontId="3" fillId="2" borderId="4" xfId="0" applyFont="1" applyFill="1" applyBorder="1" applyAlignment="1">
      <alignment horizontal="center"/>
    </xf>
    <xf numFmtId="3" fontId="0" fillId="6" borderId="10" xfId="0" applyNumberFormat="1" applyFill="1" applyBorder="1"/>
    <xf numFmtId="0" fontId="1" fillId="0" borderId="0" xfId="0" applyFont="1"/>
    <xf numFmtId="166" fontId="0" fillId="0" borderId="0" xfId="0" applyNumberFormat="1"/>
    <xf numFmtId="0" fontId="0" fillId="0" borderId="9" xfId="0" applyBorder="1"/>
    <xf numFmtId="0" fontId="1" fillId="4" borderId="14" xfId="0" applyFont="1" applyFill="1" applyBorder="1" applyAlignment="1">
      <alignment vertical="center"/>
    </xf>
    <xf numFmtId="2" fontId="1" fillId="4" borderId="15" xfId="0" applyNumberFormat="1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166" fontId="0" fillId="0" borderId="9" xfId="0" applyNumberFormat="1" applyBorder="1" applyAlignment="1">
      <alignment vertical="center"/>
    </xf>
    <xf numFmtId="167" fontId="0" fillId="0" borderId="9" xfId="0" applyNumberFormat="1" applyBorder="1" applyAlignment="1">
      <alignment vertical="center"/>
    </xf>
    <xf numFmtId="0" fontId="0" fillId="7" borderId="6" xfId="0" applyFill="1" applyBorder="1"/>
    <xf numFmtId="2" fontId="0" fillId="0" borderId="0" xfId="0" applyNumberFormat="1"/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/>
    <xf numFmtId="0" fontId="0" fillId="8" borderId="9" xfId="0" applyFill="1" applyBorder="1"/>
    <xf numFmtId="0" fontId="1" fillId="9" borderId="4" xfId="0" applyFont="1" applyFill="1" applyBorder="1"/>
    <xf numFmtId="0" fontId="0" fillId="9" borderId="4" xfId="0" applyFill="1" applyBorder="1"/>
    <xf numFmtId="0" fontId="3" fillId="9" borderId="23" xfId="0" applyFont="1" applyFill="1" applyBorder="1"/>
    <xf numFmtId="0" fontId="1" fillId="4" borderId="4" xfId="0" applyFont="1" applyFill="1" applyBorder="1"/>
    <xf numFmtId="0" fontId="0" fillId="4" borderId="4" xfId="0" applyFill="1" applyBorder="1"/>
    <xf numFmtId="0" fontId="3" fillId="4" borderId="0" xfId="0" applyFont="1" applyFill="1" applyBorder="1"/>
    <xf numFmtId="0" fontId="3" fillId="4" borderId="23" xfId="0" applyFont="1" applyFill="1" applyBorder="1"/>
    <xf numFmtId="0" fontId="3" fillId="9" borderId="9" xfId="0" applyFont="1" applyFill="1" applyBorder="1"/>
    <xf numFmtId="0" fontId="1" fillId="9" borderId="9" xfId="0" applyFont="1" applyFill="1" applyBorder="1"/>
    <xf numFmtId="0" fontId="3" fillId="4" borderId="9" xfId="0" applyFont="1" applyFill="1" applyBorder="1"/>
    <xf numFmtId="3" fontId="2" fillId="8" borderId="9" xfId="0" applyNumberFormat="1" applyFont="1" applyFill="1" applyBorder="1" applyAlignment="1">
      <alignment horizontal="right" vertical="top" wrapText="1"/>
    </xf>
    <xf numFmtId="1" fontId="0" fillId="8" borderId="9" xfId="0" applyNumberFormat="1" applyFill="1" applyBorder="1"/>
    <xf numFmtId="3" fontId="0" fillId="8" borderId="9" xfId="0" applyNumberFormat="1" applyFill="1" applyBorder="1"/>
    <xf numFmtId="0" fontId="1" fillId="0" borderId="21" xfId="0" applyFont="1" applyBorder="1"/>
    <xf numFmtId="3" fontId="0" fillId="8" borderId="22" xfId="0" applyNumberFormat="1" applyFill="1" applyBorder="1"/>
    <xf numFmtId="3" fontId="3" fillId="0" borderId="22" xfId="0" applyNumberFormat="1" applyFont="1" applyFill="1" applyBorder="1"/>
    <xf numFmtId="3" fontId="0" fillId="0" borderId="22" xfId="0" applyNumberFormat="1" applyFill="1" applyBorder="1"/>
    <xf numFmtId="165" fontId="0" fillId="3" borderId="22" xfId="0" applyNumberFormat="1" applyFill="1" applyBorder="1"/>
    <xf numFmtId="3" fontId="0" fillId="3" borderId="24" xfId="0" applyNumberFormat="1" applyFill="1" applyBorder="1"/>
    <xf numFmtId="3" fontId="0" fillId="8" borderId="8" xfId="0" applyNumberFormat="1" applyFill="1" applyBorder="1"/>
    <xf numFmtId="3" fontId="0" fillId="0" borderId="8" xfId="0" applyNumberFormat="1" applyFill="1" applyBorder="1"/>
    <xf numFmtId="164" fontId="0" fillId="3" borderId="8" xfId="0" applyNumberFormat="1" applyFill="1" applyBorder="1"/>
    <xf numFmtId="165" fontId="0" fillId="3" borderId="8" xfId="0" applyNumberFormat="1" applyFill="1" applyBorder="1"/>
    <xf numFmtId="3" fontId="0" fillId="3" borderId="3" xfId="0" applyNumberFormat="1" applyFill="1" applyBorder="1"/>
    <xf numFmtId="0" fontId="0" fillId="0" borderId="0" xfId="0" applyFill="1" applyBorder="1"/>
    <xf numFmtId="166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Fill="1"/>
    <xf numFmtId="2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1" fillId="4" borderId="4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6" fontId="0" fillId="7" borderId="10" xfId="0" applyNumberFormat="1" applyFill="1" applyBorder="1" applyAlignment="1">
      <alignment horizontal="center"/>
    </xf>
    <xf numFmtId="164" fontId="0" fillId="7" borderId="10" xfId="0" applyNumberFormat="1" applyFill="1" applyBorder="1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3" fillId="0" borderId="9" xfId="0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7" borderId="7" xfId="0" applyNumberFormat="1" applyFill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1" fillId="4" borderId="9" xfId="0" applyNumberFormat="1" applyFont="1" applyFill="1" applyBorder="1" applyAlignment="1">
      <alignment horizontal="center" vertical="center" wrapText="1"/>
    </xf>
    <xf numFmtId="3" fontId="0" fillId="7" borderId="7" xfId="0" applyNumberFormat="1" applyFill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7" borderId="10" xfId="0" applyNumberForma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164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9" xfId="0" applyNumberFormat="1" applyFill="1" applyBorder="1"/>
    <xf numFmtId="0" fontId="0" fillId="0" borderId="0" xfId="0" applyBorder="1"/>
    <xf numFmtId="3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9" xfId="0" applyFont="1" applyFill="1" applyBorder="1"/>
    <xf numFmtId="166" fontId="0" fillId="0" borderId="9" xfId="0" applyNumberFormat="1" applyBorder="1"/>
    <xf numFmtId="167" fontId="0" fillId="0" borderId="9" xfId="0" applyNumberFormat="1" applyBorder="1"/>
    <xf numFmtId="164" fontId="0" fillId="0" borderId="9" xfId="0" applyNumberFormat="1" applyBorder="1"/>
    <xf numFmtId="0" fontId="1" fillId="0" borderId="4" xfId="0" applyFont="1" applyBorder="1" applyAlignment="1">
      <alignment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2" fontId="0" fillId="0" borderId="9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0" fontId="3" fillId="0" borderId="9" xfId="0" applyFont="1" applyBorder="1"/>
    <xf numFmtId="0" fontId="0" fillId="4" borderId="0" xfId="0" applyFill="1"/>
    <xf numFmtId="2" fontId="0" fillId="4" borderId="0" xfId="0" applyNumberFormat="1" applyFill="1"/>
    <xf numFmtId="0" fontId="1" fillId="4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Fill="1" applyBorder="1"/>
    <xf numFmtId="3" fontId="0" fillId="3" borderId="30" xfId="0" applyNumberFormat="1" applyFill="1" applyBorder="1"/>
    <xf numFmtId="3" fontId="0" fillId="3" borderId="8" xfId="0" applyNumberFormat="1" applyFill="1" applyBorder="1"/>
    <xf numFmtId="3" fontId="0" fillId="0" borderId="3" xfId="0" applyNumberFormat="1" applyFill="1" applyBorder="1"/>
    <xf numFmtId="3" fontId="0" fillId="3" borderId="31" xfId="0" applyNumberFormat="1" applyFill="1" applyBorder="1"/>
    <xf numFmtId="0" fontId="3" fillId="0" borderId="32" xfId="0" applyFont="1" applyBorder="1"/>
    <xf numFmtId="0" fontId="3" fillId="0" borderId="0" xfId="0" applyFont="1" applyBorder="1"/>
    <xf numFmtId="3" fontId="0" fillId="0" borderId="0" xfId="0" applyNumberFormat="1" applyBorder="1"/>
    <xf numFmtId="0" fontId="1" fillId="4" borderId="9" xfId="0" applyFont="1" applyFill="1" applyBorder="1" applyAlignment="1">
      <alignment vertical="center" wrapText="1"/>
    </xf>
    <xf numFmtId="0" fontId="8" fillId="0" borderId="0" xfId="0" applyFont="1"/>
    <xf numFmtId="2" fontId="0" fillId="0" borderId="0" xfId="0" applyNumberFormat="1" applyAlignment="1">
      <alignment vertical="top"/>
    </xf>
    <xf numFmtId="168" fontId="1" fillId="4" borderId="9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center"/>
    </xf>
    <xf numFmtId="0" fontId="9" fillId="0" borderId="34" xfId="0" applyFont="1" applyBorder="1" applyAlignment="1">
      <alignment horizontal="left" vertical="top" wrapText="1"/>
    </xf>
    <xf numFmtId="3" fontId="9" fillId="3" borderId="35" xfId="0" applyNumberFormat="1" applyFont="1" applyFill="1" applyBorder="1" applyAlignment="1">
      <alignment horizontal="right" vertical="center" wrapText="1"/>
    </xf>
    <xf numFmtId="3" fontId="9" fillId="3" borderId="9" xfId="0" applyNumberFormat="1" applyFont="1" applyFill="1" applyBorder="1" applyAlignment="1">
      <alignment horizontal="right" vertical="top" wrapText="1"/>
    </xf>
    <xf numFmtId="3" fontId="1" fillId="4" borderId="39" xfId="0" applyNumberFormat="1" applyFont="1" applyFill="1" applyBorder="1" applyAlignment="1">
      <alignment horizontal="center" vertical="center" wrapText="1"/>
    </xf>
    <xf numFmtId="164" fontId="0" fillId="4" borderId="37" xfId="0" applyNumberFormat="1" applyFill="1" applyBorder="1"/>
    <xf numFmtId="3" fontId="0" fillId="4" borderId="37" xfId="0" applyNumberFormat="1" applyFill="1" applyBorder="1"/>
    <xf numFmtId="0" fontId="0" fillId="4" borderId="38" xfId="0" applyFill="1" applyBorder="1"/>
    <xf numFmtId="3" fontId="1" fillId="8" borderId="40" xfId="0" applyNumberFormat="1" applyFont="1" applyFill="1" applyBorder="1" applyAlignment="1">
      <alignment horizontal="center" vertical="center" wrapText="1"/>
    </xf>
    <xf numFmtId="3" fontId="4" fillId="8" borderId="41" xfId="0" applyNumberFormat="1" applyFont="1" applyFill="1" applyBorder="1"/>
    <xf numFmtId="3" fontId="0" fillId="8" borderId="41" xfId="0" applyNumberFormat="1" applyFill="1" applyBorder="1"/>
    <xf numFmtId="3" fontId="0" fillId="8" borderId="42" xfId="0" applyNumberFormat="1" applyFill="1" applyBorder="1"/>
    <xf numFmtId="3" fontId="3" fillId="0" borderId="9" xfId="0" applyNumberFormat="1" applyFont="1" applyFill="1" applyBorder="1"/>
    <xf numFmtId="165" fontId="3" fillId="3" borderId="9" xfId="0" applyNumberFormat="1" applyFont="1" applyFill="1" applyBorder="1"/>
    <xf numFmtId="166" fontId="3" fillId="7" borderId="10" xfId="0" applyNumberFormat="1" applyFont="1" applyFill="1" applyBorder="1" applyAlignment="1">
      <alignment horizontal="center"/>
    </xf>
    <xf numFmtId="3" fontId="0" fillId="0" borderId="5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4" fontId="0" fillId="7" borderId="9" xfId="0" applyNumberFormat="1" applyFill="1" applyBorder="1"/>
    <xf numFmtId="2" fontId="0" fillId="7" borderId="9" xfId="0" applyNumberFormat="1" applyFill="1" applyBorder="1"/>
    <xf numFmtId="165" fontId="0" fillId="7" borderId="9" xfId="0" applyNumberFormat="1" applyFill="1" applyBorder="1"/>
    <xf numFmtId="2" fontId="0" fillId="0" borderId="9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2" fontId="0" fillId="7" borderId="10" xfId="0" applyNumberFormat="1" applyFill="1" applyBorder="1"/>
    <xf numFmtId="164" fontId="0" fillId="7" borderId="10" xfId="0" applyNumberFormat="1" applyFill="1" applyBorder="1"/>
    <xf numFmtId="0" fontId="0" fillId="7" borderId="10" xfId="0" applyFill="1" applyBorder="1"/>
    <xf numFmtId="3" fontId="3" fillId="3" borderId="9" xfId="0" applyNumberFormat="1" applyFont="1" applyFill="1" applyBorder="1"/>
    <xf numFmtId="3" fontId="1" fillId="3" borderId="9" xfId="0" applyNumberFormat="1" applyFont="1" applyFill="1" applyBorder="1"/>
    <xf numFmtId="3" fontId="1" fillId="8" borderId="41" xfId="0" applyNumberFormat="1" applyFont="1" applyFill="1" applyBorder="1"/>
    <xf numFmtId="3" fontId="1" fillId="0" borderId="9" xfId="0" applyNumberFormat="1" applyFont="1" applyFill="1" applyBorder="1"/>
    <xf numFmtId="164" fontId="1" fillId="3" borderId="9" xfId="0" applyNumberFormat="1" applyFont="1" applyFill="1" applyBorder="1"/>
    <xf numFmtId="164" fontId="1" fillId="4" borderId="37" xfId="0" applyNumberFormat="1" applyFont="1" applyFill="1" applyBorder="1"/>
    <xf numFmtId="165" fontId="1" fillId="3" borderId="9" xfId="0" applyNumberFormat="1" applyFont="1" applyFill="1" applyBorder="1"/>
    <xf numFmtId="3" fontId="10" fillId="3" borderId="9" xfId="0" applyNumberFormat="1" applyFont="1" applyFill="1" applyBorder="1" applyAlignment="1">
      <alignment horizontal="right" vertical="top" wrapText="1"/>
    </xf>
    <xf numFmtId="3" fontId="1" fillId="3" borderId="5" xfId="0" applyNumberFormat="1" applyFont="1" applyFill="1" applyBorder="1"/>
    <xf numFmtId="0" fontId="1" fillId="0" borderId="9" xfId="0" applyFont="1" applyFill="1" applyBorder="1"/>
    <xf numFmtId="3" fontId="12" fillId="0" borderId="9" xfId="0" applyNumberFormat="1" applyFont="1" applyFill="1" applyBorder="1"/>
    <xf numFmtId="165" fontId="11" fillId="3" borderId="9" xfId="0" applyNumberFormat="1" applyFont="1" applyFill="1" applyBorder="1"/>
    <xf numFmtId="0" fontId="3" fillId="4" borderId="4" xfId="0" applyFont="1" applyFill="1" applyBorder="1"/>
    <xf numFmtId="0" fontId="3" fillId="9" borderId="4" xfId="0" applyFont="1" applyFill="1" applyBorder="1"/>
    <xf numFmtId="0" fontId="9" fillId="4" borderId="34" xfId="0" applyFont="1" applyFill="1" applyBorder="1" applyAlignment="1">
      <alignment horizontal="left" vertical="top" wrapText="1"/>
    </xf>
    <xf numFmtId="0" fontId="9" fillId="9" borderId="34" xfId="0" applyFont="1" applyFill="1" applyBorder="1" applyAlignment="1">
      <alignment horizontal="left" vertical="top" wrapText="1"/>
    </xf>
    <xf numFmtId="3" fontId="11" fillId="8" borderId="9" xfId="0" applyNumberFormat="1" applyFont="1" applyFill="1" applyBorder="1" applyAlignment="1">
      <alignment horizontal="right" vertical="top" wrapText="1"/>
    </xf>
    <xf numFmtId="3" fontId="11" fillId="0" borderId="9" xfId="0" applyNumberFormat="1" applyFont="1" applyFill="1" applyBorder="1"/>
    <xf numFmtId="164" fontId="11" fillId="3" borderId="9" xfId="0" applyNumberFormat="1" applyFont="1" applyFill="1" applyBorder="1"/>
    <xf numFmtId="3" fontId="11" fillId="8" borderId="9" xfId="0" applyNumberFormat="1" applyFont="1" applyFill="1" applyBorder="1"/>
    <xf numFmtId="3" fontId="1" fillId="0" borderId="5" xfId="0" applyNumberFormat="1" applyFont="1" applyFill="1" applyBorder="1"/>
    <xf numFmtId="3" fontId="8" fillId="3" borderId="9" xfId="0" applyNumberFormat="1" applyFont="1" applyFill="1" applyBorder="1"/>
    <xf numFmtId="1" fontId="1" fillId="8" borderId="0" xfId="0" applyNumberFormat="1" applyFont="1" applyFill="1"/>
    <xf numFmtId="0" fontId="1" fillId="0" borderId="9" xfId="0" applyFont="1" applyBorder="1"/>
    <xf numFmtId="0" fontId="1" fillId="8" borderId="9" xfId="0" applyFont="1" applyFill="1" applyBorder="1"/>
    <xf numFmtId="3" fontId="8" fillId="3" borderId="9" xfId="0" applyNumberFormat="1" applyFont="1" applyFill="1" applyBorder="1" applyAlignment="1">
      <alignment horizontal="right" vertical="top" wrapText="1"/>
    </xf>
    <xf numFmtId="3" fontId="10" fillId="3" borderId="22" xfId="0" applyNumberFormat="1" applyFont="1" applyFill="1" applyBorder="1" applyAlignment="1">
      <alignment horizontal="right" vertical="top" wrapText="1"/>
    </xf>
    <xf numFmtId="0" fontId="1" fillId="0" borderId="22" xfId="0" applyFont="1" applyFill="1" applyBorder="1"/>
    <xf numFmtId="3" fontId="1" fillId="0" borderId="22" xfId="0" applyNumberFormat="1" applyFont="1" applyFill="1" applyBorder="1"/>
    <xf numFmtId="165" fontId="1" fillId="3" borderId="22" xfId="0" applyNumberFormat="1" applyFont="1" applyFill="1" applyBorder="1"/>
    <xf numFmtId="3" fontId="1" fillId="0" borderId="24" xfId="0" applyNumberFormat="1" applyFont="1" applyFill="1" applyBorder="1"/>
    <xf numFmtId="0" fontId="3" fillId="0" borderId="9" xfId="0" applyFon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1" fontId="3" fillId="0" borderId="9" xfId="0" applyNumberFormat="1" applyFont="1" applyBorder="1" applyAlignment="1">
      <alignment horizontal="center" vertical="center"/>
    </xf>
    <xf numFmtId="1" fontId="0" fillId="7" borderId="9" xfId="0" applyNumberFormat="1" applyFill="1" applyBorder="1" applyAlignment="1">
      <alignment horizontal="center"/>
    </xf>
    <xf numFmtId="1" fontId="0" fillId="7" borderId="9" xfId="0" applyNumberForma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3" fontId="1" fillId="8" borderId="9" xfId="0" applyNumberFormat="1" applyFont="1" applyFill="1" applyBorder="1"/>
    <xf numFmtId="0" fontId="3" fillId="4" borderId="43" xfId="0" applyFont="1" applyFill="1" applyBorder="1"/>
    <xf numFmtId="0" fontId="1" fillId="4" borderId="43" xfId="0" applyFont="1" applyFill="1" applyBorder="1"/>
    <xf numFmtId="0" fontId="0" fillId="0" borderId="44" xfId="0" applyBorder="1"/>
    <xf numFmtId="0" fontId="0" fillId="7" borderId="10" xfId="0" applyFill="1" applyBorder="1" applyAlignment="1">
      <alignment horizontal="center" vertical="center"/>
    </xf>
    <xf numFmtId="164" fontId="0" fillId="7" borderId="10" xfId="0" applyNumberFormat="1" applyFill="1" applyBorder="1" applyAlignment="1">
      <alignment horizontal="center" vertical="center"/>
    </xf>
    <xf numFmtId="166" fontId="0" fillId="7" borderId="10" xfId="0" applyNumberFormat="1" applyFill="1" applyBorder="1" applyAlignment="1">
      <alignment horizontal="center" vertical="center"/>
    </xf>
    <xf numFmtId="169" fontId="0" fillId="7" borderId="7" xfId="0" applyNumberForma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/>
    </xf>
    <xf numFmtId="1" fontId="0" fillId="7" borderId="10" xfId="0" applyNumberFormat="1" applyFill="1" applyBorder="1" applyAlignment="1">
      <alignment horizontal="center"/>
    </xf>
    <xf numFmtId="10" fontId="0" fillId="7" borderId="10" xfId="0" applyNumberFormat="1" applyFill="1" applyBorder="1" applyAlignment="1">
      <alignment horizontal="center" vertical="center"/>
    </xf>
    <xf numFmtId="0" fontId="14" fillId="0" borderId="2" xfId="0" applyFont="1" applyFill="1" applyBorder="1"/>
    <xf numFmtId="0" fontId="15" fillId="0" borderId="4" xfId="0" applyFont="1" applyBorder="1"/>
    <xf numFmtId="0" fontId="15" fillId="0" borderId="23" xfId="0" applyFont="1" applyBorder="1"/>
    <xf numFmtId="3" fontId="13" fillId="3" borderId="9" xfId="0" applyNumberFormat="1" applyFont="1" applyFill="1" applyBorder="1" applyAlignment="1">
      <alignment horizontal="right" vertical="top" wrapText="1"/>
    </xf>
    <xf numFmtId="3" fontId="13" fillId="8" borderId="41" xfId="0" applyNumberFormat="1" applyFont="1" applyFill="1" applyBorder="1"/>
    <xf numFmtId="3" fontId="13" fillId="3" borderId="9" xfId="0" applyNumberFormat="1" applyFont="1" applyFill="1" applyBorder="1"/>
    <xf numFmtId="3" fontId="13" fillId="0" borderId="9" xfId="0" applyNumberFormat="1" applyFont="1" applyFill="1" applyBorder="1"/>
    <xf numFmtId="0" fontId="0" fillId="0" borderId="0" xfId="0" applyAlignment="1">
      <alignment horizontal="left" inden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0" fillId="0" borderId="9" xfId="0" applyFont="1" applyBorder="1" applyAlignment="1">
      <alignment horizontal="left" indent="1"/>
    </xf>
    <xf numFmtId="3" fontId="0" fillId="0" borderId="9" xfId="0" applyNumberFormat="1" applyBorder="1"/>
    <xf numFmtId="0" fontId="0" fillId="0" borderId="9" xfId="0" pivotButton="1" applyBorder="1"/>
    <xf numFmtId="0" fontId="1" fillId="4" borderId="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indent="1"/>
    </xf>
    <xf numFmtId="0" fontId="1" fillId="4" borderId="9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left" indent="1"/>
    </xf>
    <xf numFmtId="164" fontId="0" fillId="0" borderId="0" xfId="0" applyNumberFormat="1" applyBorder="1"/>
    <xf numFmtId="0" fontId="1" fillId="0" borderId="0" xfId="0" applyFont="1" applyFill="1" applyBorder="1"/>
    <xf numFmtId="0" fontId="3" fillId="0" borderId="32" xfId="0" applyFont="1" applyFill="1" applyBorder="1"/>
    <xf numFmtId="0" fontId="3" fillId="7" borderId="9" xfId="0" applyFont="1" applyFill="1" applyBorder="1"/>
    <xf numFmtId="3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7" borderId="9" xfId="0" applyNumberFormat="1" applyFill="1" applyBorder="1" applyAlignment="1">
      <alignment horizontal="center" vertical="center" wrapText="1"/>
    </xf>
    <xf numFmtId="3" fontId="0" fillId="7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166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0" fillId="0" borderId="4" xfId="0" applyFill="1" applyBorder="1"/>
    <xf numFmtId="165" fontId="0" fillId="0" borderId="0" xfId="0" applyNumberFormat="1" applyFill="1" applyBorder="1" applyAlignment="1">
      <alignment horizontal="center"/>
    </xf>
    <xf numFmtId="10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/>
    </xf>
    <xf numFmtId="166" fontId="0" fillId="7" borderId="9" xfId="0" applyNumberForma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6" fontId="0" fillId="0" borderId="9" xfId="0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1" fillId="4" borderId="37" xfId="0" applyFont="1" applyFill="1" applyBorder="1" applyAlignment="1">
      <alignment horizontal="center" vertical="center" wrapText="1"/>
    </xf>
    <xf numFmtId="164" fontId="0" fillId="7" borderId="9" xfId="0" applyNumberFormat="1" applyFill="1" applyBorder="1" applyAlignment="1">
      <alignment horizontal="center"/>
    </xf>
    <xf numFmtId="166" fontId="0" fillId="7" borderId="9" xfId="0" applyNumberFormat="1" applyFill="1" applyBorder="1" applyAlignment="1">
      <alignment horizontal="center"/>
    </xf>
    <xf numFmtId="3" fontId="0" fillId="7" borderId="9" xfId="0" applyNumberFormat="1" applyFill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0" fontId="3" fillId="0" borderId="21" xfId="0" applyFont="1" applyBorder="1"/>
    <xf numFmtId="3" fontId="0" fillId="0" borderId="45" xfId="0" applyNumberForma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1" fillId="4" borderId="37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0" fillId="4" borderId="9" xfId="0" applyFill="1" applyBorder="1"/>
    <xf numFmtId="0" fontId="0" fillId="7" borderId="9" xfId="0" applyFill="1" applyBorder="1"/>
    <xf numFmtId="166" fontId="0" fillId="7" borderId="9" xfId="0" applyNumberFormat="1" applyFill="1" applyBorder="1"/>
    <xf numFmtId="166" fontId="0" fillId="7" borderId="9" xfId="0" applyNumberFormat="1" applyFill="1" applyBorder="1" applyAlignment="1">
      <alignment vertical="center"/>
    </xf>
    <xf numFmtId="0" fontId="1" fillId="4" borderId="5" xfId="0" applyFont="1" applyFill="1" applyBorder="1"/>
    <xf numFmtId="1" fontId="0" fillId="7" borderId="5" xfId="0" applyNumberFormat="1" applyFill="1" applyBorder="1"/>
    <xf numFmtId="0" fontId="3" fillId="7" borderId="4" xfId="0" applyFont="1" applyFill="1" applyBorder="1"/>
    <xf numFmtId="1" fontId="1" fillId="4" borderId="5" xfId="0" applyNumberFormat="1" applyFont="1" applyFill="1" applyBorder="1"/>
    <xf numFmtId="0" fontId="3" fillId="7" borderId="6" xfId="0" applyFont="1" applyFill="1" applyBorder="1"/>
    <xf numFmtId="1" fontId="0" fillId="7" borderId="7" xfId="0" applyNumberFormat="1" applyFill="1" applyBorder="1"/>
    <xf numFmtId="0" fontId="3" fillId="0" borderId="14" xfId="0" applyFont="1" applyBorder="1"/>
    <xf numFmtId="0" fontId="1" fillId="4" borderId="1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6" borderId="9" xfId="0" applyFont="1" applyFill="1" applyBorder="1" applyAlignment="1">
      <alignment horizontal="center" vertical="center" wrapText="1"/>
    </xf>
    <xf numFmtId="1" fontId="0" fillId="0" borderId="9" xfId="0" applyNumberFormat="1" applyBorder="1"/>
    <xf numFmtId="1" fontId="0" fillId="4" borderId="9" xfId="0" applyNumberFormat="1" applyFill="1" applyBorder="1"/>
    <xf numFmtId="1" fontId="0" fillId="7" borderId="9" xfId="0" applyNumberFormat="1" applyFill="1" applyBorder="1"/>
    <xf numFmtId="3" fontId="0" fillId="7" borderId="10" xfId="0" applyNumberFormat="1" applyFill="1" applyBorder="1" applyAlignment="1">
      <alignment horizontal="center"/>
    </xf>
    <xf numFmtId="0" fontId="1" fillId="0" borderId="15" xfId="0" applyFont="1" applyFill="1" applyBorder="1" applyAlignment="1">
      <alignment vertical="center" wrapText="1"/>
    </xf>
    <xf numFmtId="1" fontId="0" fillId="7" borderId="9" xfId="0" applyNumberFormat="1" applyFill="1" applyBorder="1" applyAlignment="1">
      <alignment horizontal="center" vertical="center" wrapText="1"/>
    </xf>
    <xf numFmtId="3" fontId="0" fillId="7" borderId="9" xfId="0" applyNumberFormat="1" applyFill="1" applyBorder="1"/>
    <xf numFmtId="0" fontId="5" fillId="10" borderId="0" xfId="0" applyFont="1" applyFill="1"/>
    <xf numFmtId="166" fontId="1" fillId="12" borderId="9" xfId="0" applyNumberFormat="1" applyFont="1" applyFill="1" applyBorder="1" applyAlignment="1">
      <alignment horizontal="centerContinuous" vertical="center" wrapText="1"/>
    </xf>
    <xf numFmtId="0" fontId="0" fillId="12" borderId="9" xfId="0" applyFill="1" applyBorder="1"/>
    <xf numFmtId="0" fontId="3" fillId="11" borderId="9" xfId="0" applyFont="1" applyFill="1" applyBorder="1"/>
    <xf numFmtId="0" fontId="0" fillId="11" borderId="9" xfId="0" applyFill="1" applyBorder="1" applyAlignment="1">
      <alignment horizontal="center"/>
    </xf>
    <xf numFmtId="164" fontId="0" fillId="11" borderId="9" xfId="0" applyNumberForma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6" fontId="0" fillId="11" borderId="9" xfId="0" applyNumberFormat="1" applyFill="1" applyBorder="1" applyAlignment="1">
      <alignment horizontal="center"/>
    </xf>
    <xf numFmtId="3" fontId="0" fillId="11" borderId="9" xfId="0" applyNumberFormat="1" applyFill="1" applyBorder="1" applyAlignment="1">
      <alignment horizontal="center"/>
    </xf>
    <xf numFmtId="0" fontId="1" fillId="12" borderId="9" xfId="0" applyFont="1" applyFill="1" applyBorder="1" applyAlignment="1">
      <alignment horizontal="center" wrapText="1"/>
    </xf>
    <xf numFmtId="166" fontId="1" fillId="11" borderId="9" xfId="0" applyNumberFormat="1" applyFont="1" applyFill="1" applyBorder="1" applyAlignment="1">
      <alignment horizontal="centerContinuous" vertical="center" wrapText="1"/>
    </xf>
    <xf numFmtId="0" fontId="1" fillId="11" borderId="9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3" fontId="3" fillId="0" borderId="9" xfId="0" applyNumberFormat="1" applyFon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1" fillId="13" borderId="9" xfId="0" applyFont="1" applyFill="1" applyBorder="1" applyAlignment="1">
      <alignment horizontal="center" wrapText="1"/>
    </xf>
    <xf numFmtId="0" fontId="1" fillId="14" borderId="9" xfId="0" applyFont="1" applyFill="1" applyBorder="1" applyAlignment="1">
      <alignment horizontal="center" wrapText="1"/>
    </xf>
    <xf numFmtId="0" fontId="1" fillId="5" borderId="0" xfId="0" applyFont="1" applyFill="1"/>
    <xf numFmtId="10" fontId="0" fillId="0" borderId="9" xfId="0" applyNumberFormat="1" applyBorder="1"/>
    <xf numFmtId="170" fontId="0" fillId="0" borderId="9" xfId="0" applyNumberFormat="1" applyBorder="1" applyAlignment="1">
      <alignment horizontal="center" vertical="center"/>
    </xf>
    <xf numFmtId="166" fontId="0" fillId="0" borderId="9" xfId="0" applyNumberFormat="1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/>
    </xf>
    <xf numFmtId="170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9" xfId="0" applyFont="1" applyFill="1" applyBorder="1" applyAlignment="1">
      <alignment horizontal="center" wrapText="1"/>
    </xf>
    <xf numFmtId="0" fontId="1" fillId="5" borderId="0" xfId="0" applyFont="1" applyFill="1" applyAlignment="1">
      <alignment vertical="top"/>
    </xf>
    <xf numFmtId="0" fontId="1" fillId="12" borderId="9" xfId="0" applyFont="1" applyFill="1" applyBorder="1" applyAlignment="1">
      <alignment horizontal="center" vertical="top" wrapText="1"/>
    </xf>
    <xf numFmtId="4" fontId="0" fillId="0" borderId="9" xfId="0" applyNumberFormat="1" applyBorder="1" applyAlignment="1">
      <alignment horizontal="center"/>
    </xf>
    <xf numFmtId="2" fontId="1" fillId="9" borderId="15" xfId="0" applyNumberFormat="1" applyFont="1" applyFill="1" applyBorder="1" applyAlignment="1">
      <alignment horizontal="centerContinuous" vertical="center" wrapText="1"/>
    </xf>
    <xf numFmtId="2" fontId="1" fillId="15" borderId="15" xfId="0" applyNumberFormat="1" applyFont="1" applyFill="1" applyBorder="1" applyAlignment="1">
      <alignment horizontal="centerContinuous" vertical="center" wrapText="1"/>
    </xf>
    <xf numFmtId="2" fontId="1" fillId="9" borderId="16" xfId="0" applyNumberFormat="1" applyFont="1" applyFill="1" applyBorder="1" applyAlignment="1">
      <alignment horizontal="centerContinuous" vertical="center" wrapText="1"/>
    </xf>
    <xf numFmtId="0" fontId="1" fillId="7" borderId="15" xfId="0" applyFont="1" applyFill="1" applyBorder="1" applyAlignment="1">
      <alignment horizontal="center" vertical="center" wrapText="1"/>
    </xf>
    <xf numFmtId="166" fontId="0" fillId="0" borderId="9" xfId="0" applyNumberFormat="1" applyFill="1" applyBorder="1" applyAlignment="1">
      <alignment horizontal="center" vertical="center"/>
    </xf>
    <xf numFmtId="166" fontId="1" fillId="15" borderId="9" xfId="0" applyNumberFormat="1" applyFont="1" applyFill="1" applyBorder="1" applyAlignment="1">
      <alignment horizontal="center" vertical="center"/>
    </xf>
    <xf numFmtId="0" fontId="0" fillId="16" borderId="10" xfId="0" applyFill="1" applyBorder="1"/>
    <xf numFmtId="165" fontId="0" fillId="16" borderId="10" xfId="0" applyNumberFormat="1" applyFill="1" applyBorder="1" applyAlignment="1">
      <alignment horizontal="center"/>
    </xf>
    <xf numFmtId="166" fontId="0" fillId="16" borderId="10" xfId="0" applyNumberFormat="1" applyFill="1" applyBorder="1" applyAlignment="1">
      <alignment horizontal="center"/>
    </xf>
    <xf numFmtId="166" fontId="1" fillId="16" borderId="10" xfId="0" applyNumberFormat="1" applyFont="1" applyFill="1" applyBorder="1" applyAlignment="1">
      <alignment horizontal="center"/>
    </xf>
    <xf numFmtId="0" fontId="0" fillId="16" borderId="0" xfId="0" applyFill="1" applyBorder="1"/>
    <xf numFmtId="165" fontId="0" fillId="16" borderId="0" xfId="0" applyNumberFormat="1" applyFill="1" applyBorder="1" applyAlignment="1">
      <alignment horizontal="center"/>
    </xf>
    <xf numFmtId="166" fontId="0" fillId="16" borderId="0" xfId="0" applyNumberFormat="1" applyFill="1" applyBorder="1" applyAlignment="1">
      <alignment horizontal="center"/>
    </xf>
    <xf numFmtId="166" fontId="1" fillId="16" borderId="0" xfId="0" applyNumberFormat="1" applyFont="1" applyFill="1" applyBorder="1" applyAlignment="1">
      <alignment horizontal="center"/>
    </xf>
    <xf numFmtId="1" fontId="0" fillId="0" borderId="9" xfId="0" applyNumberFormat="1" applyFill="1" applyBorder="1" applyAlignment="1">
      <alignment horizontal="center" vertical="center"/>
    </xf>
    <xf numFmtId="1" fontId="0" fillId="16" borderId="7" xfId="0" applyNumberFormat="1" applyFill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/>
    </xf>
    <xf numFmtId="1" fontId="1" fillId="15" borderId="9" xfId="0" applyNumberFormat="1" applyFont="1" applyFill="1" applyBorder="1" applyAlignment="1">
      <alignment horizontal="center" vertical="center"/>
    </xf>
    <xf numFmtId="1" fontId="1" fillId="16" borderId="10" xfId="0" applyNumberFormat="1" applyFont="1" applyFill="1" applyBorder="1" applyAlignment="1">
      <alignment horizontal="center"/>
    </xf>
    <xf numFmtId="1" fontId="0" fillId="0" borderId="5" xfId="0" applyNumberFormat="1" applyBorder="1" applyAlignment="1">
      <alignment horizontal="center" vertical="center"/>
    </xf>
    <xf numFmtId="1" fontId="0" fillId="16" borderId="10" xfId="0" applyNumberFormat="1" applyFill="1" applyBorder="1" applyAlignment="1">
      <alignment horizontal="center"/>
    </xf>
    <xf numFmtId="3" fontId="0" fillId="7" borderId="9" xfId="0" applyNumberFormat="1" applyFill="1" applyBorder="1" applyAlignment="1">
      <alignment horizontal="center" vertical="center"/>
    </xf>
    <xf numFmtId="3" fontId="0" fillId="16" borderId="7" xfId="0" applyNumberFormat="1" applyFill="1" applyBorder="1" applyAlignment="1">
      <alignment horizontal="center"/>
    </xf>
    <xf numFmtId="3" fontId="0" fillId="16" borderId="10" xfId="0" applyNumberFormat="1" applyFill="1" applyBorder="1" applyAlignment="1">
      <alignment horizontal="center"/>
    </xf>
    <xf numFmtId="3" fontId="1" fillId="15" borderId="9" xfId="0" applyNumberFormat="1" applyFont="1" applyFill="1" applyBorder="1" applyAlignment="1">
      <alignment horizontal="center" vertical="center"/>
    </xf>
    <xf numFmtId="3" fontId="1" fillId="16" borderId="10" xfId="0" applyNumberFormat="1" applyFont="1" applyFill="1" applyBorder="1" applyAlignment="1">
      <alignment horizontal="center"/>
    </xf>
    <xf numFmtId="0" fontId="16" fillId="0" borderId="2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3" fontId="0" fillId="11" borderId="9" xfId="0" applyNumberFormat="1" applyFill="1" applyBorder="1" applyAlignment="1">
      <alignment horizontal="center" vertical="center"/>
    </xf>
    <xf numFmtId="1" fontId="0" fillId="11" borderId="9" xfId="0" applyNumberFormat="1" applyFill="1" applyBorder="1" applyAlignment="1">
      <alignment horizontal="center" vertical="center"/>
    </xf>
    <xf numFmtId="171" fontId="0" fillId="0" borderId="0" xfId="0" applyNumberFormat="1" applyFill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top" wrapText="1"/>
    </xf>
    <xf numFmtId="1" fontId="17" fillId="9" borderId="5" xfId="0" applyNumberFormat="1" applyFont="1" applyFill="1" applyBorder="1" applyAlignment="1">
      <alignment horizontal="center" vertical="top" wrapText="1"/>
    </xf>
    <xf numFmtId="1" fontId="17" fillId="0" borderId="9" xfId="0" applyNumberFormat="1" applyFont="1" applyFill="1" applyBorder="1" applyAlignment="1">
      <alignment horizontal="center" vertical="top" wrapText="1"/>
    </xf>
    <xf numFmtId="0" fontId="17" fillId="19" borderId="4" xfId="0" applyFont="1" applyFill="1" applyBorder="1" applyAlignment="1">
      <alignment vertical="top" wrapText="1"/>
    </xf>
    <xf numFmtId="0" fontId="17" fillId="0" borderId="9" xfId="0" applyFont="1" applyBorder="1"/>
    <xf numFmtId="0" fontId="5" fillId="9" borderId="36" xfId="0" applyFont="1" applyFill="1" applyBorder="1" applyAlignment="1">
      <alignment horizontal="center" vertical="center" wrapText="1"/>
    </xf>
    <xf numFmtId="166" fontId="5" fillId="17" borderId="48" xfId="0" applyNumberFormat="1" applyFont="1" applyFill="1" applyBorder="1" applyAlignment="1">
      <alignment horizontal="center" vertical="center" wrapText="1"/>
    </xf>
    <xf numFmtId="0" fontId="5" fillId="18" borderId="48" xfId="0" applyFont="1" applyFill="1" applyBorder="1" applyAlignment="1">
      <alignment horizontal="center" vertical="center" wrapText="1"/>
    </xf>
    <xf numFmtId="1" fontId="17" fillId="17" borderId="49" xfId="0" applyNumberFormat="1" applyFont="1" applyFill="1" applyBorder="1" applyAlignment="1">
      <alignment horizontal="center" vertical="top" wrapText="1"/>
    </xf>
    <xf numFmtId="1" fontId="17" fillId="18" borderId="49" xfId="0" applyNumberFormat="1" applyFont="1" applyFill="1" applyBorder="1" applyAlignment="1">
      <alignment horizontal="center"/>
    </xf>
    <xf numFmtId="0" fontId="5" fillId="20" borderId="34" xfId="0" applyFont="1" applyFill="1" applyBorder="1" applyAlignment="1">
      <alignment horizontal="center" vertical="center" wrapText="1"/>
    </xf>
    <xf numFmtId="0" fontId="5" fillId="20" borderId="3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left" vertical="top" wrapText="1"/>
    </xf>
    <xf numFmtId="1" fontId="5" fillId="20" borderId="10" xfId="0" applyNumberFormat="1" applyFont="1" applyFill="1" applyBorder="1" applyAlignment="1">
      <alignment horizontal="center" wrapText="1"/>
    </xf>
    <xf numFmtId="3" fontId="5" fillId="16" borderId="50" xfId="0" applyNumberFormat="1" applyFont="1" applyFill="1" applyBorder="1" applyAlignment="1">
      <alignment horizontal="center"/>
    </xf>
    <xf numFmtId="3" fontId="5" fillId="20" borderId="10" xfId="0" applyNumberFormat="1" applyFont="1" applyFill="1" applyBorder="1" applyAlignment="1">
      <alignment horizontal="center" wrapText="1"/>
    </xf>
    <xf numFmtId="3" fontId="5" fillId="9" borderId="7" xfId="0" applyNumberFormat="1" applyFont="1" applyFill="1" applyBorder="1" applyAlignment="1">
      <alignment horizontal="center" wrapText="1"/>
    </xf>
    <xf numFmtId="3" fontId="5" fillId="17" borderId="50" xfId="0" applyNumberFormat="1" applyFont="1" applyFill="1" applyBorder="1" applyAlignment="1">
      <alignment horizontal="center" wrapText="1"/>
    </xf>
    <xf numFmtId="3" fontId="17" fillId="0" borderId="9" xfId="0" applyNumberFormat="1" applyFont="1" applyBorder="1" applyAlignment="1">
      <alignment horizontal="center" vertical="top" wrapText="1"/>
    </xf>
    <xf numFmtId="3" fontId="17" fillId="9" borderId="5" xfId="0" applyNumberFormat="1" applyFont="1" applyFill="1" applyBorder="1" applyAlignment="1">
      <alignment horizontal="center" vertical="top" wrapText="1"/>
    </xf>
    <xf numFmtId="3" fontId="17" fillId="17" borderId="49" xfId="0" applyNumberFormat="1" applyFont="1" applyFill="1" applyBorder="1" applyAlignment="1">
      <alignment horizontal="center" vertical="top" wrapText="1"/>
    </xf>
    <xf numFmtId="3" fontId="17" fillId="18" borderId="49" xfId="0" applyNumberFormat="1" applyFont="1" applyFill="1" applyBorder="1" applyAlignment="1">
      <alignment horizontal="center"/>
    </xf>
    <xf numFmtId="3" fontId="17" fillId="0" borderId="9" xfId="0" applyNumberFormat="1" applyFont="1" applyFill="1" applyBorder="1" applyAlignment="1">
      <alignment horizontal="center" vertical="top" wrapText="1"/>
    </xf>
    <xf numFmtId="1" fontId="3" fillId="7" borderId="9" xfId="0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16" borderId="9" xfId="0" applyFont="1" applyFill="1" applyBorder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/>
    </xf>
    <xf numFmtId="164" fontId="17" fillId="0" borderId="5" xfId="0" applyNumberFormat="1" applyFont="1" applyBorder="1" applyAlignment="1">
      <alignment horizontal="center"/>
    </xf>
    <xf numFmtId="0" fontId="17" fillId="9" borderId="6" xfId="0" applyFont="1" applyFill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6" fontId="18" fillId="4" borderId="15" xfId="0" applyNumberFormat="1" applyFont="1" applyFill="1" applyBorder="1" applyAlignment="1">
      <alignment horizontal="center" wrapText="1"/>
    </xf>
    <xf numFmtId="166" fontId="19" fillId="0" borderId="9" xfId="0" applyNumberFormat="1" applyFont="1" applyBorder="1" applyAlignment="1">
      <alignment horizontal="center" wrapText="1"/>
    </xf>
    <xf numFmtId="0" fontId="18" fillId="4" borderId="14" xfId="0" applyFont="1" applyFill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" fontId="19" fillId="0" borderId="9" xfId="0" applyNumberFormat="1" applyFont="1" applyBorder="1" applyAlignment="1">
      <alignment horizontal="center" wrapText="1"/>
    </xf>
    <xf numFmtId="1" fontId="19" fillId="0" borderId="9" xfId="0" applyNumberFormat="1" applyFont="1" applyBorder="1" applyAlignment="1">
      <alignment horizontal="center"/>
    </xf>
    <xf numFmtId="0" fontId="18" fillId="13" borderId="15" xfId="0" applyFont="1" applyFill="1" applyBorder="1" applyAlignment="1">
      <alignment horizontal="center" wrapText="1"/>
    </xf>
    <xf numFmtId="10" fontId="19" fillId="13" borderId="9" xfId="0" applyNumberFormat="1" applyFont="1" applyFill="1" applyBorder="1" applyAlignment="1">
      <alignment horizontal="center" wrapText="1"/>
    </xf>
    <xf numFmtId="10" fontId="19" fillId="13" borderId="9" xfId="0" applyNumberFormat="1" applyFont="1" applyFill="1" applyBorder="1" applyAlignment="1">
      <alignment horizontal="center" vertical="top" wrapText="1"/>
    </xf>
    <xf numFmtId="172" fontId="19" fillId="13" borderId="9" xfId="0" applyNumberFormat="1" applyFont="1" applyFill="1" applyBorder="1" applyAlignment="1">
      <alignment horizontal="center" vertical="top" wrapText="1"/>
    </xf>
    <xf numFmtId="10" fontId="19" fillId="13" borderId="9" xfId="0" applyNumberFormat="1" applyFont="1" applyFill="1" applyBorder="1" applyAlignment="1">
      <alignment horizontal="center"/>
    </xf>
    <xf numFmtId="0" fontId="0" fillId="13" borderId="10" xfId="0" applyFill="1" applyBorder="1"/>
    <xf numFmtId="166" fontId="19" fillId="0" borderId="9" xfId="0" applyNumberFormat="1" applyFont="1" applyFill="1" applyBorder="1" applyAlignment="1">
      <alignment horizontal="center" wrapText="1"/>
    </xf>
    <xf numFmtId="1" fontId="19" fillId="0" borderId="9" xfId="0" applyNumberFormat="1" applyFont="1" applyFill="1" applyBorder="1" applyAlignment="1">
      <alignment horizontal="center" wrapText="1"/>
    </xf>
    <xf numFmtId="165" fontId="0" fillId="0" borderId="0" xfId="0" applyNumberFormat="1"/>
    <xf numFmtId="3" fontId="9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" fillId="13" borderId="51" xfId="0" applyFont="1" applyFill="1" applyBorder="1" applyAlignment="1">
      <alignment horizontal="center" wrapText="1"/>
    </xf>
    <xf numFmtId="0" fontId="0" fillId="7" borderId="9" xfId="0" applyFill="1" applyBorder="1" applyAlignment="1">
      <alignment horizontal="center"/>
    </xf>
    <xf numFmtId="3" fontId="9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/>
    </xf>
    <xf numFmtId="3" fontId="0" fillId="0" borderId="9" xfId="0" applyNumberForma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/>
    </xf>
    <xf numFmtId="3" fontId="1" fillId="20" borderId="9" xfId="0" applyNumberFormat="1" applyFont="1" applyFill="1" applyBorder="1" applyAlignment="1">
      <alignment horizontal="center" vertical="center" wrapText="1"/>
    </xf>
    <xf numFmtId="0" fontId="1" fillId="2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3" fontId="1" fillId="9" borderId="9" xfId="0" applyNumberFormat="1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7" borderId="9" xfId="0" applyFont="1" applyFill="1" applyBorder="1" applyAlignment="1">
      <alignment horizontal="center"/>
    </xf>
    <xf numFmtId="0" fontId="18" fillId="6" borderId="6" xfId="0" applyFont="1" applyFill="1" applyBorder="1" applyAlignment="1">
      <alignment vertical="top" wrapText="1"/>
    </xf>
    <xf numFmtId="1" fontId="19" fillId="6" borderId="10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3" fontId="1" fillId="8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2" fontId="0" fillId="0" borderId="9" xfId="0" applyNumberFormat="1" applyBorder="1"/>
    <xf numFmtId="0" fontId="0" fillId="0" borderId="5" xfId="0" applyBorder="1"/>
    <xf numFmtId="0" fontId="1" fillId="0" borderId="4" xfId="0" applyFont="1" applyFill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vertical="top"/>
    </xf>
    <xf numFmtId="0" fontId="8" fillId="0" borderId="4" xfId="0" applyFont="1" applyFill="1" applyBorder="1"/>
    <xf numFmtId="0" fontId="1" fillId="0" borderId="4" xfId="0" applyFont="1" applyBorder="1" applyAlignment="1">
      <alignment horizontal="left" vertical="center" wrapText="1"/>
    </xf>
    <xf numFmtId="2" fontId="0" fillId="0" borderId="0" xfId="0" applyNumberFormat="1" applyBorder="1"/>
    <xf numFmtId="0" fontId="9" fillId="0" borderId="4" xfId="0" applyFont="1" applyBorder="1"/>
    <xf numFmtId="0" fontId="9" fillId="0" borderId="4" xfId="0" applyFont="1" applyBorder="1" applyAlignment="1">
      <alignment vertical="top"/>
    </xf>
    <xf numFmtId="0" fontId="9" fillId="0" borderId="0" xfId="0" applyFont="1"/>
    <xf numFmtId="0" fontId="9" fillId="0" borderId="4" xfId="0" applyFont="1" applyFill="1" applyBorder="1"/>
    <xf numFmtId="0" fontId="0" fillId="0" borderId="5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9" xfId="0" applyFont="1" applyFill="1" applyBorder="1"/>
    <xf numFmtId="0" fontId="20" fillId="0" borderId="0" xfId="0" applyFont="1"/>
    <xf numFmtId="0" fontId="18" fillId="0" borderId="0" xfId="0" applyFont="1"/>
    <xf numFmtId="164" fontId="3" fillId="0" borderId="9" xfId="0" applyNumberFormat="1" applyFont="1" applyBorder="1"/>
    <xf numFmtId="0" fontId="1" fillId="9" borderId="9" xfId="0" applyFont="1" applyFill="1" applyBorder="1" applyAlignment="1">
      <alignment vertical="center" wrapText="1"/>
    </xf>
    <xf numFmtId="4" fontId="0" fillId="0" borderId="9" xfId="0" applyNumberFormat="1" applyBorder="1"/>
    <xf numFmtId="0" fontId="1" fillId="6" borderId="9" xfId="0" applyFont="1" applyFill="1" applyBorder="1" applyAlignment="1">
      <alignment vertical="center" wrapText="1"/>
    </xf>
    <xf numFmtId="0" fontId="1" fillId="0" borderId="6" xfId="0" applyFont="1" applyBorder="1"/>
    <xf numFmtId="0" fontId="1" fillId="20" borderId="14" xfId="0" applyFont="1" applyFill="1" applyBorder="1"/>
    <xf numFmtId="0" fontId="1" fillId="20" borderId="15" xfId="0" applyFont="1" applyFill="1" applyBorder="1" applyAlignment="1">
      <alignment horizontal="center" vertical="center" wrapText="1"/>
    </xf>
    <xf numFmtId="0" fontId="1" fillId="20" borderId="16" xfId="0" applyFont="1" applyFill="1" applyBorder="1" applyAlignment="1">
      <alignment horizontal="center" vertical="center" wrapText="1"/>
    </xf>
    <xf numFmtId="2" fontId="0" fillId="0" borderId="51" xfId="0" applyNumberFormat="1" applyBorder="1"/>
    <xf numFmtId="0" fontId="0" fillId="0" borderId="51" xfId="0" applyBorder="1"/>
    <xf numFmtId="0" fontId="1" fillId="16" borderId="9" xfId="0" applyFont="1" applyFill="1" applyBorder="1" applyAlignment="1">
      <alignment vertical="center" wrapText="1"/>
    </xf>
    <xf numFmtId="0" fontId="1" fillId="20" borderId="9" xfId="0" applyFont="1" applyFill="1" applyBorder="1" applyAlignment="1">
      <alignment vertical="center" wrapText="1"/>
    </xf>
    <xf numFmtId="0" fontId="1" fillId="16" borderId="9" xfId="0" applyFont="1" applyFill="1" applyBorder="1" applyAlignment="1">
      <alignment horizontal="center" vertical="center" wrapText="1"/>
    </xf>
    <xf numFmtId="2" fontId="1" fillId="16" borderId="15" xfId="0" applyNumberFormat="1" applyFont="1" applyFill="1" applyBorder="1" applyAlignment="1">
      <alignment horizontal="center" vertical="center" wrapText="1"/>
    </xf>
    <xf numFmtId="10" fontId="0" fillId="0" borderId="9" xfId="0" applyNumberFormat="1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1" fillId="20" borderId="9" xfId="0" applyFont="1" applyFill="1" applyBorder="1"/>
    <xf numFmtId="2" fontId="3" fillId="0" borderId="9" xfId="0" applyNumberFormat="1" applyFont="1" applyBorder="1"/>
    <xf numFmtId="0" fontId="3" fillId="0" borderId="22" xfId="0" applyFont="1" applyBorder="1"/>
    <xf numFmtId="0" fontId="0" fillId="0" borderId="22" xfId="0" applyBorder="1"/>
    <xf numFmtId="2" fontId="1" fillId="16" borderId="35" xfId="0" applyNumberFormat="1" applyFont="1" applyFill="1" applyBorder="1" applyAlignment="1">
      <alignment vertical="center" wrapText="1"/>
    </xf>
    <xf numFmtId="4" fontId="1" fillId="16" borderId="9" xfId="0" applyNumberFormat="1" applyFont="1" applyFill="1" applyBorder="1" applyAlignment="1">
      <alignment vertical="center" wrapText="1"/>
    </xf>
    <xf numFmtId="4" fontId="3" fillId="0" borderId="9" xfId="0" applyNumberFormat="1" applyFont="1" applyBorder="1"/>
    <xf numFmtId="2" fontId="3" fillId="0" borderId="22" xfId="0" applyNumberFormat="1" applyFont="1" applyBorder="1"/>
    <xf numFmtId="2" fontId="0" fillId="0" borderId="22" xfId="0" applyNumberFormat="1" applyBorder="1"/>
    <xf numFmtId="4" fontId="3" fillId="0" borderId="22" xfId="0" applyNumberFormat="1" applyFont="1" applyBorder="1"/>
    <xf numFmtId="4" fontId="0" fillId="0" borderId="22" xfId="0" applyNumberFormat="1" applyBorder="1"/>
    <xf numFmtId="164" fontId="0" fillId="0" borderId="22" xfId="0" applyNumberFormat="1" applyBorder="1"/>
    <xf numFmtId="4" fontId="1" fillId="0" borderId="9" xfId="0" applyNumberFormat="1" applyFont="1" applyBorder="1" applyAlignment="1">
      <alignment horizontal="center"/>
    </xf>
    <xf numFmtId="3" fontId="0" fillId="9" borderId="9" xfId="0" applyNumberFormat="1" applyFill="1" applyBorder="1" applyAlignment="1">
      <alignment horizontal="center"/>
    </xf>
    <xf numFmtId="166" fontId="3" fillId="0" borderId="9" xfId="0" applyNumberFormat="1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3" fontId="3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/>
    </xf>
    <xf numFmtId="0" fontId="1" fillId="21" borderId="0" xfId="0" applyFont="1" applyFill="1"/>
    <xf numFmtId="0" fontId="1" fillId="21" borderId="9" xfId="0" applyFont="1" applyFill="1" applyBorder="1" applyAlignment="1">
      <alignment vertical="center" wrapText="1"/>
    </xf>
    <xf numFmtId="2" fontId="3" fillId="21" borderId="9" xfId="0" applyNumberFormat="1" applyFont="1" applyFill="1" applyBorder="1"/>
    <xf numFmtId="0" fontId="3" fillId="21" borderId="9" xfId="0" applyFont="1" applyFill="1" applyBorder="1"/>
    <xf numFmtId="0" fontId="1" fillId="22" borderId="9" xfId="0" applyFont="1" applyFill="1" applyBorder="1" applyAlignment="1">
      <alignment vertical="center" wrapText="1"/>
    </xf>
    <xf numFmtId="2" fontId="3" fillId="22" borderId="9" xfId="0" applyNumberFormat="1" applyFont="1" applyFill="1" applyBorder="1"/>
    <xf numFmtId="2" fontId="0" fillId="22" borderId="9" xfId="0" applyNumberFormat="1" applyFill="1" applyBorder="1"/>
    <xf numFmtId="0" fontId="3" fillId="0" borderId="9" xfId="0" applyFont="1" applyFill="1" applyBorder="1"/>
    <xf numFmtId="0" fontId="3" fillId="9" borderId="9" xfId="0" applyFont="1" applyFill="1" applyBorder="1" applyAlignment="1">
      <alignment horizontal="center" vertical="center"/>
    </xf>
    <xf numFmtId="3" fontId="3" fillId="9" borderId="9" xfId="0" applyNumberFormat="1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 vertical="center"/>
    </xf>
    <xf numFmtId="0" fontId="3" fillId="7" borderId="0" xfId="0" applyFont="1" applyFill="1" applyBorder="1" applyAlignment="1">
      <alignment horizontal="center"/>
    </xf>
    <xf numFmtId="0" fontId="1" fillId="23" borderId="9" xfId="0" applyFont="1" applyFill="1" applyBorder="1" applyAlignment="1">
      <alignment horizontal="center" vertical="center" wrapText="1"/>
    </xf>
    <xf numFmtId="166" fontId="18" fillId="4" borderId="52" xfId="0" applyNumberFormat="1" applyFont="1" applyFill="1" applyBorder="1" applyAlignment="1">
      <alignment horizontal="center" wrapText="1"/>
    </xf>
    <xf numFmtId="1" fontId="19" fillId="0" borderId="37" xfId="0" applyNumberFormat="1" applyFont="1" applyBorder="1" applyAlignment="1">
      <alignment horizontal="center" wrapText="1"/>
    </xf>
    <xf numFmtId="1" fontId="19" fillId="6" borderId="38" xfId="0" applyNumberFormat="1" applyFont="1" applyFill="1" applyBorder="1" applyAlignment="1">
      <alignment horizontal="center" vertical="center"/>
    </xf>
    <xf numFmtId="0" fontId="19" fillId="0" borderId="5" xfId="0" applyFont="1" applyBorder="1"/>
    <xf numFmtId="0" fontId="19" fillId="0" borderId="9" xfId="0" applyFont="1" applyBorder="1"/>
    <xf numFmtId="3" fontId="19" fillId="0" borderId="9" xfId="0" applyNumberFormat="1" applyFont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/>
    </xf>
    <xf numFmtId="3" fontId="19" fillId="0" borderId="9" xfId="0" applyNumberFormat="1" applyFont="1" applyBorder="1" applyAlignment="1">
      <alignment horizontal="center" wrapText="1"/>
    </xf>
    <xf numFmtId="3" fontId="19" fillId="0" borderId="9" xfId="0" applyNumberFormat="1" applyFont="1" applyFill="1" applyBorder="1" applyAlignment="1">
      <alignment horizontal="center" wrapText="1"/>
    </xf>
    <xf numFmtId="3" fontId="19" fillId="6" borderId="10" xfId="0" applyNumberFormat="1" applyFont="1" applyFill="1" applyBorder="1" applyAlignment="1">
      <alignment horizontal="center" vertical="center"/>
    </xf>
    <xf numFmtId="3" fontId="19" fillId="0" borderId="9" xfId="0" applyNumberFormat="1" applyFont="1" applyBorder="1"/>
    <xf numFmtId="166" fontId="18" fillId="4" borderId="16" xfId="0" applyNumberFormat="1" applyFont="1" applyFill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/>
    </xf>
    <xf numFmtId="3" fontId="19" fillId="6" borderId="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indent="1"/>
    </xf>
    <xf numFmtId="173" fontId="0" fillId="0" borderId="0" xfId="0" applyNumberFormat="1" applyBorder="1"/>
    <xf numFmtId="171" fontId="3" fillId="0" borderId="0" xfId="0" applyNumberFormat="1" applyFont="1" applyBorder="1"/>
    <xf numFmtId="0" fontId="6" fillId="0" borderId="0" xfId="0" applyFont="1" applyAlignment="1">
      <alignment horizontal="left"/>
    </xf>
    <xf numFmtId="166" fontId="6" fillId="0" borderId="0" xfId="0" applyNumberFormat="1" applyFont="1"/>
    <xf numFmtId="171" fontId="0" fillId="0" borderId="0" xfId="0" applyNumberFormat="1" applyBorder="1"/>
    <xf numFmtId="172" fontId="0" fillId="0" borderId="0" xfId="0" applyNumberFormat="1"/>
    <xf numFmtId="169" fontId="0" fillId="0" borderId="5" xfId="0" applyNumberForma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/>
    <xf numFmtId="3" fontId="1" fillId="7" borderId="10" xfId="0" applyNumberFormat="1" applyFont="1" applyFill="1" applyBorder="1" applyAlignment="1">
      <alignment horizontal="center"/>
    </xf>
    <xf numFmtId="3" fontId="0" fillId="0" borderId="5" xfId="0" applyNumberFormat="1" applyBorder="1"/>
    <xf numFmtId="3" fontId="0" fillId="7" borderId="7" xfId="0" applyNumberFormat="1" applyFill="1" applyBorder="1"/>
    <xf numFmtId="3" fontId="1" fillId="20" borderId="14" xfId="0" applyNumberFormat="1" applyFont="1" applyFill="1" applyBorder="1"/>
    <xf numFmtId="3" fontId="1" fillId="20" borderId="15" xfId="0" applyNumberFormat="1" applyFont="1" applyFill="1" applyBorder="1" applyAlignment="1">
      <alignment horizontal="center" vertical="center" wrapText="1"/>
    </xf>
    <xf numFmtId="3" fontId="1" fillId="20" borderId="16" xfId="0" applyNumberFormat="1" applyFont="1" applyFill="1" applyBorder="1" applyAlignment="1">
      <alignment horizontal="center" vertical="center" wrapText="1"/>
    </xf>
    <xf numFmtId="3" fontId="0" fillId="0" borderId="4" xfId="0" applyNumberFormat="1" applyBorder="1"/>
    <xf numFmtId="3" fontId="3" fillId="0" borderId="4" xfId="0" applyNumberFormat="1" applyFont="1" applyBorder="1"/>
    <xf numFmtId="3" fontId="1" fillId="7" borderId="6" xfId="0" applyNumberFormat="1" applyFont="1" applyFill="1" applyBorder="1"/>
    <xf numFmtId="0" fontId="1" fillId="16" borderId="14" xfId="0" applyFont="1" applyFill="1" applyBorder="1" applyAlignment="1">
      <alignment vertical="center" wrapText="1"/>
    </xf>
    <xf numFmtId="0" fontId="1" fillId="16" borderId="15" xfId="0" applyFont="1" applyFill="1" applyBorder="1" applyAlignment="1">
      <alignment horizontal="center" vertical="center" wrapText="1"/>
    </xf>
    <xf numFmtId="3" fontId="0" fillId="9" borderId="5" xfId="0" applyNumberFormat="1" applyFill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0" fillId="0" borderId="7" xfId="0" applyBorder="1"/>
    <xf numFmtId="174" fontId="0" fillId="0" borderId="0" xfId="0" applyNumberFormat="1"/>
    <xf numFmtId="0" fontId="21" fillId="0" borderId="0" xfId="0" applyFont="1" applyAlignment="1">
      <alignment wrapText="1"/>
    </xf>
    <xf numFmtId="0" fontId="3" fillId="0" borderId="0" xfId="0" applyFont="1" applyFill="1" applyBorder="1"/>
    <xf numFmtId="10" fontId="3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10" fontId="3" fillId="4" borderId="9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4" fontId="0" fillId="0" borderId="9" xfId="0" applyNumberForma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2" fontId="3" fillId="21" borderId="9" xfId="0" applyNumberFormat="1" applyFont="1" applyFill="1" applyBorder="1" applyAlignment="1">
      <alignment horizontal="center" vertical="center"/>
    </xf>
    <xf numFmtId="2" fontId="3" fillId="22" borderId="9" xfId="0" applyNumberFormat="1" applyFont="1" applyFill="1" applyBorder="1" applyAlignment="1">
      <alignment horizontal="center" vertical="center"/>
    </xf>
    <xf numFmtId="0" fontId="1" fillId="20" borderId="9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" fontId="1" fillId="16" borderId="9" xfId="0" applyNumberFormat="1" applyFont="1" applyFill="1" applyBorder="1" applyAlignment="1">
      <alignment horizontal="center" vertical="center" wrapText="1"/>
    </xf>
    <xf numFmtId="2" fontId="1" fillId="16" borderId="35" xfId="0" applyNumberFormat="1" applyFont="1" applyFill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0" fontId="1" fillId="9" borderId="51" xfId="0" applyFont="1" applyFill="1" applyBorder="1" applyAlignment="1">
      <alignment vertical="center" wrapText="1"/>
    </xf>
    <xf numFmtId="10" fontId="0" fillId="0" borderId="0" xfId="0" applyNumberFormat="1"/>
    <xf numFmtId="1" fontId="1" fillId="0" borderId="9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1" fillId="16" borderId="9" xfId="0" applyNumberFormat="1" applyFont="1" applyFill="1" applyBorder="1" applyAlignment="1">
      <alignment horizontal="right" vertical="center" wrapText="1"/>
    </xf>
    <xf numFmtId="3" fontId="0" fillId="22" borderId="9" xfId="0" applyNumberFormat="1" applyFill="1" applyBorder="1"/>
    <xf numFmtId="2" fontId="1" fillId="16" borderId="9" xfId="0" applyNumberFormat="1" applyFont="1" applyFill="1" applyBorder="1" applyAlignment="1">
      <alignment horizontal="center" vertical="center" wrapText="1"/>
    </xf>
    <xf numFmtId="4" fontId="1" fillId="16" borderId="51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/>
    </xf>
    <xf numFmtId="0" fontId="1" fillId="7" borderId="10" xfId="0" applyFont="1" applyFill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164" fontId="0" fillId="0" borderId="5" xfId="0" applyNumberFormat="1" applyBorder="1"/>
    <xf numFmtId="0" fontId="3" fillId="0" borderId="10" xfId="0" applyFont="1" applyBorder="1"/>
    <xf numFmtId="164" fontId="0" fillId="0" borderId="10" xfId="0" applyNumberFormat="1" applyBorder="1"/>
    <xf numFmtId="164" fontId="0" fillId="0" borderId="7" xfId="0" applyNumberFormat="1" applyBorder="1"/>
    <xf numFmtId="0" fontId="3" fillId="0" borderId="51" xfId="0" applyFont="1" applyFill="1" applyBorder="1"/>
    <xf numFmtId="1" fontId="1" fillId="0" borderId="7" xfId="0" applyNumberFormat="1" applyFont="1" applyBorder="1" applyAlignment="1">
      <alignment horizontal="center"/>
    </xf>
    <xf numFmtId="0" fontId="3" fillId="7" borderId="9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0" fontId="4" fillId="4" borderId="37" xfId="0" applyNumberFormat="1" applyFont="1" applyFill="1" applyBorder="1"/>
    <xf numFmtId="10" fontId="0" fillId="4" borderId="37" xfId="0" applyNumberFormat="1" applyFill="1" applyBorder="1"/>
    <xf numFmtId="10" fontId="3" fillId="4" borderId="37" xfId="0" applyNumberFormat="1" applyFont="1" applyFill="1" applyBorder="1"/>
    <xf numFmtId="10" fontId="1" fillId="4" borderId="37" xfId="0" applyNumberFormat="1" applyFont="1" applyFill="1" applyBorder="1"/>
    <xf numFmtId="10" fontId="13" fillId="4" borderId="37" xfId="0" applyNumberFormat="1" applyFont="1" applyFill="1" applyBorder="1"/>
    <xf numFmtId="10" fontId="1" fillId="3" borderId="9" xfId="0" applyNumberFormat="1" applyFont="1" applyFill="1" applyBorder="1"/>
    <xf numFmtId="10" fontId="3" fillId="3" borderId="9" xfId="0" applyNumberFormat="1" applyFont="1" applyFill="1" applyBorder="1"/>
    <xf numFmtId="10" fontId="0" fillId="3" borderId="9" xfId="0" applyNumberFormat="1" applyFill="1" applyBorder="1"/>
    <xf numFmtId="10" fontId="13" fillId="3" borderId="9" xfId="0" applyNumberFormat="1" applyFont="1" applyFill="1" applyBorder="1"/>
    <xf numFmtId="166" fontId="0" fillId="0" borderId="0" xfId="0" applyNumberFormat="1" applyBorder="1"/>
    <xf numFmtId="10" fontId="0" fillId="6" borderId="22" xfId="0" applyNumberFormat="1" applyFill="1" applyBorder="1"/>
    <xf numFmtId="10" fontId="0" fillId="6" borderId="8" xfId="0" applyNumberFormat="1" applyFill="1" applyBorder="1"/>
    <xf numFmtId="10" fontId="11" fillId="6" borderId="9" xfId="0" applyNumberFormat="1" applyFont="1" applyFill="1" applyBorder="1"/>
    <xf numFmtId="10" fontId="0" fillId="4" borderId="9" xfId="0" applyNumberFormat="1" applyFill="1" applyBorder="1"/>
    <xf numFmtId="10" fontId="0" fillId="2" borderId="9" xfId="0" applyNumberFormat="1" applyFill="1" applyBorder="1"/>
    <xf numFmtId="10" fontId="1" fillId="4" borderId="9" xfId="0" applyNumberFormat="1" applyFont="1" applyFill="1" applyBorder="1"/>
    <xf numFmtId="10" fontId="8" fillId="4" borderId="9" xfId="0" applyNumberFormat="1" applyFont="1" applyFill="1" applyBorder="1"/>
    <xf numFmtId="10" fontId="1" fillId="4" borderId="22" xfId="0" applyNumberFormat="1" applyFont="1" applyFill="1" applyBorder="1"/>
    <xf numFmtId="10" fontId="0" fillId="4" borderId="8" xfId="0" applyNumberFormat="1" applyFill="1" applyBorder="1"/>
    <xf numFmtId="10" fontId="1" fillId="8" borderId="9" xfId="0" applyNumberFormat="1" applyFont="1" applyFill="1" applyBorder="1"/>
    <xf numFmtId="10" fontId="1" fillId="3" borderId="22" xfId="0" applyNumberFormat="1" applyFont="1" applyFill="1" applyBorder="1"/>
    <xf numFmtId="10" fontId="0" fillId="3" borderId="8" xfId="0" applyNumberFormat="1" applyFill="1" applyBorder="1"/>
    <xf numFmtId="166" fontId="1" fillId="0" borderId="9" xfId="0" applyNumberFormat="1" applyFont="1" applyFill="1" applyBorder="1" applyAlignment="1">
      <alignment horizontal="center" vertical="center" wrapText="1"/>
    </xf>
    <xf numFmtId="166" fontId="3" fillId="0" borderId="9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3" fontId="0" fillId="0" borderId="51" xfId="0" applyNumberFormat="1" applyFill="1" applyBorder="1" applyAlignment="1">
      <alignment horizontal="center" vertical="center"/>
    </xf>
    <xf numFmtId="1" fontId="0" fillId="0" borderId="51" xfId="0" applyNumberForma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3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0" fontId="1" fillId="0" borderId="25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8" xfId="0" applyBorder="1" applyAlignment="1">
      <alignment vertical="center"/>
    </xf>
    <xf numFmtId="0" fontId="5" fillId="10" borderId="47" xfId="0" applyFont="1" applyFill="1" applyBorder="1" applyAlignment="1">
      <alignment horizontal="center" vertical="top" wrapText="1"/>
    </xf>
    <xf numFmtId="0" fontId="0" fillId="0" borderId="47" xfId="0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/>
    </xf>
    <xf numFmtId="0" fontId="1" fillId="12" borderId="37" xfId="0" applyFont="1" applyFill="1" applyBorder="1" applyAlignment="1">
      <alignment horizontal="left" vertical="center" wrapText="1"/>
    </xf>
    <xf numFmtId="0" fontId="1" fillId="12" borderId="46" xfId="0" applyFont="1" applyFill="1" applyBorder="1" applyAlignment="1">
      <alignment horizontal="left" vertical="center" wrapText="1"/>
    </xf>
    <xf numFmtId="0" fontId="0" fillId="12" borderId="46" xfId="0" applyFill="1" applyBorder="1" applyAlignment="1">
      <alignment horizontal="left" vertical="center" wrapText="1"/>
    </xf>
    <xf numFmtId="0" fontId="0" fillId="0" borderId="46" xfId="0" applyBorder="1" applyAlignment="1">
      <alignment horizontal="left"/>
    </xf>
    <xf numFmtId="0" fontId="0" fillId="0" borderId="43" xfId="0" applyBorder="1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" fillId="0" borderId="15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25" xfId="0" applyFont="1" applyFill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5" borderId="33" xfId="0" applyFont="1" applyFill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" fillId="5" borderId="33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1" fillId="16" borderId="0" xfId="0" applyFont="1" applyFill="1" applyAlignment="1">
      <alignment horizontal="center" vertical="center" wrapText="1"/>
    </xf>
    <xf numFmtId="1" fontId="0" fillId="9" borderId="5" xfId="0" applyNumberFormat="1" applyFill="1" applyBorder="1" applyAlignment="1">
      <alignment horizontal="center"/>
    </xf>
    <xf numFmtId="0" fontId="0" fillId="0" borderId="51" xfId="0" applyFill="1" applyBorder="1"/>
  </cellXfs>
  <cellStyles count="1">
    <cellStyle name="Normal" xfId="0" builtinId="0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readingOrder="0"/>
    </dxf>
    <dxf>
      <alignment vertical="top" wrapText="1" readingOrder="0"/>
    </dxf>
    <dxf>
      <alignment horizontal="center" readingOrder="0"/>
    </dxf>
    <dxf>
      <alignment vertical="top" wrapText="1" readingOrder="0"/>
    </dxf>
    <dxf>
      <alignment wrapText="1" readingOrder="0"/>
    </dxf>
    <dxf>
      <alignment horizontal="center" readingOrder="0"/>
    </dxf>
    <dxf>
      <alignment vertical="top" readingOrder="0"/>
    </dxf>
    <dxf>
      <alignment horizontal="center" readingOrder="0"/>
    </dxf>
    <dxf>
      <alignment vertical="top" readingOrder="0"/>
    </dxf>
    <dxf>
      <alignment vertical="top" readingOrder="0"/>
    </dxf>
    <dxf>
      <numFmt numFmtId="2" formatCode="0.00"/>
    </dxf>
    <dxf>
      <numFmt numFmtId="2" formatCode="0.00"/>
    </dxf>
  </dxfs>
  <tableStyles count="0" defaultTableStyle="TableStyleMedium2" defaultPivotStyle="PivotStyleLight16"/>
  <colors>
    <mruColors>
      <color rgb="FFFFFF99"/>
      <color rgb="FFFFFFCC"/>
      <color rgb="FF993366"/>
      <color rgb="FFFF9900"/>
      <color rgb="FF00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2</xdr:col>
      <xdr:colOff>542925</xdr:colOff>
      <xdr:row>30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1175"/>
          <a:ext cx="1762125" cy="1762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ochloosasubbasinlanduseperacreload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ochloosasubbasinlanduseperacreloading_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ulic_M\Desktop\Drive_D\MSOCache\myav3\oran_crk\OCB_allocation\loch_road_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ulic_M\Desktop\Drive_E\Basin%20coordination\basin_management\planning\oklawaha\management\allocation\upper%20ocklawaha\source%20loadings%20calculations\UOB_TMDL%20reductions%200923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OCB_final_roads_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ulic_M\Desktop\Drive_D\MSOCache\myav3\oran_crk\landuse%20comparison\OCB_allocate_cit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1"/>
      <sheetName val="tn"/>
      <sheetName val="TNsummary"/>
      <sheetName val="TNcorrected"/>
      <sheetName val="TNaggregated"/>
      <sheetName val="Sheet2"/>
      <sheetName val="tp"/>
      <sheetName val="TP summary"/>
      <sheetName val="TPcorrected"/>
      <sheetName val="TMDL"/>
      <sheetName val="TP aggregated"/>
      <sheetName val="jurisdiction"/>
      <sheetName val="tp RATIO"/>
      <sheetName val="TN RATIO"/>
    </sheetNames>
    <sheetDataSet>
      <sheetData sheetId="0"/>
      <sheetData sheetId="1"/>
      <sheetData sheetId="2"/>
      <sheetData sheetId="3"/>
      <sheetData sheetId="4"/>
      <sheetData sheetId="5">
        <row r="3">
          <cell r="I3">
            <v>307.7667505904102</v>
          </cell>
        </row>
        <row r="4">
          <cell r="I4">
            <v>219.34385017536016</v>
          </cell>
        </row>
        <row r="5">
          <cell r="I5">
            <v>0.18144024095945382</v>
          </cell>
        </row>
        <row r="6">
          <cell r="I6">
            <v>350.89220505736643</v>
          </cell>
        </row>
        <row r="8">
          <cell r="I8">
            <v>1010.6249084085449</v>
          </cell>
        </row>
        <row r="11">
          <cell r="I11">
            <v>200.65296404214737</v>
          </cell>
        </row>
        <row r="12">
          <cell r="I12">
            <v>148.2667065840204</v>
          </cell>
        </row>
        <row r="13">
          <cell r="I13">
            <v>1.7535477819846736</v>
          </cell>
        </row>
        <row r="15">
          <cell r="I15">
            <v>2186.7583674239386</v>
          </cell>
        </row>
        <row r="16">
          <cell r="I16">
            <v>1567.1788539202962</v>
          </cell>
        </row>
        <row r="17">
          <cell r="I17">
            <v>109.46877449037099</v>
          </cell>
        </row>
        <row r="18">
          <cell r="I18">
            <v>427.31269666084296</v>
          </cell>
        </row>
        <row r="21">
          <cell r="I21">
            <v>5411.8323849047547</v>
          </cell>
        </row>
        <row r="22">
          <cell r="I22">
            <v>3842.7742551201404</v>
          </cell>
        </row>
        <row r="23">
          <cell r="I23">
            <v>194.54549679702541</v>
          </cell>
        </row>
        <row r="24">
          <cell r="I24">
            <v>224.14189539576151</v>
          </cell>
        </row>
        <row r="26">
          <cell r="I26">
            <v>14.773293615020972</v>
          </cell>
        </row>
        <row r="27">
          <cell r="I27">
            <v>30.755805678854149</v>
          </cell>
        </row>
        <row r="29">
          <cell r="I29">
            <v>648.2302736340589</v>
          </cell>
        </row>
        <row r="30">
          <cell r="I30">
            <v>631.39468424285553</v>
          </cell>
        </row>
        <row r="31">
          <cell r="I31">
            <v>27.309958262762997</v>
          </cell>
        </row>
        <row r="32">
          <cell r="I32">
            <v>139.46229517262159</v>
          </cell>
        </row>
        <row r="35">
          <cell r="I35">
            <v>29.360038028469553</v>
          </cell>
        </row>
        <row r="37">
          <cell r="I37">
            <v>2554.4037099093275</v>
          </cell>
        </row>
        <row r="38">
          <cell r="I38">
            <v>2176.8621726383763</v>
          </cell>
        </row>
        <row r="39">
          <cell r="I39">
            <v>675.85001420757169</v>
          </cell>
        </row>
        <row r="40">
          <cell r="I40">
            <v>554.15066279858286</v>
          </cell>
        </row>
        <row r="42">
          <cell r="I42">
            <v>8.403275403063704</v>
          </cell>
        </row>
        <row r="43">
          <cell r="I43">
            <v>18.634902889072944</v>
          </cell>
        </row>
        <row r="44">
          <cell r="I44">
            <v>1601.4709687064051</v>
          </cell>
        </row>
        <row r="45">
          <cell r="I45">
            <v>166.42155222886939</v>
          </cell>
        </row>
        <row r="47">
          <cell r="I47">
            <v>2796.1814072344905</v>
          </cell>
        </row>
        <row r="48">
          <cell r="I48">
            <v>1341.3591173852305</v>
          </cell>
        </row>
        <row r="49">
          <cell r="I49">
            <v>101.23364054697905</v>
          </cell>
        </row>
        <row r="50">
          <cell r="I50">
            <v>475.41703527926427</v>
          </cell>
        </row>
        <row r="53">
          <cell r="I53">
            <v>64.427262750961091</v>
          </cell>
        </row>
        <row r="54">
          <cell r="I54">
            <v>565.39036652844027</v>
          </cell>
        </row>
        <row r="55">
          <cell r="I55">
            <v>182.62263776957207</v>
          </cell>
        </row>
        <row r="57">
          <cell r="I57">
            <v>556.72730360942091</v>
          </cell>
        </row>
        <row r="58">
          <cell r="I58">
            <v>610.88479564780914</v>
          </cell>
        </row>
        <row r="59">
          <cell r="I59">
            <v>10.478090360300886</v>
          </cell>
        </row>
        <row r="60">
          <cell r="I60">
            <v>1159.2372288728623</v>
          </cell>
        </row>
        <row r="61">
          <cell r="I61">
            <v>269.19611551382951</v>
          </cell>
        </row>
        <row r="63">
          <cell r="I63">
            <v>617.02700817302173</v>
          </cell>
        </row>
        <row r="64">
          <cell r="I64">
            <v>626.76825994575779</v>
          </cell>
        </row>
        <row r="66">
          <cell r="I66">
            <v>57.777638691406104</v>
          </cell>
        </row>
        <row r="67">
          <cell r="I67">
            <v>215.02062220675288</v>
          </cell>
        </row>
        <row r="69">
          <cell r="I69">
            <v>1204.7730765541835</v>
          </cell>
        </row>
        <row r="70">
          <cell r="I70">
            <v>813.0106344332894</v>
          </cell>
        </row>
        <row r="71">
          <cell r="I71">
            <v>29.786448069558386</v>
          </cell>
        </row>
        <row r="72">
          <cell r="I72">
            <v>3.0098782781589253</v>
          </cell>
        </row>
        <row r="74">
          <cell r="I74">
            <v>5429.297638528571</v>
          </cell>
        </row>
        <row r="75">
          <cell r="I75">
            <v>2604.4257841142858</v>
          </cell>
        </row>
        <row r="76">
          <cell r="I76">
            <v>57.405424229999994</v>
          </cell>
        </row>
        <row r="77">
          <cell r="I77">
            <v>897.60512770000003</v>
          </cell>
        </row>
        <row r="78">
          <cell r="I78">
            <v>468.44847894285715</v>
          </cell>
        </row>
        <row r="80">
          <cell r="I80">
            <v>7.424638640285715</v>
          </cell>
        </row>
      </sheetData>
      <sheetData sheetId="6"/>
      <sheetData sheetId="7"/>
      <sheetData sheetId="8"/>
      <sheetData sheetId="9"/>
      <sheetData sheetId="10"/>
      <sheetData sheetId="11">
        <row r="3">
          <cell r="H3">
            <v>18.074101379959465</v>
          </cell>
        </row>
        <row r="4">
          <cell r="H4">
            <v>10.469516590879403</v>
          </cell>
        </row>
        <row r="5">
          <cell r="H5">
            <v>1.0291264597369482E-2</v>
          </cell>
        </row>
        <row r="6">
          <cell r="H6">
            <v>44.081717939540226</v>
          </cell>
        </row>
        <row r="8">
          <cell r="H8">
            <v>60.463947176073745</v>
          </cell>
        </row>
        <row r="9">
          <cell r="H9">
            <v>39.638501729303243</v>
          </cell>
        </row>
        <row r="10">
          <cell r="H10">
            <v>12.842157123012999</v>
          </cell>
        </row>
        <row r="11">
          <cell r="H11">
            <v>20.337269628479621</v>
          </cell>
        </row>
        <row r="12">
          <cell r="H12">
            <v>14.530188763557865</v>
          </cell>
        </row>
        <row r="13">
          <cell r="H13">
            <v>9.7011311128935268E-2</v>
          </cell>
        </row>
        <row r="15">
          <cell r="H15">
            <v>135.15123023079235</v>
          </cell>
        </row>
        <row r="16">
          <cell r="H16">
            <v>98.075169370968325</v>
          </cell>
        </row>
        <row r="17">
          <cell r="H17">
            <v>6.6344943616895682</v>
          </cell>
        </row>
        <row r="18">
          <cell r="H18">
            <v>44.90232250734136</v>
          </cell>
        </row>
        <row r="21">
          <cell r="H21">
            <v>362.65036561097384</v>
          </cell>
        </row>
        <row r="22">
          <cell r="H22">
            <v>261.78889644029402</v>
          </cell>
        </row>
        <row r="23">
          <cell r="H23">
            <v>12.916367981235513</v>
          </cell>
        </row>
        <row r="24">
          <cell r="H24">
            <v>25.40525364019107</v>
          </cell>
        </row>
        <row r="26">
          <cell r="H26">
            <v>1.7385341039484001</v>
          </cell>
        </row>
        <row r="27">
          <cell r="H27">
            <v>2.0274580631944965</v>
          </cell>
        </row>
        <row r="29">
          <cell r="H29">
            <v>42.65615563019432</v>
          </cell>
        </row>
        <row r="30">
          <cell r="H30">
            <v>43.007942954465221</v>
          </cell>
        </row>
        <row r="31">
          <cell r="H31">
            <v>1.8099590864011237</v>
          </cell>
        </row>
        <row r="32">
          <cell r="H32">
            <v>15.93411616467424</v>
          </cell>
        </row>
        <row r="35">
          <cell r="H35">
            <v>1.9351108502917518</v>
          </cell>
        </row>
        <row r="37">
          <cell r="H37">
            <v>185.50440545328021</v>
          </cell>
        </row>
        <row r="38">
          <cell r="H38">
            <v>161.4728388579137</v>
          </cell>
        </row>
        <row r="39">
          <cell r="H39">
            <v>48.572723996521525</v>
          </cell>
        </row>
        <row r="40">
          <cell r="H40">
            <v>68.026316286513719</v>
          </cell>
        </row>
        <row r="41">
          <cell r="H41">
            <v>75.217840558128984</v>
          </cell>
        </row>
        <row r="42">
          <cell r="H42">
            <v>1.0625167084514637</v>
          </cell>
        </row>
        <row r="43">
          <cell r="H43">
            <v>1.33672257607653</v>
          </cell>
        </row>
        <row r="44">
          <cell r="H44">
            <v>77.861286981039655</v>
          </cell>
        </row>
        <row r="45">
          <cell r="H45">
            <v>45.976748274098995</v>
          </cell>
        </row>
        <row r="47">
          <cell r="H47">
            <v>203.649366217725</v>
          </cell>
        </row>
        <row r="48">
          <cell r="H48">
            <v>95.943493243610121</v>
          </cell>
        </row>
        <row r="49">
          <cell r="H49">
            <v>7.2087548478546095</v>
          </cell>
        </row>
        <row r="50">
          <cell r="H50">
            <v>59.705527337725179</v>
          </cell>
        </row>
        <row r="53">
          <cell r="H53">
            <v>4.6700159087623732</v>
          </cell>
        </row>
        <row r="54">
          <cell r="H54">
            <v>48.394659394281852</v>
          </cell>
        </row>
        <row r="55">
          <cell r="H55">
            <v>22.093366405873578</v>
          </cell>
        </row>
        <row r="57">
          <cell r="H57">
            <v>64.614419202982887</v>
          </cell>
        </row>
        <row r="58">
          <cell r="H58">
            <v>65.738226295064493</v>
          </cell>
        </row>
        <row r="59">
          <cell r="H59">
            <v>1.1313830142234891</v>
          </cell>
        </row>
        <row r="60">
          <cell r="H60">
            <v>240.95505422807068</v>
          </cell>
        </row>
        <row r="61">
          <cell r="H61">
            <v>50.236553162662496</v>
          </cell>
        </row>
        <row r="63">
          <cell r="H63">
            <v>41.905419896756641</v>
          </cell>
        </row>
        <row r="64">
          <cell r="H64">
            <v>43.455777591446939</v>
          </cell>
        </row>
        <row r="65">
          <cell r="H65">
            <v>8.771308675015251E-4</v>
          </cell>
        </row>
        <row r="66">
          <cell r="H66">
            <v>7.1066827032246236</v>
          </cell>
        </row>
        <row r="67">
          <cell r="H67">
            <v>25.084153409674968</v>
          </cell>
        </row>
        <row r="69">
          <cell r="H69">
            <v>114.61625315432434</v>
          </cell>
        </row>
        <row r="70">
          <cell r="H70">
            <v>71.838315487149231</v>
          </cell>
        </row>
        <row r="71">
          <cell r="H71">
            <v>2.8842761113565873</v>
          </cell>
        </row>
        <row r="72">
          <cell r="H72">
            <v>0.48032717085365845</v>
          </cell>
        </row>
        <row r="74">
          <cell r="H74">
            <v>390.89083305557142</v>
          </cell>
        </row>
        <row r="75">
          <cell r="H75">
            <v>167.13385612857141</v>
          </cell>
        </row>
        <row r="76">
          <cell r="H76">
            <v>4.1417939511428576</v>
          </cell>
        </row>
        <row r="77">
          <cell r="H77">
            <v>114.90565136285714</v>
          </cell>
        </row>
        <row r="78">
          <cell r="H78">
            <v>64.471177945714288</v>
          </cell>
        </row>
        <row r="80">
          <cell r="H80">
            <v>0.53829029042857146</v>
          </cell>
        </row>
      </sheetData>
      <sheetData sheetId="12">
        <row r="45">
          <cell r="F45">
            <v>0.98511937818180828</v>
          </cell>
        </row>
        <row r="46">
          <cell r="F46">
            <v>1.4880621818191806E-2</v>
          </cell>
        </row>
        <row r="77">
          <cell r="F77">
            <v>0.98379468882897614</v>
          </cell>
        </row>
        <row r="88">
          <cell r="F88">
            <v>0.98754164297816283</v>
          </cell>
        </row>
        <row r="89">
          <cell r="F89">
            <v>1.2458357021837186E-2</v>
          </cell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1"/>
      <sheetName val="tn"/>
      <sheetName val="TNsummary"/>
      <sheetName val="TNcorrected"/>
      <sheetName val="Subbasin28 Cross Creek "/>
      <sheetName val="TNaggregated"/>
      <sheetName val="Sheet2"/>
      <sheetName val="tp"/>
      <sheetName val="TP summary"/>
      <sheetName val="TPcorrected"/>
      <sheetName val="TMDL"/>
      <sheetName val="TP aggregated"/>
      <sheetName val="jurisdiction"/>
      <sheetName val="tp RATIO"/>
      <sheetName val="TN RATIO"/>
    </sheetNames>
    <sheetDataSet>
      <sheetData sheetId="0"/>
      <sheetData sheetId="1"/>
      <sheetData sheetId="2"/>
      <sheetData sheetId="3"/>
      <sheetData sheetId="4">
        <row r="27">
          <cell r="U27">
            <v>558</v>
          </cell>
        </row>
        <row r="28">
          <cell r="U28">
            <v>2611</v>
          </cell>
        </row>
        <row r="29">
          <cell r="U29">
            <v>995</v>
          </cell>
        </row>
        <row r="30">
          <cell r="U30">
            <v>524.5</v>
          </cell>
        </row>
        <row r="40">
          <cell r="U40">
            <v>310.2</v>
          </cell>
        </row>
        <row r="41">
          <cell r="U41">
            <v>999.9</v>
          </cell>
        </row>
        <row r="43">
          <cell r="U43">
            <v>2625.1</v>
          </cell>
        </row>
        <row r="44">
          <cell r="U44">
            <v>941.9</v>
          </cell>
        </row>
        <row r="45">
          <cell r="U45">
            <v>1293.4000000000001</v>
          </cell>
        </row>
        <row r="54">
          <cell r="U54">
            <v>30.9</v>
          </cell>
        </row>
        <row r="55">
          <cell r="U55">
            <v>272.89999999999998</v>
          </cell>
        </row>
        <row r="57">
          <cell r="U57">
            <v>732.3</v>
          </cell>
        </row>
        <row r="58">
          <cell r="U58">
            <v>231.8</v>
          </cell>
        </row>
        <row r="59">
          <cell r="U59">
            <v>17.100000000000001</v>
          </cell>
        </row>
        <row r="67">
          <cell r="U67">
            <v>647.79999999999995</v>
          </cell>
        </row>
        <row r="70">
          <cell r="U70">
            <v>3627.8</v>
          </cell>
        </row>
        <row r="71">
          <cell r="U71">
            <v>49.5</v>
          </cell>
        </row>
        <row r="86">
          <cell r="U86">
            <v>1615.7</v>
          </cell>
        </row>
        <row r="87">
          <cell r="U87">
            <v>705.8</v>
          </cell>
        </row>
        <row r="89">
          <cell r="U89">
            <v>492</v>
          </cell>
        </row>
        <row r="90">
          <cell r="U90">
            <v>1171.5</v>
          </cell>
        </row>
        <row r="91">
          <cell r="U91">
            <v>0.5</v>
          </cell>
        </row>
        <row r="100">
          <cell r="U100">
            <v>493.7</v>
          </cell>
        </row>
        <row r="101">
          <cell r="U101">
            <v>23.4</v>
          </cell>
        </row>
        <row r="110">
          <cell r="U110">
            <v>384.1</v>
          </cell>
        </row>
        <row r="117">
          <cell r="U117">
            <v>209</v>
          </cell>
        </row>
        <row r="126">
          <cell r="U126">
            <v>277.8</v>
          </cell>
        </row>
        <row r="127">
          <cell r="U127">
            <v>1243.4000000000001</v>
          </cell>
        </row>
        <row r="129">
          <cell r="U129">
            <v>3293.4</v>
          </cell>
        </row>
        <row r="130">
          <cell r="U130">
            <v>71.7</v>
          </cell>
        </row>
        <row r="131">
          <cell r="U131">
            <v>1.2</v>
          </cell>
        </row>
      </sheetData>
      <sheetData sheetId="5"/>
      <sheetData sheetId="6"/>
      <sheetData sheetId="7"/>
      <sheetData sheetId="8"/>
      <sheetData sheetId="9"/>
      <sheetData sheetId="10">
        <row r="5">
          <cell r="U5">
            <v>6.4</v>
          </cell>
        </row>
        <row r="6">
          <cell r="U6">
            <v>1.6</v>
          </cell>
        </row>
        <row r="16">
          <cell r="U16">
            <v>151.6</v>
          </cell>
        </row>
        <row r="17">
          <cell r="U17">
            <v>45</v>
          </cell>
        </row>
        <row r="18">
          <cell r="U18">
            <v>47.2</v>
          </cell>
        </row>
        <row r="27">
          <cell r="U27">
            <v>8.6999999999999993</v>
          </cell>
        </row>
        <row r="28">
          <cell r="U28">
            <v>54.6</v>
          </cell>
        </row>
        <row r="29">
          <cell r="U29">
            <v>262.60000000000002</v>
          </cell>
        </row>
        <row r="30">
          <cell r="U30">
            <v>98.5</v>
          </cell>
        </row>
        <row r="31">
          <cell r="U31">
            <v>52.3</v>
          </cell>
        </row>
        <row r="41">
          <cell r="U41">
            <v>34.5</v>
          </cell>
        </row>
        <row r="42">
          <cell r="U42">
            <v>111.1</v>
          </cell>
        </row>
        <row r="44">
          <cell r="U44">
            <v>283</v>
          </cell>
        </row>
        <row r="45">
          <cell r="U45">
            <v>99.7</v>
          </cell>
        </row>
        <row r="46">
          <cell r="U46">
            <v>138.4</v>
          </cell>
        </row>
        <row r="55">
          <cell r="U55">
            <v>3.3</v>
          </cell>
        </row>
        <row r="56">
          <cell r="U56">
            <v>29.4</v>
          </cell>
        </row>
        <row r="58">
          <cell r="U58">
            <v>79.8</v>
          </cell>
        </row>
        <row r="59">
          <cell r="U59">
            <v>24.8</v>
          </cell>
        </row>
        <row r="60">
          <cell r="U60">
            <v>1.8</v>
          </cell>
        </row>
        <row r="71">
          <cell r="U71">
            <v>426.5</v>
          </cell>
        </row>
        <row r="72">
          <cell r="U72">
            <v>5.7</v>
          </cell>
        </row>
        <row r="87">
          <cell r="U87">
            <v>192.1</v>
          </cell>
        </row>
        <row r="88">
          <cell r="U88">
            <v>83.9</v>
          </cell>
        </row>
        <row r="90">
          <cell r="U90">
            <v>59.1</v>
          </cell>
        </row>
        <row r="91">
          <cell r="U91">
            <v>138.1</v>
          </cell>
        </row>
        <row r="92">
          <cell r="U92">
            <v>0.1</v>
          </cell>
        </row>
        <row r="101">
          <cell r="U101">
            <v>98.7</v>
          </cell>
        </row>
        <row r="102">
          <cell r="U102">
            <v>5</v>
          </cell>
        </row>
        <row r="111">
          <cell r="U111">
            <v>44.9</v>
          </cell>
        </row>
        <row r="118">
          <cell r="U118">
            <v>34.200000000000003</v>
          </cell>
        </row>
        <row r="127">
          <cell r="U127">
            <v>35.4</v>
          </cell>
        </row>
        <row r="128">
          <cell r="U128">
            <v>158.6</v>
          </cell>
        </row>
        <row r="130">
          <cell r="U130">
            <v>396.5</v>
          </cell>
        </row>
        <row r="131">
          <cell r="U131">
            <v>8.6999999999999993</v>
          </cell>
        </row>
        <row r="132">
          <cell r="U132">
            <v>0.2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h_road_summary"/>
      <sheetName val="loch_road_allstateroad"/>
    </sheetNames>
    <sheetDataSet>
      <sheetData sheetId="0"/>
      <sheetData sheetId="1">
        <row r="52">
          <cell r="E52">
            <v>0.4878779837035685</v>
          </cell>
        </row>
        <row r="53">
          <cell r="E53">
            <v>0.5121220162964315</v>
          </cell>
        </row>
        <row r="88">
          <cell r="E88">
            <v>3.6216619327275934E-2</v>
          </cell>
        </row>
        <row r="89">
          <cell r="E89">
            <v>0.96378338067272418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riority lake reduction summary"/>
      <sheetName val="prioritylake allocation summary"/>
      <sheetName val="Project Summary"/>
      <sheetName val="De minimis Summary"/>
      <sheetName val="Harris Allocate"/>
      <sheetName val="Trout Allocate"/>
      <sheetName val="Palatlakaha allocate"/>
      <sheetName val="Yale allocation"/>
      <sheetName val="Carlton Allocate"/>
      <sheetName val="Harris Chain education"/>
      <sheetName val="Education_summary"/>
      <sheetName val="education credit scheme"/>
      <sheetName val="Trout Expanded"/>
    </sheetNames>
    <sheetDataSet>
      <sheetData sheetId="0"/>
      <sheetData sheetId="1"/>
      <sheetData sheetId="2"/>
      <sheetData sheetId="3">
        <row r="22">
          <cell r="H22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B_correct_roads_2018"/>
      <sheetName val="Sheet1"/>
    </sheetNames>
    <sheetDataSet>
      <sheetData sheetId="0">
        <row r="32">
          <cell r="E32">
            <v>142.900985088</v>
          </cell>
          <cell r="F32">
            <v>0.85634772811213411</v>
          </cell>
        </row>
        <row r="101">
          <cell r="E101">
            <v>697.90376733100004</v>
          </cell>
        </row>
        <row r="104">
          <cell r="E104">
            <v>97.541281160400004</v>
          </cell>
          <cell r="F104">
            <v>1.1922041102687575E-2</v>
          </cell>
        </row>
        <row r="106">
          <cell r="F106">
            <v>3.7535509547102289E-2</v>
          </cell>
        </row>
        <row r="114">
          <cell r="F114">
            <v>7.6841009680605156E-3</v>
          </cell>
        </row>
        <row r="117">
          <cell r="F117">
            <v>6.8938492819921496E-2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B_allocate_citys"/>
      <sheetName val="lake acreage"/>
      <sheetName val="Orange"/>
      <sheetName val="Newnans"/>
      <sheetName val="lochloosa Lake"/>
    </sheetNames>
    <sheetDataSet>
      <sheetData sheetId="0">
        <row r="59">
          <cell r="G59">
            <v>65.105504725100005</v>
          </cell>
        </row>
        <row r="81">
          <cell r="G81">
            <v>141.302299844</v>
          </cell>
        </row>
      </sheetData>
      <sheetData sheetId="1"/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OCB_septic_final_summary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y Paulic" refreshedDate="42500.773978124998" createdVersion="5" refreshedVersion="5" minRefreshableVersion="3" recordCount="28" xr:uid="{00000000-000A-0000-FFFF-FFFF00000000}">
  <cacheSource type="worksheet">
    <worksheetSource ref="A2:F34" sheet="Orange Lake LU"/>
  </cacheSource>
  <cacheFields count="6">
    <cacheField name="City" numFmtId="0">
      <sharedItems/>
    </cacheField>
    <cacheField name="Land Use Category" numFmtId="0">
      <sharedItems count="5">
        <s v="Communication"/>
        <s v="High Density Residential"/>
        <s v="Low Density Residential"/>
        <s v="Medium Density Residential"/>
        <s v="Urban Open"/>
      </sharedItems>
    </cacheField>
    <cacheField name="Acres" numFmtId="2">
      <sharedItems containsSemiMixedTypes="0" containsString="0" containsNumber="1" minValue="1.4762225196600001" maxValue="6802.71058928"/>
    </cacheField>
    <cacheField name="Portion" numFmtId="168">
      <sharedItems containsSemiMixedTypes="0" containsString="0" containsNumber="1" minValue="1.1902410074551398E-2" maxValue="1"/>
    </cacheField>
    <cacheField name="% of Total Land Use by Major Trib" numFmtId="164">
      <sharedItems containsSemiMixedTypes="0" containsString="0" containsNumber="1" minValue="1.1902410074551398E-2" maxValue="1"/>
    </cacheField>
    <cacheField name="Major Trib" numFmtId="0">
      <sharedItems count="2">
        <s v="Camps Canal/River Styx"/>
        <s v="Orange Lak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y Paulic" refreshedDate="42514.526612731483" createdVersion="5" refreshedVersion="5" minRefreshableVersion="3" recordCount="37" xr:uid="{00000000-000A-0000-FFFF-FFFF01000000}">
  <cacheSource type="worksheet">
    <worksheetSource ref="A2:F42" sheet="Newnans LU"/>
  </cacheSource>
  <cacheFields count="6">
    <cacheField name="City" numFmtId="0">
      <sharedItems/>
    </cacheField>
    <cacheField name="Land Use Category" numFmtId="0">
      <sharedItems count="5">
        <s v="Communication and Transportation"/>
        <s v="High Density Residential"/>
        <s v="Low Density Residential"/>
        <s v="Medium Density Residential"/>
        <s v="Urban Open"/>
      </sharedItems>
    </cacheField>
    <cacheField name="Major Trib" numFmtId="0">
      <sharedItems count="3">
        <s v="Hatchet Creek"/>
        <s v="Little Hatchet Creek"/>
        <s v="Newnans Lake"/>
      </sharedItems>
    </cacheField>
    <cacheField name="Acres" numFmtId="166">
      <sharedItems containsString="0" containsBlank="1" containsNumber="1" minValue="4.7142674067500003" maxValue="1824.76428687" count="37">
        <n v="71.313836428900004"/>
        <n v="59.059930325400003"/>
        <n v="1824.76428687"/>
        <n v="143.71898623000001"/>
        <n v="280.83585518500001"/>
        <n v="5.5591097306900004"/>
        <n v="45.293839656199999"/>
        <n v="65.105504725100005"/>
        <n v="23"/>
        <n v="5.4897800805200001"/>
        <n v="4.7142674067500003"/>
        <n v="99.526304305800011"/>
        <n v="1497.6090124509999"/>
        <n v="402.03383048349997"/>
        <n v="26.675057155499999"/>
        <n v="6.6091997839949999"/>
        <n v="251.2798750707"/>
        <n v="8.1936759395200003"/>
        <m/>
        <n v="55.3130139059"/>
        <n v="1085.9558808436"/>
        <n v="740.25467734799997"/>
        <n v="317.84868935820003"/>
        <n v="527.16177037800003"/>
        <n v="271.89149024099999"/>
        <n v="28.495749959299999"/>
        <n v="244.53974284"/>
        <n v="363.98175425464382"/>
        <n v="543.8309244384975"/>
        <n v="277.79526221499998"/>
        <n v="284.33566276190004"/>
        <n v="119.5176719383"/>
        <n v="169.0308035475"/>
        <n v="5.0860472021499996"/>
        <n v="180.41245039899999"/>
        <n v="23.9746862545"/>
        <n v="4.9444967284599999"/>
      </sharedItems>
    </cacheField>
    <cacheField name="Portion" numFmtId="167">
      <sharedItems containsString="0" containsBlank="1" containsNumber="1" minValue="4.0695689450241917E-3" maxValue="0.98020854084838838"/>
    </cacheField>
    <cacheField name="% of Total Land Use by Major Trib" numFmtId="164">
      <sharedItems containsString="0" containsBlank="1" containsNumber="1" minValue="4.0695689450241917E-3" maxValue="0.980208540848388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y Paulic" refreshedDate="42604.923095486112" createdVersion="6" refreshedVersion="6" minRefreshableVersion="3" recordCount="86" xr:uid="{00000000-000A-0000-FFFF-FFFF02000000}">
  <cacheSource type="worksheet">
    <worksheetSource ref="A1:E87" sheet="OCB_septic_final_summary" r:id="rId2"/>
  </cacheSource>
  <cacheFields count="5">
    <cacheField name="MODEL_SEGM" numFmtId="1">
      <sharedItems count="7">
        <s v="Lochloosa Lake"/>
        <s v="Camps Canal and River Styx"/>
        <s v="Hatchett Creek"/>
        <s v="Little Hatchett Creek"/>
        <s v="Newnans Lake"/>
        <s v="Not modeled"/>
        <s v="Orange Lake"/>
      </sharedItems>
    </cacheField>
    <cacheField name="NAMELSAD10" numFmtId="1">
      <sharedItems count="8">
        <s v="ALACHUA"/>
        <s v="Hawthorne city"/>
        <s v="Micanopy town"/>
        <s v="Waldo city"/>
        <s v="City of Gainesville"/>
        <s v="MARION"/>
        <s v="McIntosh town"/>
        <s v="Reddick town"/>
      </sharedItems>
    </cacheField>
    <cacheField name="WW" numFmtId="1">
      <sharedItems count="3">
        <s v="KnownSeptic"/>
        <s v="LikelySeptic"/>
        <s v="SWLSeptic"/>
      </sharedItems>
    </cacheField>
    <cacheField name="FREQUENCY" numFmtId="1">
      <sharedItems containsSemiMixedTypes="0" containsString="0" containsNumber="1" containsInteger="1" minValue="1" maxValue="2807"/>
    </cacheField>
    <cacheField name="COUNT_WW" numFmtId="1">
      <sharedItems containsSemiMixedTypes="0" containsString="0" containsNumber="1" containsInteger="1" minValue="1" maxValue="28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s v="Alachua County"/>
    <x v="0"/>
    <n v="1.4762225196600001"/>
    <n v="5.1007345843512998E-2"/>
    <n v="5.1007345843512998E-2"/>
    <x v="0"/>
  </r>
  <r>
    <s v="Alachua County"/>
    <x v="1"/>
    <n v="5.4685365097199998"/>
    <n v="0.15852974166408262"/>
    <n v="0.15852974166408262"/>
    <x v="0"/>
  </r>
  <r>
    <s v="Alachua County"/>
    <x v="2"/>
    <n v="254.372283571"/>
    <n v="0.75780365563429364"/>
    <n v="0.75780365563429364"/>
    <x v="0"/>
  </r>
  <r>
    <s v="Alachua County"/>
    <x v="1"/>
    <n v="13.948468413400001"/>
    <n v="2.6589464898671488E-2"/>
    <n v="2.6589464898671488E-2"/>
    <x v="1"/>
  </r>
  <r>
    <s v="Alachua County"/>
    <x v="2"/>
    <n v="698.06436099500002"/>
    <n v="8.5321331776393575E-2"/>
    <n v="8.5321331776393575E-2"/>
    <x v="1"/>
  </r>
  <r>
    <s v="Alachua County"/>
    <x v="3"/>
    <n v="15.9160712459"/>
    <n v="3.935931749427115E-2"/>
    <n v="3.935931749427115E-2"/>
    <x v="1"/>
  </r>
  <r>
    <s v="Alachua County"/>
    <x v="4"/>
    <n v="15.1348113916"/>
    <n v="6.9518872620398409E-2"/>
    <n v="6.9518872620398409E-2"/>
    <x v="1"/>
  </r>
  <r>
    <s v="FDOT, 2"/>
    <x v="0"/>
    <n v="27.465148478"/>
    <n v="0.94899265415856016"/>
    <n v="0.94899265415856016"/>
    <x v="0"/>
  </r>
  <r>
    <s v="FDOT, 2"/>
    <x v="0"/>
    <n v="72.549159808200002"/>
    <n v="8.9812159962319449E-2"/>
    <n v="8.9812159962319449E-2"/>
    <x v="1"/>
  </r>
  <r>
    <s v="FDOT, 5"/>
    <x v="0"/>
    <n v="689.07791322599996"/>
    <n v="0.85304331480569162"/>
    <n v="0.85304331480569162"/>
    <x v="1"/>
  </r>
  <r>
    <s v="Marion County"/>
    <x v="0"/>
    <n v="46.160645674199998"/>
    <n v="5.7144525232483999E-2"/>
    <n v="5.7144525232483999E-2"/>
    <x v="1"/>
  </r>
  <r>
    <s v="Marion County"/>
    <x v="1"/>
    <n v="458.04242434600002"/>
    <n v="0.87314984006058682"/>
    <n v="0.87314984006058682"/>
    <x v="1"/>
  </r>
  <r>
    <s v="Marion County"/>
    <x v="2"/>
    <n v="6802.71058928"/>
    <n v="0.83146534846648901"/>
    <n v="0.83146534846648901"/>
    <x v="1"/>
  </r>
  <r>
    <s v="Marion County"/>
    <x v="3"/>
    <n v="247.84207916700001"/>
    <n v="0.61289591706792046"/>
    <n v="0.61289591706792046"/>
    <x v="1"/>
  </r>
  <r>
    <s v="Marion County"/>
    <x v="4"/>
    <n v="191.95335717"/>
    <n v="0.88170117491952094"/>
    <n v="0.88170117491952094"/>
    <x v="1"/>
  </r>
  <r>
    <s v="McIntosh"/>
    <x v="1"/>
    <n v="30.963419394599999"/>
    <n v="5.9024455498256204E-2"/>
    <n v="5.9024455498256204E-2"/>
    <x v="1"/>
  </r>
  <r>
    <s v="McIntosh"/>
    <x v="2"/>
    <n v="190.45342905800001"/>
    <n v="2.3278283660617714E-2"/>
    <n v="2.3278283660617714E-2"/>
    <x v="1"/>
  </r>
  <r>
    <s v="McIntosh"/>
    <x v="3"/>
    <n v="85.589215754799994"/>
    <n v="0.21165607171095302"/>
    <n v="0.21165607171095302"/>
    <x v="1"/>
  </r>
  <r>
    <s v="McIntosh"/>
    <x v="4"/>
    <n v="6.6737480405699996"/>
    <n v="3.0654590131894068E-2"/>
    <n v="3.0654590131894068E-2"/>
    <x v="1"/>
  </r>
  <r>
    <s v="Micanopy"/>
    <x v="1"/>
    <n v="29.026798260300001"/>
    <n v="0.84147025833359823"/>
    <n v="0.84147025833359823"/>
    <x v="0"/>
  </r>
  <r>
    <s v="Micanopy"/>
    <x v="2"/>
    <n v="81.2981525366"/>
    <n v="0.2421963443645147"/>
    <n v="0.2421963443645147"/>
    <x v="0"/>
  </r>
  <r>
    <s v="Micanopy"/>
    <x v="3"/>
    <n v="49.0356364258"/>
    <n v="1"/>
    <n v="1"/>
    <x v="0"/>
  </r>
  <r>
    <s v="Micanopy"/>
    <x v="1"/>
    <n v="7.9677841797499998"/>
    <n v="1.5188701116756589E-2"/>
    <n v="1.5188701116756589E-2"/>
    <x v="1"/>
  </r>
  <r>
    <s v="Micanopy"/>
    <x v="2"/>
    <n v="97.380667999500005"/>
    <n v="1.1902410074551398E-2"/>
    <n v="1.1902410074551398E-2"/>
    <x v="1"/>
  </r>
  <r>
    <s v="Micanopy"/>
    <x v="3"/>
    <n v="55.031374603000003"/>
    <n v="0.13608869372858651"/>
    <n v="0.13608869372858651"/>
    <x v="1"/>
  </r>
  <r>
    <s v="Micanopy"/>
    <x v="4"/>
    <n v="3.94603551364"/>
    <n v="1.8125362327313876E-2"/>
    <n v="1.8125362327313876E-2"/>
    <x v="1"/>
  </r>
  <r>
    <s v="Reddick"/>
    <x v="1"/>
    <n v="13.6641812224"/>
    <n v="2.6047538426014847E-2"/>
    <n v="2.6047538426014847E-2"/>
    <x v="1"/>
  </r>
  <r>
    <s v="Reddick"/>
    <x v="2"/>
    <n v="392.983368794"/>
    <n v="4.8032626022742719E-2"/>
    <n v="4.8032626022742719E-2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7">
  <r>
    <s v="Alachua County"/>
    <x v="0"/>
    <x v="0"/>
    <x v="0"/>
    <n v="0.19685886531001281"/>
    <n v="0.19685886531001281"/>
  </r>
  <r>
    <s v="Alachua County"/>
    <x v="1"/>
    <x v="0"/>
    <x v="1"/>
    <n v="0.18664450066775765"/>
    <n v="0.18664450066775765"/>
  </r>
  <r>
    <s v="Alachua County"/>
    <x v="2"/>
    <x v="0"/>
    <x v="2"/>
    <n v="0.9063092229481553"/>
    <n v="0.9063092229481553"/>
  </r>
  <r>
    <s v="Alachua County"/>
    <x v="3"/>
    <x v="0"/>
    <x v="3"/>
    <n v="0.85703285103496285"/>
    <n v="0.85703285103496285"/>
  </r>
  <r>
    <s v="Alachua County"/>
    <x v="4"/>
    <x v="0"/>
    <x v="4"/>
    <n v="0.82334012715347216"/>
    <n v="0.82334012715347216"/>
  </r>
  <r>
    <s v="Alachua County"/>
    <x v="0"/>
    <x v="1"/>
    <x v="5"/>
    <n v="4.5899249383670347E-3"/>
    <n v="4.5899249383670347E-3"/>
  </r>
  <r>
    <s v="Alachua County"/>
    <x v="1"/>
    <x v="1"/>
    <x v="6"/>
    <n v="5.529536099795937E-2"/>
    <n v="5.529536099795937E-2"/>
  </r>
  <r>
    <s v="Alachua County"/>
    <x v="2"/>
    <x v="1"/>
    <x v="7"/>
    <n v="0.12418635816467621"/>
    <n v="0.12418635816467621"/>
  </r>
  <r>
    <s v="Alachua County"/>
    <x v="3"/>
    <x v="1"/>
    <x v="8"/>
    <m/>
    <n v="4.2000000000000003E-2"/>
  </r>
  <r>
    <s v="Alachua County"/>
    <x v="4"/>
    <x v="1"/>
    <x v="9"/>
    <n v="1.9800000000000002E-2"/>
    <n v="1.9800000000000002E-2"/>
  </r>
  <r>
    <s v="Alachua County"/>
    <x v="0"/>
    <x v="2"/>
    <x v="10"/>
    <n v="2.3235595907876615E-2"/>
    <n v="2.3235595907876615E-2"/>
  </r>
  <r>
    <s v="Alachua County"/>
    <x v="1"/>
    <x v="2"/>
    <x v="11"/>
    <n v="0.28926511386799902"/>
    <n v="0.28926511386799902"/>
  </r>
  <r>
    <s v="Alachua County"/>
    <x v="2"/>
    <x v="2"/>
    <x v="12"/>
    <n v="0.80447810508736717"/>
    <n v="0.80447810508736717"/>
  </r>
  <r>
    <s v="Alachua County"/>
    <x v="3"/>
    <x v="2"/>
    <x v="13"/>
    <n v="0.42504367394115811"/>
    <n v="0.42504367394115811"/>
  </r>
  <r>
    <s v="Alachua County"/>
    <x v="4"/>
    <x v="2"/>
    <x v="14"/>
    <n v="8.7611354731086888E-2"/>
    <n v="8.7611354731086888E-2"/>
  </r>
  <r>
    <s v="Gainesville"/>
    <x v="0"/>
    <x v="0"/>
    <x v="15"/>
    <n v="1.8244419810195117E-2"/>
    <n v="1.8244419810195117E-2"/>
  </r>
  <r>
    <s v="Gainesville"/>
    <x v="1"/>
    <x v="0"/>
    <x v="16"/>
    <n v="0.79410873924206038"/>
    <n v="0.79410873924206038"/>
  </r>
  <r>
    <s v="Gainesville"/>
    <x v="2"/>
    <x v="0"/>
    <x v="17"/>
    <n v="4.0695689450241917E-3"/>
    <n v="4.0695689450241917E-3"/>
  </r>
  <r>
    <s v="Gainesville"/>
    <x v="3"/>
    <x v="0"/>
    <x v="18"/>
    <m/>
    <m/>
  </r>
  <r>
    <s v="Gainesville"/>
    <x v="4"/>
    <x v="0"/>
    <x v="19"/>
    <n v="0.16216385145167866"/>
    <n v="0.16216385145167866"/>
  </r>
  <r>
    <s v="Gainesville"/>
    <x v="0"/>
    <x v="1"/>
    <x v="20"/>
    <n v="0.89662845687913872"/>
    <n v="0.89662845687913872"/>
  </r>
  <r>
    <s v="Gainesville"/>
    <x v="1"/>
    <x v="1"/>
    <x v="21"/>
    <n v="0.90371339513457594"/>
    <n v="0.90371339513457594"/>
  </r>
  <r>
    <s v="Gainesville"/>
    <x v="2"/>
    <x v="1"/>
    <x v="22"/>
    <n v="0.60628469659329121"/>
    <n v="0.60628469659329121"/>
  </r>
  <r>
    <s v="Gainesville"/>
    <x v="3"/>
    <x v="1"/>
    <x v="23"/>
    <n v="0.95813058419649066"/>
    <n v="0.95813058419649066"/>
  </r>
  <r>
    <s v="Gainesville"/>
    <x v="4"/>
    <x v="1"/>
    <x v="24"/>
    <n v="0.98020854084838838"/>
    <n v="0.98020854084838838"/>
  </r>
  <r>
    <s v="Gainesville"/>
    <x v="0"/>
    <x v="2"/>
    <x v="25"/>
    <n v="0.14044933687854727"/>
    <n v="0.14044933687854727"/>
  </r>
  <r>
    <s v="Gainesville"/>
    <x v="1"/>
    <x v="2"/>
    <x v="26"/>
    <n v="0.71073488613141966"/>
    <n v="0.71073488613141966"/>
  </r>
  <r>
    <s v="Gainesville"/>
    <x v="2"/>
    <x v="2"/>
    <x v="27"/>
    <n v="0.19552189491029268"/>
    <n v="0.19552189491029268"/>
  </r>
  <r>
    <s v="Gainesville"/>
    <x v="3"/>
    <x v="2"/>
    <x v="28"/>
    <n v="0.57495632605883928"/>
    <n v="0.57495632605883928"/>
  </r>
  <r>
    <s v="Gainesville"/>
    <x v="4"/>
    <x v="2"/>
    <x v="29"/>
    <n v="0.91238864526727081"/>
    <n v="0.91238864526727081"/>
  </r>
  <r>
    <s v="FDOT"/>
    <x v="0"/>
    <x v="0"/>
    <x v="30"/>
    <n v="0.7848967148792263"/>
    <n v="0.7848967148792263"/>
  </r>
  <r>
    <s v="FDOT"/>
    <x v="0"/>
    <x v="1"/>
    <x v="31"/>
    <n v="9.8680754577780805E-2"/>
    <n v="9.8680754577780805E-2"/>
  </r>
  <r>
    <s v="FDOT"/>
    <x v="0"/>
    <x v="2"/>
    <x v="32"/>
    <n v="0.83311596656351183"/>
    <n v="0.83311596656351183"/>
  </r>
  <r>
    <s v="Waldo"/>
    <x v="1"/>
    <x v="0"/>
    <x v="33"/>
    <n v="1.607321131582292E-2"/>
    <n v="1.607321131582292E-2"/>
  </r>
  <r>
    <s v="Waldo"/>
    <x v="2"/>
    <x v="0"/>
    <x v="34"/>
    <n v="8.9605802189255068E-2"/>
    <n v="8.9605802189255068E-2"/>
  </r>
  <r>
    <s v="Waldo"/>
    <x v="3"/>
    <x v="0"/>
    <x v="35"/>
    <n v="0.1429671489644411"/>
    <n v="0.1429671489644411"/>
  </r>
  <r>
    <s v="Waldo"/>
    <x v="4"/>
    <x v="0"/>
    <x v="36"/>
    <n v="1.4496021394555974E-2"/>
    <n v="1.4496021394555974E-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6">
  <r>
    <x v="0"/>
    <x v="0"/>
    <x v="0"/>
    <n v="13"/>
    <n v="13"/>
  </r>
  <r>
    <x v="0"/>
    <x v="0"/>
    <x v="1"/>
    <n v="30"/>
    <n v="30"/>
  </r>
  <r>
    <x v="0"/>
    <x v="0"/>
    <x v="2"/>
    <n v="6"/>
    <n v="6"/>
  </r>
  <r>
    <x v="0"/>
    <x v="0"/>
    <x v="0"/>
    <n v="18"/>
    <n v="18"/>
  </r>
  <r>
    <x v="0"/>
    <x v="0"/>
    <x v="1"/>
    <n v="100"/>
    <n v="100"/>
  </r>
  <r>
    <x v="0"/>
    <x v="0"/>
    <x v="2"/>
    <n v="21"/>
    <n v="21"/>
  </r>
  <r>
    <x v="0"/>
    <x v="0"/>
    <x v="0"/>
    <n v="10"/>
    <n v="10"/>
  </r>
  <r>
    <x v="0"/>
    <x v="0"/>
    <x v="1"/>
    <n v="95"/>
    <n v="95"/>
  </r>
  <r>
    <x v="0"/>
    <x v="0"/>
    <x v="2"/>
    <n v="17"/>
    <n v="17"/>
  </r>
  <r>
    <x v="0"/>
    <x v="0"/>
    <x v="0"/>
    <n v="32"/>
    <n v="32"/>
  </r>
  <r>
    <x v="0"/>
    <x v="0"/>
    <x v="1"/>
    <n v="98"/>
    <n v="98"/>
  </r>
  <r>
    <x v="0"/>
    <x v="0"/>
    <x v="2"/>
    <n v="28"/>
    <n v="28"/>
  </r>
  <r>
    <x v="0"/>
    <x v="0"/>
    <x v="0"/>
    <n v="9"/>
    <n v="9"/>
  </r>
  <r>
    <x v="0"/>
    <x v="0"/>
    <x v="1"/>
    <n v="80"/>
    <n v="80"/>
  </r>
  <r>
    <x v="0"/>
    <x v="0"/>
    <x v="2"/>
    <n v="23"/>
    <n v="23"/>
  </r>
  <r>
    <x v="0"/>
    <x v="1"/>
    <x v="1"/>
    <n v="1"/>
    <n v="1"/>
  </r>
  <r>
    <x v="0"/>
    <x v="1"/>
    <x v="2"/>
    <n v="1"/>
    <n v="1"/>
  </r>
  <r>
    <x v="0"/>
    <x v="0"/>
    <x v="0"/>
    <n v="14"/>
    <n v="14"/>
  </r>
  <r>
    <x v="0"/>
    <x v="0"/>
    <x v="1"/>
    <n v="84"/>
    <n v="84"/>
  </r>
  <r>
    <x v="0"/>
    <x v="0"/>
    <x v="2"/>
    <n v="18"/>
    <n v="18"/>
  </r>
  <r>
    <x v="0"/>
    <x v="0"/>
    <x v="0"/>
    <n v="1"/>
    <n v="1"/>
  </r>
  <r>
    <x v="0"/>
    <x v="0"/>
    <x v="1"/>
    <n v="41"/>
    <n v="41"/>
  </r>
  <r>
    <x v="0"/>
    <x v="0"/>
    <x v="2"/>
    <n v="4"/>
    <n v="4"/>
  </r>
  <r>
    <x v="0"/>
    <x v="1"/>
    <x v="0"/>
    <n v="4"/>
    <n v="4"/>
  </r>
  <r>
    <x v="0"/>
    <x v="1"/>
    <x v="1"/>
    <n v="101"/>
    <n v="101"/>
  </r>
  <r>
    <x v="0"/>
    <x v="1"/>
    <x v="2"/>
    <n v="1"/>
    <n v="1"/>
  </r>
  <r>
    <x v="0"/>
    <x v="0"/>
    <x v="0"/>
    <n v="18"/>
    <n v="18"/>
  </r>
  <r>
    <x v="0"/>
    <x v="0"/>
    <x v="1"/>
    <n v="31"/>
    <n v="31"/>
  </r>
  <r>
    <x v="0"/>
    <x v="0"/>
    <x v="2"/>
    <n v="18"/>
    <n v="18"/>
  </r>
  <r>
    <x v="0"/>
    <x v="0"/>
    <x v="0"/>
    <n v="3"/>
    <n v="3"/>
  </r>
  <r>
    <x v="0"/>
    <x v="0"/>
    <x v="1"/>
    <n v="5"/>
    <n v="5"/>
  </r>
  <r>
    <x v="0"/>
    <x v="0"/>
    <x v="2"/>
    <n v="1"/>
    <n v="1"/>
  </r>
  <r>
    <x v="0"/>
    <x v="0"/>
    <x v="0"/>
    <n v="1"/>
    <n v="1"/>
  </r>
  <r>
    <x v="0"/>
    <x v="0"/>
    <x v="1"/>
    <n v="3"/>
    <n v="3"/>
  </r>
  <r>
    <x v="0"/>
    <x v="0"/>
    <x v="0"/>
    <n v="21"/>
    <n v="21"/>
  </r>
  <r>
    <x v="0"/>
    <x v="0"/>
    <x v="1"/>
    <n v="137"/>
    <n v="137"/>
  </r>
  <r>
    <x v="0"/>
    <x v="0"/>
    <x v="2"/>
    <n v="21"/>
    <n v="21"/>
  </r>
  <r>
    <x v="0"/>
    <x v="0"/>
    <x v="0"/>
    <n v="11"/>
    <n v="11"/>
  </r>
  <r>
    <x v="0"/>
    <x v="0"/>
    <x v="1"/>
    <n v="85"/>
    <n v="85"/>
  </r>
  <r>
    <x v="0"/>
    <x v="0"/>
    <x v="2"/>
    <n v="8"/>
    <n v="8"/>
  </r>
  <r>
    <x v="1"/>
    <x v="0"/>
    <x v="0"/>
    <n v="11"/>
    <n v="11"/>
  </r>
  <r>
    <x v="1"/>
    <x v="0"/>
    <x v="1"/>
    <n v="86"/>
    <n v="86"/>
  </r>
  <r>
    <x v="1"/>
    <x v="0"/>
    <x v="2"/>
    <n v="8"/>
    <n v="8"/>
  </r>
  <r>
    <x v="1"/>
    <x v="2"/>
    <x v="0"/>
    <n v="19"/>
    <n v="19"/>
  </r>
  <r>
    <x v="1"/>
    <x v="2"/>
    <x v="1"/>
    <n v="108"/>
    <n v="108"/>
  </r>
  <r>
    <x v="1"/>
    <x v="2"/>
    <x v="2"/>
    <n v="6"/>
    <n v="6"/>
  </r>
  <r>
    <x v="2"/>
    <x v="0"/>
    <x v="0"/>
    <n v="34"/>
    <n v="34"/>
  </r>
  <r>
    <x v="2"/>
    <x v="0"/>
    <x v="1"/>
    <n v="180"/>
    <n v="180"/>
  </r>
  <r>
    <x v="2"/>
    <x v="0"/>
    <x v="2"/>
    <n v="38"/>
    <n v="38"/>
  </r>
  <r>
    <x v="2"/>
    <x v="3"/>
    <x v="0"/>
    <n v="8"/>
    <n v="8"/>
  </r>
  <r>
    <x v="2"/>
    <x v="3"/>
    <x v="1"/>
    <n v="35"/>
    <n v="35"/>
  </r>
  <r>
    <x v="3"/>
    <x v="0"/>
    <x v="0"/>
    <n v="25"/>
    <n v="25"/>
  </r>
  <r>
    <x v="3"/>
    <x v="0"/>
    <x v="1"/>
    <n v="101"/>
    <n v="101"/>
  </r>
  <r>
    <x v="3"/>
    <x v="0"/>
    <x v="2"/>
    <n v="15"/>
    <n v="15"/>
  </r>
  <r>
    <x v="3"/>
    <x v="4"/>
    <x v="1"/>
    <n v="3"/>
    <n v="3"/>
  </r>
  <r>
    <x v="3"/>
    <x v="4"/>
    <x v="2"/>
    <n v="1"/>
    <n v="1"/>
  </r>
  <r>
    <x v="4"/>
    <x v="0"/>
    <x v="0"/>
    <n v="235"/>
    <n v="235"/>
  </r>
  <r>
    <x v="4"/>
    <x v="0"/>
    <x v="1"/>
    <n v="916"/>
    <n v="916"/>
  </r>
  <r>
    <x v="4"/>
    <x v="0"/>
    <x v="2"/>
    <n v="211"/>
    <n v="211"/>
  </r>
  <r>
    <x v="4"/>
    <x v="4"/>
    <x v="0"/>
    <n v="2"/>
    <n v="2"/>
  </r>
  <r>
    <x v="4"/>
    <x v="4"/>
    <x v="1"/>
    <n v="93"/>
    <n v="93"/>
  </r>
  <r>
    <x v="4"/>
    <x v="4"/>
    <x v="2"/>
    <n v="6"/>
    <n v="6"/>
  </r>
  <r>
    <x v="5"/>
    <x v="0"/>
    <x v="0"/>
    <n v="10"/>
    <n v="10"/>
  </r>
  <r>
    <x v="5"/>
    <x v="0"/>
    <x v="1"/>
    <n v="71"/>
    <n v="71"/>
  </r>
  <r>
    <x v="5"/>
    <x v="0"/>
    <x v="2"/>
    <n v="7"/>
    <n v="7"/>
  </r>
  <r>
    <x v="6"/>
    <x v="0"/>
    <x v="0"/>
    <n v="44"/>
    <n v="44"/>
  </r>
  <r>
    <x v="6"/>
    <x v="0"/>
    <x v="1"/>
    <n v="198"/>
    <n v="198"/>
  </r>
  <r>
    <x v="6"/>
    <x v="0"/>
    <x v="2"/>
    <n v="34"/>
    <n v="34"/>
  </r>
  <r>
    <x v="6"/>
    <x v="5"/>
    <x v="0"/>
    <n v="2807"/>
    <n v="2807"/>
  </r>
  <r>
    <x v="6"/>
    <x v="5"/>
    <x v="1"/>
    <n v="16"/>
    <n v="16"/>
  </r>
  <r>
    <x v="6"/>
    <x v="6"/>
    <x v="0"/>
    <n v="226"/>
    <n v="226"/>
  </r>
  <r>
    <x v="6"/>
    <x v="6"/>
    <x v="1"/>
    <n v="5"/>
    <n v="5"/>
  </r>
  <r>
    <x v="6"/>
    <x v="2"/>
    <x v="0"/>
    <n v="10"/>
    <n v="10"/>
  </r>
  <r>
    <x v="6"/>
    <x v="2"/>
    <x v="1"/>
    <n v="100"/>
    <n v="100"/>
  </r>
  <r>
    <x v="6"/>
    <x v="2"/>
    <x v="2"/>
    <n v="9"/>
    <n v="9"/>
  </r>
  <r>
    <x v="6"/>
    <x v="7"/>
    <x v="0"/>
    <n v="240"/>
    <n v="240"/>
  </r>
  <r>
    <x v="6"/>
    <x v="7"/>
    <x v="1"/>
    <n v="7"/>
    <n v="7"/>
  </r>
  <r>
    <x v="2"/>
    <x v="0"/>
    <x v="0"/>
    <n v="108"/>
    <n v="108"/>
  </r>
  <r>
    <x v="2"/>
    <x v="0"/>
    <x v="1"/>
    <n v="363"/>
    <n v="363"/>
  </r>
  <r>
    <x v="2"/>
    <x v="0"/>
    <x v="2"/>
    <n v="116"/>
    <n v="116"/>
  </r>
  <r>
    <x v="2"/>
    <x v="4"/>
    <x v="0"/>
    <n v="2"/>
    <n v="2"/>
  </r>
  <r>
    <x v="2"/>
    <x v="4"/>
    <x v="1"/>
    <n v="13"/>
    <n v="13"/>
  </r>
  <r>
    <x v="3"/>
    <x v="0"/>
    <x v="1"/>
    <n v="1"/>
    <n v="1"/>
  </r>
  <r>
    <x v="3"/>
    <x v="4"/>
    <x v="0"/>
    <n v="11"/>
    <n v="11"/>
  </r>
  <r>
    <x v="3"/>
    <x v="4"/>
    <x v="1"/>
    <n v="133"/>
    <n v="133"/>
  </r>
  <r>
    <x v="3"/>
    <x v="4"/>
    <x v="2"/>
    <n v="11"/>
    <n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0:D47" firstHeaderRow="1" firstDataRow="2" firstDataCol="1"/>
  <pivotFields count="6"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dataField="1" numFmtId="2" showAll="0"/>
    <pivotField numFmtId="168" showAll="0"/>
    <pivotField numFmtId="164" showAll="0"/>
    <pivotField axis="axisCol" showAll="0">
      <items count="3">
        <item x="0"/>
        <item x="1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5"/>
  </colFields>
  <colItems count="3">
    <i>
      <x/>
    </i>
    <i>
      <x v="1"/>
    </i>
    <i t="grand">
      <x/>
    </i>
  </colItems>
  <dataFields count="1">
    <dataField name="Sum of Acres" fld="2" baseField="0" baseItem="0" numFmtId="2"/>
  </dataFields>
  <formats count="1">
    <format dxfId="1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400-000000000000}" name="PivotTable1" cacheId="1" applyNumberFormats="0" applyBorderFormats="0" applyFontFormats="0" applyPatternFormats="0" applyAlignmentFormats="0" applyWidthHeightFormats="1" dataCaption="Values" grandTotalCaption="Grand Total Acres" updatedVersion="5" minRefreshableVersion="3" useAutoFormatting="1" itemPrintTitles="1" createdVersion="5" indent="0" outline="1" outlineData="1" multipleFieldFilters="0">
  <location ref="A47:E54" firstHeaderRow="1" firstDataRow="2" firstDataCol="1"/>
  <pivotFields count="6"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axis="axisCol" showAll="0">
      <items count="4">
        <item n="Hatchet Creek 2009 Acres" x="0"/>
        <item n="Little Hatchet Creek 2009 Acres" x="1"/>
        <item n="Newnans Lake 2009 Acres" x="2"/>
        <item t="default"/>
      </items>
    </pivotField>
    <pivotField dataField="1" showAll="0">
      <items count="38">
        <item x="10"/>
        <item x="36"/>
        <item x="33"/>
        <item x="9"/>
        <item x="5"/>
        <item x="15"/>
        <item x="17"/>
        <item x="8"/>
        <item x="35"/>
        <item x="14"/>
        <item x="25"/>
        <item x="6"/>
        <item x="19"/>
        <item x="1"/>
        <item x="7"/>
        <item x="0"/>
        <item x="11"/>
        <item x="31"/>
        <item x="3"/>
        <item x="32"/>
        <item x="34"/>
        <item x="26"/>
        <item x="16"/>
        <item x="24"/>
        <item x="29"/>
        <item x="4"/>
        <item x="30"/>
        <item x="22"/>
        <item x="27"/>
        <item x="13"/>
        <item x="23"/>
        <item x="28"/>
        <item x="21"/>
        <item x="20"/>
        <item x="12"/>
        <item x="2"/>
        <item x="18"/>
        <item t="default"/>
      </items>
    </pivotField>
    <pivotField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um of Acres" fld="3" baseField="1" baseItem="0" numFmtId="2"/>
  </dataFields>
  <formats count="17">
    <format dxfId="16">
      <pivotArea outline="0" collapsedLevelsAreSubtotals="1" fieldPosition="0"/>
    </format>
    <format dxfId="15">
      <pivotArea collapsedLevelsAreSubtotals="1" fieldPosition="0">
        <references count="2">
          <reference field="1" count="1">
            <x v="0"/>
          </reference>
          <reference field="2" count="1" selected="0">
            <x v="0"/>
          </reference>
        </references>
      </pivotArea>
    </format>
    <format dxfId="14">
      <pivotArea dataOnly="0" labelOnly="1" fieldPosition="0">
        <references count="1">
          <reference field="2" count="1">
            <x v="0"/>
          </reference>
        </references>
      </pivotArea>
    </format>
    <format dxfId="13">
      <pivotArea dataOnly="0" labelOnly="1" fieldPosition="0">
        <references count="1">
          <reference field="2" count="1">
            <x v="0"/>
          </reference>
        </references>
      </pivotArea>
    </format>
    <format dxfId="12">
      <pivotArea dataOnly="0" labelOnly="1" fieldPosition="0">
        <references count="1">
          <reference field="2" count="1">
            <x v="1"/>
          </reference>
        </references>
      </pivotArea>
    </format>
    <format dxfId="11">
      <pivotArea dataOnly="0" labelOnly="1" fieldPosition="0">
        <references count="1">
          <reference field="2" count="1">
            <x v="1"/>
          </reference>
        </references>
      </pivotArea>
    </format>
    <format dxfId="10">
      <pivotArea dataOnly="0" labelOnly="1" fieldPosition="0">
        <references count="1">
          <reference field="2" count="1">
            <x v="1"/>
          </reference>
        </references>
      </pivotArea>
    </format>
    <format dxfId="9">
      <pivotArea dataOnly="0" labelOnly="1" fieldPosition="0">
        <references count="1">
          <reference field="2" count="1">
            <x v="2"/>
          </reference>
        </references>
      </pivotArea>
    </format>
    <format dxfId="8">
      <pivotArea dataOnly="0" labelOnly="1" fieldPosition="0">
        <references count="1">
          <reference field="2" count="1">
            <x v="2"/>
          </reference>
        </references>
      </pivotArea>
    </format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type="origin" dataOnly="0" labelOnly="1" outline="0" fieldPosition="0"/>
    </format>
    <format dxfId="4">
      <pivotArea field="2" type="button" dataOnly="0" labelOnly="1" outline="0" axis="axisCol" fieldPosition="0"/>
    </format>
    <format dxfId="3">
      <pivotArea type="topRight" dataOnly="0" labelOnly="1" outline="0" fieldPosition="0"/>
    </format>
    <format dxfId="2">
      <pivotArea field="1" type="button" dataOnly="0" labelOnly="1" outline="0" axis="axisRow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500-000000000000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I32" firstHeaderRow="1" firstDataRow="2" firstDataCol="1"/>
  <pivotFields count="5">
    <pivotField axis="axisCol" showAll="0">
      <items count="8">
        <item x="1"/>
        <item x="2"/>
        <item x="3"/>
        <item x="0"/>
        <item x="4"/>
        <item x="5"/>
        <item x="6"/>
        <item t="default"/>
      </items>
    </pivotField>
    <pivotField axis="axisRow" showAll="0">
      <items count="9">
        <item x="0"/>
        <item x="4"/>
        <item x="1"/>
        <item x="5"/>
        <item x="6"/>
        <item x="2"/>
        <item x="7"/>
        <item x="3"/>
        <item t="default"/>
      </items>
    </pivotField>
    <pivotField axis="axisRow" showAll="0">
      <items count="4">
        <item x="0"/>
        <item x="1"/>
        <item x="2"/>
        <item t="default"/>
      </items>
    </pivotField>
    <pivotField numFmtId="1" showAll="0"/>
    <pivotField dataField="1" numFmtId="1" showAll="0"/>
  </pivotFields>
  <rowFields count="2">
    <field x="1"/>
    <field x="2"/>
  </rowFields>
  <rowItems count="29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 r="1">
      <x v="2"/>
    </i>
    <i>
      <x v="6"/>
    </i>
    <i r="1">
      <x/>
    </i>
    <i r="1">
      <x v="1"/>
    </i>
    <i>
      <x v="7"/>
    </i>
    <i r="1">
      <x/>
    </i>
    <i r="1">
      <x v="1"/>
    </i>
    <i t="grand">
      <x/>
    </i>
  </rowItems>
  <colFields count="1">
    <field x="0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COUNT_WW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ivotTable" Target="../pivotTables/pivotTable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8"/>
  <sheetViews>
    <sheetView tabSelected="1" workbookViewId="0">
      <selection activeCell="E26" sqref="E26"/>
    </sheetView>
  </sheetViews>
  <sheetFormatPr defaultRowHeight="12.75" x14ac:dyDescent="0.2"/>
  <sheetData>
    <row r="2" spans="1:3" x14ac:dyDescent="0.2">
      <c r="A2" s="70" t="s">
        <v>266</v>
      </c>
      <c r="C2" s="81"/>
    </row>
    <row r="4" spans="1:3" x14ac:dyDescent="0.2">
      <c r="A4" s="19" t="s">
        <v>267</v>
      </c>
    </row>
    <row r="6" spans="1:3" x14ac:dyDescent="0.2">
      <c r="A6" s="19" t="s">
        <v>268</v>
      </c>
    </row>
    <row r="7" spans="1:3" x14ac:dyDescent="0.2">
      <c r="A7" s="19" t="s">
        <v>296</v>
      </c>
    </row>
    <row r="8" spans="1:3" x14ac:dyDescent="0.2">
      <c r="A8" s="19" t="s">
        <v>375</v>
      </c>
    </row>
    <row r="9" spans="1:3" x14ac:dyDescent="0.2">
      <c r="A9" s="19" t="s">
        <v>386</v>
      </c>
    </row>
    <row r="10" spans="1:3" x14ac:dyDescent="0.2">
      <c r="A10" s="19" t="s">
        <v>637</v>
      </c>
    </row>
    <row r="11" spans="1:3" x14ac:dyDescent="0.2">
      <c r="A11" s="19" t="s">
        <v>636</v>
      </c>
    </row>
    <row r="12" spans="1:3" x14ac:dyDescent="0.2">
      <c r="A12" s="19" t="s">
        <v>735</v>
      </c>
    </row>
    <row r="13" spans="1:3" x14ac:dyDescent="0.2">
      <c r="A13" s="19" t="s">
        <v>736</v>
      </c>
    </row>
    <row r="14" spans="1:3" x14ac:dyDescent="0.2">
      <c r="A14" s="19" t="s">
        <v>762</v>
      </c>
    </row>
    <row r="15" spans="1:3" x14ac:dyDescent="0.2">
      <c r="A15" s="19"/>
    </row>
    <row r="16" spans="1:3" x14ac:dyDescent="0.2">
      <c r="A16" s="19" t="s">
        <v>269</v>
      </c>
    </row>
    <row r="17" spans="1:1" x14ac:dyDescent="0.2">
      <c r="A17" s="19" t="s">
        <v>270</v>
      </c>
    </row>
    <row r="18" spans="1:1" x14ac:dyDescent="0.2">
      <c r="A18" s="19" t="s">
        <v>271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6"/>
  <sheetViews>
    <sheetView workbookViewId="0">
      <selection activeCell="A39" sqref="A39"/>
    </sheetView>
  </sheetViews>
  <sheetFormatPr defaultRowHeight="12.75" x14ac:dyDescent="0.2"/>
  <cols>
    <col min="1" max="1" width="30.7109375" customWidth="1"/>
    <col min="4" max="4" width="10" bestFit="1" customWidth="1"/>
    <col min="8" max="8" width="10.85546875" customWidth="1"/>
    <col min="9" max="9" width="13.140625" customWidth="1"/>
    <col min="10" max="10" width="19.140625" customWidth="1"/>
    <col min="11" max="11" width="14.140625" customWidth="1"/>
  </cols>
  <sheetData>
    <row r="1" spans="1:11" x14ac:dyDescent="0.2">
      <c r="A1" s="173" t="s">
        <v>263</v>
      </c>
    </row>
    <row r="2" spans="1:11" x14ac:dyDescent="0.2">
      <c r="A2" s="19" t="s">
        <v>185</v>
      </c>
    </row>
    <row r="3" spans="1:11" x14ac:dyDescent="0.2">
      <c r="A3" s="690" t="s">
        <v>186</v>
      </c>
      <c r="B3" s="690"/>
      <c r="C3" s="690"/>
      <c r="D3" s="690"/>
      <c r="E3" s="690"/>
      <c r="F3" s="690"/>
      <c r="G3" s="690"/>
      <c r="H3" s="690"/>
      <c r="I3" t="s">
        <v>737</v>
      </c>
      <c r="J3" t="s">
        <v>738</v>
      </c>
      <c r="K3" t="s">
        <v>740</v>
      </c>
    </row>
    <row r="4" spans="1:11" x14ac:dyDescent="0.2">
      <c r="A4" s="72"/>
      <c r="B4" s="689" t="s">
        <v>92</v>
      </c>
      <c r="C4" s="689"/>
      <c r="D4" s="689"/>
      <c r="E4" s="689"/>
      <c r="F4" s="689"/>
      <c r="G4" s="689"/>
      <c r="H4" s="689"/>
    </row>
    <row r="5" spans="1:11" x14ac:dyDescent="0.2">
      <c r="A5" s="328" t="s">
        <v>91</v>
      </c>
      <c r="B5" s="329">
        <v>1995</v>
      </c>
      <c r="C5" s="329">
        <v>1996</v>
      </c>
      <c r="D5" s="329">
        <v>1997</v>
      </c>
      <c r="E5" s="329">
        <v>1998</v>
      </c>
      <c r="F5" s="329">
        <v>1999</v>
      </c>
      <c r="G5" s="329">
        <v>2000</v>
      </c>
      <c r="H5" s="95" t="s">
        <v>46</v>
      </c>
    </row>
    <row r="6" spans="1:11" x14ac:dyDescent="0.2">
      <c r="A6" s="159" t="s">
        <v>739</v>
      </c>
      <c r="B6" s="72">
        <v>291</v>
      </c>
      <c r="C6" s="72">
        <v>292</v>
      </c>
      <c r="D6" s="72">
        <v>437</v>
      </c>
      <c r="E6" s="72">
        <v>227</v>
      </c>
      <c r="F6" s="72">
        <v>194</v>
      </c>
      <c r="G6" s="72">
        <v>16</v>
      </c>
      <c r="H6" s="332">
        <f>AVERAGE(B6:G6)</f>
        <v>242.83333333333334</v>
      </c>
      <c r="I6" s="21">
        <f>H6/2.2046</f>
        <v>110.14847742598809</v>
      </c>
      <c r="J6">
        <v>273</v>
      </c>
      <c r="K6" s="21">
        <f t="shared" ref="K6:K15" si="0">I6+I20</f>
        <v>272.61181166651545</v>
      </c>
    </row>
    <row r="7" spans="1:11" x14ac:dyDescent="0.2">
      <c r="A7" s="159" t="s">
        <v>43</v>
      </c>
      <c r="B7" s="72">
        <v>3</v>
      </c>
      <c r="C7" s="72">
        <v>3</v>
      </c>
      <c r="D7" s="72">
        <v>5</v>
      </c>
      <c r="E7" s="72">
        <v>2</v>
      </c>
      <c r="F7" s="72">
        <v>2</v>
      </c>
      <c r="G7" s="72">
        <v>0</v>
      </c>
      <c r="H7" s="332">
        <f t="shared" ref="H7:H15" si="1">AVERAGE(B7:G7)</f>
        <v>2.5</v>
      </c>
      <c r="I7" s="21">
        <f t="shared" ref="I7:I16" si="2">H7/2.2046</f>
        <v>1.1339925610087997</v>
      </c>
      <c r="J7">
        <v>44</v>
      </c>
      <c r="K7" s="21">
        <f t="shared" si="0"/>
        <v>43.772112854939671</v>
      </c>
    </row>
    <row r="8" spans="1:11" x14ac:dyDescent="0.2">
      <c r="A8" s="159" t="s">
        <v>27</v>
      </c>
      <c r="B8" s="72">
        <v>329</v>
      </c>
      <c r="C8" s="72">
        <v>330</v>
      </c>
      <c r="D8" s="72">
        <v>493</v>
      </c>
      <c r="E8" s="72">
        <v>256</v>
      </c>
      <c r="F8" s="72">
        <v>219</v>
      </c>
      <c r="G8" s="72">
        <v>18</v>
      </c>
      <c r="H8" s="332">
        <f t="shared" si="1"/>
        <v>274.16666666666669</v>
      </c>
      <c r="I8" s="21">
        <f t="shared" si="2"/>
        <v>124.36118419063172</v>
      </c>
      <c r="J8">
        <v>2715</v>
      </c>
      <c r="K8" s="21">
        <f t="shared" si="0"/>
        <v>2714.7025915509994</v>
      </c>
    </row>
    <row r="9" spans="1:11" x14ac:dyDescent="0.2">
      <c r="A9" s="159" t="s">
        <v>34</v>
      </c>
      <c r="B9" s="72">
        <v>29</v>
      </c>
      <c r="C9" s="72">
        <v>29</v>
      </c>
      <c r="D9" s="72">
        <v>43</v>
      </c>
      <c r="E9" s="72">
        <v>22</v>
      </c>
      <c r="F9" s="72">
        <v>19</v>
      </c>
      <c r="G9" s="72">
        <v>2</v>
      </c>
      <c r="H9" s="332">
        <f t="shared" si="1"/>
        <v>24</v>
      </c>
      <c r="I9" s="21">
        <f t="shared" si="2"/>
        <v>10.886328585684478</v>
      </c>
      <c r="J9">
        <v>199</v>
      </c>
      <c r="K9" s="21">
        <f t="shared" si="0"/>
        <v>200.56548429042306</v>
      </c>
    </row>
    <row r="10" spans="1:11" x14ac:dyDescent="0.2">
      <c r="A10" s="159" t="s">
        <v>35</v>
      </c>
      <c r="B10" s="72">
        <v>22</v>
      </c>
      <c r="C10" s="72">
        <v>22</v>
      </c>
      <c r="D10" s="72">
        <v>32</v>
      </c>
      <c r="E10" s="72">
        <v>17</v>
      </c>
      <c r="F10" s="72">
        <v>14</v>
      </c>
      <c r="G10" s="72">
        <v>1</v>
      </c>
      <c r="H10" s="332">
        <f t="shared" si="1"/>
        <v>18</v>
      </c>
      <c r="I10" s="21">
        <f t="shared" si="2"/>
        <v>8.1647464392633573</v>
      </c>
      <c r="J10">
        <v>84</v>
      </c>
      <c r="K10" s="21">
        <f t="shared" si="0"/>
        <v>84.444646043121949</v>
      </c>
    </row>
    <row r="11" spans="1:11" x14ac:dyDescent="0.2">
      <c r="A11" s="159" t="s">
        <v>36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332">
        <f t="shared" si="1"/>
        <v>0</v>
      </c>
      <c r="I11" s="21">
        <f t="shared" si="2"/>
        <v>0</v>
      </c>
      <c r="J11">
        <v>2</v>
      </c>
      <c r="K11" s="21">
        <f t="shared" si="0"/>
        <v>1.8899876016813331</v>
      </c>
    </row>
    <row r="12" spans="1:11" x14ac:dyDescent="0.2">
      <c r="A12" s="159" t="s">
        <v>93</v>
      </c>
      <c r="B12" s="72">
        <v>9</v>
      </c>
      <c r="C12" s="72">
        <v>9</v>
      </c>
      <c r="D12" s="72">
        <v>14</v>
      </c>
      <c r="E12" s="72">
        <v>7</v>
      </c>
      <c r="F12" s="72">
        <v>6</v>
      </c>
      <c r="G12" s="72">
        <v>1</v>
      </c>
      <c r="H12" s="332">
        <f t="shared" si="1"/>
        <v>7.666666666666667</v>
      </c>
      <c r="I12" s="21">
        <f t="shared" si="2"/>
        <v>3.4775771870936527</v>
      </c>
      <c r="J12">
        <v>95</v>
      </c>
      <c r="K12" s="21">
        <f t="shared" si="0"/>
        <v>94.952977108470165</v>
      </c>
    </row>
    <row r="13" spans="1:11" x14ac:dyDescent="0.2">
      <c r="A13" s="159" t="s">
        <v>33</v>
      </c>
      <c r="B13" s="72">
        <v>6</v>
      </c>
      <c r="C13" s="72">
        <v>6</v>
      </c>
      <c r="D13" s="72">
        <v>9</v>
      </c>
      <c r="E13" s="72">
        <v>5</v>
      </c>
      <c r="F13" s="72">
        <v>4</v>
      </c>
      <c r="G13" s="72">
        <v>0</v>
      </c>
      <c r="H13" s="332">
        <f t="shared" si="1"/>
        <v>5</v>
      </c>
      <c r="I13" s="21">
        <f t="shared" si="2"/>
        <v>2.2679851220175995</v>
      </c>
      <c r="J13">
        <v>11</v>
      </c>
      <c r="K13" s="21">
        <f t="shared" si="0"/>
        <v>10.96192808975173</v>
      </c>
    </row>
    <row r="14" spans="1:11" x14ac:dyDescent="0.2">
      <c r="A14" s="159" t="s">
        <v>94</v>
      </c>
      <c r="B14" s="72">
        <v>940</v>
      </c>
      <c r="C14" s="72">
        <v>943</v>
      </c>
      <c r="D14" s="72">
        <v>1411</v>
      </c>
      <c r="E14" s="72">
        <v>731</v>
      </c>
      <c r="F14" s="72">
        <v>626</v>
      </c>
      <c r="G14" s="72">
        <v>51</v>
      </c>
      <c r="H14" s="332">
        <f t="shared" si="1"/>
        <v>783.66666666666663</v>
      </c>
      <c r="I14" s="21">
        <f t="shared" si="2"/>
        <v>355.46886812422508</v>
      </c>
      <c r="J14">
        <v>1514</v>
      </c>
      <c r="K14" s="21">
        <f t="shared" si="0"/>
        <v>1514.3336659711513</v>
      </c>
    </row>
    <row r="15" spans="1:11" x14ac:dyDescent="0.2">
      <c r="A15" s="159" t="s">
        <v>37</v>
      </c>
      <c r="B15" s="72">
        <v>7</v>
      </c>
      <c r="C15" s="72">
        <v>8</v>
      </c>
      <c r="D15" s="72">
        <v>11</v>
      </c>
      <c r="E15" s="72">
        <v>6</v>
      </c>
      <c r="F15" s="72">
        <v>5</v>
      </c>
      <c r="G15" s="72">
        <v>0</v>
      </c>
      <c r="H15" s="332">
        <f t="shared" si="1"/>
        <v>6.166666666666667</v>
      </c>
      <c r="I15" s="21">
        <f t="shared" si="2"/>
        <v>2.7971816504883726</v>
      </c>
      <c r="J15">
        <v>177</v>
      </c>
      <c r="K15" s="21">
        <f t="shared" si="0"/>
        <v>191.5691433064199</v>
      </c>
    </row>
    <row r="16" spans="1:11" x14ac:dyDescent="0.2">
      <c r="A16" s="288" t="s">
        <v>132</v>
      </c>
      <c r="B16" s="330"/>
      <c r="C16" s="330"/>
      <c r="D16" s="330"/>
      <c r="E16" s="330"/>
      <c r="F16" s="330"/>
      <c r="G16" s="330"/>
      <c r="H16" s="331">
        <f>SUM(H6:H15)</f>
        <v>1364</v>
      </c>
      <c r="I16" s="21">
        <f t="shared" si="2"/>
        <v>618.70634128640108</v>
      </c>
    </row>
    <row r="17" spans="1:11" x14ac:dyDescent="0.2">
      <c r="A17" s="72"/>
      <c r="B17" s="72"/>
      <c r="C17" s="72"/>
      <c r="D17" s="72"/>
      <c r="E17" s="72"/>
      <c r="F17" s="72"/>
      <c r="G17" s="72"/>
      <c r="H17" s="151"/>
      <c r="I17" s="21"/>
    </row>
    <row r="18" spans="1:11" x14ac:dyDescent="0.2">
      <c r="A18" s="72"/>
      <c r="B18" s="689" t="s">
        <v>92</v>
      </c>
      <c r="C18" s="689"/>
      <c r="D18" s="689"/>
      <c r="E18" s="689"/>
      <c r="F18" s="689"/>
      <c r="G18" s="689"/>
      <c r="H18" s="689"/>
      <c r="I18" s="21"/>
    </row>
    <row r="19" spans="1:11" x14ac:dyDescent="0.2">
      <c r="A19" s="328" t="s">
        <v>95</v>
      </c>
      <c r="B19" s="329">
        <v>1995</v>
      </c>
      <c r="C19" s="329">
        <v>1996</v>
      </c>
      <c r="D19" s="329">
        <v>1997</v>
      </c>
      <c r="E19" s="329">
        <v>1998</v>
      </c>
      <c r="F19" s="329">
        <v>1999</v>
      </c>
      <c r="G19" s="329">
        <v>2000</v>
      </c>
      <c r="H19" s="95" t="s">
        <v>46</v>
      </c>
      <c r="I19" s="21"/>
    </row>
    <row r="20" spans="1:11" x14ac:dyDescent="0.2">
      <c r="A20" s="159" t="s">
        <v>739</v>
      </c>
      <c r="B20" s="72">
        <v>430</v>
      </c>
      <c r="C20" s="72">
        <v>431</v>
      </c>
      <c r="D20" s="72">
        <v>645</v>
      </c>
      <c r="E20" s="72">
        <v>334</v>
      </c>
      <c r="F20" s="72">
        <v>286</v>
      </c>
      <c r="G20" s="72">
        <v>23</v>
      </c>
      <c r="H20" s="331">
        <f>AVERAGE(B20:G20)</f>
        <v>358.16666666666669</v>
      </c>
      <c r="I20" s="21">
        <f t="shared" ref="I20:I30" si="3">H20/2.2046</f>
        <v>162.46333424052739</v>
      </c>
    </row>
    <row r="21" spans="1:11" x14ac:dyDescent="0.2">
      <c r="A21" s="159" t="s">
        <v>43</v>
      </c>
      <c r="B21" s="72">
        <v>113</v>
      </c>
      <c r="C21" s="72">
        <v>113</v>
      </c>
      <c r="D21" s="72">
        <v>169</v>
      </c>
      <c r="E21" s="72">
        <v>88</v>
      </c>
      <c r="F21" s="72">
        <v>75</v>
      </c>
      <c r="G21" s="72">
        <v>6</v>
      </c>
      <c r="H21" s="331">
        <f t="shared" ref="H21:H29" si="4">AVERAGE(B21:G21)</f>
        <v>94</v>
      </c>
      <c r="I21" s="21">
        <f t="shared" si="3"/>
        <v>42.638120293930868</v>
      </c>
    </row>
    <row r="22" spans="1:11" x14ac:dyDescent="0.2">
      <c r="A22" s="159" t="s">
        <v>27</v>
      </c>
      <c r="B22" s="72">
        <v>6852</v>
      </c>
      <c r="C22" s="72">
        <v>6872</v>
      </c>
      <c r="D22" s="72">
        <v>10283</v>
      </c>
      <c r="E22" s="72">
        <v>5329</v>
      </c>
      <c r="F22" s="72">
        <v>4561</v>
      </c>
      <c r="G22" s="72">
        <v>367</v>
      </c>
      <c r="H22" s="331">
        <f t="shared" si="4"/>
        <v>5710.666666666667</v>
      </c>
      <c r="I22" s="21">
        <f t="shared" si="3"/>
        <v>2590.3414073603676</v>
      </c>
    </row>
    <row r="23" spans="1:11" x14ac:dyDescent="0.2">
      <c r="A23" s="159" t="s">
        <v>34</v>
      </c>
      <c r="B23" s="72">
        <v>502</v>
      </c>
      <c r="C23" s="72">
        <v>503</v>
      </c>
      <c r="D23" s="72">
        <v>753</v>
      </c>
      <c r="E23" s="72">
        <v>390</v>
      </c>
      <c r="F23" s="72">
        <v>334</v>
      </c>
      <c r="G23" s="72">
        <v>27</v>
      </c>
      <c r="H23" s="331">
        <f t="shared" si="4"/>
        <v>418.16666666666669</v>
      </c>
      <c r="I23" s="21">
        <f t="shared" si="3"/>
        <v>189.67915570473858</v>
      </c>
    </row>
    <row r="24" spans="1:11" x14ac:dyDescent="0.2">
      <c r="A24" s="159" t="s">
        <v>35</v>
      </c>
      <c r="B24" s="72">
        <v>202</v>
      </c>
      <c r="C24" s="72">
        <v>202</v>
      </c>
      <c r="D24" s="72">
        <v>303</v>
      </c>
      <c r="E24" s="72">
        <v>157</v>
      </c>
      <c r="F24" s="72">
        <v>134</v>
      </c>
      <c r="G24" s="72">
        <v>11</v>
      </c>
      <c r="H24" s="331">
        <f t="shared" si="4"/>
        <v>168.16666666666666</v>
      </c>
      <c r="I24" s="21">
        <f t="shared" si="3"/>
        <v>76.279899603858595</v>
      </c>
    </row>
    <row r="25" spans="1:11" x14ac:dyDescent="0.2">
      <c r="A25" s="159" t="s">
        <v>36</v>
      </c>
      <c r="B25" s="72">
        <v>5</v>
      </c>
      <c r="C25" s="72">
        <v>5</v>
      </c>
      <c r="D25" s="72">
        <v>8</v>
      </c>
      <c r="E25" s="72">
        <v>4</v>
      </c>
      <c r="F25" s="72">
        <v>3</v>
      </c>
      <c r="G25" s="72">
        <v>0</v>
      </c>
      <c r="H25" s="331">
        <f t="shared" si="4"/>
        <v>4.166666666666667</v>
      </c>
      <c r="I25" s="21">
        <f t="shared" si="3"/>
        <v>1.8899876016813331</v>
      </c>
    </row>
    <row r="26" spans="1:11" x14ac:dyDescent="0.2">
      <c r="A26" s="159" t="s">
        <v>93</v>
      </c>
      <c r="B26" s="72">
        <v>242</v>
      </c>
      <c r="C26" s="72">
        <v>243</v>
      </c>
      <c r="D26" s="72">
        <v>363</v>
      </c>
      <c r="E26" s="72">
        <v>188</v>
      </c>
      <c r="F26" s="72">
        <v>161</v>
      </c>
      <c r="G26" s="72">
        <v>13</v>
      </c>
      <c r="H26" s="331">
        <f t="shared" si="4"/>
        <v>201.66666666666666</v>
      </c>
      <c r="I26" s="21">
        <f t="shared" si="3"/>
        <v>91.475399921376507</v>
      </c>
    </row>
    <row r="27" spans="1:11" x14ac:dyDescent="0.2">
      <c r="A27" s="159" t="s">
        <v>33</v>
      </c>
      <c r="B27" s="72">
        <v>23</v>
      </c>
      <c r="C27" s="72">
        <v>23</v>
      </c>
      <c r="D27" s="72">
        <v>35</v>
      </c>
      <c r="E27" s="72">
        <v>18</v>
      </c>
      <c r="F27" s="72">
        <v>15</v>
      </c>
      <c r="G27" s="72">
        <v>1</v>
      </c>
      <c r="H27" s="331">
        <f t="shared" si="4"/>
        <v>19.166666666666668</v>
      </c>
      <c r="I27" s="21">
        <f t="shared" si="3"/>
        <v>8.6939429677341309</v>
      </c>
    </row>
    <row r="28" spans="1:11" x14ac:dyDescent="0.2">
      <c r="A28" s="159" t="s">
        <v>94</v>
      </c>
      <c r="B28" s="72">
        <v>3066</v>
      </c>
      <c r="C28" s="72">
        <v>3074</v>
      </c>
      <c r="D28" s="72">
        <v>4600</v>
      </c>
      <c r="E28" s="72">
        <v>2384</v>
      </c>
      <c r="F28" s="72">
        <v>2040</v>
      </c>
      <c r="G28" s="72">
        <v>165</v>
      </c>
      <c r="H28" s="331">
        <f t="shared" si="4"/>
        <v>2554.8333333333335</v>
      </c>
      <c r="I28" s="21">
        <f t="shared" si="3"/>
        <v>1158.8647978469262</v>
      </c>
    </row>
    <row r="29" spans="1:11" x14ac:dyDescent="0.2">
      <c r="A29" s="159" t="s">
        <v>37</v>
      </c>
      <c r="B29" s="72">
        <v>500</v>
      </c>
      <c r="C29" s="72">
        <v>501</v>
      </c>
      <c r="D29" s="72">
        <v>749</v>
      </c>
      <c r="E29" s="72">
        <v>388</v>
      </c>
      <c r="F29" s="72">
        <v>332</v>
      </c>
      <c r="G29" s="72">
        <v>27</v>
      </c>
      <c r="H29" s="331">
        <f t="shared" si="4"/>
        <v>416.16666666666669</v>
      </c>
      <c r="I29" s="21">
        <f t="shared" si="3"/>
        <v>188.77196165593153</v>
      </c>
    </row>
    <row r="30" spans="1:11" x14ac:dyDescent="0.2">
      <c r="A30" s="288" t="s">
        <v>132</v>
      </c>
      <c r="B30" s="330"/>
      <c r="C30" s="330"/>
      <c r="D30" s="330"/>
      <c r="E30" s="330"/>
      <c r="F30" s="330"/>
      <c r="G30" s="330"/>
      <c r="H30" s="331">
        <f>SUM(H20:H29)</f>
        <v>9945.1666666666679</v>
      </c>
      <c r="I30" s="21">
        <f t="shared" si="3"/>
        <v>4511.0980071970735</v>
      </c>
      <c r="K30" s="19"/>
    </row>
    <row r="32" spans="1:11" x14ac:dyDescent="0.2">
      <c r="A32" s="19" t="s">
        <v>210</v>
      </c>
      <c r="B32" s="71">
        <f>H16+H30</f>
        <v>11309.166666666668</v>
      </c>
    </row>
    <row r="34" spans="1:13" x14ac:dyDescent="0.2">
      <c r="H34" s="19"/>
      <c r="I34" s="19"/>
    </row>
    <row r="35" spans="1:13" x14ac:dyDescent="0.2">
      <c r="A35" s="19"/>
      <c r="L35" s="82"/>
      <c r="M35" s="19"/>
    </row>
    <row r="36" spans="1:13" x14ac:dyDescent="0.2">
      <c r="A36" s="19"/>
      <c r="L36" s="81"/>
      <c r="M36" s="19"/>
    </row>
  </sheetData>
  <mergeCells count="3">
    <mergeCell ref="B4:H4"/>
    <mergeCell ref="B18:H18"/>
    <mergeCell ref="A3:H3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4"/>
  <sheetViews>
    <sheetView topLeftCell="I1" workbookViewId="0">
      <selection activeCell="C7" sqref="C7"/>
    </sheetView>
  </sheetViews>
  <sheetFormatPr defaultRowHeight="12.75" x14ac:dyDescent="0.2"/>
  <cols>
    <col min="1" max="1" width="16.5703125" customWidth="1"/>
    <col min="2" max="2" width="16.140625" customWidth="1"/>
    <col min="3" max="3" width="16.5703125" customWidth="1"/>
    <col min="4" max="4" width="15.42578125" customWidth="1"/>
    <col min="5" max="5" width="13.7109375" customWidth="1"/>
    <col min="6" max="6" width="14.7109375" customWidth="1"/>
    <col min="7" max="7" width="15.140625" customWidth="1"/>
    <col min="8" max="9" width="14.85546875" customWidth="1"/>
    <col min="10" max="10" width="15" customWidth="1"/>
    <col min="11" max="11" width="13.28515625" customWidth="1"/>
    <col min="12" max="12" width="13.42578125" customWidth="1"/>
    <col min="13" max="13" width="13.28515625" customWidth="1"/>
    <col min="14" max="14" width="13" customWidth="1"/>
    <col min="15" max="15" width="15.140625" customWidth="1"/>
    <col min="16" max="16" width="14.42578125" customWidth="1"/>
    <col min="17" max="17" width="13.85546875" customWidth="1"/>
    <col min="18" max="18" width="15" customWidth="1"/>
    <col min="19" max="19" width="15.5703125" customWidth="1"/>
    <col min="20" max="20" width="13.85546875" customWidth="1"/>
  </cols>
  <sheetData>
    <row r="1" spans="1:20" ht="45.75" customHeight="1" x14ac:dyDescent="0.2">
      <c r="B1" s="691" t="s">
        <v>381</v>
      </c>
      <c r="C1" s="692"/>
      <c r="D1" s="692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4"/>
      <c r="S1" s="695"/>
      <c r="T1" s="352"/>
    </row>
    <row r="2" spans="1:20" ht="76.5" customHeight="1" x14ac:dyDescent="0.2">
      <c r="A2" s="351" t="s">
        <v>298</v>
      </c>
      <c r="B2" s="376" t="s">
        <v>301</v>
      </c>
      <c r="C2" s="359" t="s">
        <v>299</v>
      </c>
      <c r="D2" s="359" t="s">
        <v>300</v>
      </c>
      <c r="E2" s="359" t="s">
        <v>314</v>
      </c>
      <c r="F2" s="359" t="s">
        <v>309</v>
      </c>
      <c r="G2" s="359" t="s">
        <v>310</v>
      </c>
      <c r="H2" s="359" t="s">
        <v>311</v>
      </c>
      <c r="I2" s="359" t="s">
        <v>312</v>
      </c>
      <c r="J2" s="359" t="s">
        <v>313</v>
      </c>
      <c r="K2" s="359" t="s">
        <v>303</v>
      </c>
      <c r="L2" s="359" t="s">
        <v>304</v>
      </c>
      <c r="M2" s="359" t="s">
        <v>305</v>
      </c>
      <c r="N2" s="359" t="s">
        <v>306</v>
      </c>
      <c r="O2" s="359" t="s">
        <v>307</v>
      </c>
      <c r="P2" s="359" t="s">
        <v>308</v>
      </c>
      <c r="Q2" s="359" t="s">
        <v>302</v>
      </c>
      <c r="R2" s="359" t="s">
        <v>315</v>
      </c>
      <c r="S2" s="359" t="s">
        <v>316</v>
      </c>
      <c r="T2" s="359" t="s">
        <v>317</v>
      </c>
    </row>
    <row r="3" spans="1:20" x14ac:dyDescent="0.2">
      <c r="A3" s="72" t="s">
        <v>62</v>
      </c>
      <c r="B3" s="157">
        <f>'Orange Lake LU'!C9</f>
        <v>15.0084581388</v>
      </c>
      <c r="C3" s="121">
        <f>'Orange Lake LU'!E9</f>
        <v>6.8938492819921496E-2</v>
      </c>
      <c r="D3" s="120">
        <f>C3*'Orange Lake BMAP'!E$9</f>
        <v>6.4802183250726202</v>
      </c>
      <c r="E3" s="157">
        <f>'Orange Lake LU'!C7</f>
        <v>697.90376733100004</v>
      </c>
      <c r="F3" s="121">
        <f>'Orange Lake LU'!E7</f>
        <v>8.5321331776393575E-2</v>
      </c>
      <c r="G3" s="131">
        <f>'Orange Lake BMAP'!E$10*F3</f>
        <v>35.678536904495246</v>
      </c>
      <c r="H3" s="157">
        <f>'Orange Lake LU'!C8</f>
        <v>15.1785611255</v>
      </c>
      <c r="I3" s="121">
        <v>3.6999999999999998E-2</v>
      </c>
      <c r="J3" s="120">
        <f>'Orange Lake BMAP'!E$11*'Orange Lake education credits'!I3</f>
        <v>6.2221666666666664</v>
      </c>
      <c r="K3" s="157">
        <f>'Orange Lake LU'!C6</f>
        <v>13.948468413400001</v>
      </c>
      <c r="L3" s="121">
        <f>'Orange Lake LU'!E6</f>
        <v>2.6589464898671488E-2</v>
      </c>
      <c r="M3" s="120">
        <f>L3*'Orange Lake BMAP'!E$12</f>
        <v>0.11078943707779787</v>
      </c>
      <c r="N3" s="157">
        <f>'Orange Lake LU'!C10</f>
        <v>1.4202213429499999</v>
      </c>
      <c r="O3" s="121">
        <f>'Orange Lake LU'!E10</f>
        <v>8.0000000000000002E-3</v>
      </c>
      <c r="P3" s="120">
        <f>O3*'Orange Lake BMAP'!E$13</f>
        <v>5.6000000000000001E-2</v>
      </c>
      <c r="Q3" s="127" t="s">
        <v>128</v>
      </c>
      <c r="R3" s="140" t="s">
        <v>128</v>
      </c>
      <c r="S3" s="127" t="s">
        <v>128</v>
      </c>
      <c r="T3" s="200">
        <f>D3+G3+J3+M3+P3</f>
        <v>48.547711333312328</v>
      </c>
    </row>
    <row r="4" spans="1:20" x14ac:dyDescent="0.2">
      <c r="A4" s="159" t="s">
        <v>119</v>
      </c>
      <c r="B4" s="127" t="s">
        <v>128</v>
      </c>
      <c r="C4" s="127" t="s">
        <v>128</v>
      </c>
      <c r="D4" s="356" t="s">
        <v>128</v>
      </c>
      <c r="E4" s="127" t="s">
        <v>128</v>
      </c>
      <c r="F4" s="121"/>
      <c r="G4" s="341"/>
      <c r="H4" s="127" t="s">
        <v>128</v>
      </c>
      <c r="I4" s="140" t="s">
        <v>128</v>
      </c>
      <c r="J4" s="120"/>
      <c r="K4" s="127" t="s">
        <v>128</v>
      </c>
      <c r="L4" s="121"/>
      <c r="M4" s="120"/>
      <c r="N4" s="127" t="s">
        <v>128</v>
      </c>
      <c r="O4" s="140" t="s">
        <v>128</v>
      </c>
      <c r="P4" s="122" t="s">
        <v>128</v>
      </c>
      <c r="Q4" s="157">
        <f>'Orange Lake LU'!C13</f>
        <v>72.549159808200002</v>
      </c>
      <c r="R4" s="121">
        <f>'Orange Lake LU'!E13</f>
        <v>8.9812159962319449E-2</v>
      </c>
      <c r="S4" s="120">
        <v>18</v>
      </c>
      <c r="T4" s="200">
        <f>S4</f>
        <v>18</v>
      </c>
    </row>
    <row r="5" spans="1:20" x14ac:dyDescent="0.2">
      <c r="A5" s="159" t="s">
        <v>139</v>
      </c>
      <c r="B5" s="127" t="s">
        <v>128</v>
      </c>
      <c r="C5" s="127" t="s">
        <v>128</v>
      </c>
      <c r="D5" s="356" t="s">
        <v>128</v>
      </c>
      <c r="E5" s="127" t="s">
        <v>128</v>
      </c>
      <c r="F5" s="121"/>
      <c r="G5" s="341"/>
      <c r="H5" s="127" t="s">
        <v>128</v>
      </c>
      <c r="I5" s="140" t="s">
        <v>128</v>
      </c>
      <c r="J5" s="120"/>
      <c r="K5" s="127" t="s">
        <v>128</v>
      </c>
      <c r="L5" s="121"/>
      <c r="M5" s="120"/>
      <c r="N5" s="127" t="s">
        <v>128</v>
      </c>
      <c r="O5" s="140" t="s">
        <v>128</v>
      </c>
      <c r="P5" s="122" t="s">
        <v>128</v>
      </c>
      <c r="Q5" s="157">
        <f>'Orange Lake LU'!C14</f>
        <v>689.07791322599996</v>
      </c>
      <c r="R5" s="121">
        <f>'Orange Lake LU'!E14</f>
        <v>0.85304331480569162</v>
      </c>
      <c r="S5" s="120">
        <f>R5*'Orange Lake BMAP'!E$14</f>
        <v>172.03040181914781</v>
      </c>
      <c r="T5" s="200">
        <f>S5</f>
        <v>172.03040181914781</v>
      </c>
    </row>
    <row r="6" spans="1:20" x14ac:dyDescent="0.2">
      <c r="A6" s="159" t="s">
        <v>140</v>
      </c>
      <c r="B6" s="157">
        <f>'Orange Lake LU'!C19</f>
        <v>191.95335717</v>
      </c>
      <c r="C6" s="121">
        <f>'Orange Lake LU'!E19</f>
        <v>0.88170117491952094</v>
      </c>
      <c r="D6" s="120">
        <f>C6*'Orange Lake BMAP'!E$9</f>
        <v>82.879910442434962</v>
      </c>
      <c r="E6" s="377">
        <f>'Orange Lake LU'!C17</f>
        <v>6802.71058928</v>
      </c>
      <c r="F6" s="121">
        <f>'Orange Lake LU'!E17</f>
        <v>0.83146534846648901</v>
      </c>
      <c r="G6" s="131">
        <f>'Orange Lake BMAP'!E$10*F6</f>
        <v>347.69109321707015</v>
      </c>
      <c r="H6" s="157">
        <f>'Orange Lake LU'!C18</f>
        <v>247.84207916700001</v>
      </c>
      <c r="I6" s="121">
        <f>'Orange Lake LU'!E18</f>
        <v>0.61289591706792046</v>
      </c>
      <c r="J6" s="120">
        <f>'Orange Lake BMAP'!E$11*'Orange Lake education credits'!I6</f>
        <v>103.06866338692195</v>
      </c>
      <c r="K6" s="157">
        <f>'Orange Lake LU'!C16</f>
        <v>458.04242434600002</v>
      </c>
      <c r="L6" s="121">
        <f>'Orange Lake LU'!E16</f>
        <v>0.87314984006058682</v>
      </c>
      <c r="M6" s="120">
        <f>L6*'Orange Lake BMAP'!E$12</f>
        <v>3.6381243335857785</v>
      </c>
      <c r="N6" s="157">
        <f>'Orange Lake LU'!C20</f>
        <v>183.351168234</v>
      </c>
      <c r="O6" s="121">
        <f>'Orange Lake LU'!E20</f>
        <v>0.99199999999999999</v>
      </c>
      <c r="P6" s="120">
        <f>O6*'Orange Lake BMAP'!E$13</f>
        <v>6.944</v>
      </c>
      <c r="Q6" s="157">
        <f>'Orange Lake LU'!C15</f>
        <v>46.160645674199998</v>
      </c>
      <c r="R6" s="121">
        <f>'Orange Lake LU'!E15</f>
        <v>5.7144525232483999E-2</v>
      </c>
      <c r="S6" s="120">
        <v>12</v>
      </c>
      <c r="T6" s="200">
        <f>D6+G6+J6+M6+P6+S6</f>
        <v>556.22179138001275</v>
      </c>
    </row>
    <row r="7" spans="1:20" x14ac:dyDescent="0.2">
      <c r="A7" s="159" t="s">
        <v>142</v>
      </c>
      <c r="B7" s="157">
        <f>'Orange Lake LU'!C24</f>
        <v>6.6737480405699996</v>
      </c>
      <c r="C7" s="121">
        <f>'Orange Lake LU'!E24</f>
        <v>3.0654590131894068E-2</v>
      </c>
      <c r="D7" s="120">
        <f>C7*'Orange Lake BMAP'!E$9</f>
        <v>2.8815314723980423</v>
      </c>
      <c r="E7" s="157">
        <f>'Orange Lake LU'!C22</f>
        <v>190.45342905800001</v>
      </c>
      <c r="F7" s="121">
        <f>'Orange Lake LU'!E22</f>
        <v>2.3278283660617714E-2</v>
      </c>
      <c r="G7" s="131">
        <f>'Orange Lake BMAP'!E$10*F7</f>
        <v>9.7342022840816416</v>
      </c>
      <c r="H7" s="157">
        <f>'Orange Lake LU'!C23</f>
        <v>85.589215754799994</v>
      </c>
      <c r="I7" s="121">
        <f>'Orange Lake LU'!E23</f>
        <v>0.21165607171095302</v>
      </c>
      <c r="J7" s="120">
        <f>'Orange Lake BMAP'!E$11*'Orange Lake education credits'!I7</f>
        <v>35.593496059391931</v>
      </c>
      <c r="K7" s="157">
        <f>'Orange Lake LU'!C21</f>
        <v>30.963419394599999</v>
      </c>
      <c r="L7" s="121">
        <f>'Orange Lake LU'!E21</f>
        <v>5.9024455498256204E-2</v>
      </c>
      <c r="M7" s="120">
        <f>L7*'Orange Lake BMAP'!E$12</f>
        <v>0.2459352312427342</v>
      </c>
      <c r="N7" s="127" t="s">
        <v>128</v>
      </c>
      <c r="O7" s="140" t="s">
        <v>128</v>
      </c>
      <c r="P7" s="122" t="s">
        <v>128</v>
      </c>
      <c r="Q7" s="127" t="s">
        <v>128</v>
      </c>
      <c r="R7" s="140" t="s">
        <v>128</v>
      </c>
      <c r="S7" s="127" t="s">
        <v>128</v>
      </c>
      <c r="T7" s="200">
        <f>D7+G7+J7+M7</f>
        <v>48.455165047114349</v>
      </c>
    </row>
    <row r="8" spans="1:20" x14ac:dyDescent="0.2">
      <c r="A8" s="159" t="s">
        <v>143</v>
      </c>
      <c r="B8" s="157">
        <f>'Orange Lake LU'!C31</f>
        <v>4.0723890757200003</v>
      </c>
      <c r="C8" s="140">
        <v>1.9E-2</v>
      </c>
      <c r="D8" s="120">
        <f>C8*'Orange Lake BMAP'!E$9</f>
        <v>1.786</v>
      </c>
      <c r="E8" s="157">
        <f>'Orange Lake LU'!C29</f>
        <v>97.541281160400004</v>
      </c>
      <c r="F8" s="121">
        <f>'Orange Lake LU'!E29</f>
        <v>1.1902410074551398E-2</v>
      </c>
      <c r="G8" s="131">
        <f>'Orange Lake BMAP'!E$10*F8</f>
        <v>4.9771911461749099</v>
      </c>
      <c r="H8" s="157">
        <f>'Orange Lake LU'!C30</f>
        <v>55.768890043200003</v>
      </c>
      <c r="I8" s="121">
        <v>0.13800000000000001</v>
      </c>
      <c r="J8" s="120">
        <f>'Orange Lake BMAP'!E$11*'Orange Lake education credits'!I8</f>
        <v>23.207000000000001</v>
      </c>
      <c r="K8" s="157">
        <f>'Orange Lake LU'!C28</f>
        <v>7.9677841797499998</v>
      </c>
      <c r="L8" s="121">
        <f>'Orange Lake LU'!E28</f>
        <v>1.5188701116756589E-2</v>
      </c>
      <c r="M8" s="120">
        <f>L8*'Orange Lake BMAP'!E$12</f>
        <v>6.3286254653152463E-2</v>
      </c>
      <c r="N8" s="157">
        <f>'Orange Lake LU'!C32</f>
        <v>5.4974549999700001E-2</v>
      </c>
      <c r="O8" s="121">
        <v>0</v>
      </c>
      <c r="P8" s="120">
        <v>0</v>
      </c>
      <c r="Q8" s="127" t="s">
        <v>128</v>
      </c>
      <c r="R8" s="140" t="s">
        <v>128</v>
      </c>
      <c r="S8" s="127" t="s">
        <v>128</v>
      </c>
      <c r="T8" s="200">
        <f>D8+G8+J8+M8+P8</f>
        <v>30.033477400828065</v>
      </c>
    </row>
    <row r="9" spans="1:20" x14ac:dyDescent="0.2">
      <c r="A9" s="159" t="s">
        <v>141</v>
      </c>
      <c r="B9" s="127" t="s">
        <v>128</v>
      </c>
      <c r="C9" s="127" t="s">
        <v>128</v>
      </c>
      <c r="D9" s="122" t="s">
        <v>128</v>
      </c>
      <c r="E9" s="157">
        <f>'Orange Lake LU'!C34</f>
        <v>392.983368794</v>
      </c>
      <c r="F9" s="121">
        <f>'Orange Lake LU'!E34</f>
        <v>4.8032626022742719E-2</v>
      </c>
      <c r="G9" s="131">
        <f>'Orange Lake BMAP'!E$10*F9</f>
        <v>20.085643115176914</v>
      </c>
      <c r="H9" s="127" t="s">
        <v>128</v>
      </c>
      <c r="I9" s="140" t="s">
        <v>128</v>
      </c>
      <c r="J9" s="127" t="s">
        <v>128</v>
      </c>
      <c r="K9" s="157">
        <f>'Orange Lake LU'!C33</f>
        <v>13.6641812224</v>
      </c>
      <c r="L9" s="121">
        <f>'Orange Lake LU'!E33</f>
        <v>2.6047538426014847E-2</v>
      </c>
      <c r="M9" s="120">
        <f>L9*'Orange Lake BMAP'!E$12</f>
        <v>0.1085314101083952</v>
      </c>
      <c r="N9" s="127" t="s">
        <v>128</v>
      </c>
      <c r="O9" s="140" t="s">
        <v>128</v>
      </c>
      <c r="P9" s="122" t="s">
        <v>128</v>
      </c>
      <c r="Q9" s="127" t="s">
        <v>128</v>
      </c>
      <c r="R9" s="140" t="s">
        <v>128</v>
      </c>
      <c r="S9" s="127" t="s">
        <v>128</v>
      </c>
      <c r="T9" s="200">
        <f>G9+M9</f>
        <v>20.194174525285309</v>
      </c>
    </row>
    <row r="10" spans="1:20" x14ac:dyDescent="0.2">
      <c r="A10" s="353" t="s">
        <v>68</v>
      </c>
      <c r="B10" s="354"/>
      <c r="C10" s="355">
        <f>SUM(C3:C9)</f>
        <v>1.0002942578713365</v>
      </c>
      <c r="D10" s="357">
        <f>SUM(D3:D9)</f>
        <v>94.027660239905615</v>
      </c>
      <c r="E10" s="354"/>
      <c r="F10" s="355">
        <f>SUM(F3:F9)</f>
        <v>1.0000000000007945</v>
      </c>
      <c r="G10" s="358">
        <f>SUM(G3:G9)</f>
        <v>418.16666666699882</v>
      </c>
      <c r="H10" s="354"/>
      <c r="I10" s="355">
        <f>SUM(I3:I9)</f>
        <v>0.99955198877887352</v>
      </c>
      <c r="J10" s="357">
        <f>SUM(J3:J9)</f>
        <v>168.09132611298054</v>
      </c>
      <c r="K10" s="354"/>
      <c r="L10" s="355">
        <f>SUM(L3:L9)</f>
        <v>1.000000000000286</v>
      </c>
      <c r="M10" s="357">
        <f>SUM(M3:M9)</f>
        <v>4.166666666667858</v>
      </c>
      <c r="N10" s="354"/>
      <c r="O10" s="355">
        <f>SUM(O3:O9)</f>
        <v>1</v>
      </c>
      <c r="P10" s="354">
        <f>SUM(P3:P9)</f>
        <v>7</v>
      </c>
      <c r="Q10" s="354"/>
      <c r="R10" s="355">
        <f>SUM(R3:R9)</f>
        <v>1.0000000000004952</v>
      </c>
      <c r="S10" s="357">
        <f>SUM(S3:S9)</f>
        <v>202.03040181914781</v>
      </c>
      <c r="T10" s="406">
        <f>SUM(T3:T9)</f>
        <v>893.48272150570051</v>
      </c>
    </row>
    <row r="13" spans="1:20" x14ac:dyDescent="0.2">
      <c r="B13" s="691" t="s">
        <v>382</v>
      </c>
      <c r="C13" s="692"/>
      <c r="D13" s="692"/>
      <c r="E13" s="693"/>
      <c r="F13" s="693"/>
      <c r="G13" s="693"/>
      <c r="H13" s="693"/>
      <c r="I13" s="693"/>
      <c r="J13" s="693"/>
      <c r="K13" s="693"/>
      <c r="L13" s="693"/>
      <c r="M13" s="693"/>
      <c r="N13" s="693"/>
      <c r="O13" s="693"/>
      <c r="P13" s="693"/>
      <c r="Q13" s="693"/>
      <c r="R13" s="694"/>
      <c r="S13" s="694"/>
      <c r="T13" s="695"/>
    </row>
    <row r="14" spans="1:20" ht="75.75" customHeight="1" x14ac:dyDescent="0.2">
      <c r="A14" s="351" t="s">
        <v>298</v>
      </c>
      <c r="B14" s="359" t="s">
        <v>301</v>
      </c>
      <c r="C14" s="359" t="s">
        <v>299</v>
      </c>
      <c r="D14" s="359" t="s">
        <v>318</v>
      </c>
      <c r="E14" s="359" t="s">
        <v>314</v>
      </c>
      <c r="F14" s="359" t="s">
        <v>309</v>
      </c>
      <c r="G14" s="359" t="s">
        <v>310</v>
      </c>
      <c r="H14" s="359" t="s">
        <v>311</v>
      </c>
      <c r="I14" s="359" t="s">
        <v>312</v>
      </c>
      <c r="J14" s="359" t="s">
        <v>313</v>
      </c>
      <c r="K14" s="359" t="s">
        <v>303</v>
      </c>
      <c r="L14" s="359" t="s">
        <v>304</v>
      </c>
      <c r="M14" s="359" t="s">
        <v>305</v>
      </c>
      <c r="N14" s="359" t="s">
        <v>306</v>
      </c>
      <c r="O14" s="359" t="s">
        <v>307</v>
      </c>
      <c r="P14" s="359" t="s">
        <v>308</v>
      </c>
      <c r="Q14" s="359" t="s">
        <v>302</v>
      </c>
      <c r="R14" s="359" t="s">
        <v>315</v>
      </c>
      <c r="S14" s="359" t="s">
        <v>316</v>
      </c>
      <c r="T14" s="359" t="s">
        <v>132</v>
      </c>
    </row>
    <row r="15" spans="1:20" x14ac:dyDescent="0.2">
      <c r="A15" s="72" t="s">
        <v>62</v>
      </c>
      <c r="B15" s="141" t="s">
        <v>128</v>
      </c>
      <c r="C15" s="140" t="s">
        <v>128</v>
      </c>
      <c r="D15" s="122" t="s">
        <v>128</v>
      </c>
      <c r="E15" s="157">
        <f>'Orange Lake LU'!C5</f>
        <v>254.372283571</v>
      </c>
      <c r="F15" s="121">
        <f>'Orange Lake LU'!E5</f>
        <v>0.75780365563429364</v>
      </c>
      <c r="G15" s="131">
        <f>F15*'Orange Lake BMAP'!E$23</f>
        <v>18.187287735223048</v>
      </c>
      <c r="H15" s="141" t="s">
        <v>128</v>
      </c>
      <c r="I15" s="140" t="s">
        <v>128</v>
      </c>
      <c r="J15" s="122" t="s">
        <v>128</v>
      </c>
      <c r="K15" s="157">
        <f>'Orange Lake LU'!C4</f>
        <v>4.9834974412799999</v>
      </c>
      <c r="L15" s="121">
        <v>0.14399999999999999</v>
      </c>
      <c r="M15" s="120">
        <f>L15*'Orange Lake BMAP'!E25</f>
        <v>0</v>
      </c>
      <c r="N15" s="157">
        <f>'Orange Lake LU'!C11</f>
        <v>2.94360842129</v>
      </c>
      <c r="O15" s="121">
        <f>'Orange Lake LU'!E11</f>
        <v>1</v>
      </c>
      <c r="P15" s="341">
        <f>O15*'Orange Lake BMAP'!E26</f>
        <v>0</v>
      </c>
      <c r="Q15" s="141">
        <f>'Orange Lake LU'!C3</f>
        <v>1.4762225196600001</v>
      </c>
      <c r="R15" s="140">
        <f>'Orange Lake LU'!E3</f>
        <v>5.1007345843512998E-2</v>
      </c>
      <c r="S15" s="122">
        <f>R15*'Orange Lake BMAP'!E$27</f>
        <v>0.39105631813359965</v>
      </c>
      <c r="T15" s="120">
        <f>G15+M15+P15+S15</f>
        <v>18.578344053356648</v>
      </c>
    </row>
    <row r="16" spans="1:20" x14ac:dyDescent="0.2">
      <c r="A16" s="159" t="s">
        <v>119</v>
      </c>
      <c r="B16" s="127" t="s">
        <v>128</v>
      </c>
      <c r="C16" s="127" t="s">
        <v>128</v>
      </c>
      <c r="D16" s="356" t="s">
        <v>128</v>
      </c>
      <c r="E16" s="127" t="s">
        <v>128</v>
      </c>
      <c r="F16" s="140" t="s">
        <v>128</v>
      </c>
      <c r="G16" s="127" t="s">
        <v>128</v>
      </c>
      <c r="H16" s="127" t="s">
        <v>128</v>
      </c>
      <c r="I16" s="140" t="s">
        <v>128</v>
      </c>
      <c r="J16" s="122" t="s">
        <v>128</v>
      </c>
      <c r="K16" s="127" t="s">
        <v>128</v>
      </c>
      <c r="L16" s="140" t="s">
        <v>128</v>
      </c>
      <c r="M16" s="122" t="s">
        <v>128</v>
      </c>
      <c r="N16" s="127" t="s">
        <v>128</v>
      </c>
      <c r="O16" s="140" t="s">
        <v>128</v>
      </c>
      <c r="P16" s="127" t="s">
        <v>128</v>
      </c>
      <c r="Q16" s="141">
        <f>'Orange Lake LU'!C12</f>
        <v>27.465148478</v>
      </c>
      <c r="R16" s="121">
        <f>'Orange Lake LU'!E12</f>
        <v>0.94899265415856016</v>
      </c>
      <c r="S16" s="122">
        <f>R16*'Orange Lake BMAP'!E$27</f>
        <v>7.2756103485489616</v>
      </c>
      <c r="T16" s="120">
        <f>S16</f>
        <v>7.2756103485489616</v>
      </c>
    </row>
    <row r="17" spans="1:20" x14ac:dyDescent="0.2">
      <c r="A17" s="159" t="s">
        <v>139</v>
      </c>
      <c r="B17" s="127" t="s">
        <v>128</v>
      </c>
      <c r="C17" s="127" t="s">
        <v>128</v>
      </c>
      <c r="D17" s="356" t="s">
        <v>128</v>
      </c>
      <c r="E17" s="127" t="s">
        <v>128</v>
      </c>
      <c r="F17" s="140" t="s">
        <v>128</v>
      </c>
      <c r="G17" s="127" t="s">
        <v>128</v>
      </c>
      <c r="H17" s="127" t="s">
        <v>128</v>
      </c>
      <c r="I17" s="140" t="s">
        <v>128</v>
      </c>
      <c r="J17" s="122" t="s">
        <v>128</v>
      </c>
      <c r="K17" s="127" t="s">
        <v>128</v>
      </c>
      <c r="L17" s="140" t="s">
        <v>128</v>
      </c>
      <c r="M17" s="122" t="s">
        <v>128</v>
      </c>
      <c r="N17" s="127" t="s">
        <v>128</v>
      </c>
      <c r="O17" s="140" t="s">
        <v>128</v>
      </c>
      <c r="P17" s="127" t="s">
        <v>128</v>
      </c>
      <c r="Q17" s="141" t="s">
        <v>128</v>
      </c>
      <c r="R17" s="140" t="s">
        <v>128</v>
      </c>
      <c r="S17" s="122" t="s">
        <v>128</v>
      </c>
      <c r="T17" s="122" t="s">
        <v>128</v>
      </c>
    </row>
    <row r="18" spans="1:20" x14ac:dyDescent="0.2">
      <c r="A18" s="159" t="s">
        <v>140</v>
      </c>
      <c r="B18" s="141" t="s">
        <v>128</v>
      </c>
      <c r="C18" s="140" t="s">
        <v>128</v>
      </c>
      <c r="D18" s="122" t="s">
        <v>128</v>
      </c>
      <c r="E18" s="141" t="s">
        <v>128</v>
      </c>
      <c r="F18" s="140" t="s">
        <v>128</v>
      </c>
      <c r="G18" s="136" t="s">
        <v>128</v>
      </c>
      <c r="H18" s="141" t="s">
        <v>128</v>
      </c>
      <c r="I18" s="140" t="s">
        <v>128</v>
      </c>
      <c r="J18" s="122" t="s">
        <v>128</v>
      </c>
      <c r="K18" s="141" t="s">
        <v>128</v>
      </c>
      <c r="L18" s="140" t="s">
        <v>128</v>
      </c>
      <c r="M18" s="122" t="s">
        <v>128</v>
      </c>
      <c r="N18" s="141" t="s">
        <v>128</v>
      </c>
      <c r="O18" s="140" t="s">
        <v>128</v>
      </c>
      <c r="P18" s="127" t="s">
        <v>128</v>
      </c>
      <c r="Q18" s="141" t="s">
        <v>128</v>
      </c>
      <c r="R18" s="140" t="s">
        <v>128</v>
      </c>
      <c r="S18" s="122" t="s">
        <v>128</v>
      </c>
      <c r="T18" s="122" t="s">
        <v>128</v>
      </c>
    </row>
    <row r="19" spans="1:20" x14ac:dyDescent="0.2">
      <c r="A19" s="159" t="s">
        <v>142</v>
      </c>
      <c r="B19" s="141" t="s">
        <v>128</v>
      </c>
      <c r="C19" s="140" t="s">
        <v>128</v>
      </c>
      <c r="D19" s="122" t="s">
        <v>128</v>
      </c>
      <c r="E19" s="141" t="s">
        <v>128</v>
      </c>
      <c r="F19" s="140" t="s">
        <v>128</v>
      </c>
      <c r="G19" s="136" t="s">
        <v>128</v>
      </c>
      <c r="H19" s="141" t="s">
        <v>128</v>
      </c>
      <c r="I19" s="140" t="s">
        <v>128</v>
      </c>
      <c r="J19" s="122" t="s">
        <v>128</v>
      </c>
      <c r="K19" s="141" t="s">
        <v>128</v>
      </c>
      <c r="L19" s="140" t="s">
        <v>128</v>
      </c>
      <c r="M19" s="122" t="s">
        <v>128</v>
      </c>
      <c r="N19" s="127" t="s">
        <v>128</v>
      </c>
      <c r="O19" s="140" t="s">
        <v>128</v>
      </c>
      <c r="P19" s="127" t="s">
        <v>128</v>
      </c>
      <c r="Q19" s="127" t="s">
        <v>128</v>
      </c>
      <c r="R19" s="140" t="s">
        <v>128</v>
      </c>
      <c r="S19" s="127" t="s">
        <v>128</v>
      </c>
      <c r="T19" s="122" t="s">
        <v>128</v>
      </c>
    </row>
    <row r="20" spans="1:20" x14ac:dyDescent="0.2">
      <c r="A20" s="159" t="s">
        <v>143</v>
      </c>
      <c r="B20" s="141" t="s">
        <v>128</v>
      </c>
      <c r="C20" s="140" t="s">
        <v>128</v>
      </c>
      <c r="D20" s="122" t="s">
        <v>128</v>
      </c>
      <c r="E20" s="157">
        <f>'Orange Lake LU'!C26</f>
        <v>81.2981525366</v>
      </c>
      <c r="F20" s="121">
        <f>'Orange Lake LU'!E26</f>
        <v>0.2421963443645147</v>
      </c>
      <c r="G20" s="131">
        <f>F20*'Orange Lake BMAP'!E$23</f>
        <v>5.8127122647483525</v>
      </c>
      <c r="H20" s="157">
        <f>'Orange Lake LU'!C27</f>
        <v>49.0356364258</v>
      </c>
      <c r="I20" s="121">
        <v>1</v>
      </c>
      <c r="J20" s="120">
        <f>I20*'Orange Lake BMAP'!E24</f>
        <v>18</v>
      </c>
      <c r="K20" s="157">
        <f>'Orange Lake LU'!C25</f>
        <v>29.511835614700001</v>
      </c>
      <c r="L20" s="121">
        <v>0.85599999999999998</v>
      </c>
      <c r="M20" s="120">
        <f>L20*'Orange Lake BMAP'!E30</f>
        <v>0</v>
      </c>
      <c r="N20" s="141" t="s">
        <v>128</v>
      </c>
      <c r="O20" s="140" t="s">
        <v>128</v>
      </c>
      <c r="P20" s="127" t="s">
        <v>128</v>
      </c>
      <c r="Q20" s="127" t="s">
        <v>128</v>
      </c>
      <c r="R20" s="140" t="s">
        <v>128</v>
      </c>
      <c r="S20" s="127" t="s">
        <v>128</v>
      </c>
      <c r="T20" s="120">
        <f>G20+J20+M20</f>
        <v>23.812712264748352</v>
      </c>
    </row>
    <row r="21" spans="1:20" x14ac:dyDescent="0.2">
      <c r="A21" s="159" t="s">
        <v>141</v>
      </c>
      <c r="B21" s="127" t="s">
        <v>128</v>
      </c>
      <c r="C21" s="127" t="s">
        <v>128</v>
      </c>
      <c r="D21" s="122" t="s">
        <v>128</v>
      </c>
      <c r="E21" s="141" t="s">
        <v>128</v>
      </c>
      <c r="F21" s="140" t="s">
        <v>128</v>
      </c>
      <c r="G21" s="136" t="s">
        <v>128</v>
      </c>
      <c r="H21" s="127" t="s">
        <v>128</v>
      </c>
      <c r="I21" s="140" t="s">
        <v>128</v>
      </c>
      <c r="J21" s="127" t="s">
        <v>128</v>
      </c>
      <c r="K21" s="141" t="s">
        <v>128</v>
      </c>
      <c r="L21" s="140" t="s">
        <v>128</v>
      </c>
      <c r="M21" s="122" t="s">
        <v>128</v>
      </c>
      <c r="N21" s="127" t="s">
        <v>128</v>
      </c>
      <c r="O21" s="140" t="s">
        <v>128</v>
      </c>
      <c r="P21" s="127" t="s">
        <v>128</v>
      </c>
      <c r="Q21" s="127" t="s">
        <v>128</v>
      </c>
      <c r="R21" s="140" t="s">
        <v>128</v>
      </c>
      <c r="S21" s="127" t="s">
        <v>128</v>
      </c>
      <c r="T21" s="122" t="s">
        <v>128</v>
      </c>
    </row>
    <row r="22" spans="1:20" x14ac:dyDescent="0.2">
      <c r="A22" s="353" t="s">
        <v>68</v>
      </c>
      <c r="B22" s="354"/>
      <c r="C22" s="355">
        <f>SUM(C15:C21)</f>
        <v>0</v>
      </c>
      <c r="D22" s="357">
        <f>SUM(D15:D21)</f>
        <v>0</v>
      </c>
      <c r="E22" s="354"/>
      <c r="F22" s="355">
        <f>SUM(F15:F21)</f>
        <v>0.99999999999880829</v>
      </c>
      <c r="G22" s="358">
        <f>SUM(G15:G21)</f>
        <v>23.999999999971401</v>
      </c>
      <c r="H22" s="354"/>
      <c r="I22" s="355">
        <f>SUM(I15:I21)</f>
        <v>1</v>
      </c>
      <c r="J22" s="357">
        <f>SUM(J15:J21)</f>
        <v>18</v>
      </c>
      <c r="K22" s="354"/>
      <c r="L22" s="355">
        <f>SUM(L15:L21)</f>
        <v>1</v>
      </c>
      <c r="M22" s="357">
        <f>SUM(M15:M21)</f>
        <v>0</v>
      </c>
      <c r="N22" s="354"/>
      <c r="O22" s="355">
        <f>SUM(O15:O21)</f>
        <v>1</v>
      </c>
      <c r="P22" s="354">
        <f>SUM(P15:P21)</f>
        <v>0</v>
      </c>
      <c r="Q22" s="354"/>
      <c r="R22" s="355">
        <f>SUM(R15:R21)</f>
        <v>1.0000000000020732</v>
      </c>
      <c r="S22" s="357">
        <f>SUM(S15:S21)</f>
        <v>7.6666666666825609</v>
      </c>
      <c r="T22" s="407">
        <f>SUM(T15:T21)</f>
        <v>49.666666666653967</v>
      </c>
    </row>
    <row r="24" spans="1:20" x14ac:dyDescent="0.2">
      <c r="A24" s="19" t="s">
        <v>361</v>
      </c>
    </row>
  </sheetData>
  <mergeCells count="2">
    <mergeCell ref="B1:S1"/>
    <mergeCell ref="B13:T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7"/>
  <sheetViews>
    <sheetView topLeftCell="A6" workbookViewId="0">
      <selection activeCell="I28" sqref="I28"/>
    </sheetView>
  </sheetViews>
  <sheetFormatPr defaultRowHeight="12.75" x14ac:dyDescent="0.2"/>
  <cols>
    <col min="1" max="1" width="24.42578125" customWidth="1"/>
    <col min="2" max="2" width="31" customWidth="1"/>
    <col min="3" max="3" width="13.28515625" customWidth="1"/>
    <col min="4" max="4" width="12" customWidth="1"/>
    <col min="5" max="5" width="20.28515625" customWidth="1"/>
    <col min="6" max="6" width="25.85546875" customWidth="1"/>
  </cols>
  <sheetData>
    <row r="1" spans="1:6" x14ac:dyDescent="0.2">
      <c r="A1" s="173" t="s">
        <v>181</v>
      </c>
    </row>
    <row r="2" spans="1:6" ht="24" customHeight="1" x14ac:dyDescent="0.2">
      <c r="A2" s="119" t="s">
        <v>56</v>
      </c>
      <c r="B2" s="119" t="s">
        <v>57</v>
      </c>
      <c r="C2" s="119" t="s">
        <v>59</v>
      </c>
      <c r="D2" s="175" t="s">
        <v>60</v>
      </c>
      <c r="E2" s="176" t="s">
        <v>61</v>
      </c>
      <c r="F2" s="119" t="s">
        <v>58</v>
      </c>
    </row>
    <row r="3" spans="1:6" x14ac:dyDescent="0.2">
      <c r="A3" s="72" t="s">
        <v>62</v>
      </c>
      <c r="B3" s="72" t="s">
        <v>42</v>
      </c>
      <c r="C3" s="157">
        <v>1.4762225196600001</v>
      </c>
      <c r="D3" s="158">
        <v>5.1007345843512998E-2</v>
      </c>
      <c r="E3" s="121">
        <v>5.1007345843512998E-2</v>
      </c>
      <c r="F3" s="72" t="s">
        <v>145</v>
      </c>
    </row>
    <row r="4" spans="1:6" x14ac:dyDescent="0.2">
      <c r="A4" s="72" t="s">
        <v>62</v>
      </c>
      <c r="B4" s="72" t="s">
        <v>36</v>
      </c>
      <c r="C4" s="157">
        <v>4.9834974412799999</v>
      </c>
      <c r="D4" s="158">
        <v>0.14446874402379709</v>
      </c>
      <c r="E4" s="121">
        <v>0.14446874402379709</v>
      </c>
      <c r="F4" s="72" t="s">
        <v>145</v>
      </c>
    </row>
    <row r="5" spans="1:6" x14ac:dyDescent="0.2">
      <c r="A5" s="72" t="s">
        <v>62</v>
      </c>
      <c r="B5" s="72" t="s">
        <v>34</v>
      </c>
      <c r="C5" s="157">
        <v>254.372283571</v>
      </c>
      <c r="D5" s="158">
        <v>0.75780365563429364</v>
      </c>
      <c r="E5" s="121">
        <v>0.75780365563429364</v>
      </c>
      <c r="F5" s="72" t="s">
        <v>145</v>
      </c>
    </row>
    <row r="6" spans="1:6" x14ac:dyDescent="0.2">
      <c r="A6" s="72" t="s">
        <v>62</v>
      </c>
      <c r="B6" s="72" t="s">
        <v>36</v>
      </c>
      <c r="C6" s="157">
        <v>13.948468413400001</v>
      </c>
      <c r="D6" s="158">
        <v>2.6589464898671488E-2</v>
      </c>
      <c r="E6" s="121">
        <v>2.6589464898671488E-2</v>
      </c>
      <c r="F6" s="72" t="s">
        <v>95</v>
      </c>
    </row>
    <row r="7" spans="1:6" x14ac:dyDescent="0.2">
      <c r="A7" s="72" t="s">
        <v>62</v>
      </c>
      <c r="B7" s="72" t="s">
        <v>34</v>
      </c>
      <c r="C7" s="157">
        <f>[5]OCB_correct_roads_2018!$E$101</f>
        <v>697.90376733100004</v>
      </c>
      <c r="D7" s="158">
        <v>8.5321331776393575E-2</v>
      </c>
      <c r="E7" s="121">
        <v>8.5321331776393575E-2</v>
      </c>
      <c r="F7" s="72" t="s">
        <v>95</v>
      </c>
    </row>
    <row r="8" spans="1:6" x14ac:dyDescent="0.2">
      <c r="A8" s="72" t="s">
        <v>62</v>
      </c>
      <c r="B8" s="72" t="s">
        <v>35</v>
      </c>
      <c r="C8" s="157">
        <v>15.1785611255</v>
      </c>
      <c r="D8" s="158">
        <f>[5]OCB_correct_roads_2018!$F$106</f>
        <v>3.7535509547102289E-2</v>
      </c>
      <c r="E8" s="121">
        <v>3.7535509547102289E-2</v>
      </c>
      <c r="F8" s="72" t="s">
        <v>95</v>
      </c>
    </row>
    <row r="9" spans="1:6" x14ac:dyDescent="0.2">
      <c r="A9" s="72" t="s">
        <v>62</v>
      </c>
      <c r="B9" s="72" t="s">
        <v>43</v>
      </c>
      <c r="C9" s="157">
        <v>15.0084581388</v>
      </c>
      <c r="D9" s="158">
        <f>[5]OCB_correct_roads_2018!$F$117</f>
        <v>6.8938492819921496E-2</v>
      </c>
      <c r="E9" s="121">
        <v>6.8938492819921496E-2</v>
      </c>
      <c r="F9" s="72" t="s">
        <v>95</v>
      </c>
    </row>
    <row r="10" spans="1:6" x14ac:dyDescent="0.2">
      <c r="A10" s="159" t="s">
        <v>62</v>
      </c>
      <c r="B10" s="159" t="s">
        <v>200</v>
      </c>
      <c r="C10" s="157">
        <v>1.4202213429499999</v>
      </c>
      <c r="D10" s="158">
        <f>[5]OCB_correct_roads_2018!$F$114</f>
        <v>7.6841009680605156E-3</v>
      </c>
      <c r="E10" s="121">
        <v>8.0000000000000002E-3</v>
      </c>
      <c r="F10" s="159" t="s">
        <v>95</v>
      </c>
    </row>
    <row r="11" spans="1:6" x14ac:dyDescent="0.2">
      <c r="A11" s="159" t="s">
        <v>62</v>
      </c>
      <c r="B11" s="159" t="s">
        <v>200</v>
      </c>
      <c r="C11" s="204">
        <v>2.94360842129</v>
      </c>
      <c r="D11" s="158">
        <v>1</v>
      </c>
      <c r="E11" s="121">
        <v>1</v>
      </c>
      <c r="F11" s="72" t="s">
        <v>145</v>
      </c>
    </row>
    <row r="12" spans="1:6" x14ac:dyDescent="0.2">
      <c r="A12" s="72" t="s">
        <v>146</v>
      </c>
      <c r="B12" s="72" t="s">
        <v>42</v>
      </c>
      <c r="C12" s="157">
        <v>27.465148478</v>
      </c>
      <c r="D12" s="158">
        <v>0.94899265415856016</v>
      </c>
      <c r="E12" s="121">
        <v>0.94899265415856016</v>
      </c>
      <c r="F12" s="72" t="s">
        <v>145</v>
      </c>
    </row>
    <row r="13" spans="1:6" x14ac:dyDescent="0.2">
      <c r="A13" s="72" t="s">
        <v>146</v>
      </c>
      <c r="B13" s="72" t="s">
        <v>42</v>
      </c>
      <c r="C13" s="157">
        <v>72.549159808200002</v>
      </c>
      <c r="D13" s="158">
        <v>8.9812159962319449E-2</v>
      </c>
      <c r="E13" s="121">
        <v>8.9812159962319449E-2</v>
      </c>
      <c r="F13" s="72" t="s">
        <v>95</v>
      </c>
    </row>
    <row r="14" spans="1:6" x14ac:dyDescent="0.2">
      <c r="A14" s="72" t="s">
        <v>147</v>
      </c>
      <c r="B14" s="72" t="s">
        <v>42</v>
      </c>
      <c r="C14" s="157">
        <v>689.07791322599996</v>
      </c>
      <c r="D14" s="158">
        <v>0.85304331480569162</v>
      </c>
      <c r="E14" s="121">
        <v>0.85304331480569162</v>
      </c>
      <c r="F14" s="72" t="s">
        <v>95</v>
      </c>
    </row>
    <row r="15" spans="1:6" x14ac:dyDescent="0.2">
      <c r="A15" s="72" t="s">
        <v>140</v>
      </c>
      <c r="B15" s="72" t="s">
        <v>42</v>
      </c>
      <c r="C15" s="157">
        <v>46.160645674199998</v>
      </c>
      <c r="D15" s="158">
        <v>5.7144525232483999E-2</v>
      </c>
      <c r="E15" s="121">
        <v>5.7144525232483999E-2</v>
      </c>
      <c r="F15" s="72" t="s">
        <v>95</v>
      </c>
    </row>
    <row r="16" spans="1:6" x14ac:dyDescent="0.2">
      <c r="A16" s="72" t="s">
        <v>140</v>
      </c>
      <c r="B16" s="72" t="s">
        <v>36</v>
      </c>
      <c r="C16" s="157">
        <v>458.04242434600002</v>
      </c>
      <c r="D16" s="158">
        <v>0.87314984006058682</v>
      </c>
      <c r="E16" s="121">
        <v>0.87314984006058682</v>
      </c>
      <c r="F16" s="72" t="s">
        <v>95</v>
      </c>
    </row>
    <row r="17" spans="1:6" x14ac:dyDescent="0.2">
      <c r="A17" s="72" t="s">
        <v>140</v>
      </c>
      <c r="B17" s="72" t="s">
        <v>34</v>
      </c>
      <c r="C17" s="157">
        <v>6802.71058928</v>
      </c>
      <c r="D17" s="158">
        <v>0.83146534846648901</v>
      </c>
      <c r="E17" s="121">
        <v>0.83146534846648901</v>
      </c>
      <c r="F17" s="72" t="s">
        <v>95</v>
      </c>
    </row>
    <row r="18" spans="1:6" x14ac:dyDescent="0.2">
      <c r="A18" s="72" t="s">
        <v>140</v>
      </c>
      <c r="B18" s="72" t="s">
        <v>35</v>
      </c>
      <c r="C18" s="157">
        <v>247.84207916700001</v>
      </c>
      <c r="D18" s="158">
        <v>0.61289591706792046</v>
      </c>
      <c r="E18" s="121">
        <v>0.61289591706792046</v>
      </c>
      <c r="F18" s="72" t="s">
        <v>95</v>
      </c>
    </row>
    <row r="19" spans="1:6" x14ac:dyDescent="0.2">
      <c r="A19" s="72" t="s">
        <v>140</v>
      </c>
      <c r="B19" s="72" t="s">
        <v>43</v>
      </c>
      <c r="C19" s="157">
        <v>191.95335717</v>
      </c>
      <c r="D19" s="158">
        <v>0.88170117491952094</v>
      </c>
      <c r="E19" s="121">
        <v>0.88170117491952094</v>
      </c>
      <c r="F19" s="72" t="s">
        <v>95</v>
      </c>
    </row>
    <row r="20" spans="1:6" x14ac:dyDescent="0.2">
      <c r="A20" s="159" t="s">
        <v>140</v>
      </c>
      <c r="B20" s="159" t="s">
        <v>200</v>
      </c>
      <c r="C20" s="157">
        <v>183.351168234</v>
      </c>
      <c r="D20" s="158">
        <v>0.99199999999999999</v>
      </c>
      <c r="E20" s="121">
        <v>0.99199999999999999</v>
      </c>
      <c r="F20" s="159" t="s">
        <v>95</v>
      </c>
    </row>
    <row r="21" spans="1:6" x14ac:dyDescent="0.2">
      <c r="A21" s="72" t="s">
        <v>142</v>
      </c>
      <c r="B21" s="72" t="s">
        <v>36</v>
      </c>
      <c r="C21" s="157">
        <v>30.963419394599999</v>
      </c>
      <c r="D21" s="158">
        <v>5.9024455498256204E-2</v>
      </c>
      <c r="E21" s="121">
        <v>5.9024455498256204E-2</v>
      </c>
      <c r="F21" s="72" t="s">
        <v>95</v>
      </c>
    </row>
    <row r="22" spans="1:6" x14ac:dyDescent="0.2">
      <c r="A22" s="72" t="s">
        <v>142</v>
      </c>
      <c r="B22" s="72" t="s">
        <v>34</v>
      </c>
      <c r="C22" s="157">
        <v>190.45342905800001</v>
      </c>
      <c r="D22" s="158">
        <v>2.3278283660617714E-2</v>
      </c>
      <c r="E22" s="121">
        <v>2.3278283660617714E-2</v>
      </c>
      <c r="F22" s="72" t="s">
        <v>95</v>
      </c>
    </row>
    <row r="23" spans="1:6" x14ac:dyDescent="0.2">
      <c r="A23" s="72" t="s">
        <v>142</v>
      </c>
      <c r="B23" s="72" t="s">
        <v>35</v>
      </c>
      <c r="C23" s="157">
        <v>85.589215754799994</v>
      </c>
      <c r="D23" s="158">
        <v>0.21165607171095302</v>
      </c>
      <c r="E23" s="121">
        <v>0.21165607171095302</v>
      </c>
      <c r="F23" s="72" t="s">
        <v>95</v>
      </c>
    </row>
    <row r="24" spans="1:6" x14ac:dyDescent="0.2">
      <c r="A24" s="72" t="s">
        <v>142</v>
      </c>
      <c r="B24" s="72" t="s">
        <v>43</v>
      </c>
      <c r="C24" s="157">
        <v>6.6737480405699996</v>
      </c>
      <c r="D24" s="158">
        <v>3.0654590131894068E-2</v>
      </c>
      <c r="E24" s="121">
        <v>3.0654590131894068E-2</v>
      </c>
      <c r="F24" s="72" t="s">
        <v>95</v>
      </c>
    </row>
    <row r="25" spans="1:6" x14ac:dyDescent="0.2">
      <c r="A25" s="72" t="s">
        <v>143</v>
      </c>
      <c r="B25" s="72" t="s">
        <v>36</v>
      </c>
      <c r="C25" s="157">
        <v>29.511835614700001</v>
      </c>
      <c r="D25" s="158">
        <v>0.85553125597620305</v>
      </c>
      <c r="E25" s="121">
        <v>0.85553125597620305</v>
      </c>
      <c r="F25" s="72" t="s">
        <v>145</v>
      </c>
    </row>
    <row r="26" spans="1:6" x14ac:dyDescent="0.2">
      <c r="A26" s="72" t="s">
        <v>143</v>
      </c>
      <c r="B26" s="72" t="s">
        <v>34</v>
      </c>
      <c r="C26" s="157">
        <v>81.2981525366</v>
      </c>
      <c r="D26" s="158">
        <v>0.2421963443645147</v>
      </c>
      <c r="E26" s="121">
        <v>0.2421963443645147</v>
      </c>
      <c r="F26" s="72" t="s">
        <v>145</v>
      </c>
    </row>
    <row r="27" spans="1:6" x14ac:dyDescent="0.2">
      <c r="A27" s="72" t="s">
        <v>143</v>
      </c>
      <c r="B27" s="72" t="s">
        <v>35</v>
      </c>
      <c r="C27" s="157">
        <v>49.0356364258</v>
      </c>
      <c r="D27" s="158">
        <v>1</v>
      </c>
      <c r="E27" s="121">
        <v>1</v>
      </c>
      <c r="F27" s="72" t="s">
        <v>145</v>
      </c>
    </row>
    <row r="28" spans="1:6" x14ac:dyDescent="0.2">
      <c r="A28" s="72" t="s">
        <v>143</v>
      </c>
      <c r="B28" s="72" t="s">
        <v>36</v>
      </c>
      <c r="C28" s="157">
        <v>7.9677841797499998</v>
      </c>
      <c r="D28" s="158">
        <v>1.5188701116756589E-2</v>
      </c>
      <c r="E28" s="121">
        <v>1.5188701116756589E-2</v>
      </c>
      <c r="F28" s="72" t="s">
        <v>95</v>
      </c>
    </row>
    <row r="29" spans="1:6" x14ac:dyDescent="0.2">
      <c r="A29" s="72" t="s">
        <v>143</v>
      </c>
      <c r="B29" s="72" t="s">
        <v>34</v>
      </c>
      <c r="C29" s="157">
        <f>[5]OCB_correct_roads_2018!$E$104</f>
        <v>97.541281160400004</v>
      </c>
      <c r="D29" s="158">
        <f>[5]OCB_correct_roads_2018!$F$104</f>
        <v>1.1922041102687575E-2</v>
      </c>
      <c r="E29" s="121">
        <v>1.1902410074551398E-2</v>
      </c>
      <c r="F29" s="72" t="s">
        <v>95</v>
      </c>
    </row>
    <row r="30" spans="1:6" x14ac:dyDescent="0.2">
      <c r="A30" s="72" t="s">
        <v>143</v>
      </c>
      <c r="B30" s="72" t="s">
        <v>35</v>
      </c>
      <c r="C30" s="157">
        <v>55.768890043200003</v>
      </c>
      <c r="D30" s="158">
        <v>0.13608869372858651</v>
      </c>
      <c r="E30" s="121">
        <v>0.13791252591993466</v>
      </c>
      <c r="F30" s="72" t="s">
        <v>95</v>
      </c>
    </row>
    <row r="31" spans="1:6" x14ac:dyDescent="0.2">
      <c r="A31" s="72" t="s">
        <v>143</v>
      </c>
      <c r="B31" s="72" t="s">
        <v>43</v>
      </c>
      <c r="C31" s="157">
        <v>4.0723890757200003</v>
      </c>
      <c r="D31" s="158">
        <v>1.8125362327313876E-2</v>
      </c>
      <c r="E31" s="121">
        <v>1.8705743285558903E-2</v>
      </c>
      <c r="F31" s="72" t="s">
        <v>95</v>
      </c>
    </row>
    <row r="32" spans="1:6" x14ac:dyDescent="0.2">
      <c r="A32" s="159" t="s">
        <v>143</v>
      </c>
      <c r="B32" s="159" t="s">
        <v>200</v>
      </c>
      <c r="C32" s="157">
        <v>5.4974549999700001E-2</v>
      </c>
      <c r="D32" s="158"/>
      <c r="E32" s="121">
        <v>0</v>
      </c>
      <c r="F32" s="159" t="s">
        <v>95</v>
      </c>
    </row>
    <row r="33" spans="1:6" x14ac:dyDescent="0.2">
      <c r="A33" s="159" t="s">
        <v>141</v>
      </c>
      <c r="B33" s="72" t="s">
        <v>36</v>
      </c>
      <c r="C33" s="157">
        <v>13.6641812224</v>
      </c>
      <c r="D33" s="158">
        <v>2.6047538426014847E-2</v>
      </c>
      <c r="E33" s="121">
        <v>2.6047538426014847E-2</v>
      </c>
      <c r="F33" s="72" t="s">
        <v>95</v>
      </c>
    </row>
    <row r="34" spans="1:6" x14ac:dyDescent="0.2">
      <c r="A34" s="159" t="s">
        <v>141</v>
      </c>
      <c r="B34" s="72" t="s">
        <v>34</v>
      </c>
      <c r="C34" s="157">
        <v>392.983368794</v>
      </c>
      <c r="D34" s="158">
        <v>4.8032626022742719E-2</v>
      </c>
      <c r="E34" s="121">
        <v>4.8032626022742719E-2</v>
      </c>
      <c r="F34" s="72" t="s">
        <v>95</v>
      </c>
    </row>
    <row r="36" spans="1:6" x14ac:dyDescent="0.2">
      <c r="A36" s="19" t="s">
        <v>182</v>
      </c>
    </row>
    <row r="39" spans="1:6" x14ac:dyDescent="0.2">
      <c r="A39" s="70" t="s">
        <v>162</v>
      </c>
      <c r="B39" s="70" t="s">
        <v>59</v>
      </c>
      <c r="C39" s="70" t="s">
        <v>59</v>
      </c>
      <c r="D39" s="70" t="s">
        <v>59</v>
      </c>
    </row>
    <row r="40" spans="1:6" x14ac:dyDescent="0.2">
      <c r="A40" s="142" t="s">
        <v>150</v>
      </c>
      <c r="B40" s="142" t="s">
        <v>151</v>
      </c>
      <c r="E40" s="160"/>
      <c r="F40" s="696" t="s">
        <v>164</v>
      </c>
    </row>
    <row r="41" spans="1:6" x14ac:dyDescent="0.2">
      <c r="A41" s="142" t="s">
        <v>148</v>
      </c>
      <c r="B41" t="s">
        <v>145</v>
      </c>
      <c r="C41" t="s">
        <v>95</v>
      </c>
      <c r="D41" t="s">
        <v>149</v>
      </c>
      <c r="E41" s="162" t="s">
        <v>152</v>
      </c>
      <c r="F41" s="697"/>
    </row>
    <row r="42" spans="1:6" x14ac:dyDescent="0.2">
      <c r="A42" s="143" t="s">
        <v>144</v>
      </c>
      <c r="B42" s="79">
        <v>28.941370997659998</v>
      </c>
      <c r="C42" s="79">
        <v>807.78771870840001</v>
      </c>
      <c r="D42" s="79">
        <v>836.72908970605999</v>
      </c>
      <c r="E42" s="144">
        <v>826</v>
      </c>
      <c r="F42" s="79">
        <f>D42-E42</f>
        <v>10.729089706059995</v>
      </c>
    </row>
    <row r="43" spans="1:6" x14ac:dyDescent="0.2">
      <c r="A43" s="143" t="s">
        <v>36</v>
      </c>
      <c r="B43" s="79">
        <v>34.495334770020001</v>
      </c>
      <c r="C43" s="79">
        <v>524.58627755615009</v>
      </c>
      <c r="D43" s="79">
        <v>559.0816123261701</v>
      </c>
      <c r="E43" s="144">
        <v>25</v>
      </c>
      <c r="F43" s="79">
        <f t="shared" ref="F43:F46" si="0">D43-E43</f>
        <v>534.0816123261701</v>
      </c>
    </row>
    <row r="44" spans="1:6" x14ac:dyDescent="0.2">
      <c r="A44" s="143" t="s">
        <v>34</v>
      </c>
      <c r="B44" s="79">
        <v>335.67043610759998</v>
      </c>
      <c r="C44" s="79">
        <v>8181.5924161265002</v>
      </c>
      <c r="D44" s="79">
        <v>8517.2628522341001</v>
      </c>
      <c r="E44" s="2">
        <v>5738</v>
      </c>
      <c r="F44" s="79">
        <f t="shared" si="0"/>
        <v>2779.2628522341001</v>
      </c>
    </row>
    <row r="45" spans="1:6" x14ac:dyDescent="0.2">
      <c r="A45" s="143" t="s">
        <v>35</v>
      </c>
      <c r="B45" s="79">
        <v>49.0356364258</v>
      </c>
      <c r="C45" s="79">
        <v>404.37874077070001</v>
      </c>
      <c r="D45" s="79">
        <v>453.41437719650003</v>
      </c>
      <c r="E45" s="2">
        <v>1248</v>
      </c>
      <c r="F45" s="79">
        <f t="shared" si="0"/>
        <v>-794.58562280349997</v>
      </c>
    </row>
    <row r="46" spans="1:6" x14ac:dyDescent="0.2">
      <c r="A46" s="143" t="s">
        <v>43</v>
      </c>
      <c r="B46" s="79"/>
      <c r="C46" s="79">
        <v>217.70795211581</v>
      </c>
      <c r="D46" s="79">
        <v>217.70795211581</v>
      </c>
      <c r="E46" s="2">
        <v>1544</v>
      </c>
      <c r="F46" s="79">
        <f t="shared" si="0"/>
        <v>-1326.29204788419</v>
      </c>
    </row>
    <row r="47" spans="1:6" x14ac:dyDescent="0.2">
      <c r="A47" s="143" t="s">
        <v>149</v>
      </c>
      <c r="B47" s="79">
        <v>448.14277830108</v>
      </c>
      <c r="C47" s="79">
        <v>10136.05310527756</v>
      </c>
      <c r="D47" s="79">
        <v>10584.195883578641</v>
      </c>
      <c r="E47" s="160">
        <f>SUM(E42:E46)</f>
        <v>9381</v>
      </c>
      <c r="F47" s="160"/>
    </row>
  </sheetData>
  <sortState ref="A2:F29">
    <sortCondition ref="A2:A29"/>
    <sortCondition ref="F2:F29"/>
  </sortState>
  <mergeCells count="1">
    <mergeCell ref="F40:F41"/>
  </mergeCells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</sheetPr>
  <dimension ref="A1:W118"/>
  <sheetViews>
    <sheetView topLeftCell="D95" workbookViewId="0">
      <selection activeCell="D113" sqref="D113"/>
    </sheetView>
  </sheetViews>
  <sheetFormatPr defaultRowHeight="12.75" x14ac:dyDescent="0.2"/>
  <cols>
    <col min="1" max="1" width="38" customWidth="1"/>
    <col min="2" max="2" width="15.28515625" customWidth="1"/>
    <col min="3" max="4" width="15.42578125" customWidth="1"/>
    <col min="5" max="5" width="15.28515625" customWidth="1"/>
    <col min="6" max="6" width="14.85546875" customWidth="1"/>
    <col min="7" max="7" width="17.7109375" customWidth="1"/>
    <col min="8" max="8" width="14.5703125" customWidth="1"/>
    <col min="9" max="9" width="15.5703125" customWidth="1"/>
    <col min="10" max="10" width="15" customWidth="1"/>
    <col min="11" max="11" width="13.5703125" customWidth="1"/>
    <col min="12" max="12" width="13" customWidth="1"/>
    <col min="13" max="13" width="14.140625" customWidth="1"/>
    <col min="14" max="15" width="14.7109375" customWidth="1"/>
    <col min="16" max="16" width="14.42578125" customWidth="1"/>
    <col min="17" max="17" width="15" customWidth="1"/>
    <col min="18" max="18" width="14.85546875" customWidth="1"/>
    <col min="19" max="19" width="13.85546875" customWidth="1"/>
    <col min="20" max="20" width="13.5703125" customWidth="1"/>
    <col min="21" max="21" width="11.28515625" customWidth="1"/>
    <col min="22" max="22" width="11.42578125" customWidth="1"/>
    <col min="23" max="23" width="12.42578125" customWidth="1"/>
  </cols>
  <sheetData>
    <row r="1" spans="1:13" x14ac:dyDescent="0.2">
      <c r="A1" s="42"/>
      <c r="B1" s="698" t="s">
        <v>38</v>
      </c>
      <c r="C1" s="698"/>
      <c r="D1" s="698"/>
      <c r="E1" s="699"/>
      <c r="F1" s="699"/>
      <c r="G1" s="699"/>
      <c r="H1" s="699"/>
      <c r="I1" s="699"/>
      <c r="J1" s="700"/>
    </row>
    <row r="2" spans="1:13" ht="16.5" thickBot="1" x14ac:dyDescent="0.25">
      <c r="A2" s="404" t="s">
        <v>175</v>
      </c>
      <c r="B2" s="701"/>
      <c r="C2" s="701"/>
      <c r="D2" s="701"/>
      <c r="E2" s="701"/>
      <c r="F2" s="701"/>
      <c r="G2" s="701"/>
      <c r="H2" s="701"/>
      <c r="I2" s="701"/>
      <c r="J2" s="702"/>
    </row>
    <row r="3" spans="1:13" ht="54" customHeight="1" thickTop="1" x14ac:dyDescent="0.2">
      <c r="A3" s="48" t="s">
        <v>16</v>
      </c>
      <c r="B3" s="49" t="s">
        <v>17</v>
      </c>
      <c r="C3" s="50" t="s">
        <v>28</v>
      </c>
      <c r="D3" s="190" t="s">
        <v>750</v>
      </c>
      <c r="E3" s="51" t="s">
        <v>21</v>
      </c>
      <c r="F3" s="52" t="s">
        <v>121</v>
      </c>
      <c r="G3" s="51" t="s">
        <v>24</v>
      </c>
      <c r="H3" s="49" t="s">
        <v>18</v>
      </c>
      <c r="I3" s="53" t="s">
        <v>19</v>
      </c>
      <c r="J3" s="44" t="s">
        <v>20</v>
      </c>
    </row>
    <row r="4" spans="1:13" x14ac:dyDescent="0.2">
      <c r="A4" s="27" t="s">
        <v>2</v>
      </c>
      <c r="B4" s="213">
        <v>386</v>
      </c>
      <c r="C4" s="661">
        <f>B4/B$56</f>
        <v>1.4802458372339396E-2</v>
      </c>
      <c r="D4" s="250"/>
      <c r="E4" s="221"/>
      <c r="F4" s="216"/>
      <c r="G4" s="215"/>
      <c r="H4" s="213"/>
      <c r="I4" s="232"/>
      <c r="J4" s="45"/>
      <c r="L4" t="s">
        <v>741</v>
      </c>
      <c r="M4" s="2">
        <f>B7+B21+B35</f>
        <v>1767.3629036140831</v>
      </c>
    </row>
    <row r="5" spans="1:13" x14ac:dyDescent="0.2">
      <c r="A5" s="43" t="s">
        <v>25</v>
      </c>
      <c r="B5" s="10"/>
      <c r="C5" s="659"/>
      <c r="D5" s="98"/>
      <c r="E5" s="6"/>
      <c r="F5" s="5"/>
      <c r="G5" s="6"/>
      <c r="H5" s="10"/>
      <c r="I5" s="54"/>
      <c r="J5" s="46"/>
      <c r="L5" t="s">
        <v>742</v>
      </c>
      <c r="M5" s="2">
        <f>B8+B22+B36</f>
        <v>3371.2</v>
      </c>
    </row>
    <row r="6" spans="1:13" x14ac:dyDescent="0.2">
      <c r="A6" s="29" t="s">
        <v>26</v>
      </c>
      <c r="B6" s="10">
        <v>386</v>
      </c>
      <c r="C6" s="659">
        <f t="shared" ref="C6:C46" si="0">B6/B$56</f>
        <v>1.4802458372339396E-2</v>
      </c>
      <c r="D6" s="98"/>
      <c r="E6" s="6"/>
      <c r="F6" s="5"/>
      <c r="G6" s="6"/>
      <c r="H6" s="10"/>
      <c r="I6" s="54"/>
      <c r="J6" s="46"/>
      <c r="L6" t="s">
        <v>27</v>
      </c>
      <c r="M6" s="2">
        <f>B18+B32+B46</f>
        <v>522.20000000000005</v>
      </c>
    </row>
    <row r="7" spans="1:13" x14ac:dyDescent="0.2">
      <c r="A7" s="183" t="s">
        <v>203</v>
      </c>
      <c r="B7" s="233">
        <f>'Newnans Lake Tribs loading'!P48</f>
        <v>338.4</v>
      </c>
      <c r="C7" s="662">
        <f t="shared" si="0"/>
        <v>1.2977077495335885E-2</v>
      </c>
      <c r="D7" s="98"/>
      <c r="E7" s="6"/>
      <c r="F7" s="5"/>
      <c r="G7" s="6"/>
      <c r="H7" s="10"/>
      <c r="I7" s="54"/>
      <c r="J7" s="46"/>
      <c r="L7" t="s">
        <v>743</v>
      </c>
      <c r="M7" s="2">
        <f>B11+B25+B39</f>
        <v>1245.7199999999998</v>
      </c>
    </row>
    <row r="8" spans="1:13" ht="25.5" x14ac:dyDescent="0.2">
      <c r="A8" s="154" t="s">
        <v>105</v>
      </c>
      <c r="B8" s="213">
        <f>SUM(B9:B10)</f>
        <v>1537.6</v>
      </c>
      <c r="C8" s="661">
        <f t="shared" si="0"/>
        <v>5.8964404127743668E-2</v>
      </c>
      <c r="D8" s="250">
        <f>B8</f>
        <v>1537.6</v>
      </c>
      <c r="E8" s="215">
        <v>0</v>
      </c>
      <c r="F8" s="216"/>
      <c r="G8" s="215"/>
      <c r="H8" s="218"/>
      <c r="I8" s="232">
        <f>B8</f>
        <v>1537.6</v>
      </c>
      <c r="J8" s="46"/>
      <c r="L8" t="s">
        <v>744</v>
      </c>
      <c r="M8" s="2">
        <f>B20+B33+B47</f>
        <v>256.06666666666666</v>
      </c>
    </row>
    <row r="9" spans="1:13" x14ac:dyDescent="0.2">
      <c r="A9" s="30" t="s">
        <v>5</v>
      </c>
      <c r="B9" s="10">
        <f>'Newnans Lake Tribs loading'!P45</f>
        <v>97.6</v>
      </c>
      <c r="C9" s="659">
        <f t="shared" si="0"/>
        <v>3.7427977646122411E-3</v>
      </c>
      <c r="D9" s="98">
        <f t="shared" ref="D9:D10" si="1">B9</f>
        <v>97.6</v>
      </c>
      <c r="E9" s="6">
        <v>0</v>
      </c>
      <c r="F9" s="5"/>
      <c r="G9" s="6"/>
      <c r="H9" s="33"/>
      <c r="I9" s="54">
        <f t="shared" ref="I9:I10" si="2">B9+H9</f>
        <v>97.6</v>
      </c>
      <c r="J9" s="46"/>
      <c r="L9" t="s">
        <v>745</v>
      </c>
      <c r="M9" s="21">
        <f>B19+B34+B48</f>
        <v>1827.1999999999998</v>
      </c>
    </row>
    <row r="10" spans="1:13" x14ac:dyDescent="0.2">
      <c r="A10" s="30" t="s">
        <v>6</v>
      </c>
      <c r="B10" s="10">
        <f>'Newnans Lake Tribs loading'!P46</f>
        <v>1440</v>
      </c>
      <c r="C10" s="659">
        <f t="shared" si="0"/>
        <v>5.5221606363131427E-2</v>
      </c>
      <c r="D10" s="98">
        <f t="shared" si="1"/>
        <v>1440</v>
      </c>
      <c r="E10" s="6">
        <v>0</v>
      </c>
      <c r="F10" s="5"/>
      <c r="G10" s="6"/>
      <c r="H10" s="33"/>
      <c r="I10" s="54">
        <f t="shared" si="2"/>
        <v>1440</v>
      </c>
      <c r="J10" s="46"/>
    </row>
    <row r="11" spans="1:13" ht="25.5" x14ac:dyDescent="0.2">
      <c r="A11" s="154" t="s">
        <v>106</v>
      </c>
      <c r="B11" s="213">
        <f>SUM(B12:B17)</f>
        <v>459.99999999999994</v>
      </c>
      <c r="C11" s="661">
        <f t="shared" si="0"/>
        <v>1.7640235366000314E-2</v>
      </c>
      <c r="D11" s="250">
        <f>B11</f>
        <v>459.99999999999994</v>
      </c>
      <c r="E11" s="215">
        <f>SUM(E12:E16)</f>
        <v>459.99999999999994</v>
      </c>
      <c r="F11" s="651">
        <f t="shared" ref="F11:F16" si="3">E11/(D$56-D$8-D$19-D$22-D$34-D$36-D$50-D$48)</f>
        <v>2.9673616026849023E-2</v>
      </c>
      <c r="G11" s="215">
        <f t="shared" ref="G11:G16" si="4">F11*($D$58)</f>
        <v>385.73880853120744</v>
      </c>
      <c r="H11" s="218"/>
      <c r="I11" s="232">
        <f>D11</f>
        <v>459.99999999999994</v>
      </c>
      <c r="J11" s="46"/>
    </row>
    <row r="12" spans="1:13" x14ac:dyDescent="0.2">
      <c r="A12" s="30" t="s">
        <v>7</v>
      </c>
      <c r="B12" s="10">
        <f>'Newnans Lake Tribs loading'!P41</f>
        <v>34</v>
      </c>
      <c r="C12" s="659">
        <f t="shared" si="0"/>
        <v>1.3038434835739366E-3</v>
      </c>
      <c r="D12" s="98">
        <f t="shared" ref="D12:D17" si="5">B12</f>
        <v>34</v>
      </c>
      <c r="E12" s="6">
        <f t="shared" ref="E12:E18" si="6">B12</f>
        <v>34</v>
      </c>
      <c r="F12" s="653">
        <f t="shared" si="3"/>
        <v>2.1932672715497107E-3</v>
      </c>
      <c r="G12" s="6">
        <f t="shared" si="4"/>
        <v>28.511129326219685</v>
      </c>
      <c r="H12" s="33"/>
      <c r="I12" s="54">
        <f t="shared" ref="I12:I16" si="7">B12+H12</f>
        <v>34</v>
      </c>
      <c r="J12" s="46"/>
    </row>
    <row r="13" spans="1:13" x14ac:dyDescent="0.2">
      <c r="A13" s="30" t="s">
        <v>8</v>
      </c>
      <c r="B13" s="10">
        <f>'Newnans Lake Tribs loading'!P39</f>
        <v>149</v>
      </c>
      <c r="C13" s="659">
        <f t="shared" si="0"/>
        <v>5.7139023250740162E-3</v>
      </c>
      <c r="D13" s="98">
        <f t="shared" si="5"/>
        <v>149</v>
      </c>
      <c r="E13" s="6">
        <f t="shared" si="6"/>
        <v>149</v>
      </c>
      <c r="F13" s="653">
        <f t="shared" si="3"/>
        <v>9.6116712782619677E-3</v>
      </c>
      <c r="G13" s="6">
        <f t="shared" si="4"/>
        <v>124.94583145902156</v>
      </c>
      <c r="H13" s="33"/>
      <c r="I13" s="54">
        <f t="shared" si="7"/>
        <v>149</v>
      </c>
      <c r="J13" s="46"/>
    </row>
    <row r="14" spans="1:13" x14ac:dyDescent="0.2">
      <c r="A14" s="30" t="s">
        <v>9</v>
      </c>
      <c r="B14" s="10">
        <f>'Newnans Lake Tribs loading'!P40</f>
        <v>210.2</v>
      </c>
      <c r="C14" s="659">
        <f t="shared" si="0"/>
        <v>8.0608205955071018E-3</v>
      </c>
      <c r="D14" s="98">
        <f t="shared" si="5"/>
        <v>210.2</v>
      </c>
      <c r="E14" s="6">
        <f t="shared" si="6"/>
        <v>210.2</v>
      </c>
      <c r="F14" s="653">
        <f t="shared" si="3"/>
        <v>1.3559552367051446E-2</v>
      </c>
      <c r="G14" s="6">
        <f t="shared" si="4"/>
        <v>176.26586424621698</v>
      </c>
      <c r="H14" s="33"/>
      <c r="I14" s="54">
        <f t="shared" si="7"/>
        <v>210.2</v>
      </c>
      <c r="J14" s="46"/>
    </row>
    <row r="15" spans="1:13" x14ac:dyDescent="0.2">
      <c r="A15" s="30" t="s">
        <v>10</v>
      </c>
      <c r="B15" s="10">
        <f>'Newnans Lake Tribs loading'!P38</f>
        <v>31.4</v>
      </c>
      <c r="C15" s="659">
        <f t="shared" si="0"/>
        <v>1.2041378054182825E-3</v>
      </c>
      <c r="D15" s="98">
        <f t="shared" si="5"/>
        <v>31.4</v>
      </c>
      <c r="E15" s="6">
        <f t="shared" si="6"/>
        <v>31.4</v>
      </c>
      <c r="F15" s="653">
        <f t="shared" si="3"/>
        <v>2.0255468331370858E-3</v>
      </c>
      <c r="G15" s="6">
        <f t="shared" si="4"/>
        <v>26.330866495391124</v>
      </c>
      <c r="H15" s="33"/>
      <c r="I15" s="54">
        <f t="shared" si="7"/>
        <v>31.4</v>
      </c>
      <c r="J15" s="46"/>
    </row>
    <row r="16" spans="1:13" x14ac:dyDescent="0.2">
      <c r="A16" s="30" t="s">
        <v>11</v>
      </c>
      <c r="B16" s="10">
        <f>'Newnans Lake Tribs loading'!P37</f>
        <v>35.4</v>
      </c>
      <c r="C16" s="659">
        <f t="shared" si="0"/>
        <v>1.3575311564269809E-3</v>
      </c>
      <c r="D16" s="98">
        <f t="shared" si="5"/>
        <v>35.4</v>
      </c>
      <c r="E16" s="6">
        <f t="shared" si="6"/>
        <v>35.4</v>
      </c>
      <c r="F16" s="653">
        <f t="shared" si="3"/>
        <v>2.2835782768488161E-3</v>
      </c>
      <c r="G16" s="6">
        <f t="shared" si="4"/>
        <v>29.68511700435814</v>
      </c>
      <c r="H16" s="33"/>
      <c r="I16" s="54">
        <f t="shared" si="7"/>
        <v>35.4</v>
      </c>
      <c r="J16" s="46"/>
    </row>
    <row r="17" spans="1:10" x14ac:dyDescent="0.2">
      <c r="A17" s="34" t="s">
        <v>189</v>
      </c>
      <c r="B17" s="10">
        <v>0</v>
      </c>
      <c r="C17" s="659">
        <f t="shared" si="0"/>
        <v>0</v>
      </c>
      <c r="D17" s="98">
        <f t="shared" si="5"/>
        <v>0</v>
      </c>
      <c r="E17" s="6">
        <v>0</v>
      </c>
      <c r="F17" s="653"/>
      <c r="G17" s="6"/>
      <c r="H17" s="33"/>
      <c r="I17" s="54"/>
      <c r="J17" s="46"/>
    </row>
    <row r="18" spans="1:10" x14ac:dyDescent="0.2">
      <c r="A18" s="32" t="s">
        <v>107</v>
      </c>
      <c r="B18" s="213">
        <f>'Newnans Lake Tribs loading'!P44</f>
        <v>215</v>
      </c>
      <c r="C18" s="661">
        <f t="shared" si="0"/>
        <v>8.2448926167175401E-3</v>
      </c>
      <c r="D18" s="250">
        <f t="shared" ref="D18:D20" si="8">B18</f>
        <v>215</v>
      </c>
      <c r="E18" s="215">
        <f t="shared" si="6"/>
        <v>215</v>
      </c>
      <c r="F18" s="651">
        <f>E18/(D$56-D$8-D$19-D$22-D$34-D$36-D$50-D$48)</f>
        <v>1.3869190099505524E-2</v>
      </c>
      <c r="G18" s="215">
        <f>F18*($D$58)</f>
        <v>180.29096485697744</v>
      </c>
      <c r="H18" s="218"/>
      <c r="I18" s="232">
        <f>B18+H18</f>
        <v>215</v>
      </c>
      <c r="J18" s="46"/>
    </row>
    <row r="19" spans="1:10" x14ac:dyDescent="0.2">
      <c r="A19" s="32" t="s">
        <v>110</v>
      </c>
      <c r="B19" s="234">
        <f>'Newnans Lake Tribs loading'!P47</f>
        <v>556</v>
      </c>
      <c r="C19" s="661">
        <f t="shared" si="0"/>
        <v>2.132167579020908E-2</v>
      </c>
      <c r="D19" s="250">
        <f t="shared" si="8"/>
        <v>556</v>
      </c>
      <c r="E19" s="235">
        <v>0</v>
      </c>
      <c r="F19" s="665"/>
      <c r="G19" s="235"/>
      <c r="H19" s="236"/>
      <c r="I19" s="232">
        <f>B19+H19</f>
        <v>556</v>
      </c>
      <c r="J19" s="85"/>
    </row>
    <row r="20" spans="1:10" x14ac:dyDescent="0.2">
      <c r="A20" s="27" t="s">
        <v>176</v>
      </c>
      <c r="B20" s="219">
        <f>'Newnans Lake Tribs loading'!P49</f>
        <v>111.2</v>
      </c>
      <c r="C20" s="661">
        <f t="shared" si="0"/>
        <v>4.2643351580418159E-3</v>
      </c>
      <c r="D20" s="250">
        <f t="shared" si="8"/>
        <v>111.2</v>
      </c>
      <c r="E20" s="215">
        <f>B20</f>
        <v>111.2</v>
      </c>
      <c r="F20" s="651">
        <f>E20/(D$56-D$8-D$19-D$22-D$34-D$36-D$50-D$48)</f>
        <v>7.1732741351861126E-3</v>
      </c>
      <c r="G20" s="215">
        <f>F20*($D$58)</f>
        <v>93.248164149283213</v>
      </c>
      <c r="H20" s="218"/>
      <c r="I20" s="232">
        <f t="shared" ref="I20" si="9">B20+H20</f>
        <v>111.2</v>
      </c>
      <c r="J20" s="46"/>
    </row>
    <row r="21" spans="1:10" x14ac:dyDescent="0.2">
      <c r="A21" s="227" t="s">
        <v>204</v>
      </c>
      <c r="B21" s="237">
        <v>1136.7629036140829</v>
      </c>
      <c r="C21" s="662">
        <f t="shared" si="0"/>
        <v>4.3592967771935554E-2</v>
      </c>
      <c r="D21" s="98"/>
      <c r="E21" s="6"/>
      <c r="F21" s="653"/>
      <c r="G21" s="6"/>
      <c r="H21" s="33"/>
      <c r="I21" s="54"/>
      <c r="J21" s="46"/>
    </row>
    <row r="22" spans="1:10" ht="25.5" x14ac:dyDescent="0.2">
      <c r="A22" s="155" t="s">
        <v>113</v>
      </c>
      <c r="B22" s="219">
        <f>SUM(B23:B24)</f>
        <v>1394</v>
      </c>
      <c r="C22" s="661">
        <f t="shared" si="0"/>
        <v>5.3457582826531395E-2</v>
      </c>
      <c r="D22" s="250">
        <f>B22</f>
        <v>1394</v>
      </c>
      <c r="E22" s="215">
        <v>0</v>
      </c>
      <c r="F22" s="651"/>
      <c r="G22" s="215"/>
      <c r="H22" s="218"/>
      <c r="I22" s="232">
        <f t="shared" ref="I22:I34" si="10">B22+H22</f>
        <v>1394</v>
      </c>
      <c r="J22" s="46"/>
    </row>
    <row r="23" spans="1:10" x14ac:dyDescent="0.2">
      <c r="A23" s="87" t="s">
        <v>5</v>
      </c>
      <c r="B23" s="31">
        <f>'Newnans Lake Tribs loading'!P13</f>
        <v>98.4</v>
      </c>
      <c r="C23" s="659">
        <f t="shared" si="0"/>
        <v>3.7734764348139813E-3</v>
      </c>
      <c r="D23" s="98">
        <f t="shared" ref="D23:D24" si="11">B23</f>
        <v>98.4</v>
      </c>
      <c r="E23" s="6">
        <v>0</v>
      </c>
      <c r="F23" s="653"/>
      <c r="G23" s="6"/>
      <c r="H23" s="33"/>
      <c r="I23" s="54">
        <f t="shared" si="10"/>
        <v>98.4</v>
      </c>
      <c r="J23" s="46"/>
    </row>
    <row r="24" spans="1:10" x14ac:dyDescent="0.2">
      <c r="A24" s="87" t="s">
        <v>6</v>
      </c>
      <c r="B24" s="31">
        <f>'Newnans Lake Tribs loading'!P14</f>
        <v>1295.5999999999999</v>
      </c>
      <c r="C24" s="659">
        <f t="shared" si="0"/>
        <v>4.9684106391717414E-2</v>
      </c>
      <c r="D24" s="98">
        <f t="shared" si="11"/>
        <v>1295.5999999999999</v>
      </c>
      <c r="E24" s="6">
        <v>0</v>
      </c>
      <c r="F24" s="653"/>
      <c r="G24" s="6"/>
      <c r="H24" s="33"/>
      <c r="I24" s="54">
        <f t="shared" si="10"/>
        <v>1295.5999999999999</v>
      </c>
      <c r="J24" s="46"/>
    </row>
    <row r="25" spans="1:10" ht="25.5" x14ac:dyDescent="0.2">
      <c r="A25" s="155" t="s">
        <v>114</v>
      </c>
      <c r="B25" s="219">
        <f>SUM(B26:B31)</f>
        <v>421.8</v>
      </c>
      <c r="C25" s="661">
        <f t="shared" si="0"/>
        <v>1.6175328863867248E-2</v>
      </c>
      <c r="D25" s="250">
        <f>B25</f>
        <v>421.8</v>
      </c>
      <c r="E25" s="215">
        <f>B25</f>
        <v>421.8</v>
      </c>
      <c r="F25" s="651">
        <f t="shared" ref="F25:F33" si="12">E25/(D$56-D$8-D$19-D$22-D$34-D$36-D$50-D$48)</f>
        <v>2.7209415739401999E-2</v>
      </c>
      <c r="G25" s="215">
        <f t="shared" ref="G25:G33" si="13">F25*($D$58)</f>
        <v>353.70571617057243</v>
      </c>
      <c r="H25" s="218"/>
      <c r="I25" s="232">
        <f t="shared" si="10"/>
        <v>421.8</v>
      </c>
      <c r="J25" s="46"/>
    </row>
    <row r="26" spans="1:10" x14ac:dyDescent="0.2">
      <c r="A26" s="87" t="s">
        <v>7</v>
      </c>
      <c r="B26" s="31">
        <f>'Newnans Lake Tribs loading'!P9</f>
        <v>32.6</v>
      </c>
      <c r="C26" s="659">
        <f t="shared" si="0"/>
        <v>1.2501558107208921E-3</v>
      </c>
      <c r="D26" s="98">
        <f t="shared" ref="D26:D34" si="14">B26</f>
        <v>32.6</v>
      </c>
      <c r="E26" s="6">
        <f t="shared" ref="E26:E30" si="15">B26</f>
        <v>32.6</v>
      </c>
      <c r="F26" s="653">
        <f t="shared" si="12"/>
        <v>2.1029562662506049E-3</v>
      </c>
      <c r="G26" s="6">
        <f t="shared" si="13"/>
        <v>27.337141648081229</v>
      </c>
      <c r="H26" s="33"/>
      <c r="I26" s="54">
        <f t="shared" si="10"/>
        <v>32.6</v>
      </c>
      <c r="J26" s="46"/>
    </row>
    <row r="27" spans="1:10" x14ac:dyDescent="0.2">
      <c r="A27" s="87" t="s">
        <v>8</v>
      </c>
      <c r="B27" s="31">
        <f>'Newnans Lake Tribs loading'!P7</f>
        <v>228.4</v>
      </c>
      <c r="C27" s="659">
        <f t="shared" si="0"/>
        <v>8.7587603425966793E-3</v>
      </c>
      <c r="D27" s="98">
        <f t="shared" si="14"/>
        <v>228.4</v>
      </c>
      <c r="E27" s="6">
        <f t="shared" si="15"/>
        <v>228.4</v>
      </c>
      <c r="F27" s="653">
        <f t="shared" si="12"/>
        <v>1.4733595435939821E-2</v>
      </c>
      <c r="G27" s="6">
        <f t="shared" si="13"/>
        <v>191.52770406201694</v>
      </c>
      <c r="H27" s="33"/>
      <c r="I27" s="54">
        <f t="shared" si="10"/>
        <v>228.4</v>
      </c>
      <c r="J27" s="46"/>
    </row>
    <row r="28" spans="1:10" x14ac:dyDescent="0.2">
      <c r="A28" s="87" t="s">
        <v>9</v>
      </c>
      <c r="B28" s="31">
        <f>'Newnans Lake Tribs loading'!P8</f>
        <v>76</v>
      </c>
      <c r="C28" s="659">
        <f t="shared" si="0"/>
        <v>2.91447366916527E-3</v>
      </c>
      <c r="D28" s="98">
        <f t="shared" si="14"/>
        <v>76</v>
      </c>
      <c r="E28" s="6">
        <f t="shared" si="15"/>
        <v>76</v>
      </c>
      <c r="F28" s="653">
        <f t="shared" si="12"/>
        <v>4.9025974305228828E-3</v>
      </c>
      <c r="G28" s="6">
        <f t="shared" si="13"/>
        <v>63.730759670373416</v>
      </c>
      <c r="H28" s="33"/>
      <c r="I28" s="54">
        <f t="shared" si="10"/>
        <v>76</v>
      </c>
      <c r="J28" s="46"/>
    </row>
    <row r="29" spans="1:10" x14ac:dyDescent="0.2">
      <c r="A29" s="87" t="s">
        <v>10</v>
      </c>
      <c r="B29" s="31">
        <f>'Newnans Lake Tribs loading'!P6</f>
        <v>9.6</v>
      </c>
      <c r="C29" s="659">
        <f t="shared" si="0"/>
        <v>3.6814404242087616E-4</v>
      </c>
      <c r="D29" s="98">
        <f t="shared" si="14"/>
        <v>9.6</v>
      </c>
      <c r="E29" s="6">
        <f t="shared" si="15"/>
        <v>9.6</v>
      </c>
      <c r="F29" s="653">
        <f t="shared" si="12"/>
        <v>6.1927546490815361E-4</v>
      </c>
      <c r="G29" s="6">
        <f t="shared" si="13"/>
        <v>8.0502012215208527</v>
      </c>
      <c r="H29" s="33"/>
      <c r="I29" s="54">
        <f t="shared" si="10"/>
        <v>9.6</v>
      </c>
      <c r="J29" s="46"/>
    </row>
    <row r="30" spans="1:10" x14ac:dyDescent="0.2">
      <c r="A30" s="87" t="s">
        <v>11</v>
      </c>
      <c r="B30" s="31">
        <f>'Newnans Lake Tribs loading'!P5</f>
        <v>71.2</v>
      </c>
      <c r="C30" s="659">
        <f t="shared" si="0"/>
        <v>2.7304016479548316E-3</v>
      </c>
      <c r="D30" s="98">
        <f t="shared" si="14"/>
        <v>71.2</v>
      </c>
      <c r="E30" s="6">
        <f t="shared" si="15"/>
        <v>71.2</v>
      </c>
      <c r="F30" s="653">
        <f t="shared" si="12"/>
        <v>4.5929596980688056E-3</v>
      </c>
      <c r="G30" s="6">
        <f t="shared" si="13"/>
        <v>59.705659059612984</v>
      </c>
      <c r="H30" s="33"/>
      <c r="I30" s="54">
        <f t="shared" si="10"/>
        <v>71.2</v>
      </c>
      <c r="J30" s="46"/>
    </row>
    <row r="31" spans="1:10" x14ac:dyDescent="0.2">
      <c r="A31" s="225" t="s">
        <v>189</v>
      </c>
      <c r="B31" s="31">
        <v>4</v>
      </c>
      <c r="C31" s="659">
        <f t="shared" si="0"/>
        <v>1.5339335100869841E-4</v>
      </c>
      <c r="D31" s="98">
        <f t="shared" si="14"/>
        <v>4</v>
      </c>
      <c r="E31" s="6">
        <f>D31</f>
        <v>4</v>
      </c>
      <c r="F31" s="653">
        <f t="shared" si="12"/>
        <v>2.5803144371173064E-4</v>
      </c>
      <c r="G31" s="6">
        <f t="shared" si="13"/>
        <v>3.3542505089670214</v>
      </c>
      <c r="H31" s="33"/>
      <c r="I31" s="54"/>
      <c r="J31" s="46"/>
    </row>
    <row r="32" spans="1:10" x14ac:dyDescent="0.2">
      <c r="A32" s="86" t="s">
        <v>108</v>
      </c>
      <c r="B32" s="213">
        <f>'Newnans Lake Tribs loading'!P12</f>
        <v>283.2</v>
      </c>
      <c r="C32" s="661">
        <f t="shared" si="0"/>
        <v>1.0860249251415847E-2</v>
      </c>
      <c r="D32" s="250">
        <f t="shared" si="14"/>
        <v>283.2</v>
      </c>
      <c r="E32" s="215">
        <f>B32</f>
        <v>283.2</v>
      </c>
      <c r="F32" s="651">
        <f t="shared" si="12"/>
        <v>1.8268626214790529E-2</v>
      </c>
      <c r="G32" s="215">
        <f t="shared" si="13"/>
        <v>237.48093603486512</v>
      </c>
      <c r="H32" s="218"/>
      <c r="I32" s="232">
        <f>B32+H32</f>
        <v>283.2</v>
      </c>
      <c r="J32" s="46"/>
    </row>
    <row r="33" spans="1:10" x14ac:dyDescent="0.2">
      <c r="A33" s="86" t="s">
        <v>177</v>
      </c>
      <c r="B33" s="219">
        <f>'Newnans Lake Tribs loading'!P17</f>
        <v>142.19999999999999</v>
      </c>
      <c r="C33" s="661">
        <f t="shared" si="0"/>
        <v>5.4531336283592281E-3</v>
      </c>
      <c r="D33" s="250">
        <f t="shared" si="14"/>
        <v>142.19999999999999</v>
      </c>
      <c r="E33" s="215">
        <f>B33</f>
        <v>142.19999999999999</v>
      </c>
      <c r="F33" s="651">
        <f t="shared" si="12"/>
        <v>9.173017823952025E-3</v>
      </c>
      <c r="G33" s="215">
        <f t="shared" si="13"/>
        <v>119.24360559377762</v>
      </c>
      <c r="H33" s="218"/>
      <c r="I33" s="232">
        <f t="shared" si="10"/>
        <v>142.19999999999999</v>
      </c>
      <c r="J33" s="46"/>
    </row>
    <row r="34" spans="1:10" x14ac:dyDescent="0.2">
      <c r="A34" s="86" t="s">
        <v>111</v>
      </c>
      <c r="B34" s="219">
        <f>'Newnans Lake Tribs loading'!P15</f>
        <v>1004.6</v>
      </c>
      <c r="C34" s="661">
        <f t="shared" si="0"/>
        <v>3.8524740105834607E-2</v>
      </c>
      <c r="D34" s="250">
        <f t="shared" si="14"/>
        <v>1004.6</v>
      </c>
      <c r="E34" s="215"/>
      <c r="F34" s="651"/>
      <c r="G34" s="215"/>
      <c r="H34" s="218"/>
      <c r="I34" s="232">
        <f t="shared" si="10"/>
        <v>1004.6</v>
      </c>
      <c r="J34" s="46"/>
    </row>
    <row r="35" spans="1:10" ht="26.25" customHeight="1" x14ac:dyDescent="0.2">
      <c r="A35" s="226" t="s">
        <v>205</v>
      </c>
      <c r="B35" s="237">
        <f>'Newnans Lake Tribs loading'!P32</f>
        <v>292.2</v>
      </c>
      <c r="C35" s="662">
        <f t="shared" si="0"/>
        <v>1.1205384291185418E-2</v>
      </c>
      <c r="D35" s="98"/>
      <c r="E35" s="6"/>
      <c r="F35" s="653"/>
      <c r="G35" s="6"/>
      <c r="H35" s="33"/>
      <c r="I35" s="54"/>
      <c r="J35" s="46"/>
    </row>
    <row r="36" spans="1:10" ht="25.5" x14ac:dyDescent="0.2">
      <c r="A36" s="118" t="s">
        <v>115</v>
      </c>
      <c r="B36" s="213">
        <f>SUM(B37:B38)</f>
        <v>439.6</v>
      </c>
      <c r="C36" s="661">
        <f t="shared" si="0"/>
        <v>1.6857929275855957E-2</v>
      </c>
      <c r="D36" s="250">
        <f t="shared" ref="D36:D50" si="16">B36</f>
        <v>439.6</v>
      </c>
      <c r="E36" s="215">
        <v>0</v>
      </c>
      <c r="F36" s="651"/>
      <c r="G36" s="215"/>
      <c r="H36" s="218"/>
      <c r="I36" s="232">
        <f t="shared" ref="I36:I43" si="17">B36+H36</f>
        <v>439.6</v>
      </c>
      <c r="J36" s="46"/>
    </row>
    <row r="37" spans="1:10" x14ac:dyDescent="0.2">
      <c r="A37" s="90" t="s">
        <v>5</v>
      </c>
      <c r="B37" s="10">
        <f>'Newnans Lake Tribs loading'!P29</f>
        <v>106.6</v>
      </c>
      <c r="C37" s="659">
        <f t="shared" si="0"/>
        <v>4.0879328043818127E-3</v>
      </c>
      <c r="D37" s="98">
        <f t="shared" si="16"/>
        <v>106.6</v>
      </c>
      <c r="E37" s="6">
        <v>0</v>
      </c>
      <c r="F37" s="653"/>
      <c r="G37" s="6"/>
      <c r="H37" s="33"/>
      <c r="I37" s="54">
        <f t="shared" si="17"/>
        <v>106.6</v>
      </c>
      <c r="J37" s="46"/>
    </row>
    <row r="38" spans="1:10" x14ac:dyDescent="0.2">
      <c r="A38" s="90" t="s">
        <v>6</v>
      </c>
      <c r="B38" s="10">
        <f>'Newnans Lake Tribs loading'!P30</f>
        <v>333</v>
      </c>
      <c r="C38" s="659">
        <f t="shared" si="0"/>
        <v>1.2769996471474143E-2</v>
      </c>
      <c r="D38" s="98">
        <f t="shared" si="16"/>
        <v>333</v>
      </c>
      <c r="E38" s="6">
        <v>0</v>
      </c>
      <c r="F38" s="653"/>
      <c r="G38" s="6"/>
      <c r="H38" s="33"/>
      <c r="I38" s="54">
        <f t="shared" si="17"/>
        <v>333</v>
      </c>
      <c r="J38" s="46"/>
    </row>
    <row r="39" spans="1:10" ht="25.5" x14ac:dyDescent="0.2">
      <c r="A39" s="118" t="s">
        <v>118</v>
      </c>
      <c r="B39" s="213">
        <f>SUM(B40:B45)</f>
        <v>363.91999999999996</v>
      </c>
      <c r="C39" s="661">
        <f t="shared" si="0"/>
        <v>1.3955727074771379E-2</v>
      </c>
      <c r="D39" s="250">
        <f t="shared" si="16"/>
        <v>363.91999999999996</v>
      </c>
      <c r="E39" s="215">
        <f t="shared" ref="E39:E47" si="18">B39</f>
        <v>363.91999999999996</v>
      </c>
      <c r="F39" s="651">
        <f t="shared" ref="F39:F47" si="19">E39/(D$56-D$8-D$19-D$22-D$34-D$36-D$50-D$48)</f>
        <v>2.3475700748893252E-2</v>
      </c>
      <c r="G39" s="215">
        <f t="shared" ref="G39:G47" si="20">F39*($D$58)</f>
        <v>305.16971130581959</v>
      </c>
      <c r="H39" s="218"/>
      <c r="I39" s="232">
        <f t="shared" si="17"/>
        <v>363.91999999999996</v>
      </c>
      <c r="J39" s="46"/>
    </row>
    <row r="40" spans="1:10" x14ac:dyDescent="0.2">
      <c r="A40" s="90" t="s">
        <v>7</v>
      </c>
      <c r="B40" s="10">
        <f>'Newnans Lake Tribs loading'!P25</f>
        <v>44</v>
      </c>
      <c r="C40" s="659">
        <f t="shared" si="0"/>
        <v>1.6873268610956824E-3</v>
      </c>
      <c r="D40" s="98">
        <f t="shared" si="16"/>
        <v>44</v>
      </c>
      <c r="E40" s="6">
        <f t="shared" si="18"/>
        <v>44</v>
      </c>
      <c r="F40" s="653">
        <f t="shared" si="19"/>
        <v>2.8383458808290372E-3</v>
      </c>
      <c r="G40" s="6">
        <f t="shared" si="20"/>
        <v>36.896755598637242</v>
      </c>
      <c r="H40" s="33"/>
      <c r="I40" s="54">
        <f t="shared" si="17"/>
        <v>44</v>
      </c>
      <c r="J40" s="46"/>
    </row>
    <row r="41" spans="1:10" x14ac:dyDescent="0.2">
      <c r="A41" s="90" t="s">
        <v>8</v>
      </c>
      <c r="B41" s="10">
        <f>'Newnans Lake Tribs loading'!P23</f>
        <v>11.8</v>
      </c>
      <c r="C41" s="659">
        <f t="shared" si="0"/>
        <v>4.5251038547566033E-4</v>
      </c>
      <c r="D41" s="98">
        <f t="shared" si="16"/>
        <v>11.8</v>
      </c>
      <c r="E41" s="6">
        <f t="shared" si="18"/>
        <v>11.8</v>
      </c>
      <c r="F41" s="653">
        <f t="shared" si="19"/>
        <v>7.6119275894960547E-4</v>
      </c>
      <c r="G41" s="6">
        <f t="shared" si="20"/>
        <v>9.8950390014527141</v>
      </c>
      <c r="H41" s="33"/>
      <c r="I41" s="54">
        <f t="shared" si="17"/>
        <v>11.8</v>
      </c>
      <c r="J41" s="46"/>
    </row>
    <row r="42" spans="1:10" x14ac:dyDescent="0.2">
      <c r="A42" s="90" t="s">
        <v>9</v>
      </c>
      <c r="B42" s="10">
        <f>'Newnans Lake Tribs loading'!P24</f>
        <v>92.72</v>
      </c>
      <c r="C42" s="659">
        <f t="shared" si="0"/>
        <v>3.555657876381629E-3</v>
      </c>
      <c r="D42" s="98">
        <f t="shared" si="16"/>
        <v>92.72</v>
      </c>
      <c r="E42" s="6">
        <f t="shared" si="18"/>
        <v>92.72</v>
      </c>
      <c r="F42" s="653">
        <f t="shared" si="19"/>
        <v>5.9811688652379172E-3</v>
      </c>
      <c r="G42" s="6">
        <f t="shared" si="20"/>
        <v>77.751526797855576</v>
      </c>
      <c r="H42" s="33"/>
      <c r="I42" s="54">
        <f t="shared" si="17"/>
        <v>92.72</v>
      </c>
      <c r="J42" s="46"/>
    </row>
    <row r="43" spans="1:10" x14ac:dyDescent="0.2">
      <c r="A43" s="90" t="s">
        <v>10</v>
      </c>
      <c r="B43" s="10">
        <f>'Newnans Lake Tribs loading'!P22</f>
        <v>29.4</v>
      </c>
      <c r="C43" s="659">
        <f t="shared" si="0"/>
        <v>1.1274411299139332E-3</v>
      </c>
      <c r="D43" s="98">
        <f t="shared" si="16"/>
        <v>29.4</v>
      </c>
      <c r="E43" s="6">
        <f t="shared" si="18"/>
        <v>29.4</v>
      </c>
      <c r="F43" s="653">
        <f t="shared" si="19"/>
        <v>1.8965311112812203E-3</v>
      </c>
      <c r="G43" s="6">
        <f t="shared" si="20"/>
        <v>24.653741240907607</v>
      </c>
      <c r="H43" s="33"/>
      <c r="I43" s="54">
        <f t="shared" si="17"/>
        <v>29.4</v>
      </c>
      <c r="J43" s="46"/>
    </row>
    <row r="44" spans="1:10" x14ac:dyDescent="0.2">
      <c r="A44" s="90" t="s">
        <v>11</v>
      </c>
      <c r="B44" s="10">
        <f>'Newnans Lake Tribs loading'!P21</f>
        <v>186</v>
      </c>
      <c r="C44" s="659">
        <f t="shared" si="0"/>
        <v>7.1327908219044759E-3</v>
      </c>
      <c r="D44" s="98">
        <f t="shared" si="16"/>
        <v>186</v>
      </c>
      <c r="E44" s="6">
        <f t="shared" si="18"/>
        <v>186</v>
      </c>
      <c r="F44" s="653">
        <f t="shared" si="19"/>
        <v>1.1998462132595476E-2</v>
      </c>
      <c r="G44" s="6">
        <f t="shared" si="20"/>
        <v>155.97264866696651</v>
      </c>
      <c r="H44" s="33"/>
      <c r="I44" s="54">
        <f t="shared" ref="I44:I49" si="21">B44+H44</f>
        <v>186</v>
      </c>
      <c r="J44" s="46"/>
    </row>
    <row r="45" spans="1:10" x14ac:dyDescent="0.2">
      <c r="A45" s="224" t="s">
        <v>189</v>
      </c>
      <c r="B45" s="10">
        <v>0</v>
      </c>
      <c r="C45" s="659">
        <f t="shared" si="0"/>
        <v>0</v>
      </c>
      <c r="D45" s="98">
        <f t="shared" si="16"/>
        <v>0</v>
      </c>
      <c r="E45" s="6">
        <f>D45</f>
        <v>0</v>
      </c>
      <c r="F45" s="653">
        <f t="shared" si="19"/>
        <v>0</v>
      </c>
      <c r="G45" s="6">
        <f t="shared" si="20"/>
        <v>0</v>
      </c>
      <c r="H45" s="33"/>
      <c r="I45" s="54"/>
      <c r="J45" s="46"/>
    </row>
    <row r="46" spans="1:10" x14ac:dyDescent="0.2">
      <c r="A46" s="89" t="s">
        <v>109</v>
      </c>
      <c r="B46" s="213">
        <f>'Newnans Lake Tribs loading'!P28</f>
        <v>24</v>
      </c>
      <c r="C46" s="661">
        <f t="shared" si="0"/>
        <v>9.2036010605219042E-4</v>
      </c>
      <c r="D46" s="250">
        <f t="shared" si="16"/>
        <v>24</v>
      </c>
      <c r="E46" s="215">
        <f t="shared" si="18"/>
        <v>24</v>
      </c>
      <c r="F46" s="651">
        <f t="shared" si="19"/>
        <v>1.548188662270384E-3</v>
      </c>
      <c r="G46" s="215">
        <f t="shared" si="20"/>
        <v>20.125503053802131</v>
      </c>
      <c r="H46" s="218"/>
      <c r="I46" s="232">
        <f>B46+H46</f>
        <v>24</v>
      </c>
      <c r="J46" s="46"/>
    </row>
    <row r="47" spans="1:10" x14ac:dyDescent="0.2">
      <c r="A47" s="89" t="s">
        <v>170</v>
      </c>
      <c r="B47" s="219">
        <f>'Newnans Lake Tribs loading'!P33</f>
        <v>2.6666666666666665</v>
      </c>
      <c r="C47" s="661">
        <f t="shared" ref="C47:C48" si="22">B47/B$56</f>
        <v>1.0226223400579894E-4</v>
      </c>
      <c r="D47" s="250">
        <f t="shared" si="16"/>
        <v>2.6666666666666665</v>
      </c>
      <c r="E47" s="215">
        <f t="shared" si="18"/>
        <v>2.6666666666666665</v>
      </c>
      <c r="F47" s="651">
        <f t="shared" si="19"/>
        <v>1.720209624744871E-4</v>
      </c>
      <c r="G47" s="215">
        <f t="shared" si="20"/>
        <v>2.2361670059780145</v>
      </c>
      <c r="H47" s="218"/>
      <c r="I47" s="232">
        <f t="shared" si="21"/>
        <v>2.6666666666666665</v>
      </c>
      <c r="J47" s="46"/>
    </row>
    <row r="48" spans="1:10" x14ac:dyDescent="0.2">
      <c r="A48" s="89" t="s">
        <v>112</v>
      </c>
      <c r="B48" s="219">
        <f>'Newnans Lake Tribs loading'!P31</f>
        <v>266.60000000000002</v>
      </c>
      <c r="C48" s="661">
        <f t="shared" si="22"/>
        <v>1.0223666844729751E-2</v>
      </c>
      <c r="D48" s="250">
        <f t="shared" si="16"/>
        <v>266.60000000000002</v>
      </c>
      <c r="E48" s="215"/>
      <c r="F48" s="651"/>
      <c r="G48" s="215"/>
      <c r="H48" s="218"/>
      <c r="I48" s="232">
        <f t="shared" si="21"/>
        <v>266.60000000000002</v>
      </c>
      <c r="J48" s="46"/>
    </row>
    <row r="49" spans="1:20" x14ac:dyDescent="0.2">
      <c r="A49" s="32" t="s">
        <v>13</v>
      </c>
      <c r="B49" s="213">
        <v>13478</v>
      </c>
      <c r="C49" s="661">
        <f>B49/B$56</f>
        <v>0.51685889622380932</v>
      </c>
      <c r="D49" s="250">
        <f t="shared" si="16"/>
        <v>13478</v>
      </c>
      <c r="E49" s="215">
        <f>B49</f>
        <v>13478</v>
      </c>
      <c r="F49" s="651">
        <f>E49/(D$56-D$8-D$19-D$22-D$34-D$36-D$50-D$48)</f>
        <v>0.8694369495866765</v>
      </c>
      <c r="G49" s="215">
        <f>F49*($D$58)</f>
        <v>11302.147089964381</v>
      </c>
      <c r="H49" s="218"/>
      <c r="I49" s="232">
        <f t="shared" si="21"/>
        <v>13478</v>
      </c>
      <c r="J49" s="46"/>
    </row>
    <row r="50" spans="1:20" ht="13.5" thickBot="1" x14ac:dyDescent="0.25">
      <c r="A50" s="164" t="s">
        <v>0</v>
      </c>
      <c r="B50" s="238">
        <v>3223</v>
      </c>
      <c r="C50" s="663">
        <f>B50/B$56</f>
        <v>0.12359669257525875</v>
      </c>
      <c r="D50" s="250">
        <f t="shared" si="16"/>
        <v>3223</v>
      </c>
      <c r="E50" s="239">
        <v>0</v>
      </c>
      <c r="F50" s="666"/>
      <c r="G50" s="240"/>
      <c r="H50" s="241"/>
      <c r="I50" s="242">
        <f>B50+H50</f>
        <v>3223</v>
      </c>
      <c r="J50" s="165"/>
    </row>
    <row r="51" spans="1:20" ht="13.5" thickTop="1" x14ac:dyDescent="0.2">
      <c r="A51" s="261" t="s">
        <v>178</v>
      </c>
      <c r="B51" s="166">
        <f>B52+B53</f>
        <v>4342.5866666666661</v>
      </c>
      <c r="C51" s="664">
        <f>B51/B$56</f>
        <v>0.16653098021142337</v>
      </c>
      <c r="D51" s="105"/>
      <c r="E51" s="106"/>
      <c r="F51" s="667">
        <f>E51/(B$56-B$9-B$10-B$19-B$23-B$24-B$34-B$37-B$38-B$50-B$48)</f>
        <v>0</v>
      </c>
      <c r="G51" s="106">
        <f>F51*($B$58)</f>
        <v>0</v>
      </c>
      <c r="H51" s="108"/>
      <c r="I51" s="167">
        <f>B51+H51</f>
        <v>4342.5866666666661</v>
      </c>
      <c r="J51" s="168"/>
    </row>
    <row r="52" spans="1:20" x14ac:dyDescent="0.2">
      <c r="A52" s="262" t="s">
        <v>116</v>
      </c>
      <c r="B52" s="31">
        <f>B32+B22+B25+B33+B34</f>
        <v>3245.7999999999997</v>
      </c>
      <c r="C52" s="659">
        <f>B52/B$56</f>
        <v>0.12447103467600831</v>
      </c>
      <c r="D52" s="98"/>
      <c r="E52" s="6"/>
      <c r="F52" s="653">
        <f>E52/(B$56-B$9-B$10-B$19-B$23-B$24-B$34-B$37-B$38-B$50-B$48)</f>
        <v>0</v>
      </c>
      <c r="G52" s="6">
        <f>F52*($B$58)</f>
        <v>0</v>
      </c>
      <c r="H52" s="33"/>
      <c r="I52" s="54">
        <f>B52+H52</f>
        <v>3245.7999999999997</v>
      </c>
      <c r="J52" s="46"/>
    </row>
    <row r="53" spans="1:20" x14ac:dyDescent="0.2">
      <c r="A53" s="262" t="s">
        <v>117</v>
      </c>
      <c r="B53" s="10">
        <f>B46+B36+B39+B47+B48</f>
        <v>1096.7866666666666</v>
      </c>
      <c r="C53" s="659">
        <f>B53/B$56</f>
        <v>4.2059945535415075E-2</v>
      </c>
      <c r="D53" s="98"/>
      <c r="E53" s="6"/>
      <c r="F53" s="653">
        <f>E53/(B$56-B$9-B$10-B$19-B$23-B$24-B$34-B$37-B$38-B$50-B$48)</f>
        <v>0</v>
      </c>
      <c r="G53" s="6">
        <f>F53*($B$58)</f>
        <v>0</v>
      </c>
      <c r="H53" s="33"/>
      <c r="I53" s="54">
        <f>B53+H53</f>
        <v>1096.7866666666666</v>
      </c>
      <c r="J53" s="46"/>
    </row>
    <row r="54" spans="1:20" x14ac:dyDescent="0.2">
      <c r="A54" s="27"/>
      <c r="B54" s="10"/>
      <c r="C54" s="659"/>
      <c r="D54" s="98"/>
      <c r="E54" s="6"/>
      <c r="F54" s="5"/>
      <c r="G54" s="6"/>
      <c r="H54" s="33"/>
      <c r="I54" s="54"/>
      <c r="J54" s="46"/>
    </row>
    <row r="55" spans="1:20" x14ac:dyDescent="0.2">
      <c r="A55" s="35" t="s">
        <v>4</v>
      </c>
      <c r="B55" s="10"/>
      <c r="C55" s="659"/>
      <c r="D55" s="98"/>
      <c r="E55" s="8"/>
      <c r="F55" s="5"/>
      <c r="G55" s="6"/>
      <c r="H55" s="10"/>
      <c r="I55" s="55"/>
      <c r="J55" s="45"/>
    </row>
    <row r="56" spans="1:20" x14ac:dyDescent="0.2">
      <c r="A56" s="36" t="s">
        <v>22</v>
      </c>
      <c r="B56" s="11">
        <f>B4+B7+B8+B11+B18+B19+B20+B49+B50+B21+B35+B22+B25+B32+B33+B34+B36+B39+B46+B47+B48</f>
        <v>26076.749570280746</v>
      </c>
      <c r="C56" s="659">
        <f>C4+C7+C8+C11+C18+C19+C20+C21+C22+C25+C32+C33+C34+C35+C36+C39+C46+C47+C48+C49+C50</f>
        <v>1.0000000000000002</v>
      </c>
      <c r="D56" s="98">
        <f>D8+D11+D18+D19+D20+D22+D25+D32+D33+D34+D36+D39+D46+D47+D48+D50+D49</f>
        <v>23923.386666666665</v>
      </c>
      <c r="E56" s="11">
        <f>(E11+E20+E18+E49+E32+E33+E39+E46+E47+E25)</f>
        <v>15501.986666666668</v>
      </c>
      <c r="F56" s="12">
        <f>(F11+F18+F20+F25+F32+F33+F39+F46+F47+F49)</f>
        <v>0.99999999999999978</v>
      </c>
      <c r="G56" s="11">
        <f>G11+G18+G20+G25+G32+G33+G39+G46+G47+G49</f>
        <v>12999.386666666664</v>
      </c>
      <c r="H56" s="11"/>
      <c r="I56" s="11">
        <f>I4+I8+I11+I18+I19+I20+I51+I49+I50</f>
        <v>23923.386666666665</v>
      </c>
      <c r="J56" s="47"/>
    </row>
    <row r="57" spans="1:20" x14ac:dyDescent="0.2">
      <c r="A57" s="38" t="s">
        <v>14</v>
      </c>
      <c r="B57" s="10">
        <f>386+10538</f>
        <v>10924</v>
      </c>
      <c r="C57" s="28"/>
      <c r="D57" s="98">
        <f>B57</f>
        <v>10924</v>
      </c>
      <c r="E57" s="8"/>
      <c r="F57" s="5"/>
      <c r="G57" s="6"/>
      <c r="H57" s="10"/>
      <c r="I57" s="54">
        <v>10924</v>
      </c>
      <c r="J57" s="46"/>
    </row>
    <row r="58" spans="1:20" x14ac:dyDescent="0.2">
      <c r="A58" s="36" t="s">
        <v>39</v>
      </c>
      <c r="B58" s="11">
        <f>B56-B57</f>
        <v>15152.749570280746</v>
      </c>
      <c r="C58" s="28"/>
      <c r="D58" s="98">
        <f>D56-D57</f>
        <v>12999.386666666665</v>
      </c>
      <c r="E58" s="13"/>
      <c r="F58" s="12"/>
      <c r="G58" s="11"/>
      <c r="H58" s="11"/>
      <c r="I58" s="37">
        <f>I56-I57</f>
        <v>12999.386666666665</v>
      </c>
      <c r="J58" s="47"/>
    </row>
    <row r="59" spans="1:20" x14ac:dyDescent="0.2">
      <c r="E59" s="3"/>
      <c r="F59" s="3"/>
      <c r="G59" s="2"/>
      <c r="H59" s="2"/>
    </row>
    <row r="60" spans="1:20" x14ac:dyDescent="0.2">
      <c r="A60" s="18"/>
      <c r="B60" s="624">
        <f>C11+C18+C20+C25+C32+C33+C39+C46+C47</f>
        <v>7.7616524299231354E-2</v>
      </c>
    </row>
    <row r="61" spans="1:20" ht="13.5" thickBot="1" x14ac:dyDescent="0.25">
      <c r="A61" s="2"/>
    </row>
    <row r="62" spans="1:20" ht="63.75" x14ac:dyDescent="0.2">
      <c r="A62" s="156" t="s">
        <v>159</v>
      </c>
      <c r="B62" s="114" t="s">
        <v>69</v>
      </c>
      <c r="C62" s="115" t="s">
        <v>83</v>
      </c>
      <c r="D62" s="115" t="s">
        <v>133</v>
      </c>
      <c r="E62" s="115" t="s">
        <v>70</v>
      </c>
      <c r="F62" s="115" t="s">
        <v>71</v>
      </c>
      <c r="G62" s="115" t="s">
        <v>134</v>
      </c>
      <c r="H62" s="115" t="s">
        <v>76</v>
      </c>
      <c r="I62" s="115" t="s">
        <v>73</v>
      </c>
      <c r="J62" s="115" t="s">
        <v>135</v>
      </c>
      <c r="K62" s="115" t="s">
        <v>77</v>
      </c>
      <c r="L62" s="115" t="s">
        <v>78</v>
      </c>
      <c r="M62" s="115" t="s">
        <v>136</v>
      </c>
      <c r="N62" s="115" t="s">
        <v>79</v>
      </c>
      <c r="O62" s="115" t="s">
        <v>80</v>
      </c>
      <c r="P62" s="115" t="s">
        <v>137</v>
      </c>
      <c r="Q62" s="114" t="s">
        <v>197</v>
      </c>
      <c r="R62" s="115" t="s">
        <v>198</v>
      </c>
      <c r="S62" s="115" t="s">
        <v>199</v>
      </c>
      <c r="T62" s="116" t="s">
        <v>138</v>
      </c>
    </row>
    <row r="63" spans="1:20" x14ac:dyDescent="0.2">
      <c r="A63" s="30" t="s">
        <v>62</v>
      </c>
      <c r="B63" s="120">
        <f>'Newnans LU'!D3</f>
        <v>80.138620946299994</v>
      </c>
      <c r="C63" s="121">
        <f>'Newnans LU'!F3</f>
        <v>0.19180791967513688</v>
      </c>
      <c r="D63" s="120">
        <f>C63*G$30</f>
        <v>11.452018257057356</v>
      </c>
      <c r="E63" s="120">
        <v>60.064136551590003</v>
      </c>
      <c r="F63" s="121">
        <f>'Newnans LU'!F4</f>
        <v>0.1849563548547698</v>
      </c>
      <c r="G63" s="122">
        <f>F63*G$29</f>
        <v>1.4889358737799121</v>
      </c>
      <c r="H63" s="137">
        <f>'Newnans LU'!D5</f>
        <v>1812.44421102</v>
      </c>
      <c r="I63" s="310">
        <f>'Newnans LU'!F5</f>
        <v>0.90511461173809848</v>
      </c>
      <c r="J63" s="120">
        <f>I63*G$27</f>
        <v>173.35452349918188</v>
      </c>
      <c r="K63" s="120">
        <f>'Newnans LU'!D6</f>
        <v>142.900985088</v>
      </c>
      <c r="L63" s="121">
        <f>'Newnans LU'!F6</f>
        <v>0.85634772811213411</v>
      </c>
      <c r="M63" s="120">
        <f>L63*G$28</f>
        <v>54.575691254584697</v>
      </c>
      <c r="N63" s="120">
        <f>'Newnans LU'!D7</f>
        <v>280.83585518500001</v>
      </c>
      <c r="O63" s="121">
        <f>'Newnans LU'!F7</f>
        <v>0.82550768684687781</v>
      </c>
      <c r="P63" s="120">
        <f>O63*G$26</f>
        <v>22.56702056691298</v>
      </c>
      <c r="Q63" s="204">
        <v>3.33241738471E-2</v>
      </c>
      <c r="R63" s="205">
        <f>'Newnans LU'!F8</f>
        <v>1</v>
      </c>
      <c r="S63" s="125">
        <f>R63*G31</f>
        <v>3.3542505089670214</v>
      </c>
      <c r="T63" s="128">
        <f>S63+D63+G63+J63+M63+P63</f>
        <v>266.79243996048382</v>
      </c>
    </row>
    <row r="64" spans="1:20" x14ac:dyDescent="0.2">
      <c r="A64" s="30" t="s">
        <v>66</v>
      </c>
      <c r="B64" s="120">
        <f>'Newnans LU'!D20</f>
        <v>6.6091997839949999</v>
      </c>
      <c r="C64" s="121">
        <f>'Newnans LU'!F20</f>
        <v>1.5818792268306743E-2</v>
      </c>
      <c r="D64" s="120">
        <f>C64*G$30</f>
        <v>0.94447141790636435</v>
      </c>
      <c r="E64" s="120">
        <f>'Newnans LU'!D21</f>
        <v>247.97947435899999</v>
      </c>
      <c r="F64" s="121">
        <f>'Newnans LU'!F21</f>
        <v>0.79866309924034384</v>
      </c>
      <c r="G64" s="122">
        <f>F64*G$29</f>
        <v>6.429398657088246</v>
      </c>
      <c r="H64" s="120">
        <f>'Newnans LU'!D22</f>
        <v>8.1936759395200003</v>
      </c>
      <c r="I64" s="121">
        <f>'Newnans LU'!F22</f>
        <v>4.073399628298769E-3</v>
      </c>
      <c r="J64" s="120">
        <f>I64*G$27</f>
        <v>0.78016887853513639</v>
      </c>
      <c r="K64" s="120">
        <f>'Newnans LU'!D23</f>
        <v>0</v>
      </c>
      <c r="L64" s="121">
        <f>'Newnans LU'!F23</f>
        <v>0</v>
      </c>
      <c r="M64" s="120">
        <f>L64*G$29</f>
        <v>0</v>
      </c>
      <c r="N64" s="120">
        <f>'Newnans LU'!D24</f>
        <v>54.417395669900003</v>
      </c>
      <c r="O64" s="121">
        <f>'Newnans LU'!F24</f>
        <v>0.15995812907171886</v>
      </c>
      <c r="P64" s="120">
        <f>O64*G$26</f>
        <v>4.3727980321956386</v>
      </c>
      <c r="Q64" s="206" t="s">
        <v>171</v>
      </c>
      <c r="R64" s="206" t="s">
        <v>171</v>
      </c>
      <c r="S64" s="206" t="s">
        <v>171</v>
      </c>
      <c r="T64" s="128">
        <f>D64+G64+J64+M64+P64</f>
        <v>12.526836985725385</v>
      </c>
    </row>
    <row r="65" spans="1:20" x14ac:dyDescent="0.2">
      <c r="A65" s="34" t="s">
        <v>119</v>
      </c>
      <c r="B65" s="120">
        <f>'Newnans LU'!D36</f>
        <v>331.058814918</v>
      </c>
      <c r="C65" s="121">
        <f>'Newnans LU'!F36</f>
        <v>0.79237328805655649</v>
      </c>
      <c r="D65" s="120">
        <f>C65*G$30</f>
        <v>47.309169384649273</v>
      </c>
      <c r="E65" s="127" t="s">
        <v>171</v>
      </c>
      <c r="F65" s="127" t="s">
        <v>171</v>
      </c>
      <c r="G65" s="127" t="s">
        <v>171</v>
      </c>
      <c r="H65" s="127" t="s">
        <v>171</v>
      </c>
      <c r="I65" s="127" t="s">
        <v>171</v>
      </c>
      <c r="J65" s="127" t="s">
        <v>171</v>
      </c>
      <c r="K65" s="127" t="s">
        <v>171</v>
      </c>
      <c r="L65" s="127" t="s">
        <v>171</v>
      </c>
      <c r="M65" s="127" t="s">
        <v>171</v>
      </c>
      <c r="N65" s="127" t="s">
        <v>171</v>
      </c>
      <c r="O65" s="127" t="s">
        <v>171</v>
      </c>
      <c r="P65" s="127" t="s">
        <v>171</v>
      </c>
      <c r="Q65" s="206" t="s">
        <v>171</v>
      </c>
      <c r="R65" s="206" t="s">
        <v>171</v>
      </c>
      <c r="S65" s="206" t="s">
        <v>171</v>
      </c>
      <c r="T65" s="128">
        <f>D65</f>
        <v>47.309169384649273</v>
      </c>
    </row>
    <row r="66" spans="1:20" x14ac:dyDescent="0.2">
      <c r="A66" s="30" t="s">
        <v>67</v>
      </c>
      <c r="B66" s="127" t="s">
        <v>171</v>
      </c>
      <c r="C66" s="127" t="s">
        <v>171</v>
      </c>
      <c r="D66" s="127" t="s">
        <v>171</v>
      </c>
      <c r="E66" s="120">
        <f>'Newnans LU'!D39</f>
        <v>5.0860472021499996</v>
      </c>
      <c r="F66" s="121">
        <f>'Newnans LU'!F39</f>
        <v>1.6380545904886423E-2</v>
      </c>
      <c r="G66" s="122">
        <f>F66*G$29</f>
        <v>0.13186669065269507</v>
      </c>
      <c r="H66" s="120">
        <f>'Newnans LU'!D40</f>
        <v>181.809303304</v>
      </c>
      <c r="I66" s="121">
        <f>'Newnans LU'!F40</f>
        <v>9.0793557103622358E-2</v>
      </c>
      <c r="J66" s="120">
        <f>I66*G$27</f>
        <v>17.389481535680417</v>
      </c>
      <c r="K66" s="120">
        <f>'Newnans LU'!D41</f>
        <v>23.971630319100001</v>
      </c>
      <c r="L66" s="121">
        <f>'Newnans LU'!F41</f>
        <v>0.14365227188786586</v>
      </c>
      <c r="M66" s="120">
        <f>L66*G$28</f>
        <v>9.155068415788719</v>
      </c>
      <c r="N66" s="120">
        <f>'Newnans LU'!D42</f>
        <v>4.9444967284599999</v>
      </c>
      <c r="O66" s="121">
        <f>'Newnans LU'!F42</f>
        <v>1.4496021394560224E-2</v>
      </c>
      <c r="P66" s="120">
        <f>O66*G$26</f>
        <v>0.39627979019670884</v>
      </c>
      <c r="Q66" s="206" t="s">
        <v>171</v>
      </c>
      <c r="R66" s="206" t="s">
        <v>171</v>
      </c>
      <c r="S66" s="206" t="s">
        <v>171</v>
      </c>
      <c r="T66" s="128">
        <f>G66+J66+M66+P66</f>
        <v>27.072696432318541</v>
      </c>
    </row>
    <row r="67" spans="1:20" ht="13.5" thickBot="1" x14ac:dyDescent="0.25">
      <c r="A67" s="78" t="s">
        <v>68</v>
      </c>
      <c r="B67" s="123">
        <f>SUM(B63:B66)</f>
        <v>417.80663564829501</v>
      </c>
      <c r="C67" s="124">
        <f>SUM(C63:C65)</f>
        <v>1</v>
      </c>
      <c r="D67" s="123">
        <f t="shared" ref="D67:P67" si="23">SUM(D63:D66)</f>
        <v>59.705659059612991</v>
      </c>
      <c r="E67" s="123">
        <f t="shared" si="23"/>
        <v>313.12965811274</v>
      </c>
      <c r="F67" s="124">
        <f t="shared" si="23"/>
        <v>1</v>
      </c>
      <c r="G67" s="123">
        <f t="shared" si="23"/>
        <v>8.0502012215208527</v>
      </c>
      <c r="H67" s="138">
        <f t="shared" si="23"/>
        <v>2002.44719026352</v>
      </c>
      <c r="I67" s="124">
        <f t="shared" si="23"/>
        <v>0.99998156847001962</v>
      </c>
      <c r="J67" s="123">
        <f t="shared" si="23"/>
        <v>191.52417391339742</v>
      </c>
      <c r="K67" s="123">
        <f t="shared" si="23"/>
        <v>166.8726154071</v>
      </c>
      <c r="L67" s="124">
        <f t="shared" si="23"/>
        <v>1</v>
      </c>
      <c r="M67" s="123">
        <f t="shared" si="23"/>
        <v>63.730759670373416</v>
      </c>
      <c r="N67" s="123">
        <f t="shared" si="23"/>
        <v>340.19774758336001</v>
      </c>
      <c r="O67" s="124">
        <v>1</v>
      </c>
      <c r="P67" s="123">
        <f t="shared" si="23"/>
        <v>27.336098389305327</v>
      </c>
      <c r="Q67" s="248">
        <v>0.03</v>
      </c>
      <c r="R67" s="249">
        <v>1</v>
      </c>
      <c r="S67" s="308">
        <v>3.3601692170812432</v>
      </c>
      <c r="T67" s="129">
        <f>SUM(T63:T66)</f>
        <v>353.70114276317702</v>
      </c>
    </row>
    <row r="68" spans="1:20" x14ac:dyDescent="0.2">
      <c r="R68" s="21"/>
    </row>
    <row r="69" spans="1:20" ht="13.5" thickBot="1" x14ac:dyDescent="0.25">
      <c r="R69" s="21"/>
    </row>
    <row r="70" spans="1:20" ht="63.75" x14ac:dyDescent="0.2">
      <c r="A70" s="156" t="s">
        <v>160</v>
      </c>
      <c r="B70" s="114" t="s">
        <v>69</v>
      </c>
      <c r="C70" s="115" t="s">
        <v>127</v>
      </c>
      <c r="D70" s="115" t="s">
        <v>133</v>
      </c>
      <c r="E70" s="115" t="s">
        <v>70</v>
      </c>
      <c r="F70" s="115" t="s">
        <v>71</v>
      </c>
      <c r="G70" s="115" t="s">
        <v>134</v>
      </c>
      <c r="H70" s="115" t="s">
        <v>76</v>
      </c>
      <c r="I70" s="115" t="s">
        <v>73</v>
      </c>
      <c r="J70" s="115" t="s">
        <v>135</v>
      </c>
      <c r="K70" s="115" t="s">
        <v>77</v>
      </c>
      <c r="L70" s="115" t="s">
        <v>78</v>
      </c>
      <c r="M70" s="115" t="s">
        <v>136</v>
      </c>
      <c r="N70" s="115" t="s">
        <v>79</v>
      </c>
      <c r="O70" s="115" t="s">
        <v>80</v>
      </c>
      <c r="P70" s="115" t="s">
        <v>137</v>
      </c>
      <c r="Q70" s="114" t="s">
        <v>197</v>
      </c>
      <c r="R70" s="115" t="s">
        <v>198</v>
      </c>
      <c r="S70" s="115" t="s">
        <v>199</v>
      </c>
      <c r="T70" s="116" t="s">
        <v>138</v>
      </c>
    </row>
    <row r="71" spans="1:20" x14ac:dyDescent="0.2">
      <c r="A71" s="30" t="s">
        <v>62</v>
      </c>
      <c r="B71" s="120">
        <v>5.8</v>
      </c>
      <c r="C71" s="121">
        <f>'Newnans LU'!F9</f>
        <v>1.073140677133568E-2</v>
      </c>
      <c r="D71" s="120">
        <f>C71*G$44</f>
        <v>1.6738059380478454</v>
      </c>
      <c r="E71" s="125">
        <v>78.870812362799995</v>
      </c>
      <c r="F71" s="121">
        <f>'Newnans LU'!F10</f>
        <v>9.6200613872649471E-2</v>
      </c>
      <c r="G71" s="122">
        <f>F71*G$43</f>
        <v>2.3717050416327665</v>
      </c>
      <c r="H71" s="120">
        <f>[6]OCB_allocate_citys!$G$59+[6]OCB_allocate_citys!$G$81</f>
        <v>206.40780456909999</v>
      </c>
      <c r="I71" s="121">
        <f>'Newnans LU'!F11</f>
        <v>0.391033655562187</v>
      </c>
      <c r="J71" s="120">
        <f>I71*G$41</f>
        <v>3.8692932726684672</v>
      </c>
      <c r="K71" s="120">
        <f>'Newnans LU'!D12</f>
        <v>23</v>
      </c>
      <c r="L71" s="121">
        <f>'Newnans LU'!F12</f>
        <v>4.2316218146951412E-2</v>
      </c>
      <c r="M71" s="120">
        <f>L71*G$42</f>
        <v>3.2901505692365953</v>
      </c>
      <c r="N71" s="120">
        <f>'Newnans LU'!D13</f>
        <v>5.4897800805200001</v>
      </c>
      <c r="O71" s="121">
        <f>'Newnans LU'!F13</f>
        <v>1.9791459149915386E-2</v>
      </c>
      <c r="P71" s="120">
        <f>O71*38</f>
        <v>0.75207544769678469</v>
      </c>
      <c r="Q71" s="245" t="s">
        <v>171</v>
      </c>
      <c r="R71" s="149" t="s">
        <v>171</v>
      </c>
      <c r="S71" s="206" t="s">
        <v>171</v>
      </c>
      <c r="T71" s="244">
        <f>D71+G71+J71+M71+P71</f>
        <v>11.957030269282459</v>
      </c>
    </row>
    <row r="72" spans="1:20" x14ac:dyDescent="0.2">
      <c r="A72" s="30" t="s">
        <v>66</v>
      </c>
      <c r="B72" s="137">
        <v>1085.8</v>
      </c>
      <c r="C72" s="121">
        <f>'Newnans LU'!F25</f>
        <v>0.86132140598532569</v>
      </c>
      <c r="D72" s="120">
        <f>C72*G$44</f>
        <v>134.34258104508683</v>
      </c>
      <c r="E72" s="120">
        <f>'Newnans LU'!D26</f>
        <v>735.928160144</v>
      </c>
      <c r="F72" s="121">
        <f>'Newnans LU'!F26</f>
        <v>0.90379938612735056</v>
      </c>
      <c r="G72" s="122">
        <f>F72*G$43</f>
        <v>22.282036199274842</v>
      </c>
      <c r="H72" s="120">
        <f>'Newnans LU'!D27</f>
        <v>315.48235213800001</v>
      </c>
      <c r="I72" s="121">
        <f>'Newnans LU'!F27</f>
        <v>0.60896634443781295</v>
      </c>
      <c r="J72" s="120">
        <f>I72*G$41</f>
        <v>6.025745728784246</v>
      </c>
      <c r="K72" s="120">
        <f>'Newnans LU'!D28</f>
        <v>521.35238520300004</v>
      </c>
      <c r="L72" s="121">
        <f>'Newnans LU'!F28</f>
        <v>0.9576837818530487</v>
      </c>
      <c r="M72" s="120">
        <f>L72*G$42</f>
        <v>74.461376228618988</v>
      </c>
      <c r="N72" s="126">
        <v>271.89149024099999</v>
      </c>
      <c r="O72" s="121">
        <f>'Newnans LU'!F29</f>
        <v>0.98020854085008458</v>
      </c>
      <c r="P72" s="120">
        <f>O72*38</f>
        <v>37.247924552303211</v>
      </c>
      <c r="Q72" s="204">
        <v>1.7347513595999999</v>
      </c>
      <c r="R72" s="205">
        <f>'Newnans LU'!F30</f>
        <v>1</v>
      </c>
      <c r="S72" s="206">
        <f>R72*G45</f>
        <v>0</v>
      </c>
      <c r="T72" s="244">
        <f>D72+G72+J72+M72+P72</f>
        <v>274.35966375406815</v>
      </c>
    </row>
    <row r="73" spans="1:20" x14ac:dyDescent="0.2">
      <c r="A73" s="34" t="s">
        <v>119</v>
      </c>
      <c r="B73" s="120">
        <f>'Newnans LU'!D37</f>
        <v>161.30052457900001</v>
      </c>
      <c r="C73" s="121">
        <f>'Newnans LU'!F37</f>
        <v>0.12794718724333862</v>
      </c>
      <c r="D73" s="120">
        <f>C73*G$44</f>
        <v>19.956261683831833</v>
      </c>
      <c r="E73" s="127" t="s">
        <v>171</v>
      </c>
      <c r="F73" s="127" t="s">
        <v>171</v>
      </c>
      <c r="G73" s="127" t="s">
        <v>171</v>
      </c>
      <c r="H73" s="127" t="s">
        <v>171</v>
      </c>
      <c r="I73" s="127" t="s">
        <v>171</v>
      </c>
      <c r="J73" s="127" t="s">
        <v>171</v>
      </c>
      <c r="K73" s="127" t="s">
        <v>171</v>
      </c>
      <c r="L73" s="127" t="s">
        <v>171</v>
      </c>
      <c r="M73" s="127" t="s">
        <v>171</v>
      </c>
      <c r="N73" s="127" t="s">
        <v>171</v>
      </c>
      <c r="O73" s="127" t="s">
        <v>171</v>
      </c>
      <c r="P73" s="127" t="s">
        <v>171</v>
      </c>
      <c r="Q73" s="245" t="s">
        <v>171</v>
      </c>
      <c r="R73" s="243" t="s">
        <v>171</v>
      </c>
      <c r="S73" s="206" t="s">
        <v>171</v>
      </c>
      <c r="T73" s="244">
        <f>D73</f>
        <v>19.956261683831833</v>
      </c>
    </row>
    <row r="74" spans="1:20" x14ac:dyDescent="0.2">
      <c r="A74" s="30" t="s">
        <v>67</v>
      </c>
      <c r="B74" s="127" t="s">
        <v>171</v>
      </c>
      <c r="C74" s="127" t="s">
        <v>171</v>
      </c>
      <c r="D74" s="127" t="s">
        <v>171</v>
      </c>
      <c r="E74" s="127" t="s">
        <v>171</v>
      </c>
      <c r="F74" s="127" t="s">
        <v>171</v>
      </c>
      <c r="G74" s="127" t="s">
        <v>171</v>
      </c>
      <c r="H74" s="127" t="s">
        <v>171</v>
      </c>
      <c r="I74" s="127" t="s">
        <v>171</v>
      </c>
      <c r="J74" s="127" t="s">
        <v>171</v>
      </c>
      <c r="K74" s="127" t="s">
        <v>171</v>
      </c>
      <c r="L74" s="127" t="s">
        <v>171</v>
      </c>
      <c r="M74" s="127" t="s">
        <v>171</v>
      </c>
      <c r="N74" s="127" t="s">
        <v>171</v>
      </c>
      <c r="O74" s="127" t="s">
        <v>171</v>
      </c>
      <c r="P74" s="127" t="s">
        <v>171</v>
      </c>
      <c r="Q74" s="245" t="s">
        <v>171</v>
      </c>
      <c r="R74" s="149" t="s">
        <v>171</v>
      </c>
      <c r="S74" s="206" t="s">
        <v>171</v>
      </c>
      <c r="T74" s="130" t="s">
        <v>171</v>
      </c>
    </row>
    <row r="75" spans="1:20" ht="13.5" thickBot="1" x14ac:dyDescent="0.25">
      <c r="A75" s="78" t="s">
        <v>68</v>
      </c>
      <c r="B75" s="138">
        <f>SUM(B71:B73)</f>
        <v>1252.9005245789999</v>
      </c>
      <c r="C75" s="124">
        <f>SUM(C71:C73)</f>
        <v>1</v>
      </c>
      <c r="D75" s="123">
        <f t="shared" ref="D75:P75" si="24">SUM(D71:D74)</f>
        <v>155.97264866696651</v>
      </c>
      <c r="E75" s="123">
        <f t="shared" si="24"/>
        <v>814.79897250680006</v>
      </c>
      <c r="F75" s="124">
        <f t="shared" si="24"/>
        <v>1</v>
      </c>
      <c r="G75" s="123">
        <f t="shared" si="24"/>
        <v>24.653741240907607</v>
      </c>
      <c r="H75" s="123">
        <f t="shared" si="24"/>
        <v>521.8901567071</v>
      </c>
      <c r="I75" s="124">
        <f t="shared" si="24"/>
        <v>1</v>
      </c>
      <c r="J75" s="123">
        <f t="shared" si="24"/>
        <v>9.8950390014527123</v>
      </c>
      <c r="K75" s="123">
        <f t="shared" si="24"/>
        <v>544.35238520300004</v>
      </c>
      <c r="L75" s="124">
        <f t="shared" si="24"/>
        <v>1</v>
      </c>
      <c r="M75" s="123">
        <f t="shared" si="24"/>
        <v>77.75152679785559</v>
      </c>
      <c r="N75" s="123">
        <f t="shared" si="24"/>
        <v>277.38127032151999</v>
      </c>
      <c r="O75" s="124">
        <f t="shared" si="24"/>
        <v>1</v>
      </c>
      <c r="P75" s="123">
        <f t="shared" si="24"/>
        <v>37.999999999999993</v>
      </c>
      <c r="Q75" s="246">
        <v>1.73</v>
      </c>
      <c r="R75" s="249">
        <v>1</v>
      </c>
      <c r="S75" s="248">
        <v>0</v>
      </c>
      <c r="T75" s="246">
        <f>SUM(T71:T74)</f>
        <v>306.27295570718246</v>
      </c>
    </row>
    <row r="76" spans="1:20" x14ac:dyDescent="0.2">
      <c r="R76" s="21"/>
    </row>
    <row r="77" spans="1:20" ht="13.5" thickBot="1" x14ac:dyDescent="0.25">
      <c r="R77" s="21"/>
    </row>
    <row r="78" spans="1:20" ht="63.75" x14ac:dyDescent="0.2">
      <c r="A78" s="156" t="s">
        <v>161</v>
      </c>
      <c r="B78" s="114" t="s">
        <v>69</v>
      </c>
      <c r="C78" s="115" t="s">
        <v>83</v>
      </c>
      <c r="D78" s="115" t="s">
        <v>133</v>
      </c>
      <c r="E78" s="115" t="s">
        <v>70</v>
      </c>
      <c r="F78" s="115" t="s">
        <v>71</v>
      </c>
      <c r="G78" s="115" t="s">
        <v>134</v>
      </c>
      <c r="H78" s="115" t="s">
        <v>76</v>
      </c>
      <c r="I78" s="115" t="s">
        <v>73</v>
      </c>
      <c r="J78" s="115" t="s">
        <v>135</v>
      </c>
      <c r="K78" s="115" t="s">
        <v>77</v>
      </c>
      <c r="L78" s="115" t="s">
        <v>78</v>
      </c>
      <c r="M78" s="115" t="s">
        <v>136</v>
      </c>
      <c r="N78" s="115" t="s">
        <v>79</v>
      </c>
      <c r="O78" s="115" t="s">
        <v>80</v>
      </c>
      <c r="P78" s="115" t="s">
        <v>137</v>
      </c>
      <c r="Q78" s="114" t="s">
        <v>197</v>
      </c>
      <c r="R78" s="115" t="s">
        <v>198</v>
      </c>
      <c r="S78" s="115" t="s">
        <v>199</v>
      </c>
      <c r="T78" s="116" t="s">
        <v>138</v>
      </c>
    </row>
    <row r="79" spans="1:20" x14ac:dyDescent="0.2">
      <c r="A79" s="30" t="s">
        <v>62</v>
      </c>
      <c r="B79" s="120">
        <v>5.3633325736269999</v>
      </c>
      <c r="C79" s="121">
        <f>'Newnans LU'!F14</f>
        <v>2.3270651357656078E-2</v>
      </c>
      <c r="D79" s="120">
        <f>C79*G$16</f>
        <v>0.69079200831964627</v>
      </c>
      <c r="E79" s="120">
        <f>'Newnans LU'!D15</f>
        <v>99.74</v>
      </c>
      <c r="F79" s="121">
        <f>'Newnans LU'!F15</f>
        <v>0.29109607410073407</v>
      </c>
      <c r="G79" s="122">
        <f>F79*G$15</f>
        <v>7.6648118644789109</v>
      </c>
      <c r="H79" s="120">
        <f>'Newnans LU'!D16</f>
        <v>1486.8937456599999</v>
      </c>
      <c r="I79" s="121">
        <f>'Newnans LU'!F16</f>
        <v>0.80427026012917358</v>
      </c>
      <c r="J79" s="120">
        <f>I79*G$13</f>
        <v>100.49021636960315</v>
      </c>
      <c r="K79" s="120">
        <f>'Newnans LU'!D17</f>
        <v>403.4</v>
      </c>
      <c r="L79" s="121">
        <f>'Newnans LU'!F17</f>
        <v>0.42648803425735754</v>
      </c>
      <c r="M79" s="120">
        <f>L79*G$14</f>
        <v>75.175281949043324</v>
      </c>
      <c r="N79" s="120">
        <f>'Newnans LU'!D18</f>
        <v>26.675057155499999</v>
      </c>
      <c r="O79" s="121">
        <f>'Newnans LU'!F18</f>
        <v>8.7611354731230787E-2</v>
      </c>
      <c r="P79" s="120">
        <f>O79*G$12</f>
        <v>2.4978986651874298</v>
      </c>
      <c r="Q79" s="204">
        <v>3.33241738471E-2</v>
      </c>
      <c r="R79" s="205">
        <f>'Newnans LU'!F19</f>
        <v>1</v>
      </c>
      <c r="S79" s="206">
        <f>R79*G17</f>
        <v>0</v>
      </c>
      <c r="T79" s="148">
        <f>D79+G79+J79+M79+P79+S79</f>
        <v>186.51900085663246</v>
      </c>
    </row>
    <row r="80" spans="1:20" x14ac:dyDescent="0.2">
      <c r="A80" s="30" t="s">
        <v>66</v>
      </c>
      <c r="B80" s="120">
        <f>'Newnans LU'!D31</f>
        <v>28.495749959299999</v>
      </c>
      <c r="C80" s="121">
        <f>'Newnans LU'!F31</f>
        <v>0.12351913553967472</v>
      </c>
      <c r="D80" s="120">
        <f>C80*G$16</f>
        <v>3.6666799907724159</v>
      </c>
      <c r="E80" s="120">
        <f>'Newnans LU'!D32</f>
        <v>242.86140976999999</v>
      </c>
      <c r="F80" s="121">
        <f>'Newnans LU'!F32</f>
        <v>0.70890392589926587</v>
      </c>
      <c r="G80" s="122">
        <f>F80*G$15</f>
        <v>18.66605463091221</v>
      </c>
      <c r="H80" s="120">
        <f>'Newnans LU'!D33</f>
        <v>361.85513810600003</v>
      </c>
      <c r="I80" s="121">
        <f>'Newnans LU'!F33</f>
        <v>0.19572973987082651</v>
      </c>
      <c r="J80" s="120">
        <f>I80*G$13</f>
        <v>24.455615089418423</v>
      </c>
      <c r="K80" s="120">
        <f>'Newnans LU'!D34</f>
        <v>542.5</v>
      </c>
      <c r="L80" s="121">
        <f>'Newnans LU'!F34</f>
        <v>0.57354922802334285</v>
      </c>
      <c r="M80" s="120">
        <f>L80*G$14</f>
        <v>101.0971503652851</v>
      </c>
      <c r="N80" s="120">
        <f>'Newnans LU'!D35</f>
        <v>277.79526221499998</v>
      </c>
      <c r="O80" s="121">
        <f>'Newnans LU'!F35</f>
        <v>0.91238864526876928</v>
      </c>
      <c r="P80" s="120">
        <f>O80*G$12</f>
        <v>26.013230661032257</v>
      </c>
      <c r="Q80" s="245" t="s">
        <v>171</v>
      </c>
      <c r="R80" s="245" t="s">
        <v>171</v>
      </c>
      <c r="S80" s="245">
        <v>0</v>
      </c>
      <c r="T80" s="148">
        <f>D80+G80+J80+M80+P80+S80</f>
        <v>173.89873073742041</v>
      </c>
    </row>
    <row r="81" spans="1:20" x14ac:dyDescent="0.2">
      <c r="A81" s="34" t="s">
        <v>119</v>
      </c>
      <c r="B81" s="120">
        <f>'Newnans LU'!D38</f>
        <v>196.83480787100001</v>
      </c>
      <c r="C81" s="121">
        <f>'Newnans LU'!F38</f>
        <v>0.8532102131026692</v>
      </c>
      <c r="D81" s="120">
        <f>C81*G$16</f>
        <v>25.327645005266078</v>
      </c>
      <c r="E81" s="127" t="s">
        <v>171</v>
      </c>
      <c r="F81" s="127" t="s">
        <v>171</v>
      </c>
      <c r="G81" s="127" t="s">
        <v>171</v>
      </c>
      <c r="H81" s="127" t="s">
        <v>171</v>
      </c>
      <c r="I81" s="127" t="s">
        <v>171</v>
      </c>
      <c r="J81" s="127" t="s">
        <v>171</v>
      </c>
      <c r="K81" s="127" t="s">
        <v>171</v>
      </c>
      <c r="L81" s="127" t="s">
        <v>171</v>
      </c>
      <c r="M81" s="127" t="s">
        <v>171</v>
      </c>
      <c r="N81" s="127" t="s">
        <v>171</v>
      </c>
      <c r="O81" s="127" t="s">
        <v>171</v>
      </c>
      <c r="P81" s="127" t="s">
        <v>171</v>
      </c>
      <c r="Q81" s="245" t="s">
        <v>171</v>
      </c>
      <c r="R81" s="245" t="s">
        <v>171</v>
      </c>
      <c r="S81" s="245" t="s">
        <v>171</v>
      </c>
      <c r="T81" s="148">
        <f>D81</f>
        <v>25.327645005266078</v>
      </c>
    </row>
    <row r="82" spans="1:20" x14ac:dyDescent="0.2">
      <c r="A82" s="30" t="s">
        <v>67</v>
      </c>
      <c r="B82" s="127" t="s">
        <v>171</v>
      </c>
      <c r="C82" s="140" t="s">
        <v>171</v>
      </c>
      <c r="D82" s="127" t="s">
        <v>171</v>
      </c>
      <c r="E82" s="127" t="s">
        <v>171</v>
      </c>
      <c r="F82" s="127" t="s">
        <v>171</v>
      </c>
      <c r="G82" s="127" t="s">
        <v>171</v>
      </c>
      <c r="H82" s="127" t="s">
        <v>171</v>
      </c>
      <c r="I82" s="127" t="s">
        <v>171</v>
      </c>
      <c r="J82" s="127" t="s">
        <v>171</v>
      </c>
      <c r="K82" s="127" t="s">
        <v>171</v>
      </c>
      <c r="L82" s="127" t="s">
        <v>171</v>
      </c>
      <c r="M82" s="127" t="s">
        <v>171</v>
      </c>
      <c r="N82" s="127" t="s">
        <v>171</v>
      </c>
      <c r="O82" s="127" t="s">
        <v>171</v>
      </c>
      <c r="P82" s="127" t="s">
        <v>171</v>
      </c>
      <c r="Q82" s="245" t="s">
        <v>171</v>
      </c>
      <c r="R82" s="245" t="s">
        <v>171</v>
      </c>
      <c r="S82" s="245" t="s">
        <v>171</v>
      </c>
      <c r="T82" s="149" t="s">
        <v>171</v>
      </c>
    </row>
    <row r="83" spans="1:20" ht="13.5" thickBot="1" x14ac:dyDescent="0.25">
      <c r="A83" s="78" t="s">
        <v>68</v>
      </c>
      <c r="B83" s="123">
        <f>SUM(B79:B82)</f>
        <v>230.69389040392701</v>
      </c>
      <c r="C83" s="124">
        <f>SUM(C79:C81)</f>
        <v>1</v>
      </c>
      <c r="D83" s="123">
        <f t="shared" ref="D83:P83" si="25">SUM(D79:D82)</f>
        <v>29.68511700435814</v>
      </c>
      <c r="E83" s="123">
        <f t="shared" si="25"/>
        <v>342.60140976999998</v>
      </c>
      <c r="F83" s="124">
        <f t="shared" si="25"/>
        <v>1</v>
      </c>
      <c r="G83" s="123">
        <f t="shared" si="25"/>
        <v>26.33086649539112</v>
      </c>
      <c r="H83" s="123">
        <f t="shared" si="25"/>
        <v>1848.7488837659998</v>
      </c>
      <c r="I83" s="124">
        <f t="shared" si="25"/>
        <v>1</v>
      </c>
      <c r="J83" s="123">
        <f t="shared" si="25"/>
        <v>124.94583145902158</v>
      </c>
      <c r="K83" s="123">
        <f t="shared" si="25"/>
        <v>945.9</v>
      </c>
      <c r="L83" s="124">
        <f t="shared" si="25"/>
        <v>1.0000372622807003</v>
      </c>
      <c r="M83" s="123">
        <f t="shared" si="25"/>
        <v>176.27243231432843</v>
      </c>
      <c r="N83" s="123">
        <f t="shared" si="25"/>
        <v>304.47031937049996</v>
      </c>
      <c r="O83" s="124">
        <f t="shared" si="25"/>
        <v>1</v>
      </c>
      <c r="P83" s="123">
        <f t="shared" si="25"/>
        <v>28.511129326219688</v>
      </c>
      <c r="Q83" s="248">
        <v>0.03</v>
      </c>
      <c r="R83" s="249">
        <v>1</v>
      </c>
      <c r="S83" s="248">
        <v>0</v>
      </c>
      <c r="T83" s="247">
        <f>SUM(T79:T82)</f>
        <v>385.74537659931889</v>
      </c>
    </row>
    <row r="84" spans="1:20" s="113" customFormat="1" ht="18.75" customHeight="1" x14ac:dyDescent="0.2">
      <c r="A84" s="110"/>
      <c r="B84" s="298"/>
      <c r="C84" s="299"/>
      <c r="D84" s="298"/>
      <c r="E84" s="298"/>
      <c r="F84" s="299"/>
      <c r="G84" s="298"/>
      <c r="H84" s="298"/>
      <c r="I84" s="299"/>
      <c r="J84" s="298"/>
      <c r="K84" s="298"/>
      <c r="L84" s="299"/>
      <c r="M84" s="298"/>
      <c r="N84" s="298"/>
      <c r="O84" s="299"/>
      <c r="P84" s="298"/>
      <c r="Q84" s="300"/>
      <c r="R84" s="301"/>
      <c r="S84" s="300"/>
      <c r="T84" s="302"/>
    </row>
    <row r="85" spans="1:20" s="113" customFormat="1" x14ac:dyDescent="0.2">
      <c r="A85" s="110"/>
      <c r="B85" s="298"/>
      <c r="C85" s="299"/>
      <c r="D85" s="298"/>
      <c r="E85" s="298"/>
      <c r="F85" s="299"/>
      <c r="G85" s="298"/>
      <c r="H85" s="298"/>
      <c r="I85" s="299"/>
      <c r="J85" s="298"/>
      <c r="K85" s="298"/>
      <c r="L85" s="299"/>
      <c r="M85" s="298"/>
      <c r="N85" s="298"/>
      <c r="O85" s="299"/>
      <c r="P85" s="298"/>
      <c r="Q85" s="300"/>
      <c r="R85" s="301"/>
      <c r="S85" s="300"/>
      <c r="T85" s="302"/>
    </row>
    <row r="86" spans="1:20" s="113" customFormat="1" ht="62.25" customHeight="1" x14ac:dyDescent="0.2">
      <c r="A86" s="303" t="s">
        <v>122</v>
      </c>
      <c r="B86" s="278" t="s">
        <v>247</v>
      </c>
      <c r="C86" s="278" t="s">
        <v>248</v>
      </c>
      <c r="D86" s="278" t="s">
        <v>249</v>
      </c>
      <c r="E86" s="278" t="s">
        <v>250</v>
      </c>
      <c r="F86" s="278" t="s">
        <v>251</v>
      </c>
      <c r="G86" s="278" t="s">
        <v>252</v>
      </c>
      <c r="H86" s="278" t="s">
        <v>253</v>
      </c>
      <c r="I86" s="278" t="s">
        <v>254</v>
      </c>
      <c r="J86" s="278" t="s">
        <v>255</v>
      </c>
      <c r="K86" s="298"/>
      <c r="L86" s="299"/>
      <c r="M86" s="298"/>
      <c r="N86" s="298"/>
      <c r="O86" s="299"/>
      <c r="P86" s="298"/>
      <c r="Q86" s="300"/>
      <c r="R86" s="301"/>
      <c r="S86" s="300"/>
      <c r="T86" s="302"/>
    </row>
    <row r="87" spans="1:20" s="113" customFormat="1" x14ac:dyDescent="0.2">
      <c r="A87" s="304" t="s">
        <v>62</v>
      </c>
      <c r="B87" s="309">
        <f>'OSTDS-buffer'!C44</f>
        <v>137</v>
      </c>
      <c r="C87" s="310">
        <f>'OSTDS-buffer'!D44</f>
        <v>0.93835616438356162</v>
      </c>
      <c r="D87" s="311">
        <f>C87*G$33</f>
        <v>111.89297237224338</v>
      </c>
      <c r="E87" s="309">
        <f>'OSTDS-buffer'!C45</f>
        <v>7</v>
      </c>
      <c r="F87" s="310">
        <f>'OSTDS-buffer'!D45</f>
        <v>0.14000000000000001</v>
      </c>
      <c r="G87" s="311">
        <f>F87*G$47</f>
        <v>0.31306338083692209</v>
      </c>
      <c r="H87" s="312">
        <f>'OSTDS-buffer'!C47</f>
        <v>288</v>
      </c>
      <c r="I87" s="310">
        <f>'OSTDS-buffer'!D47</f>
        <v>0.92307692307692313</v>
      </c>
      <c r="J87" s="311">
        <f>I87*G$20</f>
        <v>86.075228445492201</v>
      </c>
      <c r="K87" s="298"/>
      <c r="L87" s="299"/>
      <c r="M87" s="298"/>
      <c r="N87" s="298"/>
      <c r="O87" s="299"/>
      <c r="P87" s="298"/>
      <c r="Q87" s="300"/>
      <c r="R87" s="301"/>
      <c r="S87" s="300"/>
      <c r="T87" s="302"/>
    </row>
    <row r="88" spans="1:20" s="113" customFormat="1" x14ac:dyDescent="0.2">
      <c r="A88" s="304" t="s">
        <v>66</v>
      </c>
      <c r="B88" s="309">
        <f>'OSTDS-buffer'!C49</f>
        <v>9</v>
      </c>
      <c r="C88" s="310">
        <f>'OSTDS-buffer'!D49</f>
        <v>6.1643835616438353E-2</v>
      </c>
      <c r="D88" s="311">
        <f t="shared" ref="D88:D89" si="26">C88*G$33</f>
        <v>7.3506332215342365</v>
      </c>
      <c r="E88" s="309">
        <f>'OSTDS-buffer'!C50</f>
        <v>43</v>
      </c>
      <c r="F88" s="310">
        <f>'OSTDS-buffer'!D50</f>
        <v>0.86</v>
      </c>
      <c r="G88" s="311">
        <f>F88*G$47</f>
        <v>1.9231036251410925</v>
      </c>
      <c r="H88" s="312">
        <f>'OSTDS-buffer'!C51</f>
        <v>24</v>
      </c>
      <c r="I88" s="310">
        <f>'OSTDS-buffer'!D51</f>
        <v>7.6923076923076927E-2</v>
      </c>
      <c r="J88" s="311">
        <f>I88*G$20</f>
        <v>7.1729357037910164</v>
      </c>
      <c r="K88" s="298"/>
      <c r="L88" s="299"/>
      <c r="M88" s="298"/>
      <c r="N88" s="298"/>
      <c r="O88" s="299"/>
      <c r="P88" s="298"/>
      <c r="Q88" s="300"/>
      <c r="R88" s="301"/>
      <c r="S88" s="300"/>
      <c r="T88" s="302"/>
    </row>
    <row r="89" spans="1:20" s="113" customFormat="1" x14ac:dyDescent="0.2">
      <c r="A89" s="304" t="s">
        <v>67</v>
      </c>
      <c r="B89" s="309">
        <v>0</v>
      </c>
      <c r="C89" s="310">
        <v>0</v>
      </c>
      <c r="D89" s="311">
        <f t="shared" si="26"/>
        <v>0</v>
      </c>
      <c r="E89" s="309">
        <f>0</f>
        <v>0</v>
      </c>
      <c r="F89" s="310">
        <v>0</v>
      </c>
      <c r="G89" s="311">
        <v>0</v>
      </c>
      <c r="H89" s="312">
        <v>0</v>
      </c>
      <c r="I89" s="310">
        <v>0</v>
      </c>
      <c r="J89" s="311">
        <v>0</v>
      </c>
      <c r="K89" s="298"/>
      <c r="L89" s="299"/>
      <c r="M89" s="298"/>
      <c r="N89" s="298"/>
      <c r="O89" s="299"/>
      <c r="P89" s="298"/>
      <c r="Q89" s="300"/>
      <c r="R89" s="301"/>
      <c r="S89" s="300"/>
      <c r="T89" s="302"/>
    </row>
    <row r="90" spans="1:20" s="113" customFormat="1" ht="13.5" thickBot="1" x14ac:dyDescent="0.25">
      <c r="A90" s="78" t="s">
        <v>68</v>
      </c>
      <c r="B90" s="246">
        <f t="shared" ref="B90:J90" si="27">SUM(B87:B89)</f>
        <v>146</v>
      </c>
      <c r="C90" s="316">
        <f t="shared" si="27"/>
        <v>1</v>
      </c>
      <c r="D90" s="317">
        <f t="shared" si="27"/>
        <v>119.24360559377762</v>
      </c>
      <c r="E90" s="246">
        <f t="shared" si="27"/>
        <v>50</v>
      </c>
      <c r="F90" s="316">
        <f t="shared" si="27"/>
        <v>1</v>
      </c>
      <c r="G90" s="317">
        <f t="shared" si="27"/>
        <v>2.2361670059780145</v>
      </c>
      <c r="H90" s="318">
        <f t="shared" si="27"/>
        <v>312</v>
      </c>
      <c r="I90" s="316">
        <f t="shared" si="27"/>
        <v>1</v>
      </c>
      <c r="J90" s="317">
        <f t="shared" si="27"/>
        <v>93.248164149283213</v>
      </c>
      <c r="K90" s="298"/>
      <c r="L90" s="299"/>
      <c r="M90" s="298"/>
      <c r="N90" s="298"/>
      <c r="O90" s="299"/>
      <c r="P90" s="298"/>
      <c r="Q90" s="300"/>
      <c r="R90" s="301"/>
      <c r="S90" s="300"/>
      <c r="T90" s="302"/>
    </row>
    <row r="91" spans="1:20" s="113" customFormat="1" x14ac:dyDescent="0.2">
      <c r="A91" s="110"/>
      <c r="B91" s="298"/>
      <c r="C91" s="299"/>
      <c r="D91" s="298"/>
      <c r="E91" s="298"/>
      <c r="F91" s="299"/>
      <c r="G91" s="298"/>
      <c r="H91" s="298"/>
      <c r="I91" s="299"/>
      <c r="J91" s="298"/>
      <c r="K91" s="298"/>
      <c r="L91" s="299"/>
      <c r="M91" s="298"/>
      <c r="N91" s="298"/>
      <c r="O91" s="299"/>
      <c r="P91" s="298"/>
      <c r="Q91" s="300"/>
      <c r="R91" s="301"/>
      <c r="S91" s="300"/>
      <c r="T91" s="302"/>
    </row>
    <row r="92" spans="1:20" ht="13.5" thickBot="1" x14ac:dyDescent="0.25">
      <c r="A92" s="110"/>
      <c r="B92" s="111"/>
      <c r="C92" s="112"/>
      <c r="D92" s="112"/>
      <c r="E92" s="111"/>
      <c r="F92" s="111"/>
      <c r="G92" s="112"/>
      <c r="H92" s="111"/>
      <c r="I92" s="111"/>
      <c r="J92" s="112"/>
      <c r="K92" s="111"/>
      <c r="L92" s="111"/>
      <c r="M92" s="112"/>
      <c r="N92" s="111"/>
      <c r="O92" s="111"/>
      <c r="P92" s="112"/>
      <c r="Q92" s="111"/>
      <c r="R92" s="111"/>
    </row>
    <row r="93" spans="1:20" x14ac:dyDescent="0.2">
      <c r="A93" s="703" t="s">
        <v>158</v>
      </c>
      <c r="B93" s="704"/>
      <c r="C93" s="704"/>
      <c r="D93" s="704"/>
      <c r="E93" s="705"/>
      <c r="F93" s="117"/>
    </row>
    <row r="94" spans="1:20" ht="38.25" x14ac:dyDescent="0.2">
      <c r="A94" s="118" t="s">
        <v>122</v>
      </c>
      <c r="B94" s="119" t="s">
        <v>129</v>
      </c>
      <c r="C94" s="119" t="s">
        <v>130</v>
      </c>
      <c r="D94" s="119" t="s">
        <v>131</v>
      </c>
      <c r="E94" s="315" t="s">
        <v>244</v>
      </c>
      <c r="F94" s="176" t="s">
        <v>245</v>
      </c>
      <c r="G94" s="176" t="s">
        <v>246</v>
      </c>
    </row>
    <row r="95" spans="1:20" ht="16.5" customHeight="1" x14ac:dyDescent="0.2">
      <c r="A95" s="30" t="s">
        <v>62</v>
      </c>
      <c r="B95" s="131">
        <f>T79</f>
        <v>186.51900085663246</v>
      </c>
      <c r="C95" s="131">
        <f>T63</f>
        <v>266.79243996048382</v>
      </c>
      <c r="D95" s="131">
        <f>T71</f>
        <v>11.957030269282459</v>
      </c>
      <c r="E95" s="313">
        <f>ROUND(SUM(B95:D95),0)</f>
        <v>465</v>
      </c>
      <c r="F95" s="295">
        <f>ROUND((D87+G87+J87),0)</f>
        <v>198</v>
      </c>
      <c r="G95" s="289">
        <f>ROUND(E95+F95,0)</f>
        <v>663</v>
      </c>
    </row>
    <row r="96" spans="1:20" ht="16.5" customHeight="1" x14ac:dyDescent="0.2">
      <c r="A96" s="30" t="s">
        <v>66</v>
      </c>
      <c r="B96" s="131">
        <f>T80</f>
        <v>173.89873073742041</v>
      </c>
      <c r="C96" s="131">
        <f>T64</f>
        <v>12.526836985725385</v>
      </c>
      <c r="D96" s="131">
        <f>T72</f>
        <v>274.35966375406815</v>
      </c>
      <c r="E96" s="313">
        <f>ROUND(SUM(B96:D96),0)</f>
        <v>461</v>
      </c>
      <c r="F96" s="295">
        <f>ROUND((D88+G88+J88),)</f>
        <v>16</v>
      </c>
      <c r="G96" s="289">
        <f>ROUND(E96+F96,0)</f>
        <v>477</v>
      </c>
    </row>
    <row r="97" spans="1:23" ht="17.25" customHeight="1" x14ac:dyDescent="0.2">
      <c r="A97" s="34" t="s">
        <v>119</v>
      </c>
      <c r="B97" s="131">
        <f>T81</f>
        <v>25.327645005266078</v>
      </c>
      <c r="C97" s="131">
        <f>T65</f>
        <v>47.309169384649273</v>
      </c>
      <c r="D97" s="131">
        <f>T73</f>
        <v>19.956261683831833</v>
      </c>
      <c r="E97" s="313">
        <f>ROUND(SUM(B97:D97),0)</f>
        <v>93</v>
      </c>
      <c r="F97" s="324" t="s">
        <v>171</v>
      </c>
      <c r="G97" s="289">
        <f>ROUND(E97,0)</f>
        <v>93</v>
      </c>
    </row>
    <row r="98" spans="1:23" ht="15.75" customHeight="1" x14ac:dyDescent="0.2">
      <c r="A98" s="30" t="s">
        <v>67</v>
      </c>
      <c r="B98" s="131" t="str">
        <f>T82</f>
        <v>nd</v>
      </c>
      <c r="C98" s="131">
        <f>T66</f>
        <v>27.072696432318541</v>
      </c>
      <c r="D98" s="131" t="str">
        <f>T74</f>
        <v>nd</v>
      </c>
      <c r="E98" s="313">
        <f>ROUND(SUM(B98:D98),0)</f>
        <v>27</v>
      </c>
      <c r="F98" s="295">
        <f>D89+G89+J89</f>
        <v>0</v>
      </c>
      <c r="G98" s="289">
        <f>ROUND(E98+F98,0)</f>
        <v>27</v>
      </c>
    </row>
    <row r="99" spans="1:23" ht="18" customHeight="1" thickBot="1" x14ac:dyDescent="0.25">
      <c r="A99" s="139" t="s">
        <v>201</v>
      </c>
      <c r="B99" s="133">
        <f>G18</f>
        <v>180.29096485697744</v>
      </c>
      <c r="C99" s="133">
        <f>G32</f>
        <v>237.48093603486512</v>
      </c>
      <c r="D99" s="133">
        <f>G46</f>
        <v>20.125503053802131</v>
      </c>
      <c r="E99" s="314">
        <f>SUM(B99:D99)</f>
        <v>437.89740394564467</v>
      </c>
      <c r="F99" s="325" t="s">
        <v>171</v>
      </c>
      <c r="G99" s="326">
        <f>E99</f>
        <v>437.89740394564467</v>
      </c>
    </row>
    <row r="101" spans="1:23" x14ac:dyDescent="0.2">
      <c r="A101" s="19" t="s">
        <v>172</v>
      </c>
      <c r="G101" s="2"/>
    </row>
    <row r="103" spans="1:23" x14ac:dyDescent="0.2">
      <c r="A103" s="367" t="s">
        <v>297</v>
      </c>
    </row>
    <row r="104" spans="1:23" ht="102" x14ac:dyDescent="0.2">
      <c r="A104" s="361" t="s">
        <v>298</v>
      </c>
      <c r="B104" s="361" t="s">
        <v>333</v>
      </c>
      <c r="C104" s="361" t="s">
        <v>334</v>
      </c>
      <c r="D104" s="361" t="s">
        <v>335</v>
      </c>
      <c r="E104" s="361" t="s">
        <v>336</v>
      </c>
      <c r="F104" s="361" t="s">
        <v>337</v>
      </c>
      <c r="G104" s="361" t="s">
        <v>338</v>
      </c>
      <c r="H104" s="361" t="s">
        <v>339</v>
      </c>
      <c r="I104" s="361" t="s">
        <v>340</v>
      </c>
      <c r="J104" s="361" t="s">
        <v>341</v>
      </c>
      <c r="K104" s="361" t="s">
        <v>342</v>
      </c>
      <c r="L104" s="361" t="s">
        <v>343</v>
      </c>
      <c r="M104" s="361" t="s">
        <v>344</v>
      </c>
      <c r="N104" s="361" t="s">
        <v>345</v>
      </c>
      <c r="O104" s="361" t="s">
        <v>346</v>
      </c>
      <c r="P104" s="361" t="s">
        <v>347</v>
      </c>
      <c r="Q104" s="361" t="s">
        <v>348</v>
      </c>
      <c r="R104" s="361" t="s">
        <v>349</v>
      </c>
      <c r="S104" s="361" t="s">
        <v>350</v>
      </c>
      <c r="T104" s="366" t="s">
        <v>317</v>
      </c>
      <c r="U104" s="366" t="s">
        <v>319</v>
      </c>
      <c r="V104" s="366" t="s">
        <v>320</v>
      </c>
      <c r="W104" s="366" t="s">
        <v>419</v>
      </c>
    </row>
    <row r="105" spans="1:23" x14ac:dyDescent="0.2">
      <c r="A105" s="72" t="s">
        <v>62</v>
      </c>
      <c r="B105" s="394">
        <f>'Newnans Lake Educ Credit'!D3</f>
        <v>2.9787860608618466</v>
      </c>
      <c r="C105" s="200">
        <f>'Newnans Lake Educ Credit'!G3</f>
        <v>119.83626875924686</v>
      </c>
      <c r="D105" s="200">
        <f>'Newnans Lake Educ Credit'!J3</f>
        <v>89.647784800896545</v>
      </c>
      <c r="E105" s="200">
        <f>'Newnans Lake Educ Credit'!M3</f>
        <v>9.1404167267630498</v>
      </c>
      <c r="F105" s="200">
        <f>'Newnans Lake Educ Credit'!P3</f>
        <v>0</v>
      </c>
      <c r="G105" s="200">
        <f>'Newnans Lake Educ Credit'!S3</f>
        <v>0.82378105806102508</v>
      </c>
      <c r="H105" s="200">
        <f>'Newnans Lake Educ Credit'!D12</f>
        <v>26.911550591208218</v>
      </c>
      <c r="I105" s="200">
        <f>'Newnans Lake Educ Credit'!G12</f>
        <v>206.7281773209817</v>
      </c>
      <c r="J105" s="200">
        <f>'Newnans Lake Educ Credit'!J12</f>
        <v>65.082427336522187</v>
      </c>
      <c r="K105" s="200">
        <f>'Newnans Lake Educ Credit'!M12</f>
        <v>1.77558100660579</v>
      </c>
      <c r="L105" s="200">
        <f>'Newnans Lake Educ Credit'!P12</f>
        <v>4</v>
      </c>
      <c r="M105" s="200">
        <f>'Newnans Lake Educ Credit'!S12</f>
        <v>13.656723880869746</v>
      </c>
      <c r="N105" s="200">
        <f>'Newnans Lake Educ Credit'!D21</f>
        <v>0.87082420259627702</v>
      </c>
      <c r="O105" s="200">
        <f>'Newnans Lake Educ Credit'!G21</f>
        <v>4.6141971356338072</v>
      </c>
      <c r="P105" s="200">
        <f>'Newnans Lake Educ Credit'!J21</f>
        <v>3.9235597465853349</v>
      </c>
      <c r="Q105" s="200">
        <f>'Newnans Lake Educ Credit'!M21</f>
        <v>2.8282980478558941</v>
      </c>
      <c r="R105" s="200" t="str">
        <f>'Newnans Lake Educ Credit'!P21</f>
        <v>na</v>
      </c>
      <c r="S105" s="200">
        <f>'Newnans Lake Educ Credit'!S21</f>
        <v>1.9960416594684365</v>
      </c>
      <c r="T105" s="363">
        <f>ROUND(SUM(B105:S105),0)</f>
        <v>555</v>
      </c>
      <c r="U105" s="364">
        <v>0.06</v>
      </c>
      <c r="V105" s="147">
        <f>ROUND(T105*U105,0)</f>
        <v>33</v>
      </c>
      <c r="W105" s="153">
        <f>T105/T$109</f>
        <v>0.44578313253012047</v>
      </c>
    </row>
    <row r="106" spans="1:23" x14ac:dyDescent="0.2">
      <c r="A106" s="72" t="s">
        <v>119</v>
      </c>
      <c r="B106" s="394" t="s">
        <v>128</v>
      </c>
      <c r="C106" s="200">
        <v>0</v>
      </c>
      <c r="D106" s="200">
        <v>0</v>
      </c>
      <c r="E106" s="200">
        <v>0</v>
      </c>
      <c r="F106" s="200" t="s">
        <v>128</v>
      </c>
      <c r="G106" s="200">
        <f>'Newnans Lake Educ Credit'!S4</f>
        <v>30.20364154383449</v>
      </c>
      <c r="H106" s="200" t="s">
        <v>128</v>
      </c>
      <c r="I106" s="200" t="s">
        <v>128</v>
      </c>
      <c r="J106" s="200" t="s">
        <v>128</v>
      </c>
      <c r="K106" s="200" t="s">
        <v>128</v>
      </c>
      <c r="L106" s="200" t="s">
        <v>128</v>
      </c>
      <c r="M106" s="200">
        <f>'Newnans Lake Educ Credit'!S13</f>
        <v>56.416978109626825</v>
      </c>
      <c r="N106" s="200" t="str">
        <f>'Newnans Lake Educ Credit'!D22</f>
        <v>na</v>
      </c>
      <c r="O106" s="200" t="str">
        <f>'Newnans Lake Educ Credit'!G22</f>
        <v>na</v>
      </c>
      <c r="P106" s="200" t="str">
        <f>'Newnans Lake Educ Credit'!J22</f>
        <v>na</v>
      </c>
      <c r="Q106" s="200" t="str">
        <f>'Newnans Lake Educ Credit'!M22</f>
        <v>na</v>
      </c>
      <c r="R106" s="200" t="str">
        <f>'Newnans Lake Educ Credit'!P22</f>
        <v>na</v>
      </c>
      <c r="S106" s="200">
        <f>'Newnans Lake Educ Credit'!S22</f>
        <v>23.798176827260981</v>
      </c>
      <c r="T106" s="363">
        <f>ROUND(SUM(B106:S106),0)</f>
        <v>110</v>
      </c>
      <c r="U106" s="364">
        <v>0.04</v>
      </c>
      <c r="V106" s="147">
        <f>ROUND(T106*U106,0)</f>
        <v>4</v>
      </c>
      <c r="W106" s="153">
        <f t="shared" ref="W106:W108" si="28">T106/T$109</f>
        <v>8.8353413654618476E-2</v>
      </c>
    </row>
    <row r="107" spans="1:23" x14ac:dyDescent="0.2">
      <c r="A107" s="72" t="s">
        <v>67</v>
      </c>
      <c r="B107" s="394" t="s">
        <v>128</v>
      </c>
      <c r="C107" s="200" t="str">
        <f>'Newnans Lake Educ Credit'!G5</f>
        <v>na</v>
      </c>
      <c r="D107" s="200" t="str">
        <f>'Newnans Lake Educ Credit'!J5</f>
        <v>na</v>
      </c>
      <c r="E107" s="200" t="str">
        <f>'Newnans Lake Educ Credit'!M5</f>
        <v>na</v>
      </c>
      <c r="F107" s="200" t="str">
        <f>'Newnans Lake Educ Credit'!P5</f>
        <v>na</v>
      </c>
      <c r="G107" s="200" t="s">
        <v>128</v>
      </c>
      <c r="H107" s="200">
        <f>'Newnans Lake Educ Credit'!D14</f>
        <v>0.47257029746266332</v>
      </c>
      <c r="I107" s="200">
        <f>'Newnans Lake Educ Credit'!G14</f>
        <v>20.737248442467347</v>
      </c>
      <c r="J107" s="200">
        <f>'Newnans Lake Educ Credit'!J14</f>
        <v>10.917572663477806</v>
      </c>
      <c r="K107" s="200">
        <f>'Newnans Lake Educ Credit'!M14</f>
        <v>0.15725324068690966</v>
      </c>
      <c r="L107" s="200" t="str">
        <f>'Newnans Lake Educ Credit'!P14</f>
        <v>na</v>
      </c>
      <c r="M107" s="200" t="str">
        <f>'Newnans Lake Educ Credit'!S14</f>
        <v>na</v>
      </c>
      <c r="N107" s="200" t="str">
        <f>'Newnans Lake Educ Credit'!D23</f>
        <v>na</v>
      </c>
      <c r="O107" s="200" t="str">
        <f>'Newnans Lake Educ Credit'!G23</f>
        <v>na</v>
      </c>
      <c r="P107" s="200" t="str">
        <f>'Newnans Lake Educ Credit'!J23</f>
        <v>na</v>
      </c>
      <c r="Q107" s="200" t="str">
        <f>'Newnans Lake Educ Credit'!M23</f>
        <v>na</v>
      </c>
      <c r="R107" s="200" t="str">
        <f>'Newnans Lake Educ Credit'!P23</f>
        <v>na</v>
      </c>
      <c r="S107" s="200" t="str">
        <f>'Newnans Lake Educ Credit'!S23</f>
        <v>na</v>
      </c>
      <c r="T107" s="363">
        <f>ROUND(SUM(B107:S107),0)</f>
        <v>32</v>
      </c>
      <c r="U107" s="364">
        <v>3.5000000000000003E-2</v>
      </c>
      <c r="V107" s="147">
        <f>ROUND(T107*U107,0)</f>
        <v>1</v>
      </c>
      <c r="W107" s="153">
        <f t="shared" si="28"/>
        <v>2.5702811244979921E-2</v>
      </c>
    </row>
    <row r="108" spans="1:23" x14ac:dyDescent="0.2">
      <c r="A108" s="72" t="s">
        <v>66</v>
      </c>
      <c r="B108" s="200">
        <f>'Newnans Lake Educ Credit'!D6</f>
        <v>31.021213939138157</v>
      </c>
      <c r="C108" s="200">
        <f>'Newnans Lake Educ Credit'!G6</f>
        <v>29.163731240753151</v>
      </c>
      <c r="D108" s="200">
        <f>'Newnans Lake Educ Credit'!J6</f>
        <v>120.56004773050667</v>
      </c>
      <c r="E108" s="200">
        <f>'Newnans Lake Educ Credit'!M6</f>
        <v>22.259583273236949</v>
      </c>
      <c r="F108" s="200" t="str">
        <f>'Newnans Lake Educ Credit'!P6</f>
        <v>na</v>
      </c>
      <c r="G108" s="200">
        <f>'Newnans Lake Educ Credit'!S6</f>
        <v>4.3725773981044851</v>
      </c>
      <c r="H108" s="200">
        <f>'Newnans Lake Educ Credit'!D15</f>
        <v>5.2146350077380346</v>
      </c>
      <c r="I108" s="200">
        <f>'Newnans Lake Educ Credit'!G15</f>
        <v>0.93036447510343889</v>
      </c>
      <c r="J108" s="200">
        <f>'Newnans Lake Educ Credit'!J15</f>
        <v>0</v>
      </c>
      <c r="K108" s="200">
        <f>'Newnans Lake Educ Credit'!M15</f>
        <v>7.6671657527073007</v>
      </c>
      <c r="L108" s="200" t="str">
        <f>'Newnans Lake Educ Credit'!P15</f>
        <v>na</v>
      </c>
      <c r="M108" s="200">
        <f>'Newnans Lake Educ Credit'!S15</f>
        <v>1.1262980095034401</v>
      </c>
      <c r="N108" s="200">
        <f>'Newnans Lake Educ Credit'!D24</f>
        <v>43.129175797403718</v>
      </c>
      <c r="O108" s="200">
        <f>'Newnans Lake Educ Credit'!G24</f>
        <v>7.1858028643661935</v>
      </c>
      <c r="P108" s="200">
        <f>'Newnans Lake Educ Credit'!J24</f>
        <v>88.796440253414673</v>
      </c>
      <c r="Q108" s="200">
        <f>'Newnans Lake Educ Credit'!M24</f>
        <v>26.571701952144107</v>
      </c>
      <c r="R108" s="200">
        <f>'Newnans Lake Educ Credit'!P24</f>
        <v>0</v>
      </c>
      <c r="S108" s="200">
        <f>'Newnans Lake Educ Credit'!S24</f>
        <v>160.20578151327058</v>
      </c>
      <c r="T108" s="363">
        <f>ROUND(SUM(B108:S108),0)</f>
        <v>548</v>
      </c>
      <c r="U108" s="607">
        <v>0.06</v>
      </c>
      <c r="V108" s="147">
        <f>ROUND(T108*U108,0)</f>
        <v>33</v>
      </c>
      <c r="W108" s="153">
        <f t="shared" si="28"/>
        <v>0.44016064257028115</v>
      </c>
    </row>
    <row r="109" spans="1:23" x14ac:dyDescent="0.2">
      <c r="A109" s="724" t="s">
        <v>773</v>
      </c>
      <c r="S109" t="s">
        <v>751</v>
      </c>
      <c r="T109" s="463">
        <v>1245</v>
      </c>
      <c r="U109">
        <f>T109*0.06</f>
        <v>74.7</v>
      </c>
      <c r="W109" s="3">
        <f>T109/T$109</f>
        <v>1</v>
      </c>
    </row>
    <row r="111" spans="1:23" ht="13.5" thickBot="1" x14ac:dyDescent="0.25">
      <c r="A111" s="687" t="s">
        <v>366</v>
      </c>
      <c r="B111" s="688"/>
      <c r="C111" s="688"/>
      <c r="D111" s="688"/>
      <c r="E111" s="688"/>
      <c r="F111" s="688"/>
      <c r="G111" s="688"/>
      <c r="H111" s="688"/>
      <c r="I111" s="688"/>
      <c r="J111" s="688"/>
      <c r="K111" s="688"/>
      <c r="L111" s="688"/>
    </row>
    <row r="112" spans="1:23" ht="102" x14ac:dyDescent="0.2">
      <c r="A112" s="378" t="s">
        <v>365</v>
      </c>
      <c r="B112" s="378" t="s">
        <v>772</v>
      </c>
      <c r="C112" s="378" t="s">
        <v>763</v>
      </c>
      <c r="D112" s="378" t="s">
        <v>320</v>
      </c>
      <c r="E112" s="378" t="s">
        <v>779</v>
      </c>
      <c r="F112" s="379" t="s">
        <v>766</v>
      </c>
      <c r="G112" s="378" t="s">
        <v>764</v>
      </c>
      <c r="H112" s="378" t="s">
        <v>385</v>
      </c>
      <c r="I112" s="378" t="s">
        <v>362</v>
      </c>
      <c r="J112" s="380" t="s">
        <v>767</v>
      </c>
      <c r="K112" s="381" t="s">
        <v>768</v>
      </c>
      <c r="L112" s="380" t="s">
        <v>778</v>
      </c>
    </row>
    <row r="113" spans="1:12" x14ac:dyDescent="0.2">
      <c r="A113" s="30" t="s">
        <v>62</v>
      </c>
      <c r="B113" s="309">
        <f>E95</f>
        <v>465</v>
      </c>
      <c r="C113" s="148">
        <f>ROUND(B113*0.5,0)</f>
        <v>233</v>
      </c>
      <c r="D113" s="392">
        <f>V105</f>
        <v>33</v>
      </c>
      <c r="E113" s="120">
        <v>42</v>
      </c>
      <c r="F113" s="395">
        <f>C113-D113-E113</f>
        <v>158</v>
      </c>
      <c r="G113" s="148">
        <f t="shared" ref="G113" si="29">ROUND(B113-C113,0)</f>
        <v>232</v>
      </c>
      <c r="H113" s="72"/>
      <c r="I113" s="120">
        <v>0</v>
      </c>
      <c r="J113" s="397">
        <f>ROUND(F113+G113-I113-H113,0)</f>
        <v>390</v>
      </c>
      <c r="K113" s="247">
        <f>ROUND(F95,0)</f>
        <v>198</v>
      </c>
      <c r="L113" s="723">
        <f>J113+K113</f>
        <v>588</v>
      </c>
    </row>
    <row r="114" spans="1:12" x14ac:dyDescent="0.2">
      <c r="A114" s="30" t="s">
        <v>66</v>
      </c>
      <c r="B114" s="309">
        <f>E96</f>
        <v>461</v>
      </c>
      <c r="C114" s="148">
        <f>ROUNDUP(B114*0.5,0)</f>
        <v>231</v>
      </c>
      <c r="D114" s="392">
        <f>V108</f>
        <v>33</v>
      </c>
      <c r="E114" s="120">
        <v>259</v>
      </c>
      <c r="F114" s="395">
        <f t="shared" ref="F114:F117" si="30">C114-D114-E114</f>
        <v>-61</v>
      </c>
      <c r="G114" s="148">
        <f>ROUND(B114-C114,0)</f>
        <v>230</v>
      </c>
      <c r="H114" s="72"/>
      <c r="I114" s="120">
        <v>0</v>
      </c>
      <c r="J114" s="397">
        <f t="shared" ref="J114:J116" si="31">F114+G114-I114</f>
        <v>169</v>
      </c>
      <c r="K114" s="247">
        <f>F96</f>
        <v>16</v>
      </c>
      <c r="L114" s="723">
        <f t="shared" ref="L114:L116" si="32">J114+K114</f>
        <v>185</v>
      </c>
    </row>
    <row r="115" spans="1:12" x14ac:dyDescent="0.2">
      <c r="A115" s="34" t="s">
        <v>119</v>
      </c>
      <c r="B115" s="309">
        <f>E97</f>
        <v>93</v>
      </c>
      <c r="C115" s="148">
        <f t="shared" ref="C115" si="33">ROUND(B115*0.5,0)</f>
        <v>47</v>
      </c>
      <c r="D115" s="392">
        <f>V106</f>
        <v>4</v>
      </c>
      <c r="E115" s="120">
        <v>525</v>
      </c>
      <c r="F115" s="395">
        <f t="shared" si="30"/>
        <v>-482</v>
      </c>
      <c r="G115" s="148">
        <f>ROUND(B115-C115,0)</f>
        <v>46</v>
      </c>
      <c r="H115" s="72"/>
      <c r="I115" s="120">
        <v>0</v>
      </c>
      <c r="J115" s="397">
        <f t="shared" si="31"/>
        <v>-436</v>
      </c>
      <c r="K115" s="247">
        <v>0</v>
      </c>
      <c r="L115" s="723">
        <v>0</v>
      </c>
    </row>
    <row r="116" spans="1:12" x14ac:dyDescent="0.2">
      <c r="A116" s="30" t="s">
        <v>67</v>
      </c>
      <c r="B116" s="309">
        <f>E98</f>
        <v>27</v>
      </c>
      <c r="C116" s="148">
        <v>14</v>
      </c>
      <c r="D116" s="392">
        <f>V107</f>
        <v>1</v>
      </c>
      <c r="E116" s="125">
        <f>'[4]Project Summary'!H40</f>
        <v>0</v>
      </c>
      <c r="F116" s="395">
        <f t="shared" si="30"/>
        <v>13</v>
      </c>
      <c r="G116" s="148">
        <f>ROUND(B116-C116,0)</f>
        <v>13</v>
      </c>
      <c r="H116" s="72"/>
      <c r="I116" s="120">
        <v>0</v>
      </c>
      <c r="J116" s="397">
        <f t="shared" si="31"/>
        <v>26</v>
      </c>
      <c r="K116" s="247">
        <f>F98</f>
        <v>0</v>
      </c>
      <c r="L116" s="723">
        <f t="shared" si="32"/>
        <v>26</v>
      </c>
    </row>
    <row r="117" spans="1:12" ht="13.5" thickBot="1" x14ac:dyDescent="0.25">
      <c r="A117" s="384" t="s">
        <v>132</v>
      </c>
      <c r="B117" s="401">
        <f>ROUNDUP(SUM(B113:B116),0)</f>
        <v>1046</v>
      </c>
      <c r="C117" s="398">
        <f>SUM(C113:C116)</f>
        <v>525</v>
      </c>
      <c r="D117" s="398">
        <f>SUM(D113:D116)</f>
        <v>71</v>
      </c>
      <c r="E117" s="386">
        <f>SUM(E113:E116)</f>
        <v>826</v>
      </c>
      <c r="F117" s="396">
        <f t="shared" si="30"/>
        <v>-372</v>
      </c>
      <c r="G117" s="386">
        <f>SUM(G113:G116)</f>
        <v>521</v>
      </c>
      <c r="H117" s="384"/>
      <c r="I117" s="386">
        <f>SUM(I113:I116)</f>
        <v>0</v>
      </c>
      <c r="J117" s="393">
        <f>SUM(J113:J116)</f>
        <v>149</v>
      </c>
      <c r="K117" s="398">
        <f>SUM(K113:K116)</f>
        <v>214</v>
      </c>
      <c r="L117" s="393">
        <f>SUM(L113:L116)</f>
        <v>799</v>
      </c>
    </row>
    <row r="118" spans="1:12" x14ac:dyDescent="0.2">
      <c r="A118" s="388" t="s">
        <v>363</v>
      </c>
      <c r="B118" s="389"/>
      <c r="C118" s="390"/>
      <c r="D118" s="390"/>
      <c r="E118" s="390"/>
      <c r="F118" s="391"/>
      <c r="G118" s="390"/>
      <c r="H118" s="388"/>
      <c r="I118" s="390"/>
      <c r="J118" s="390"/>
      <c r="K118" s="390"/>
      <c r="L118" s="390"/>
    </row>
  </sheetData>
  <mergeCells count="3">
    <mergeCell ref="B1:J2"/>
    <mergeCell ref="A93:E93"/>
    <mergeCell ref="A111:L111"/>
  </mergeCells>
  <printOptions gridLines="1"/>
  <pageMargins left="0.45" right="0.45" top="0.75" bottom="0.75" header="0.3" footer="0.3"/>
  <pageSetup paperSize="5" scale="90" pageOrder="overThenDown" orientation="landscape" r:id="rId1"/>
  <headerFooter>
    <oddHeader>&amp;LDraft Newnans Lake Total Phosphorus Loading Reduction Goals by Jurisdiction&amp;R&amp;"Arial,Bold"&amp;14DRAFT</oddHeader>
    <oddFooter>&amp;L Water Quality Restoration Program&amp;RDRAFT FDEP August 23, 2016</oddFooter>
  </headerFooter>
  <ignoredErrors>
    <ignoredError sqref="C114 G97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</sheetPr>
  <dimension ref="A1:W118"/>
  <sheetViews>
    <sheetView topLeftCell="D91" zoomScaleNormal="100" workbookViewId="0">
      <selection activeCell="L113" sqref="L113"/>
    </sheetView>
  </sheetViews>
  <sheetFormatPr defaultRowHeight="12.75" x14ac:dyDescent="0.2"/>
  <cols>
    <col min="1" max="1" width="44.28515625" customWidth="1"/>
    <col min="2" max="2" width="15.140625" customWidth="1"/>
    <col min="3" max="3" width="16.28515625" customWidth="1"/>
    <col min="4" max="4" width="15.42578125" customWidth="1"/>
    <col min="5" max="5" width="17.140625" customWidth="1"/>
    <col min="6" max="6" width="17.42578125" customWidth="1"/>
    <col min="7" max="7" width="17" customWidth="1"/>
    <col min="8" max="8" width="16.140625" customWidth="1"/>
    <col min="9" max="9" width="17.140625" customWidth="1"/>
    <col min="10" max="10" width="16.42578125" customWidth="1"/>
    <col min="11" max="11" width="15.140625" customWidth="1"/>
    <col min="12" max="12" width="14.85546875" customWidth="1"/>
    <col min="13" max="13" width="16.42578125" customWidth="1"/>
    <col min="14" max="14" width="15" customWidth="1"/>
    <col min="15" max="15" width="14.42578125" customWidth="1"/>
    <col min="16" max="16" width="14.140625" customWidth="1"/>
    <col min="17" max="17" width="14" customWidth="1"/>
    <col min="18" max="19" width="15.140625" customWidth="1"/>
    <col min="20" max="20" width="14.140625" customWidth="1"/>
    <col min="21" max="21" width="13" customWidth="1"/>
    <col min="22" max="22" width="12.5703125" customWidth="1"/>
    <col min="23" max="23" width="13.28515625" customWidth="1"/>
  </cols>
  <sheetData>
    <row r="1" spans="1:10" x14ac:dyDescent="0.2">
      <c r="A1" s="42"/>
      <c r="B1" s="698" t="s">
        <v>29</v>
      </c>
      <c r="C1" s="698"/>
      <c r="D1" s="698"/>
      <c r="E1" s="699"/>
      <c r="F1" s="699"/>
      <c r="G1" s="699"/>
      <c r="H1" s="699"/>
      <c r="I1" s="699"/>
      <c r="J1" s="700"/>
    </row>
    <row r="2" spans="1:10" ht="16.5" thickBot="1" x14ac:dyDescent="0.25">
      <c r="A2" s="405" t="s">
        <v>184</v>
      </c>
      <c r="B2" s="706"/>
      <c r="C2" s="706"/>
      <c r="D2" s="706"/>
      <c r="E2" s="706"/>
      <c r="F2" s="706"/>
      <c r="G2" s="706"/>
      <c r="H2" s="706"/>
      <c r="I2" s="706"/>
      <c r="J2" s="702"/>
    </row>
    <row r="3" spans="1:10" ht="64.5" thickTop="1" x14ac:dyDescent="0.2">
      <c r="A3" s="163" t="s">
        <v>40</v>
      </c>
      <c r="B3" s="60" t="s">
        <v>41</v>
      </c>
      <c r="C3" s="61" t="s">
        <v>120</v>
      </c>
      <c r="D3" s="190" t="s">
        <v>750</v>
      </c>
      <c r="E3" s="62" t="s">
        <v>21</v>
      </c>
      <c r="F3" s="63" t="s">
        <v>23</v>
      </c>
      <c r="G3" s="62" t="s">
        <v>24</v>
      </c>
      <c r="H3" s="60" t="s">
        <v>18</v>
      </c>
      <c r="I3" s="64" t="s">
        <v>85</v>
      </c>
      <c r="J3" s="65" t="s">
        <v>86</v>
      </c>
    </row>
    <row r="4" spans="1:10" x14ac:dyDescent="0.2">
      <c r="A4" s="27" t="s">
        <v>2</v>
      </c>
      <c r="B4" s="10">
        <v>3104</v>
      </c>
      <c r="C4" s="66">
        <f>B4/B$56</f>
        <v>9.703960428850026E-3</v>
      </c>
      <c r="D4" s="98"/>
      <c r="E4" s="6"/>
      <c r="F4" s="5"/>
      <c r="G4" s="6"/>
      <c r="H4" s="10"/>
      <c r="I4" s="6"/>
      <c r="J4" s="9"/>
    </row>
    <row r="5" spans="1:10" x14ac:dyDescent="0.2">
      <c r="A5" s="43" t="s">
        <v>25</v>
      </c>
      <c r="B5" s="10"/>
      <c r="C5" s="66"/>
      <c r="D5" s="98"/>
      <c r="E5" s="6"/>
      <c r="F5" s="5"/>
      <c r="G5" s="6"/>
      <c r="H5" s="10"/>
      <c r="I5" s="6">
        <f t="shared" ref="I5" si="0">B5+H5</f>
        <v>0</v>
      </c>
      <c r="J5" s="7"/>
    </row>
    <row r="6" spans="1:10" x14ac:dyDescent="0.2">
      <c r="A6" s="29" t="s">
        <v>26</v>
      </c>
      <c r="B6" s="10">
        <v>3104</v>
      </c>
      <c r="C6" s="66">
        <f t="shared" ref="C6:C45" si="1">B6/B$56</f>
        <v>9.703960428850026E-3</v>
      </c>
      <c r="D6" s="98"/>
      <c r="E6" s="6">
        <f>D6</f>
        <v>0</v>
      </c>
      <c r="F6" s="5"/>
      <c r="G6" s="6"/>
      <c r="H6" s="10"/>
      <c r="I6" s="6"/>
      <c r="J6" s="7"/>
    </row>
    <row r="7" spans="1:10" x14ac:dyDescent="0.2">
      <c r="A7" s="183" t="s">
        <v>203</v>
      </c>
      <c r="B7" s="10">
        <f>'Newnans Lake Tribs loading'!G48</f>
        <v>5456.6</v>
      </c>
      <c r="C7" s="66">
        <f t="shared" si="1"/>
        <v>1.7058837137906912E-2</v>
      </c>
      <c r="D7" s="98"/>
      <c r="E7" s="6"/>
      <c r="F7" s="5"/>
      <c r="G7" s="6"/>
      <c r="H7" s="10"/>
      <c r="I7" s="6"/>
      <c r="J7" s="7"/>
    </row>
    <row r="8" spans="1:10" ht="25.5" x14ac:dyDescent="0.2">
      <c r="A8" s="154" t="s">
        <v>105</v>
      </c>
      <c r="B8" s="10">
        <f>SUM(B9:B10)</f>
        <v>15028.2</v>
      </c>
      <c r="C8" s="66">
        <f t="shared" si="1"/>
        <v>4.6982299651045091E-2</v>
      </c>
      <c r="D8" s="98">
        <f>B8</f>
        <v>15028.2</v>
      </c>
      <c r="E8" s="6">
        <v>0</v>
      </c>
      <c r="F8" s="5"/>
      <c r="G8" s="6"/>
      <c r="H8" s="33"/>
      <c r="I8" s="6">
        <f>B8+H8</f>
        <v>15028.2</v>
      </c>
      <c r="J8" s="7"/>
    </row>
    <row r="9" spans="1:10" x14ac:dyDescent="0.2">
      <c r="A9" s="30" t="s">
        <v>5</v>
      </c>
      <c r="B9" s="10">
        <f>'Newnans Lake Tribs loading'!G45</f>
        <v>672</v>
      </c>
      <c r="C9" s="66">
        <f t="shared" si="1"/>
        <v>2.1008574124314486E-3</v>
      </c>
      <c r="D9" s="98">
        <f>B9</f>
        <v>672</v>
      </c>
      <c r="E9" s="6">
        <v>0</v>
      </c>
      <c r="F9" s="5"/>
      <c r="G9" s="6"/>
      <c r="H9" s="33"/>
      <c r="I9" s="6">
        <f t="shared" ref="I9:I10" si="2">B9+H9</f>
        <v>672</v>
      </c>
      <c r="J9" s="7"/>
    </row>
    <row r="10" spans="1:10" x14ac:dyDescent="0.2">
      <c r="A10" s="30" t="s">
        <v>6</v>
      </c>
      <c r="B10" s="10">
        <f>'Newnans Lake Tribs loading'!G46</f>
        <v>14356.2</v>
      </c>
      <c r="C10" s="66">
        <f t="shared" si="1"/>
        <v>4.4881442238613643E-2</v>
      </c>
      <c r="D10" s="98">
        <f>B10</f>
        <v>14356.2</v>
      </c>
      <c r="E10" s="6">
        <v>0</v>
      </c>
      <c r="F10" s="5"/>
      <c r="G10" s="6"/>
      <c r="H10" s="33"/>
      <c r="I10" s="6">
        <f t="shared" si="2"/>
        <v>14356.2</v>
      </c>
      <c r="J10" s="7"/>
    </row>
    <row r="11" spans="1:10" ht="25.5" x14ac:dyDescent="0.2">
      <c r="A11" s="154" t="s">
        <v>106</v>
      </c>
      <c r="B11" s="10">
        <f>SUM(B12:B17)</f>
        <v>3991.0000000000005</v>
      </c>
      <c r="C11" s="66">
        <f t="shared" si="1"/>
        <v>1.2476967162223086E-2</v>
      </c>
      <c r="D11" s="98">
        <f t="shared" ref="D11:D20" si="3">B11</f>
        <v>3991.0000000000005</v>
      </c>
      <c r="E11" s="6">
        <f t="shared" ref="E11:E18" si="4">B11</f>
        <v>3991.0000000000005</v>
      </c>
      <c r="F11" s="653">
        <f t="shared" ref="F11:F18" si="5">E11/(D$56-D$8-D$49-D$19-D$22-D$33-D$36-D$47)</f>
        <v>1.6410766712994566E-2</v>
      </c>
      <c r="G11" s="6">
        <f t="shared" ref="G11:G20" si="6">F11*($D$58)</f>
        <v>3332.252131220343</v>
      </c>
      <c r="H11" s="33"/>
      <c r="I11" s="6">
        <f t="shared" ref="I11:I50" si="7">B11+H11</f>
        <v>3991.0000000000005</v>
      </c>
      <c r="J11" s="7"/>
    </row>
    <row r="12" spans="1:10" x14ac:dyDescent="0.2">
      <c r="A12" s="30" t="s">
        <v>7</v>
      </c>
      <c r="B12" s="10">
        <f>'Newnans Lake Tribs loading'!G41</f>
        <v>355.4</v>
      </c>
      <c r="C12" s="66">
        <f t="shared" si="1"/>
        <v>1.111078458896037E-3</v>
      </c>
      <c r="D12" s="98">
        <f>B12</f>
        <v>355.4</v>
      </c>
      <c r="E12" s="6">
        <f>B12</f>
        <v>355.4</v>
      </c>
      <c r="F12" s="653">
        <f t="shared" si="5"/>
        <v>1.4613847381103153E-3</v>
      </c>
      <c r="G12" s="6">
        <f t="shared" si="6"/>
        <v>296.7382629505662</v>
      </c>
      <c r="H12" s="33"/>
      <c r="I12" s="6">
        <f>B12+H12</f>
        <v>355.4</v>
      </c>
      <c r="J12" s="7"/>
    </row>
    <row r="13" spans="1:10" x14ac:dyDescent="0.2">
      <c r="A13" s="30" t="s">
        <v>8</v>
      </c>
      <c r="B13" s="10">
        <f>'Newnans Lake Tribs loading'!G39</f>
        <v>1370.4</v>
      </c>
      <c r="C13" s="66">
        <f t="shared" si="1"/>
        <v>4.2842485089227052E-3</v>
      </c>
      <c r="D13" s="98">
        <f t="shared" si="3"/>
        <v>1370.4</v>
      </c>
      <c r="E13" s="6">
        <f t="shared" si="4"/>
        <v>1370.4</v>
      </c>
      <c r="F13" s="653">
        <f t="shared" si="5"/>
        <v>5.6350074426178287E-3</v>
      </c>
      <c r="G13" s="6">
        <f t="shared" si="6"/>
        <v>1144.2040392443894</v>
      </c>
      <c r="H13" s="33"/>
      <c r="I13" s="6">
        <f t="shared" si="7"/>
        <v>1370.4</v>
      </c>
      <c r="J13" s="7"/>
    </row>
    <row r="14" spans="1:10" x14ac:dyDescent="0.2">
      <c r="A14" s="30" t="s">
        <v>9</v>
      </c>
      <c r="B14" s="10">
        <f>'Newnans Lake Tribs loading'!G40</f>
        <v>1740.6</v>
      </c>
      <c r="C14" s="66">
        <f t="shared" si="1"/>
        <v>5.4415958513068146E-3</v>
      </c>
      <c r="D14" s="98">
        <f t="shared" si="3"/>
        <v>1740.6</v>
      </c>
      <c r="E14" s="6">
        <f t="shared" si="4"/>
        <v>1740.6</v>
      </c>
      <c r="F14" s="653">
        <f t="shared" si="5"/>
        <v>7.1572489452864799E-3</v>
      </c>
      <c r="G14" s="6">
        <f t="shared" si="6"/>
        <v>1453.2994386374664</v>
      </c>
      <c r="H14" s="33"/>
      <c r="I14" s="6">
        <f t="shared" si="7"/>
        <v>1740.6</v>
      </c>
      <c r="J14" s="7"/>
    </row>
    <row r="15" spans="1:10" x14ac:dyDescent="0.2">
      <c r="A15" s="30" t="s">
        <v>10</v>
      </c>
      <c r="B15" s="10">
        <f>'Newnans Lake Tribs loading'!G38</f>
        <v>204.8</v>
      </c>
      <c r="C15" s="66">
        <f t="shared" si="1"/>
        <v>6.402613066457749E-4</v>
      </c>
      <c r="D15" s="98">
        <f t="shared" si="3"/>
        <v>204.8</v>
      </c>
      <c r="E15" s="6">
        <f t="shared" si="4"/>
        <v>204.8</v>
      </c>
      <c r="F15" s="653">
        <f t="shared" si="5"/>
        <v>8.4212603929373277E-4</v>
      </c>
      <c r="G15" s="6">
        <f t="shared" si="6"/>
        <v>170.99605023150247</v>
      </c>
      <c r="H15" s="33"/>
      <c r="I15" s="6">
        <f t="shared" si="7"/>
        <v>204.8</v>
      </c>
      <c r="J15" s="7"/>
    </row>
    <row r="16" spans="1:10" x14ac:dyDescent="0.2">
      <c r="A16" s="30" t="s">
        <v>11</v>
      </c>
      <c r="B16" s="10">
        <f>'Newnans Lake Tribs loading'!G37</f>
        <v>319.8</v>
      </c>
      <c r="C16" s="66">
        <f t="shared" si="1"/>
        <v>9.9978303645175196E-4</v>
      </c>
      <c r="D16" s="98">
        <f>B16</f>
        <v>319.8</v>
      </c>
      <c r="E16" s="6">
        <f>B16</f>
        <v>319.8</v>
      </c>
      <c r="F16" s="653">
        <f t="shared" si="5"/>
        <v>1.3149995476862096E-3</v>
      </c>
      <c r="G16" s="6">
        <f t="shared" si="6"/>
        <v>267.01434015641837</v>
      </c>
      <c r="H16" s="33"/>
      <c r="I16" s="6">
        <f>B16+H16</f>
        <v>319.8</v>
      </c>
      <c r="J16" s="7"/>
    </row>
    <row r="17" spans="1:10" x14ac:dyDescent="0.2">
      <c r="A17" s="34" t="s">
        <v>188</v>
      </c>
      <c r="B17" s="10">
        <v>0</v>
      </c>
      <c r="C17" s="66">
        <f t="shared" si="1"/>
        <v>0</v>
      </c>
      <c r="D17" s="98">
        <f t="shared" si="3"/>
        <v>0</v>
      </c>
      <c r="E17" s="6">
        <f t="shared" si="4"/>
        <v>0</v>
      </c>
      <c r="F17" s="653">
        <f t="shared" si="5"/>
        <v>0</v>
      </c>
      <c r="G17" s="6">
        <f t="shared" si="6"/>
        <v>0</v>
      </c>
      <c r="H17" s="33"/>
      <c r="I17" s="6">
        <f t="shared" si="7"/>
        <v>0</v>
      </c>
      <c r="J17" s="7"/>
    </row>
    <row r="18" spans="1:10" x14ac:dyDescent="0.2">
      <c r="A18" s="32" t="s">
        <v>107</v>
      </c>
      <c r="B18" s="10">
        <f>'Newnans Lake Tribs loading'!G44</f>
        <v>1482.6</v>
      </c>
      <c r="C18" s="66">
        <f t="shared" si="1"/>
        <v>4.6350166661768832E-3</v>
      </c>
      <c r="D18" s="98">
        <f t="shared" si="3"/>
        <v>1482.6</v>
      </c>
      <c r="E18" s="6">
        <f t="shared" si="4"/>
        <v>1482.6</v>
      </c>
      <c r="F18" s="653">
        <f t="shared" si="5"/>
        <v>6.0963675090668357E-3</v>
      </c>
      <c r="G18" s="6">
        <f t="shared" si="6"/>
        <v>1237.8844925450462</v>
      </c>
      <c r="H18" s="33"/>
      <c r="I18" s="6">
        <f t="shared" si="7"/>
        <v>1482.6</v>
      </c>
      <c r="J18" s="7"/>
    </row>
    <row r="19" spans="1:10" x14ac:dyDescent="0.2">
      <c r="A19" s="32" t="s">
        <v>104</v>
      </c>
      <c r="B19" s="10">
        <f>'Newnans Lake Tribs loading'!G47</f>
        <v>2038</v>
      </c>
      <c r="C19" s="66">
        <f t="shared" si="1"/>
        <v>6.3713503073441853E-3</v>
      </c>
      <c r="D19" s="98">
        <f t="shared" si="3"/>
        <v>2038</v>
      </c>
      <c r="E19" s="6">
        <v>0</v>
      </c>
      <c r="F19" s="653"/>
      <c r="G19" s="6">
        <f t="shared" si="6"/>
        <v>0</v>
      </c>
      <c r="H19" s="33"/>
      <c r="I19" s="6">
        <f>B19+H19</f>
        <v>2038</v>
      </c>
      <c r="J19" s="7"/>
    </row>
    <row r="20" spans="1:10" x14ac:dyDescent="0.2">
      <c r="A20" s="27" t="s">
        <v>176</v>
      </c>
      <c r="B20" s="31">
        <f>'Newnans Lake Tribs loading'!G49</f>
        <v>818.4</v>
      </c>
      <c r="C20" s="66">
        <f t="shared" si="1"/>
        <v>2.5585442058540142E-3</v>
      </c>
      <c r="D20" s="98">
        <f t="shared" si="3"/>
        <v>818.4</v>
      </c>
      <c r="E20" s="6">
        <f>B20</f>
        <v>818.4</v>
      </c>
      <c r="F20" s="653">
        <f>E20/(D$56-D$8-D$49-D$19-D$22-D$33-D$36-D$47)</f>
        <v>3.3652146023339393E-3</v>
      </c>
      <c r="G20" s="6">
        <f t="shared" si="6"/>
        <v>683.31624760479292</v>
      </c>
      <c r="H20" s="33"/>
      <c r="I20" s="6">
        <f>B20+H20</f>
        <v>818.4</v>
      </c>
      <c r="J20" s="7"/>
    </row>
    <row r="21" spans="1:10" x14ac:dyDescent="0.2">
      <c r="A21" s="227" t="s">
        <v>204</v>
      </c>
      <c r="B21" s="31">
        <v>18925</v>
      </c>
      <c r="C21" s="66">
        <f t="shared" si="1"/>
        <v>5.9164771622418406E-2</v>
      </c>
      <c r="D21" s="98"/>
      <c r="E21" s="6"/>
      <c r="F21" s="653"/>
      <c r="G21" s="6"/>
      <c r="H21" s="33"/>
      <c r="I21" s="6"/>
      <c r="J21" s="7"/>
    </row>
    <row r="22" spans="1:10" ht="25.5" x14ac:dyDescent="0.2">
      <c r="A22" s="155" t="s">
        <v>168</v>
      </c>
      <c r="B22" s="31">
        <f>SUM(B23:B24)</f>
        <v>13638.800000000001</v>
      </c>
      <c r="C22" s="66">
        <f t="shared" si="1"/>
        <v>4.2638651899806618E-2</v>
      </c>
      <c r="D22" s="98">
        <f t="shared" ref="D22:D34" si="8">B22</f>
        <v>13638.800000000001</v>
      </c>
      <c r="E22" s="6">
        <v>0</v>
      </c>
      <c r="F22" s="653"/>
      <c r="G22" s="6"/>
      <c r="H22" s="33"/>
      <c r="I22" s="6">
        <f>B22</f>
        <v>13638.800000000001</v>
      </c>
      <c r="J22" s="7"/>
    </row>
    <row r="23" spans="1:10" x14ac:dyDescent="0.2">
      <c r="A23" s="87" t="s">
        <v>5</v>
      </c>
      <c r="B23" s="31">
        <f>'Newnans Lake Tribs loading'!G13</f>
        <v>679.6</v>
      </c>
      <c r="C23" s="66">
        <f t="shared" si="1"/>
        <v>2.1246171093577569E-3</v>
      </c>
      <c r="D23" s="98">
        <f t="shared" si="8"/>
        <v>679.6</v>
      </c>
      <c r="E23" s="6">
        <v>0</v>
      </c>
      <c r="F23" s="653"/>
      <c r="G23" s="6"/>
      <c r="H23" s="33"/>
      <c r="I23" s="6">
        <f t="shared" ref="I23:I24" si="9">B23+H23</f>
        <v>679.6</v>
      </c>
      <c r="J23" s="7"/>
    </row>
    <row r="24" spans="1:10" x14ac:dyDescent="0.2">
      <c r="A24" s="87" t="s">
        <v>6</v>
      </c>
      <c r="B24" s="31">
        <f>'Newnans Lake Tribs loading'!G14</f>
        <v>12959.2</v>
      </c>
      <c r="C24" s="66">
        <f t="shared" si="1"/>
        <v>4.0514034790448857E-2</v>
      </c>
      <c r="D24" s="98">
        <f t="shared" si="8"/>
        <v>12959.2</v>
      </c>
      <c r="E24" s="6">
        <v>0</v>
      </c>
      <c r="F24" s="653"/>
      <c r="G24" s="6"/>
      <c r="H24" s="33"/>
      <c r="I24" s="6">
        <f t="shared" si="9"/>
        <v>12959.2</v>
      </c>
      <c r="J24" s="7"/>
    </row>
    <row r="25" spans="1:10" ht="25.5" x14ac:dyDescent="0.2">
      <c r="A25" s="155" t="s">
        <v>167</v>
      </c>
      <c r="B25" s="96">
        <f>SUM(B26:B31)</f>
        <v>3848</v>
      </c>
      <c r="C25" s="66">
        <f t="shared" si="1"/>
        <v>1.202990970689913E-2</v>
      </c>
      <c r="D25" s="98">
        <f t="shared" si="8"/>
        <v>3848</v>
      </c>
      <c r="E25" s="6">
        <f>B25</f>
        <v>3848</v>
      </c>
      <c r="F25" s="653">
        <f t="shared" ref="F25:F32" si="10">E25/(D$56-D$8-D$49-D$19-D$22-D$33-D$36-D$47)</f>
        <v>1.5822758785167399E-2</v>
      </c>
      <c r="G25" s="6">
        <f t="shared" ref="G25:G32" si="11">F25*($D$58)</f>
        <v>3212.8554750528388</v>
      </c>
      <c r="H25" s="33"/>
      <c r="I25" s="6">
        <f t="shared" si="7"/>
        <v>3848</v>
      </c>
      <c r="J25" s="7"/>
    </row>
    <row r="26" spans="1:10" x14ac:dyDescent="0.2">
      <c r="A26" s="88" t="s">
        <v>50</v>
      </c>
      <c r="B26" s="97">
        <f>'Newnans Lake Tribs loading'!G5</f>
        <v>651.20000000000005</v>
      </c>
      <c r="C26" s="66">
        <f t="shared" si="1"/>
        <v>2.0358308734752376E-3</v>
      </c>
      <c r="D26" s="98">
        <f t="shared" si="8"/>
        <v>651.20000000000005</v>
      </c>
      <c r="E26" s="6">
        <f t="shared" ref="E26:E31" si="12">B26</f>
        <v>651.20000000000005</v>
      </c>
      <c r="F26" s="653">
        <f t="shared" si="10"/>
        <v>2.6776976405667907E-3</v>
      </c>
      <c r="G26" s="6">
        <f t="shared" si="11"/>
        <v>543.71400347048041</v>
      </c>
      <c r="H26" s="33"/>
      <c r="I26" s="6">
        <f t="shared" si="7"/>
        <v>651.20000000000005</v>
      </c>
      <c r="J26" s="7"/>
    </row>
    <row r="27" spans="1:10" x14ac:dyDescent="0.2">
      <c r="A27" s="88" t="s">
        <v>51</v>
      </c>
      <c r="B27" s="97">
        <f>'Newnans Lake Tribs loading'!G6</f>
        <v>62.8</v>
      </c>
      <c r="C27" s="66">
        <f t="shared" si="1"/>
        <v>1.9633012723317705E-4</v>
      </c>
      <c r="D27" s="98">
        <f t="shared" si="8"/>
        <v>62.8</v>
      </c>
      <c r="E27" s="6">
        <f t="shared" si="12"/>
        <v>62.8</v>
      </c>
      <c r="F27" s="653">
        <f t="shared" si="10"/>
        <v>2.5823005501780474E-4</v>
      </c>
      <c r="G27" s="6">
        <f t="shared" si="11"/>
        <v>52.434335715519296</v>
      </c>
      <c r="H27" s="33"/>
      <c r="I27" s="6">
        <f t="shared" si="7"/>
        <v>62.8</v>
      </c>
      <c r="J27" s="7"/>
    </row>
    <row r="28" spans="1:10" x14ac:dyDescent="0.2">
      <c r="A28" s="93" t="s">
        <v>52</v>
      </c>
      <c r="B28" s="98">
        <f>'Newnans Lake Tribs loading'!G7</f>
        <v>2094.4</v>
      </c>
      <c r="C28" s="66">
        <f t="shared" si="1"/>
        <v>6.5476722687446828E-3</v>
      </c>
      <c r="D28" s="98">
        <f t="shared" si="8"/>
        <v>2094.4</v>
      </c>
      <c r="E28" s="6">
        <f t="shared" si="12"/>
        <v>2094.4</v>
      </c>
      <c r="F28" s="653">
        <f t="shared" si="10"/>
        <v>8.6120545737148127E-3</v>
      </c>
      <c r="G28" s="6">
        <f t="shared" si="11"/>
        <v>1748.701794945599</v>
      </c>
      <c r="H28" s="33"/>
      <c r="I28" s="6">
        <f t="shared" si="7"/>
        <v>2094.4</v>
      </c>
      <c r="J28" s="7"/>
    </row>
    <row r="29" spans="1:10" x14ac:dyDescent="0.2">
      <c r="A29" s="93" t="s">
        <v>54</v>
      </c>
      <c r="B29" s="97">
        <f>'Newnans Lake Tribs loading'!G8</f>
        <v>629</v>
      </c>
      <c r="C29" s="66">
        <f t="shared" si="1"/>
        <v>1.9664275482431269E-3</v>
      </c>
      <c r="D29" s="98">
        <f t="shared" si="8"/>
        <v>629</v>
      </c>
      <c r="E29" s="6">
        <f t="shared" si="12"/>
        <v>629</v>
      </c>
      <c r="F29" s="653">
        <f t="shared" si="10"/>
        <v>2.5864124937292864E-3</v>
      </c>
      <c r="G29" s="6">
        <f t="shared" si="11"/>
        <v>525.178298806714</v>
      </c>
      <c r="H29" s="33"/>
      <c r="I29" s="6">
        <f t="shared" si="7"/>
        <v>629</v>
      </c>
      <c r="J29" s="7"/>
    </row>
    <row r="30" spans="1:10" x14ac:dyDescent="0.2">
      <c r="A30" s="93" t="s">
        <v>55</v>
      </c>
      <c r="B30" s="97">
        <f>'Newnans Lake Tribs loading'!G9</f>
        <v>339.6</v>
      </c>
      <c r="C30" s="66">
        <f t="shared" si="1"/>
        <v>1.0616832994966073E-3</v>
      </c>
      <c r="D30" s="98">
        <f t="shared" si="8"/>
        <v>339.6</v>
      </c>
      <c r="E30" s="6">
        <f t="shared" si="12"/>
        <v>339.6</v>
      </c>
      <c r="F30" s="653">
        <f t="shared" si="10"/>
        <v>1.3964160300007403E-3</v>
      </c>
      <c r="G30" s="6">
        <f t="shared" si="11"/>
        <v>283.5461848565343</v>
      </c>
      <c r="H30" s="33"/>
      <c r="I30" s="6">
        <f t="shared" si="7"/>
        <v>339.6</v>
      </c>
      <c r="J30" s="7"/>
    </row>
    <row r="31" spans="1:10" x14ac:dyDescent="0.2">
      <c r="A31" s="93" t="s">
        <v>206</v>
      </c>
      <c r="B31" s="85">
        <v>71</v>
      </c>
      <c r="C31" s="66">
        <f t="shared" si="1"/>
        <v>2.219655897062989E-4</v>
      </c>
      <c r="D31" s="98">
        <f t="shared" si="8"/>
        <v>71</v>
      </c>
      <c r="E31" s="6">
        <f t="shared" si="12"/>
        <v>71</v>
      </c>
      <c r="F31" s="653">
        <f t="shared" si="10"/>
        <v>2.9194799213796399E-4</v>
      </c>
      <c r="G31" s="6">
        <f t="shared" si="11"/>
        <v>59.28085725799157</v>
      </c>
      <c r="H31" s="33"/>
      <c r="I31" s="6">
        <f t="shared" si="7"/>
        <v>71</v>
      </c>
      <c r="J31" s="7"/>
    </row>
    <row r="32" spans="1:10" x14ac:dyDescent="0.2">
      <c r="A32" s="94" t="s">
        <v>108</v>
      </c>
      <c r="B32" s="97">
        <f>'Newnans Lake Tribs loading'!G12</f>
        <v>1954</v>
      </c>
      <c r="C32" s="66">
        <f t="shared" si="1"/>
        <v>6.1087431307902543E-3</v>
      </c>
      <c r="D32" s="98">
        <f t="shared" si="8"/>
        <v>1954</v>
      </c>
      <c r="E32" s="6">
        <f>B32</f>
        <v>1954</v>
      </c>
      <c r="F32" s="653">
        <f t="shared" si="10"/>
        <v>8.0347376991208672E-3</v>
      </c>
      <c r="G32" s="6">
        <f t="shared" si="11"/>
        <v>1631.4759870720495</v>
      </c>
      <c r="H32" s="33"/>
      <c r="I32" s="6">
        <f>B32+H32</f>
        <v>1954</v>
      </c>
      <c r="J32" s="7"/>
    </row>
    <row r="33" spans="1:10" x14ac:dyDescent="0.2">
      <c r="A33" s="86" t="s">
        <v>102</v>
      </c>
      <c r="B33" s="98">
        <f>'Newnans Lake Tribs loading'!G15</f>
        <v>3682.6</v>
      </c>
      <c r="C33" s="66">
        <f t="shared" si="1"/>
        <v>1.1512823671160794E-2</v>
      </c>
      <c r="D33" s="98">
        <f t="shared" si="8"/>
        <v>3682.6</v>
      </c>
      <c r="E33" s="194">
        <v>0</v>
      </c>
      <c r="F33" s="653"/>
      <c r="G33" s="6"/>
      <c r="H33" s="33"/>
      <c r="I33" s="6">
        <f>B33+H33</f>
        <v>3682.6</v>
      </c>
      <c r="J33" s="7"/>
    </row>
    <row r="34" spans="1:10" x14ac:dyDescent="0.2">
      <c r="A34" s="86" t="s">
        <v>177</v>
      </c>
      <c r="B34" s="96">
        <f>'Newnans Lake Tribs loading'!G17</f>
        <v>1042.2</v>
      </c>
      <c r="C34" s="66">
        <f t="shared" si="1"/>
        <v>3.2582047548155597E-3</v>
      </c>
      <c r="D34" s="98">
        <f t="shared" si="8"/>
        <v>1042.2</v>
      </c>
      <c r="E34" s="6">
        <f>B34</f>
        <v>1042.2</v>
      </c>
      <c r="F34" s="653">
        <f>E34/(D$56-D$8-D$49-D$19-D$22-D$33-D$36-D$47)</f>
        <v>4.2854675691012117E-3</v>
      </c>
      <c r="G34" s="6">
        <f>F34*($D$58)</f>
        <v>870.17618921519443</v>
      </c>
      <c r="H34" s="33"/>
      <c r="I34" s="6">
        <f>B34+H34</f>
        <v>1042.2</v>
      </c>
      <c r="J34" s="7"/>
    </row>
    <row r="35" spans="1:10" x14ac:dyDescent="0.2">
      <c r="A35" s="226" t="s">
        <v>205</v>
      </c>
      <c r="B35" s="96">
        <v>3861</v>
      </c>
      <c r="C35" s="66">
        <f t="shared" si="1"/>
        <v>1.2070551293746762E-2</v>
      </c>
      <c r="D35" s="98"/>
      <c r="E35" s="6"/>
      <c r="F35" s="653"/>
      <c r="G35" s="6"/>
      <c r="H35" s="33"/>
      <c r="I35" s="6"/>
      <c r="J35" s="7"/>
    </row>
    <row r="36" spans="1:10" ht="25.5" x14ac:dyDescent="0.2">
      <c r="A36" s="118" t="s">
        <v>169</v>
      </c>
      <c r="B36" s="98">
        <f>SUM(B37:B38)</f>
        <v>3517.6000000000004</v>
      </c>
      <c r="C36" s="66">
        <f t="shared" si="1"/>
        <v>1.0996988145787001E-2</v>
      </c>
      <c r="D36" s="98">
        <f t="shared" ref="D36:D50" si="13">B36</f>
        <v>3517.6000000000004</v>
      </c>
      <c r="E36" s="6">
        <v>0</v>
      </c>
      <c r="F36" s="653"/>
      <c r="G36" s="6"/>
      <c r="H36" s="33"/>
      <c r="I36" s="6">
        <f>B36+H36</f>
        <v>3517.6000000000004</v>
      </c>
      <c r="J36" s="7"/>
    </row>
    <row r="37" spans="1:10" x14ac:dyDescent="0.2">
      <c r="A37" s="90" t="s">
        <v>5</v>
      </c>
      <c r="B37" s="98">
        <f>'Newnans Lake Tribs loading'!G29</f>
        <v>640.79999999999995</v>
      </c>
      <c r="C37" s="66">
        <f t="shared" si="1"/>
        <v>2.0033176039971315E-3</v>
      </c>
      <c r="D37" s="98">
        <f t="shared" si="13"/>
        <v>640.79999999999995</v>
      </c>
      <c r="E37" s="6">
        <v>0</v>
      </c>
      <c r="F37" s="653"/>
      <c r="G37" s="6"/>
      <c r="H37" s="33"/>
      <c r="I37" s="6">
        <f t="shared" ref="I37:I38" si="14">B37+H37</f>
        <v>640.79999999999995</v>
      </c>
      <c r="J37" s="7"/>
    </row>
    <row r="38" spans="1:10" x14ac:dyDescent="0.2">
      <c r="A38" s="90" t="s">
        <v>6</v>
      </c>
      <c r="B38" s="98">
        <f>'Newnans Lake Tribs loading'!G30</f>
        <v>2876.8</v>
      </c>
      <c r="C38" s="66">
        <f t="shared" si="1"/>
        <v>8.9936705417898704E-3</v>
      </c>
      <c r="D38" s="98">
        <f t="shared" si="13"/>
        <v>2876.8</v>
      </c>
      <c r="E38" s="6">
        <v>0</v>
      </c>
      <c r="F38" s="653"/>
      <c r="G38" s="6"/>
      <c r="H38" s="33"/>
      <c r="I38" s="6">
        <f t="shared" si="14"/>
        <v>2876.8</v>
      </c>
      <c r="J38" s="7"/>
    </row>
    <row r="39" spans="1:10" ht="25.5" x14ac:dyDescent="0.2">
      <c r="A39" s="118" t="s">
        <v>118</v>
      </c>
      <c r="B39" s="98">
        <f>SUM(B40:B45)</f>
        <v>3377.7999999999997</v>
      </c>
      <c r="C39" s="66">
        <f>B39/B$56</f>
        <v>1.0559934773379387E-2</v>
      </c>
      <c r="D39" s="98">
        <f t="shared" si="13"/>
        <v>3377.7999999999997</v>
      </c>
      <c r="E39" s="6">
        <f>B39</f>
        <v>3377.7999999999997</v>
      </c>
      <c r="F39" s="653">
        <f t="shared" ref="F39:F46" si="15">E39/(D$56-D$8-D$49-D$19-D$22-D$33-D$36-D$47)</f>
        <v>1.3889322927374853E-2</v>
      </c>
      <c r="G39" s="6">
        <f t="shared" ref="G39:G45" si="16">F39*($D$58)</f>
        <v>2820.2659105076605</v>
      </c>
      <c r="H39" s="33"/>
      <c r="I39" s="6">
        <f t="shared" ref="I39:I45" si="17">B39+H39</f>
        <v>3377.7999999999997</v>
      </c>
      <c r="J39" s="7"/>
    </row>
    <row r="40" spans="1:10" x14ac:dyDescent="0.2">
      <c r="A40" s="91" t="s">
        <v>50</v>
      </c>
      <c r="B40" s="98">
        <f>'Newnans Lake Tribs loading'!G21</f>
        <v>2052.1999999999998</v>
      </c>
      <c r="C40" s="66">
        <f t="shared" si="1"/>
        <v>6.4157434252854447E-3</v>
      </c>
      <c r="D40" s="98">
        <f t="shared" si="13"/>
        <v>2052.1999999999998</v>
      </c>
      <c r="E40" s="6">
        <f t="shared" ref="E40:E44" si="18">B40</f>
        <v>2052.1999999999998</v>
      </c>
      <c r="F40" s="653">
        <f t="shared" si="15"/>
        <v>8.4385305558525303E-3</v>
      </c>
      <c r="G40" s="6">
        <f t="shared" si="16"/>
        <v>1713.4672572514125</v>
      </c>
      <c r="H40" s="33"/>
      <c r="I40" s="6">
        <f t="shared" si="17"/>
        <v>2052.1999999999998</v>
      </c>
      <c r="J40" s="7"/>
    </row>
    <row r="41" spans="1:10" x14ac:dyDescent="0.2">
      <c r="A41" s="92" t="s">
        <v>51</v>
      </c>
      <c r="B41" s="97">
        <f>'Newnans Lake Tribs loading'!G22</f>
        <v>166.2</v>
      </c>
      <c r="C41" s="66">
        <f t="shared" si="1"/>
        <v>5.1958705646742076E-4</v>
      </c>
      <c r="D41" s="98">
        <f t="shared" si="13"/>
        <v>166.2</v>
      </c>
      <c r="E41" s="6">
        <f t="shared" si="18"/>
        <v>166.2</v>
      </c>
      <c r="F41" s="653">
        <f t="shared" si="15"/>
        <v>6.8340501821591E-4</v>
      </c>
      <c r="G41" s="6">
        <f t="shared" si="16"/>
        <v>138.76730248279154</v>
      </c>
      <c r="H41" s="33"/>
      <c r="I41" s="6">
        <f t="shared" si="17"/>
        <v>166.2</v>
      </c>
      <c r="J41" s="7"/>
    </row>
    <row r="42" spans="1:10" x14ac:dyDescent="0.2">
      <c r="A42" s="95" t="s">
        <v>52</v>
      </c>
      <c r="B42" s="97">
        <f>'Newnans Lake Tribs loading'!G23</f>
        <v>94.6</v>
      </c>
      <c r="C42" s="66">
        <f t="shared" si="1"/>
        <v>2.9574570121430812E-4</v>
      </c>
      <c r="D42" s="98">
        <f t="shared" si="13"/>
        <v>94.6</v>
      </c>
      <c r="E42" s="6">
        <f t="shared" si="18"/>
        <v>94.6</v>
      </c>
      <c r="F42" s="653">
        <f t="shared" si="15"/>
        <v>3.8898985994720265E-4</v>
      </c>
      <c r="G42" s="6">
        <f t="shared" si="16"/>
        <v>78.985480233887344</v>
      </c>
      <c r="H42" s="33"/>
      <c r="I42" s="6">
        <f t="shared" si="17"/>
        <v>94.6</v>
      </c>
      <c r="J42" s="7"/>
    </row>
    <row r="43" spans="1:10" x14ac:dyDescent="0.2">
      <c r="A43" s="95" t="s">
        <v>54</v>
      </c>
      <c r="B43" s="97">
        <f>'Newnans Lake Tribs loading'!G24</f>
        <v>668</v>
      </c>
      <c r="C43" s="66">
        <f t="shared" si="1"/>
        <v>2.0883523087860236E-3</v>
      </c>
      <c r="D43" s="98">
        <f t="shared" si="13"/>
        <v>668</v>
      </c>
      <c r="E43" s="6">
        <f t="shared" si="18"/>
        <v>668</v>
      </c>
      <c r="F43" s="653">
        <f t="shared" si="15"/>
        <v>2.7467782922276046E-3</v>
      </c>
      <c r="G43" s="6">
        <f t="shared" si="16"/>
        <v>557.74102321603334</v>
      </c>
      <c r="H43" s="33"/>
      <c r="I43" s="6">
        <f t="shared" si="17"/>
        <v>668</v>
      </c>
      <c r="J43" s="7"/>
    </row>
    <row r="44" spans="1:10" x14ac:dyDescent="0.2">
      <c r="A44" s="95" t="s">
        <v>55</v>
      </c>
      <c r="B44" s="97">
        <f>'Newnans Lake Tribs loading'!G25</f>
        <v>393.8</v>
      </c>
      <c r="C44" s="66">
        <f t="shared" si="1"/>
        <v>1.2311274538921199E-3</v>
      </c>
      <c r="D44" s="98">
        <f t="shared" si="13"/>
        <v>393.8</v>
      </c>
      <c r="E44" s="6">
        <f t="shared" si="18"/>
        <v>393.8</v>
      </c>
      <c r="F44" s="653">
        <f t="shared" si="15"/>
        <v>1.6192833704778903E-3</v>
      </c>
      <c r="G44" s="6">
        <f t="shared" si="16"/>
        <v>328.80002236897298</v>
      </c>
      <c r="H44" s="33"/>
      <c r="I44" s="6">
        <f t="shared" si="17"/>
        <v>393.8</v>
      </c>
      <c r="J44" s="7"/>
    </row>
    <row r="45" spans="1:10" x14ac:dyDescent="0.2">
      <c r="A45" s="251" t="s">
        <v>206</v>
      </c>
      <c r="B45" s="97">
        <v>3</v>
      </c>
      <c r="C45" s="66">
        <f t="shared" si="1"/>
        <v>9.3788277340689687E-6</v>
      </c>
      <c r="D45" s="98">
        <f t="shared" si="13"/>
        <v>3</v>
      </c>
      <c r="E45" s="6">
        <v>3</v>
      </c>
      <c r="F45" s="653">
        <f t="shared" si="15"/>
        <v>1.2335830653716788E-5</v>
      </c>
      <c r="G45" s="6">
        <f t="shared" si="16"/>
        <v>2.5048249545630239</v>
      </c>
      <c r="H45" s="33"/>
      <c r="I45" s="6">
        <f t="shared" si="17"/>
        <v>3</v>
      </c>
      <c r="J45" s="7"/>
    </row>
    <row r="46" spans="1:10" x14ac:dyDescent="0.2">
      <c r="A46" s="252" t="s">
        <v>109</v>
      </c>
      <c r="B46" s="97">
        <f>'Newnans Lake Tribs loading'!G28</f>
        <v>143.4</v>
      </c>
      <c r="C46" s="66">
        <f t="shared" ref="C46:C48" si="19">B46/B$56</f>
        <v>4.4830796568849667E-4</v>
      </c>
      <c r="D46" s="98">
        <f t="shared" si="13"/>
        <v>143.4</v>
      </c>
      <c r="E46" s="6">
        <f>B46</f>
        <v>143.4</v>
      </c>
      <c r="F46" s="653">
        <f t="shared" si="15"/>
        <v>5.8965270524766243E-4</v>
      </c>
      <c r="G46" s="6">
        <f>F46*($D$58)</f>
        <v>119.73063282811255</v>
      </c>
      <c r="H46" s="33"/>
      <c r="I46" s="6">
        <f>B46+H46</f>
        <v>143.4</v>
      </c>
      <c r="J46" s="7"/>
    </row>
    <row r="47" spans="1:10" x14ac:dyDescent="0.2">
      <c r="A47" s="89" t="s">
        <v>103</v>
      </c>
      <c r="B47" s="98">
        <f>'Newnans Lake Tribs loading'!G31</f>
        <v>977.6</v>
      </c>
      <c r="C47" s="66">
        <f t="shared" si="19"/>
        <v>3.0562473309419412E-3</v>
      </c>
      <c r="D47" s="98">
        <f t="shared" si="13"/>
        <v>977.6</v>
      </c>
      <c r="E47" s="6"/>
      <c r="F47" s="653"/>
      <c r="G47" s="6"/>
      <c r="H47" s="33"/>
      <c r="I47" s="6">
        <f t="shared" ref="I47:I48" si="20">B47+H47</f>
        <v>977.6</v>
      </c>
      <c r="J47" s="7"/>
    </row>
    <row r="48" spans="1:10" x14ac:dyDescent="0.2">
      <c r="A48" s="89" t="s">
        <v>170</v>
      </c>
      <c r="B48" s="96">
        <f>'Newnans Lake Tribs loading'!G33</f>
        <v>9.6</v>
      </c>
      <c r="C48" s="66">
        <f t="shared" si="19"/>
        <v>3.0012248749020697E-5</v>
      </c>
      <c r="D48" s="98">
        <f t="shared" si="13"/>
        <v>9.6</v>
      </c>
      <c r="E48" s="6">
        <f>B48</f>
        <v>9.6</v>
      </c>
      <c r="F48" s="653">
        <f>E48/(D$56-D$8-D$49-D$19-D$22-D$33-D$36-D$47)</f>
        <v>3.9474658091893719E-5</v>
      </c>
      <c r="G48" s="6">
        <f>F48*($D$58)</f>
        <v>8.0154398546016772</v>
      </c>
      <c r="H48" s="33"/>
      <c r="I48" s="6">
        <f t="shared" si="20"/>
        <v>9.6</v>
      </c>
      <c r="J48" s="7"/>
    </row>
    <row r="49" spans="1:20" x14ac:dyDescent="0.2">
      <c r="A49" s="27" t="s">
        <v>0</v>
      </c>
      <c r="B49" s="96">
        <v>6446</v>
      </c>
      <c r="C49" s="66">
        <f>B49/B$56</f>
        <v>2.0151974524602857E-2</v>
      </c>
      <c r="D49" s="98">
        <f t="shared" si="13"/>
        <v>6446</v>
      </c>
      <c r="E49" s="6"/>
      <c r="F49" s="653"/>
      <c r="G49" s="6"/>
      <c r="H49" s="33"/>
      <c r="I49" s="6">
        <f>B49+H49</f>
        <v>6446</v>
      </c>
      <c r="J49" s="7"/>
    </row>
    <row r="50" spans="1:20" ht="13.5" thickBot="1" x14ac:dyDescent="0.25">
      <c r="A50" s="99" t="s">
        <v>13</v>
      </c>
      <c r="B50" s="100">
        <v>226527</v>
      </c>
      <c r="C50" s="656">
        <f>B50/B$56</f>
        <v>0.70818590337181375</v>
      </c>
      <c r="D50" s="98">
        <f t="shared" si="13"/>
        <v>226527</v>
      </c>
      <c r="E50" s="101">
        <f>B50</f>
        <v>226527</v>
      </c>
      <c r="F50" s="653">
        <f>E50/(D$56-D$8-D$49-D$19-D$22-D$33-D$36-D$47)</f>
        <v>0.93146623683150087</v>
      </c>
      <c r="G50" s="6">
        <f>F50*($D$58)</f>
        <v>189136.82749409936</v>
      </c>
      <c r="H50" s="103"/>
      <c r="I50" s="102">
        <f t="shared" si="7"/>
        <v>226527</v>
      </c>
      <c r="J50" s="104"/>
    </row>
    <row r="51" spans="1:20" ht="13.5" thickTop="1" x14ac:dyDescent="0.2">
      <c r="A51" s="261" t="s">
        <v>178</v>
      </c>
      <c r="B51" s="105">
        <f>SUM(B52:B53)</f>
        <v>32191.600000000002</v>
      </c>
      <c r="C51" s="657">
        <f>B51/B$56</f>
        <v>0.1006398236280182</v>
      </c>
      <c r="D51" s="105"/>
      <c r="E51" s="106">
        <f>B51</f>
        <v>32191.600000000002</v>
      </c>
      <c r="F51" s="107"/>
      <c r="G51" s="106"/>
      <c r="H51" s="108"/>
      <c r="I51" s="106">
        <f>B51+H51</f>
        <v>32191.600000000002</v>
      </c>
      <c r="J51" s="109"/>
    </row>
    <row r="52" spans="1:20" x14ac:dyDescent="0.2">
      <c r="A52" s="262" t="s">
        <v>12</v>
      </c>
      <c r="B52" s="228">
        <f>B22+B25+B32+B33+B34</f>
        <v>24165.600000000002</v>
      </c>
      <c r="C52" s="658">
        <f>B52/B$56</f>
        <v>7.5548333163472356E-2</v>
      </c>
      <c r="D52" s="231"/>
      <c r="E52" s="229">
        <f>B52</f>
        <v>24165.600000000002</v>
      </c>
      <c r="F52" s="230"/>
      <c r="G52" s="229"/>
      <c r="H52" s="223"/>
      <c r="I52" s="229">
        <f>B52+H52</f>
        <v>24165.600000000002</v>
      </c>
      <c r="J52" s="7"/>
    </row>
    <row r="53" spans="1:20" x14ac:dyDescent="0.2">
      <c r="A53" s="263" t="s">
        <v>53</v>
      </c>
      <c r="B53" s="231">
        <f>B36+B39+B46+B47+B48</f>
        <v>8026</v>
      </c>
      <c r="C53" s="658">
        <f>B53/B$56</f>
        <v>2.5091490464545844E-2</v>
      </c>
      <c r="D53" s="231"/>
      <c r="E53" s="229">
        <f>B53</f>
        <v>8026</v>
      </c>
      <c r="F53" s="230"/>
      <c r="G53" s="229"/>
      <c r="H53" s="223"/>
      <c r="I53" s="229">
        <f>B53+H53</f>
        <v>8026</v>
      </c>
      <c r="J53" s="7"/>
    </row>
    <row r="54" spans="1:20" x14ac:dyDescent="0.2">
      <c r="A54" s="84"/>
      <c r="B54" s="98"/>
      <c r="C54" s="66"/>
      <c r="D54" s="98"/>
      <c r="E54" s="6"/>
      <c r="F54" s="5"/>
      <c r="G54" s="6"/>
      <c r="H54" s="33"/>
      <c r="I54" s="6"/>
      <c r="J54" s="7"/>
    </row>
    <row r="55" spans="1:20" x14ac:dyDescent="0.2">
      <c r="A55" s="35" t="s">
        <v>4</v>
      </c>
      <c r="B55" s="98"/>
      <c r="C55" s="67"/>
      <c r="D55" s="98"/>
      <c r="E55" s="6"/>
      <c r="F55" s="5"/>
      <c r="G55" s="6"/>
      <c r="H55" s="10"/>
      <c r="I55" s="8"/>
      <c r="J55" s="9"/>
    </row>
    <row r="56" spans="1:20" x14ac:dyDescent="0.2">
      <c r="A56" s="68" t="s">
        <v>30</v>
      </c>
      <c r="B56" s="11">
        <f>B4+B7+B8+B11+B18+B49+B50+B19+B20+B21+B22+B25+B32+B33+B34+B35+B36+B39+B46+B47+B48</f>
        <v>319869.39999999997</v>
      </c>
      <c r="C56" s="659">
        <f>C4+C7+C8+C11+C18+C19+C20+C21+C22+C25+C32+C33+C34+C35+C36+C39+C46+C47+C48+C49+C50</f>
        <v>1.0000000000000002</v>
      </c>
      <c r="D56" s="98">
        <f>D8+D11+D18+D19+D20+D22+D25+D32+D33+D34+D36+D39+D46+D47+D48+D50+D49</f>
        <v>288522.8</v>
      </c>
      <c r="E56" s="11">
        <f>(E11+E18+E20+E50+E25+E32+E34+E39+E46+E48)</f>
        <v>243194</v>
      </c>
      <c r="F56" s="660">
        <f>(F11+F18+F20+F25+F32+F34+F39+F46+F48+F50)</f>
        <v>1</v>
      </c>
      <c r="G56" s="11">
        <f>G11+G18+G20+G50+G25+G32+G34+G39+G46+G48</f>
        <v>203052.80000000002</v>
      </c>
      <c r="H56" s="11"/>
      <c r="I56" s="6">
        <f>I8+I11+I18+I49+I51+I19+I20+I50</f>
        <v>288522.8</v>
      </c>
      <c r="J56" s="37"/>
    </row>
    <row r="57" spans="1:20" x14ac:dyDescent="0.2">
      <c r="A57" s="38" t="s">
        <v>14</v>
      </c>
      <c r="B57" s="10">
        <v>85470</v>
      </c>
      <c r="C57" s="67"/>
      <c r="D57" s="98">
        <f>B57</f>
        <v>85470</v>
      </c>
      <c r="E57" s="6"/>
      <c r="F57" s="5"/>
      <c r="G57" s="6"/>
      <c r="H57" s="10"/>
      <c r="I57" s="6">
        <f>B57</f>
        <v>85470</v>
      </c>
      <c r="J57" s="7"/>
    </row>
    <row r="58" spans="1:20" ht="13.5" thickBot="1" x14ac:dyDescent="0.25">
      <c r="A58" s="56" t="s">
        <v>15</v>
      </c>
      <c r="B58" s="57">
        <f>B56-B57</f>
        <v>234399.39999999997</v>
      </c>
      <c r="C58" s="69"/>
      <c r="D58" s="57">
        <f>D56-D57</f>
        <v>203052.79999999999</v>
      </c>
      <c r="E58" s="57"/>
      <c r="F58" s="58"/>
      <c r="G58" s="57"/>
      <c r="H58" s="57"/>
      <c r="I58" s="57">
        <f>I56-I57</f>
        <v>203052.79999999999</v>
      </c>
      <c r="J58" s="59"/>
    </row>
    <row r="59" spans="1:20" x14ac:dyDescent="0.2">
      <c r="A59" s="19" t="s">
        <v>165</v>
      </c>
      <c r="C59" s="2"/>
    </row>
    <row r="60" spans="1:20" x14ac:dyDescent="0.2">
      <c r="A60" s="19" t="s">
        <v>166</v>
      </c>
      <c r="C60" s="624"/>
    </row>
    <row r="61" spans="1:20" ht="13.5" thickBot="1" x14ac:dyDescent="0.25"/>
    <row r="62" spans="1:20" ht="55.9" customHeight="1" x14ac:dyDescent="0.2">
      <c r="A62" s="73" t="s">
        <v>75</v>
      </c>
      <c r="B62" s="114" t="s">
        <v>69</v>
      </c>
      <c r="C62" s="115" t="s">
        <v>83</v>
      </c>
      <c r="D62" s="115" t="s">
        <v>82</v>
      </c>
      <c r="E62" s="115" t="s">
        <v>70</v>
      </c>
      <c r="F62" s="115" t="s">
        <v>71</v>
      </c>
      <c r="G62" s="115" t="s">
        <v>72</v>
      </c>
      <c r="H62" s="115" t="s">
        <v>76</v>
      </c>
      <c r="I62" s="115" t="s">
        <v>73</v>
      </c>
      <c r="J62" s="115" t="s">
        <v>74</v>
      </c>
      <c r="K62" s="115" t="s">
        <v>77</v>
      </c>
      <c r="L62" s="115" t="s">
        <v>78</v>
      </c>
      <c r="M62" s="115" t="s">
        <v>81</v>
      </c>
      <c r="N62" s="115" t="s">
        <v>79</v>
      </c>
      <c r="O62" s="115" t="s">
        <v>80</v>
      </c>
      <c r="P62" s="115" t="s">
        <v>84</v>
      </c>
      <c r="Q62" s="115" t="s">
        <v>197</v>
      </c>
      <c r="R62" s="115" t="s">
        <v>198</v>
      </c>
      <c r="S62" s="115" t="s">
        <v>208</v>
      </c>
      <c r="T62" s="116" t="s">
        <v>209</v>
      </c>
    </row>
    <row r="63" spans="1:20" x14ac:dyDescent="0.2">
      <c r="A63" s="30" t="s">
        <v>62</v>
      </c>
      <c r="B63" s="120">
        <f>'Newnans LU'!D3</f>
        <v>80.138620946299994</v>
      </c>
      <c r="C63" s="121">
        <f>'Newnans LU'!F3</f>
        <v>0.19180791967513688</v>
      </c>
      <c r="D63" s="120">
        <f>C63*G$26</f>
        <v>104.28865190391301</v>
      </c>
      <c r="E63" s="120">
        <v>60.064136551590003</v>
      </c>
      <c r="F63" s="121">
        <f>'Newnans LU'!F4</f>
        <v>0.1849563548547698</v>
      </c>
      <c r="G63" s="122">
        <f>F63*G$27</f>
        <v>9.6980636031737166</v>
      </c>
      <c r="H63" s="137">
        <f>'Newnans LU'!D5</f>
        <v>1812.44421102</v>
      </c>
      <c r="I63" s="121">
        <f>'Newnans LU'!F5</f>
        <v>0.90511461173809848</v>
      </c>
      <c r="J63" s="137">
        <f>I63*G$28</f>
        <v>1582.7755461779018</v>
      </c>
      <c r="K63" s="120">
        <f>'Newnans LU'!D6</f>
        <v>142.900985088</v>
      </c>
      <c r="L63" s="121">
        <f>'Newnans LU'!F6</f>
        <v>0.85634772811213411</v>
      </c>
      <c r="M63" s="120">
        <f>L63*G$29</f>
        <v>449.73524303692506</v>
      </c>
      <c r="N63" s="120">
        <f>'Newnans LU'!D7</f>
        <v>280.83585518500001</v>
      </c>
      <c r="O63" s="121">
        <f>'Newnans LU'!F7</f>
        <v>0.82550768684687781</v>
      </c>
      <c r="P63" s="120">
        <f>O63*G$30</f>
        <v>234.06955517517483</v>
      </c>
      <c r="Q63" s="204">
        <v>3.33241738471E-2</v>
      </c>
      <c r="R63" s="205">
        <f>'Newnans LU'!F8</f>
        <v>1</v>
      </c>
      <c r="S63" s="125">
        <f>R63*G31</f>
        <v>59.28085725799157</v>
      </c>
      <c r="T63" s="586">
        <f>D63+G63+J63+M63+P63+S63</f>
        <v>2439.8479171550798</v>
      </c>
    </row>
    <row r="64" spans="1:20" x14ac:dyDescent="0.2">
      <c r="A64" s="30" t="s">
        <v>66</v>
      </c>
      <c r="B64" s="120">
        <f>'Newnans LU'!D20</f>
        <v>6.6091997839949999</v>
      </c>
      <c r="C64" s="121">
        <f>'Newnans LU'!F20</f>
        <v>1.5818792268306743E-2</v>
      </c>
      <c r="D64" s="120">
        <f>C64*G$26</f>
        <v>8.6008988742689407</v>
      </c>
      <c r="E64" s="120">
        <f>'Newnans LU'!D21</f>
        <v>247.97947435899999</v>
      </c>
      <c r="F64" s="121">
        <f>'Newnans LU'!F21</f>
        <v>0.79866309924034384</v>
      </c>
      <c r="G64" s="122">
        <f>F64*G$27</f>
        <v>41.87736906916529</v>
      </c>
      <c r="H64" s="120">
        <f>'Newnans LU'!D22</f>
        <v>8.1936759395200003</v>
      </c>
      <c r="I64" s="121">
        <f>'Newnans LU'!F22</f>
        <v>4.073399628298769E-3</v>
      </c>
      <c r="J64" s="120">
        <f>I64*G$28</f>
        <v>7.1231612415367929</v>
      </c>
      <c r="K64" s="120">
        <f>'Newnans LU'!D23</f>
        <v>0</v>
      </c>
      <c r="L64" s="121">
        <f>'Newnans LU'!F23</f>
        <v>0</v>
      </c>
      <c r="M64" s="120">
        <f>L64*G$29</f>
        <v>0</v>
      </c>
      <c r="N64" s="120">
        <f>'Newnans LU'!D24</f>
        <v>54.417395669900003</v>
      </c>
      <c r="O64" s="121">
        <f>'Newnans LU'!F24</f>
        <v>0.15995812907171886</v>
      </c>
      <c r="P64" s="120">
        <f>O64*G$30</f>
        <v>45.35551723507497</v>
      </c>
      <c r="Q64" s="206" t="s">
        <v>171</v>
      </c>
      <c r="R64" s="206" t="s">
        <v>171</v>
      </c>
      <c r="S64" s="206" t="s">
        <v>171</v>
      </c>
      <c r="T64" s="132">
        <f>D64+G64+J64+M64+P64</f>
        <v>102.95694642004599</v>
      </c>
    </row>
    <row r="65" spans="1:20" x14ac:dyDescent="0.2">
      <c r="A65" s="34" t="s">
        <v>119</v>
      </c>
      <c r="B65" s="120">
        <f>'Newnans LU'!D36</f>
        <v>331.058814918</v>
      </c>
      <c r="C65" s="121">
        <f>'Newnans LU'!F36</f>
        <v>0.79237328805655649</v>
      </c>
      <c r="D65" s="120">
        <f>C65*G$26</f>
        <v>430.82445269229851</v>
      </c>
      <c r="E65" s="127" t="s">
        <v>171</v>
      </c>
      <c r="F65" s="127" t="s">
        <v>171</v>
      </c>
      <c r="G65" s="127" t="s">
        <v>171</v>
      </c>
      <c r="H65" s="127" t="s">
        <v>171</v>
      </c>
      <c r="I65" s="127" t="s">
        <v>171</v>
      </c>
      <c r="J65" s="127" t="s">
        <v>171</v>
      </c>
      <c r="K65" s="127" t="s">
        <v>171</v>
      </c>
      <c r="L65" s="127" t="s">
        <v>171</v>
      </c>
      <c r="M65" s="127" t="s">
        <v>171</v>
      </c>
      <c r="N65" s="127" t="s">
        <v>171</v>
      </c>
      <c r="O65" s="127" t="s">
        <v>171</v>
      </c>
      <c r="P65" s="127" t="s">
        <v>171</v>
      </c>
      <c r="Q65" s="206" t="s">
        <v>171</v>
      </c>
      <c r="R65" s="206" t="s">
        <v>171</v>
      </c>
      <c r="S65" s="206" t="s">
        <v>171</v>
      </c>
      <c r="T65" s="132">
        <f>D65</f>
        <v>430.82445269229851</v>
      </c>
    </row>
    <row r="66" spans="1:20" x14ac:dyDescent="0.2">
      <c r="A66" s="30" t="s">
        <v>67</v>
      </c>
      <c r="B66" s="127" t="s">
        <v>171</v>
      </c>
      <c r="C66" s="127" t="s">
        <v>171</v>
      </c>
      <c r="D66" s="127" t="s">
        <v>171</v>
      </c>
      <c r="E66" s="120">
        <f>'Newnans LU'!D39</f>
        <v>5.0860472021499996</v>
      </c>
      <c r="F66" s="121">
        <f>'Newnans LU'!F39</f>
        <v>1.6380545904886423E-2</v>
      </c>
      <c r="G66" s="122">
        <f>F66*G$27</f>
        <v>0.85890304318028954</v>
      </c>
      <c r="H66" s="120">
        <f>'Newnans LU'!D40</f>
        <v>181.809303304</v>
      </c>
      <c r="I66" s="121">
        <f>'Newnans LU'!F40</f>
        <v>9.0793557103622358E-2</v>
      </c>
      <c r="J66" s="120">
        <f>I66*G$28</f>
        <v>158.77085627660014</v>
      </c>
      <c r="K66" s="120">
        <f>'Newnans LU'!D41</f>
        <v>23.971630319100001</v>
      </c>
      <c r="L66" s="121">
        <f>'Newnans LU'!F41</f>
        <v>0.14365227188786586</v>
      </c>
      <c r="M66" s="120">
        <f>L66*G$29</f>
        <v>75.443055769788941</v>
      </c>
      <c r="N66" s="120">
        <f>'Newnans LU'!D42</f>
        <v>4.9444967284599999</v>
      </c>
      <c r="O66" s="121">
        <f>'Newnans LU'!F42</f>
        <v>1.4496021394560224E-2</v>
      </c>
      <c r="P66" s="120">
        <f>O66*G$30</f>
        <v>4.1102915620262497</v>
      </c>
      <c r="Q66" s="206" t="s">
        <v>171</v>
      </c>
      <c r="R66" s="206" t="s">
        <v>171</v>
      </c>
      <c r="S66" s="206" t="s">
        <v>171</v>
      </c>
      <c r="T66" s="132">
        <f>G66+J66+M66+P66</f>
        <v>239.18310665159561</v>
      </c>
    </row>
    <row r="67" spans="1:20" ht="13.5" thickBot="1" x14ac:dyDescent="0.25">
      <c r="A67" s="78" t="s">
        <v>68</v>
      </c>
      <c r="B67" s="123">
        <f>SUM(B63:B66)</f>
        <v>417.80663564829501</v>
      </c>
      <c r="C67" s="124">
        <f>SUM(C63:C65)</f>
        <v>1</v>
      </c>
      <c r="D67" s="123">
        <f t="shared" ref="D67:P67" si="21">SUM(D63:D66)</f>
        <v>543.71400347048041</v>
      </c>
      <c r="E67" s="123">
        <f t="shared" si="21"/>
        <v>313.12965811274</v>
      </c>
      <c r="F67" s="124">
        <f t="shared" si="21"/>
        <v>1</v>
      </c>
      <c r="G67" s="123">
        <f t="shared" si="21"/>
        <v>52.434335715519296</v>
      </c>
      <c r="H67" s="138">
        <f t="shared" si="21"/>
        <v>2002.44719026352</v>
      </c>
      <c r="I67" s="124">
        <f t="shared" si="21"/>
        <v>0.99998156847001962</v>
      </c>
      <c r="J67" s="138">
        <f t="shared" si="21"/>
        <v>1748.6695636960387</v>
      </c>
      <c r="K67" s="123">
        <f t="shared" si="21"/>
        <v>166.8726154071</v>
      </c>
      <c r="L67" s="124">
        <f t="shared" si="21"/>
        <v>1</v>
      </c>
      <c r="M67" s="123">
        <f t="shared" si="21"/>
        <v>525.178298806714</v>
      </c>
      <c r="N67" s="123">
        <f t="shared" si="21"/>
        <v>340.19774758336001</v>
      </c>
      <c r="O67" s="124">
        <v>1</v>
      </c>
      <c r="P67" s="123">
        <f t="shared" si="21"/>
        <v>283.53536397227606</v>
      </c>
      <c r="Q67" s="254">
        <v>0.03</v>
      </c>
      <c r="R67" s="255">
        <v>1</v>
      </c>
      <c r="S67" s="256">
        <f>S63</f>
        <v>59.28085725799157</v>
      </c>
      <c r="T67" s="257">
        <f>SUM(T63:T66)</f>
        <v>3212.8124229190198</v>
      </c>
    </row>
    <row r="68" spans="1:20" x14ac:dyDescent="0.2">
      <c r="R68" s="2"/>
    </row>
    <row r="69" spans="1:20" ht="13.5" thickBot="1" x14ac:dyDescent="0.25">
      <c r="R69" s="2"/>
    </row>
    <row r="70" spans="1:20" ht="58.9" customHeight="1" x14ac:dyDescent="0.2">
      <c r="A70" s="73" t="s">
        <v>49</v>
      </c>
      <c r="B70" s="114" t="s">
        <v>69</v>
      </c>
      <c r="C70" s="115" t="s">
        <v>127</v>
      </c>
      <c r="D70" s="115" t="s">
        <v>82</v>
      </c>
      <c r="E70" s="115" t="s">
        <v>70</v>
      </c>
      <c r="F70" s="115" t="s">
        <v>71</v>
      </c>
      <c r="G70" s="115" t="s">
        <v>72</v>
      </c>
      <c r="H70" s="115" t="s">
        <v>76</v>
      </c>
      <c r="I70" s="115" t="s">
        <v>73</v>
      </c>
      <c r="J70" s="115" t="s">
        <v>74</v>
      </c>
      <c r="K70" s="115" t="s">
        <v>77</v>
      </c>
      <c r="L70" s="115" t="s">
        <v>78</v>
      </c>
      <c r="M70" s="115" t="s">
        <v>81</v>
      </c>
      <c r="N70" s="115" t="s">
        <v>79</v>
      </c>
      <c r="O70" s="115" t="s">
        <v>80</v>
      </c>
      <c r="P70" s="115" t="s">
        <v>84</v>
      </c>
      <c r="Q70" s="115" t="s">
        <v>197</v>
      </c>
      <c r="R70" s="115" t="s">
        <v>198</v>
      </c>
      <c r="S70" s="115" t="s">
        <v>208</v>
      </c>
      <c r="T70" s="116" t="s">
        <v>209</v>
      </c>
    </row>
    <row r="71" spans="1:20" x14ac:dyDescent="0.2">
      <c r="A71" s="30" t="s">
        <v>62</v>
      </c>
      <c r="B71" s="120">
        <f>'Newnans LU'!D9</f>
        <v>13.5288753038</v>
      </c>
      <c r="C71" s="121">
        <f>'Newnans LU'!F9</f>
        <v>1.073140677133568E-2</v>
      </c>
      <c r="D71" s="120">
        <f>C71*G$40</f>
        <v>18.387914126929783</v>
      </c>
      <c r="E71" s="125">
        <v>78.870812362799995</v>
      </c>
      <c r="F71" s="121">
        <f>'Newnans LU'!F10</f>
        <v>9.6200613872649471E-2</v>
      </c>
      <c r="G71" s="122">
        <f>F71*G$41</f>
        <v>13.34949968429618</v>
      </c>
      <c r="H71" s="120">
        <f>[6]OCB_allocate_citys!$G$59+[6]OCB_allocate_citys!$G$81</f>
        <v>206.40780456909999</v>
      </c>
      <c r="I71" s="121">
        <f>'Newnans LU'!F11</f>
        <v>0.391033655562187</v>
      </c>
      <c r="J71" s="120">
        <f>I71*G$42</f>
        <v>30.885981072191832</v>
      </c>
      <c r="K71" s="120">
        <f>'Newnans LU'!D12</f>
        <v>23</v>
      </c>
      <c r="L71" s="121">
        <f>'Newnans LU'!F12</f>
        <v>4.2316218146951412E-2</v>
      </c>
      <c r="M71" s="120">
        <f>L71*G$43</f>
        <v>23.60149080791356</v>
      </c>
      <c r="N71" s="120">
        <f>'Newnans LU'!D13</f>
        <v>5.4897800805200001</v>
      </c>
      <c r="O71" s="121">
        <f>'Newnans LU'!F13</f>
        <v>1.9791459149915386E-2</v>
      </c>
      <c r="P71" s="120">
        <f>O71*G$44</f>
        <v>6.5074322112067939</v>
      </c>
      <c r="Q71" s="245" t="s">
        <v>171</v>
      </c>
      <c r="R71" s="149" t="s">
        <v>171</v>
      </c>
      <c r="S71" s="206" t="s">
        <v>171</v>
      </c>
      <c r="T71" s="132">
        <f>D71+G71+J71+M71+P71</f>
        <v>92.732317902538142</v>
      </c>
    </row>
    <row r="72" spans="1:20" x14ac:dyDescent="0.2">
      <c r="A72" s="30" t="s">
        <v>66</v>
      </c>
      <c r="B72" s="137">
        <f>'Newnans LU'!D25</f>
        <v>1085.85110474</v>
      </c>
      <c r="C72" s="121">
        <f>'Newnans LU'!F25</f>
        <v>0.86132140598532569</v>
      </c>
      <c r="D72" s="137">
        <f>C72*G$40</f>
        <v>1475.8460271256065</v>
      </c>
      <c r="E72" s="120">
        <f>'Newnans LU'!D26</f>
        <v>735.928160144</v>
      </c>
      <c r="F72" s="121">
        <f>'Newnans LU'!F26</f>
        <v>0.90379938612735056</v>
      </c>
      <c r="G72" s="122">
        <f>F72*G$41</f>
        <v>125.41780279849536</v>
      </c>
      <c r="H72" s="120">
        <f>'Newnans LU'!D27</f>
        <v>315.48235213800001</v>
      </c>
      <c r="I72" s="121">
        <f>'Newnans LU'!F27</f>
        <v>0.60896634443781295</v>
      </c>
      <c r="J72" s="120">
        <f>I72*G$42</f>
        <v>48.099499161695505</v>
      </c>
      <c r="K72" s="120">
        <f>'Newnans LU'!D28</f>
        <v>521.35238520300004</v>
      </c>
      <c r="L72" s="121">
        <f>'Newnans LU'!F28</f>
        <v>0.9576837818530487</v>
      </c>
      <c r="M72" s="120">
        <f>L72*G$43</f>
        <v>534.13953240811986</v>
      </c>
      <c r="N72" s="126">
        <v>271.89149024099999</v>
      </c>
      <c r="O72" s="121">
        <f>'Newnans LU'!F29</f>
        <v>0.98020854085008458</v>
      </c>
      <c r="P72" s="120">
        <f>O72*G$44</f>
        <v>322.29259015776614</v>
      </c>
      <c r="Q72" s="204">
        <v>1.7347513595999999</v>
      </c>
      <c r="R72" s="205">
        <f>'Newnans LU'!F30</f>
        <v>1</v>
      </c>
      <c r="S72" s="148">
        <f>R72*G45</f>
        <v>2.5048249545630239</v>
      </c>
      <c r="T72" s="132">
        <f>D72+G72+J72+M72+P72+S72</f>
        <v>2508.3002766062464</v>
      </c>
    </row>
    <row r="73" spans="1:20" x14ac:dyDescent="0.2">
      <c r="A73" s="34" t="s">
        <v>119</v>
      </c>
      <c r="B73" s="120">
        <f>'Newnans LU'!D37</f>
        <v>161.30052457900001</v>
      </c>
      <c r="C73" s="121">
        <f>'Newnans LU'!F37</f>
        <v>0.12794718724333862</v>
      </c>
      <c r="D73" s="120">
        <f>C73*G$40</f>
        <v>219.23331599887635</v>
      </c>
      <c r="E73" s="127" t="s">
        <v>171</v>
      </c>
      <c r="F73" s="127" t="s">
        <v>171</v>
      </c>
      <c r="G73" s="127" t="s">
        <v>171</v>
      </c>
      <c r="H73" s="127" t="s">
        <v>171</v>
      </c>
      <c r="I73" s="127" t="s">
        <v>171</v>
      </c>
      <c r="J73" s="127" t="s">
        <v>171</v>
      </c>
      <c r="K73" s="127" t="s">
        <v>171</v>
      </c>
      <c r="L73" s="127" t="s">
        <v>171</v>
      </c>
      <c r="M73" s="127" t="s">
        <v>171</v>
      </c>
      <c r="N73" s="127" t="s">
        <v>171</v>
      </c>
      <c r="O73" s="127" t="s">
        <v>171</v>
      </c>
      <c r="P73" s="127" t="s">
        <v>171</v>
      </c>
      <c r="Q73" s="245" t="s">
        <v>171</v>
      </c>
      <c r="R73" s="243" t="s">
        <v>171</v>
      </c>
      <c r="S73" s="206" t="s">
        <v>171</v>
      </c>
      <c r="T73" s="132">
        <f>D73</f>
        <v>219.23331599887635</v>
      </c>
    </row>
    <row r="74" spans="1:20" x14ac:dyDescent="0.2">
      <c r="A74" s="30" t="s">
        <v>67</v>
      </c>
      <c r="B74" s="127" t="s">
        <v>171</v>
      </c>
      <c r="C74" s="127" t="s">
        <v>171</v>
      </c>
      <c r="D74" s="127" t="s">
        <v>171</v>
      </c>
      <c r="E74" s="127" t="s">
        <v>171</v>
      </c>
      <c r="F74" s="127" t="s">
        <v>171</v>
      </c>
      <c r="G74" s="127" t="s">
        <v>171</v>
      </c>
      <c r="H74" s="127" t="s">
        <v>171</v>
      </c>
      <c r="I74" s="127" t="s">
        <v>171</v>
      </c>
      <c r="J74" s="127" t="s">
        <v>171</v>
      </c>
      <c r="K74" s="127" t="s">
        <v>171</v>
      </c>
      <c r="L74" s="127" t="s">
        <v>171</v>
      </c>
      <c r="M74" s="127" t="s">
        <v>171</v>
      </c>
      <c r="N74" s="127" t="s">
        <v>171</v>
      </c>
      <c r="O74" s="127" t="s">
        <v>171</v>
      </c>
      <c r="P74" s="127" t="s">
        <v>171</v>
      </c>
      <c r="Q74" s="245" t="s">
        <v>171</v>
      </c>
      <c r="R74" s="149" t="s">
        <v>171</v>
      </c>
      <c r="S74" s="206" t="s">
        <v>171</v>
      </c>
      <c r="T74" s="258" t="s">
        <v>171</v>
      </c>
    </row>
    <row r="75" spans="1:20" ht="13.5" thickBot="1" x14ac:dyDescent="0.25">
      <c r="A75" s="78" t="s">
        <v>68</v>
      </c>
      <c r="B75" s="138">
        <v>1211.0999999999999</v>
      </c>
      <c r="C75" s="124">
        <f>SUM(C71:C73)</f>
        <v>1</v>
      </c>
      <c r="D75" s="138">
        <f t="shared" ref="D75:P75" si="22">SUM(D71:D74)</f>
        <v>1713.4672572514125</v>
      </c>
      <c r="E75" s="123">
        <f t="shared" si="22"/>
        <v>814.79897250680006</v>
      </c>
      <c r="F75" s="124">
        <f t="shared" si="22"/>
        <v>1</v>
      </c>
      <c r="G75" s="123">
        <f t="shared" si="22"/>
        <v>138.76730248279154</v>
      </c>
      <c r="H75" s="123">
        <f t="shared" si="22"/>
        <v>521.8901567071</v>
      </c>
      <c r="I75" s="124">
        <f t="shared" si="22"/>
        <v>1</v>
      </c>
      <c r="J75" s="123">
        <f t="shared" si="22"/>
        <v>78.98548023388733</v>
      </c>
      <c r="K75" s="123">
        <f t="shared" si="22"/>
        <v>544.35238520300004</v>
      </c>
      <c r="L75" s="124">
        <f t="shared" si="22"/>
        <v>1</v>
      </c>
      <c r="M75" s="123">
        <f t="shared" si="22"/>
        <v>557.74102321603345</v>
      </c>
      <c r="N75" s="123">
        <f t="shared" si="22"/>
        <v>277.38127032151999</v>
      </c>
      <c r="O75" s="124">
        <f t="shared" si="22"/>
        <v>1</v>
      </c>
      <c r="P75" s="123">
        <f t="shared" si="22"/>
        <v>328.80002236897292</v>
      </c>
      <c r="Q75" s="259">
        <v>1.73</v>
      </c>
      <c r="R75" s="255">
        <v>1</v>
      </c>
      <c r="S75" s="254">
        <v>0</v>
      </c>
      <c r="T75" s="135">
        <f>SUM(T71:T74)</f>
        <v>2820.2659105076605</v>
      </c>
    </row>
    <row r="76" spans="1:20" x14ac:dyDescent="0.2">
      <c r="R76" s="2"/>
    </row>
    <row r="77" spans="1:20" ht="13.5" thickBot="1" x14ac:dyDescent="0.25">
      <c r="R77" s="2"/>
    </row>
    <row r="78" spans="1:20" ht="60" customHeight="1" x14ac:dyDescent="0.2">
      <c r="A78" s="73" t="s">
        <v>65</v>
      </c>
      <c r="B78" s="74" t="s">
        <v>69</v>
      </c>
      <c r="C78" s="75" t="s">
        <v>83</v>
      </c>
      <c r="D78" s="115" t="s">
        <v>82</v>
      </c>
      <c r="E78" s="115" t="s">
        <v>70</v>
      </c>
      <c r="F78" s="115" t="s">
        <v>71</v>
      </c>
      <c r="G78" s="115" t="s">
        <v>72</v>
      </c>
      <c r="H78" s="115" t="s">
        <v>76</v>
      </c>
      <c r="I78" s="115" t="s">
        <v>73</v>
      </c>
      <c r="J78" s="115" t="s">
        <v>74</v>
      </c>
      <c r="K78" s="115" t="s">
        <v>77</v>
      </c>
      <c r="L78" s="115" t="s">
        <v>78</v>
      </c>
      <c r="M78" s="115" t="s">
        <v>81</v>
      </c>
      <c r="N78" s="115" t="s">
        <v>79</v>
      </c>
      <c r="O78" s="115" t="s">
        <v>80</v>
      </c>
      <c r="P78" s="115" t="s">
        <v>84</v>
      </c>
      <c r="Q78" s="115" t="s">
        <v>197</v>
      </c>
      <c r="R78" s="115" t="s">
        <v>198</v>
      </c>
      <c r="S78" s="115" t="s">
        <v>208</v>
      </c>
      <c r="T78" s="116" t="s">
        <v>209</v>
      </c>
    </row>
    <row r="79" spans="1:20" x14ac:dyDescent="0.2">
      <c r="A79" s="30" t="s">
        <v>62</v>
      </c>
      <c r="B79" s="120">
        <v>5.3633325736269999</v>
      </c>
      <c r="C79" s="121">
        <f>'Newnans LU'!F14</f>
        <v>2.3270651357656078E-2</v>
      </c>
      <c r="D79" s="120">
        <f>C79*G$16</f>
        <v>6.2135976172745995</v>
      </c>
      <c r="E79" s="120">
        <f>'Newnans LU'!D15</f>
        <v>99.74</v>
      </c>
      <c r="F79" s="121">
        <f>'Newnans LU'!F15</f>
        <v>0.29109607410073407</v>
      </c>
      <c r="G79" s="122">
        <f>F79*G$15</f>
        <v>49.77627890912229</v>
      </c>
      <c r="H79" s="137">
        <f>'Newnans LU'!D16</f>
        <v>1486.8937456599999</v>
      </c>
      <c r="I79" s="121">
        <f>'Newnans LU'!F16</f>
        <v>0.80427026012917358</v>
      </c>
      <c r="J79" s="120">
        <f>I79*G$13</f>
        <v>920.24928028393617</v>
      </c>
      <c r="K79" s="120">
        <f>'Newnans LU'!D17</f>
        <v>403.4</v>
      </c>
      <c r="L79" s="121">
        <f>'Newnans LU'!F17</f>
        <v>0.42648803425735754</v>
      </c>
      <c r="M79" s="120">
        <f>L79*G$14</f>
        <v>619.81482077181431</v>
      </c>
      <c r="N79" s="120">
        <f>'Newnans LU'!D18</f>
        <v>26.675057155499999</v>
      </c>
      <c r="O79" s="121">
        <f>'Newnans LU'!F18</f>
        <v>8.7611354731230787E-2</v>
      </c>
      <c r="P79" s="120">
        <f>O79*G$12</f>
        <v>25.997641217691292</v>
      </c>
      <c r="Q79" s="204">
        <v>3.33241738471E-2</v>
      </c>
      <c r="R79" s="205">
        <f>'Newnans LU'!F19</f>
        <v>1</v>
      </c>
      <c r="S79" s="206">
        <f>R79*G17</f>
        <v>0</v>
      </c>
      <c r="T79" s="132">
        <f>D79+G79+J79+M79+P79+S79</f>
        <v>1622.0516187998387</v>
      </c>
    </row>
    <row r="80" spans="1:20" x14ac:dyDescent="0.2">
      <c r="A80" s="30" t="s">
        <v>66</v>
      </c>
      <c r="B80" s="120">
        <f>'Newnans LU'!D31</f>
        <v>28.495749959299999</v>
      </c>
      <c r="C80" s="121">
        <f>'Newnans LU'!F31</f>
        <v>0.12351913553967472</v>
      </c>
      <c r="D80" s="120">
        <f>C80*G$16</f>
        <v>32.981380472817449</v>
      </c>
      <c r="E80" s="120">
        <f>'Newnans LU'!D32</f>
        <v>242.86140976999999</v>
      </c>
      <c r="F80" s="121">
        <f>'Newnans LU'!F32</f>
        <v>0.70890392589926587</v>
      </c>
      <c r="G80" s="122">
        <f>F80*G$15</f>
        <v>121.21977132238017</v>
      </c>
      <c r="H80" s="120">
        <f>'Newnans LU'!D33</f>
        <v>361.85513810600003</v>
      </c>
      <c r="I80" s="121">
        <f>'Newnans LU'!F33</f>
        <v>0.19572973987082651</v>
      </c>
      <c r="J80" s="120">
        <f>I80*G$13</f>
        <v>223.95475896045329</v>
      </c>
      <c r="K80" s="120">
        <f>'Newnans LU'!D34</f>
        <v>542.5</v>
      </c>
      <c r="L80" s="121">
        <f>'Newnans LU'!F34</f>
        <v>0.57354922802334285</v>
      </c>
      <c r="M80" s="120">
        <f>L80*G$14</f>
        <v>833.53877111727638</v>
      </c>
      <c r="N80" s="120">
        <f>'Newnans LU'!D35</f>
        <v>277.79526221499998</v>
      </c>
      <c r="O80" s="121">
        <f>'Newnans LU'!F35</f>
        <v>0.91238864526876928</v>
      </c>
      <c r="P80" s="120">
        <f>O80*G$12</f>
        <v>270.7406217328749</v>
      </c>
      <c r="Q80" s="245" t="s">
        <v>171</v>
      </c>
      <c r="R80" s="245" t="s">
        <v>171</v>
      </c>
      <c r="S80" s="245" t="s">
        <v>171</v>
      </c>
      <c r="T80" s="132">
        <f>D80+G80+J80+M80+P80</f>
        <v>1482.4353036058021</v>
      </c>
    </row>
    <row r="81" spans="1:20" x14ac:dyDescent="0.2">
      <c r="A81" s="34" t="s">
        <v>119</v>
      </c>
      <c r="B81" s="120">
        <f>'Newnans LU'!D38</f>
        <v>196.83480787100001</v>
      </c>
      <c r="C81" s="121">
        <f>'Newnans LU'!F38</f>
        <v>0.8532102131026692</v>
      </c>
      <c r="D81" s="120">
        <f>C81*G$16</f>
        <v>227.81936206632631</v>
      </c>
      <c r="E81" s="127" t="s">
        <v>171</v>
      </c>
      <c r="F81" s="127" t="s">
        <v>171</v>
      </c>
      <c r="G81" s="127" t="s">
        <v>171</v>
      </c>
      <c r="H81" s="127" t="s">
        <v>171</v>
      </c>
      <c r="I81" s="127" t="s">
        <v>171</v>
      </c>
      <c r="J81" s="127" t="s">
        <v>171</v>
      </c>
      <c r="K81" s="127" t="s">
        <v>171</v>
      </c>
      <c r="L81" s="127" t="s">
        <v>171</v>
      </c>
      <c r="M81" s="127" t="s">
        <v>171</v>
      </c>
      <c r="N81" s="127" t="s">
        <v>171</v>
      </c>
      <c r="O81" s="127" t="s">
        <v>171</v>
      </c>
      <c r="P81" s="127" t="s">
        <v>171</v>
      </c>
      <c r="Q81" s="245" t="s">
        <v>171</v>
      </c>
      <c r="R81" s="245" t="s">
        <v>171</v>
      </c>
      <c r="S81" s="245" t="s">
        <v>171</v>
      </c>
      <c r="T81" s="132">
        <f>D81</f>
        <v>227.81936206632631</v>
      </c>
    </row>
    <row r="82" spans="1:20" x14ac:dyDescent="0.2">
      <c r="A82" s="30" t="s">
        <v>67</v>
      </c>
      <c r="B82" s="127" t="s">
        <v>171</v>
      </c>
      <c r="C82" s="127" t="s">
        <v>171</v>
      </c>
      <c r="D82" s="127" t="s">
        <v>171</v>
      </c>
      <c r="E82" s="127" t="s">
        <v>171</v>
      </c>
      <c r="F82" s="127" t="s">
        <v>171</v>
      </c>
      <c r="G82" s="127" t="s">
        <v>171</v>
      </c>
      <c r="H82" s="127" t="s">
        <v>171</v>
      </c>
      <c r="I82" s="127" t="s">
        <v>171</v>
      </c>
      <c r="J82" s="127" t="s">
        <v>171</v>
      </c>
      <c r="K82" s="127" t="s">
        <v>171</v>
      </c>
      <c r="L82" s="127" t="s">
        <v>171</v>
      </c>
      <c r="M82" s="127" t="s">
        <v>171</v>
      </c>
      <c r="N82" s="127" t="s">
        <v>171</v>
      </c>
      <c r="O82" s="127" t="s">
        <v>171</v>
      </c>
      <c r="P82" s="127" t="s">
        <v>171</v>
      </c>
      <c r="Q82" s="245" t="s">
        <v>171</v>
      </c>
      <c r="R82" s="245" t="s">
        <v>171</v>
      </c>
      <c r="S82" s="245" t="s">
        <v>171</v>
      </c>
      <c r="T82" s="258" t="s">
        <v>171</v>
      </c>
    </row>
    <row r="83" spans="1:20" ht="13.5" thickBot="1" x14ac:dyDescent="0.25">
      <c r="A83" s="78" t="s">
        <v>68</v>
      </c>
      <c r="B83" s="123">
        <f>SUM(B79:B82)</f>
        <v>230.69389040392701</v>
      </c>
      <c r="C83" s="124">
        <f>SUM(C79:C81)</f>
        <v>1</v>
      </c>
      <c r="D83" s="123">
        <f t="shared" ref="D83:P83" si="23">SUM(D79:D82)</f>
        <v>267.01434015641837</v>
      </c>
      <c r="E83" s="123">
        <f t="shared" si="23"/>
        <v>342.60140976999998</v>
      </c>
      <c r="F83" s="124">
        <f t="shared" si="23"/>
        <v>1</v>
      </c>
      <c r="G83" s="123">
        <f t="shared" si="23"/>
        <v>170.99605023150247</v>
      </c>
      <c r="H83" s="138">
        <f t="shared" si="23"/>
        <v>1848.7488837659998</v>
      </c>
      <c r="I83" s="124">
        <f t="shared" si="23"/>
        <v>1</v>
      </c>
      <c r="J83" s="138">
        <f t="shared" si="23"/>
        <v>1144.2040392443894</v>
      </c>
      <c r="K83" s="123">
        <f t="shared" si="23"/>
        <v>945.9</v>
      </c>
      <c r="L83" s="124">
        <f t="shared" si="23"/>
        <v>1.0000372622807003</v>
      </c>
      <c r="M83" s="138">
        <f t="shared" si="23"/>
        <v>1453.3535918890907</v>
      </c>
      <c r="N83" s="123">
        <f t="shared" si="23"/>
        <v>304.47031937049996</v>
      </c>
      <c r="O83" s="124">
        <f t="shared" si="23"/>
        <v>1</v>
      </c>
      <c r="P83" s="123">
        <f t="shared" si="23"/>
        <v>296.7382629505662</v>
      </c>
      <c r="Q83" s="254">
        <v>0.03</v>
      </c>
      <c r="R83" s="260">
        <f>SUM(R79:R82)</f>
        <v>1</v>
      </c>
      <c r="S83" s="254">
        <v>0</v>
      </c>
      <c r="T83" s="135">
        <f>SUM(T79:T82)</f>
        <v>3332.3062844719675</v>
      </c>
    </row>
    <row r="84" spans="1:20" s="113" customFormat="1" x14ac:dyDescent="0.2">
      <c r="A84" s="110"/>
      <c r="B84" s="298"/>
      <c r="C84" s="299"/>
      <c r="D84" s="298"/>
      <c r="E84" s="298"/>
      <c r="F84" s="299"/>
      <c r="G84" s="298"/>
      <c r="H84" s="305"/>
      <c r="I84" s="299"/>
      <c r="J84" s="305"/>
      <c r="K84" s="298"/>
      <c r="L84" s="299"/>
      <c r="M84" s="305"/>
      <c r="N84" s="298"/>
      <c r="O84" s="299"/>
      <c r="P84" s="298"/>
      <c r="Q84" s="300"/>
      <c r="R84" s="306"/>
      <c r="S84" s="300"/>
      <c r="T84" s="307"/>
    </row>
    <row r="85" spans="1:20" s="113" customFormat="1" ht="13.5" thickBot="1" x14ac:dyDescent="0.25">
      <c r="A85" s="110"/>
      <c r="B85" s="298"/>
      <c r="C85" s="299"/>
      <c r="D85" s="298"/>
      <c r="E85" s="298"/>
      <c r="F85" s="299"/>
      <c r="G85" s="298"/>
      <c r="H85" s="305"/>
      <c r="I85" s="299"/>
      <c r="J85" s="305"/>
      <c r="K85" s="298"/>
      <c r="L85" s="299"/>
      <c r="M85" s="305"/>
      <c r="N85" s="298"/>
      <c r="O85" s="299"/>
      <c r="P85" s="298"/>
      <c r="Q85" s="300"/>
      <c r="R85" s="306"/>
      <c r="S85" s="300"/>
      <c r="T85" s="307"/>
    </row>
    <row r="86" spans="1:20" s="113" customFormat="1" ht="51" x14ac:dyDescent="0.2">
      <c r="A86" s="347" t="s">
        <v>122</v>
      </c>
      <c r="B86" s="340" t="s">
        <v>247</v>
      </c>
      <c r="C86" s="340" t="s">
        <v>248</v>
      </c>
      <c r="D86" s="340" t="s">
        <v>256</v>
      </c>
      <c r="E86" s="340" t="s">
        <v>250</v>
      </c>
      <c r="F86" s="340" t="s">
        <v>251</v>
      </c>
      <c r="G86" s="340" t="s">
        <v>257</v>
      </c>
      <c r="H86" s="340" t="s">
        <v>253</v>
      </c>
      <c r="I86" s="340" t="s">
        <v>254</v>
      </c>
      <c r="J86" s="340" t="s">
        <v>258</v>
      </c>
      <c r="K86" s="298"/>
      <c r="L86" s="299"/>
      <c r="M86" s="305"/>
      <c r="N86" s="298"/>
      <c r="O86" s="299"/>
      <c r="P86" s="298"/>
      <c r="Q86" s="300"/>
      <c r="R86" s="306"/>
      <c r="S86" s="300"/>
      <c r="T86" s="307"/>
    </row>
    <row r="87" spans="1:20" s="113" customFormat="1" x14ac:dyDescent="0.2">
      <c r="A87" s="8" t="s">
        <v>62</v>
      </c>
      <c r="B87" s="309">
        <f>'OSTDS-buffer'!C44</f>
        <v>137</v>
      </c>
      <c r="C87" s="310">
        <f>'OSTDS-buffer'!D44</f>
        <v>0.93835616438356162</v>
      </c>
      <c r="D87" s="311">
        <f>C87*G34</f>
        <v>816.53519124987417</v>
      </c>
      <c r="E87" s="309">
        <f>'OSTDS-buffer'!C45</f>
        <v>7</v>
      </c>
      <c r="F87" s="310">
        <f>'OSTDS-buffer'!D45</f>
        <v>0.14000000000000001</v>
      </c>
      <c r="G87" s="311">
        <f>F87*G$48</f>
        <v>1.122161579644235</v>
      </c>
      <c r="H87" s="312">
        <f>'OSTDS-buffer'!C47</f>
        <v>288</v>
      </c>
      <c r="I87" s="310">
        <f>'OSTDS-buffer'!D47</f>
        <v>0.92307692307692313</v>
      </c>
      <c r="J87" s="311">
        <f>I87*G$20</f>
        <v>630.75345932750122</v>
      </c>
      <c r="K87" s="298"/>
      <c r="L87" s="299"/>
      <c r="M87" s="305"/>
      <c r="N87" s="298"/>
      <c r="O87" s="299"/>
      <c r="P87" s="298"/>
      <c r="Q87" s="300"/>
      <c r="R87" s="306"/>
      <c r="S87" s="300"/>
      <c r="T87" s="307"/>
    </row>
    <row r="88" spans="1:20" s="113" customFormat="1" x14ac:dyDescent="0.2">
      <c r="A88" s="8" t="s">
        <v>66</v>
      </c>
      <c r="B88" s="309">
        <f>'OSTDS-buffer'!C49</f>
        <v>9</v>
      </c>
      <c r="C88" s="310">
        <f>'OSTDS-buffer'!D49</f>
        <v>6.1643835616438353E-2</v>
      </c>
      <c r="D88" s="311">
        <f>C88*G$34</f>
        <v>53.640997965320203</v>
      </c>
      <c r="E88" s="309">
        <f>'OSTDS-buffer'!C50</f>
        <v>43</v>
      </c>
      <c r="F88" s="310">
        <f>'OSTDS-buffer'!D50</f>
        <v>0.86</v>
      </c>
      <c r="G88" s="311">
        <f t="shared" ref="G88:G89" si="24">F88*G$48</f>
        <v>6.8932782749574422</v>
      </c>
      <c r="H88" s="312">
        <f>'OSTDS-buffer'!C51</f>
        <v>24</v>
      </c>
      <c r="I88" s="310">
        <f>'OSTDS-buffer'!D51</f>
        <v>7.6923076923076927E-2</v>
      </c>
      <c r="J88" s="311">
        <f>I88*G$20</f>
        <v>52.562788277291766</v>
      </c>
      <c r="K88" s="298"/>
      <c r="L88" s="299"/>
      <c r="M88" s="305"/>
      <c r="N88" s="298"/>
      <c r="O88" s="299"/>
      <c r="P88" s="298"/>
      <c r="Q88" s="300"/>
      <c r="R88" s="306"/>
      <c r="S88" s="300"/>
      <c r="T88" s="307"/>
    </row>
    <row r="89" spans="1:20" s="113" customFormat="1" x14ac:dyDescent="0.2">
      <c r="A89" s="8" t="s">
        <v>67</v>
      </c>
      <c r="B89" s="309">
        <v>0</v>
      </c>
      <c r="C89" s="310">
        <v>0</v>
      </c>
      <c r="D89" s="311">
        <f>C89*G$34</f>
        <v>0</v>
      </c>
      <c r="E89" s="309">
        <f>0</f>
        <v>0</v>
      </c>
      <c r="F89" s="310">
        <v>0</v>
      </c>
      <c r="G89" s="311">
        <f t="shared" si="24"/>
        <v>0</v>
      </c>
      <c r="H89" s="312">
        <v>0</v>
      </c>
      <c r="I89" s="310">
        <v>0</v>
      </c>
      <c r="J89" s="311">
        <v>0</v>
      </c>
      <c r="K89" s="298"/>
      <c r="L89" s="299"/>
      <c r="M89" s="305"/>
      <c r="N89" s="298"/>
      <c r="O89" s="299"/>
      <c r="P89" s="298"/>
      <c r="Q89" s="300"/>
      <c r="R89" s="306"/>
      <c r="S89" s="300"/>
      <c r="T89" s="307"/>
    </row>
    <row r="90" spans="1:20" s="113" customFormat="1" ht="13.5" thickBot="1" x14ac:dyDescent="0.25">
      <c r="A90" s="211" t="s">
        <v>68</v>
      </c>
      <c r="B90" s="259">
        <f t="shared" ref="B90:J90" si="25">SUM(B87:B89)</f>
        <v>146</v>
      </c>
      <c r="C90" s="124">
        <f t="shared" si="25"/>
        <v>1</v>
      </c>
      <c r="D90" s="123">
        <f t="shared" si="25"/>
        <v>870.17618921519443</v>
      </c>
      <c r="E90" s="259">
        <f t="shared" si="25"/>
        <v>50</v>
      </c>
      <c r="F90" s="124">
        <f t="shared" si="25"/>
        <v>1</v>
      </c>
      <c r="G90" s="123">
        <f t="shared" si="25"/>
        <v>8.0154398546016772</v>
      </c>
      <c r="H90" s="346">
        <f t="shared" si="25"/>
        <v>312</v>
      </c>
      <c r="I90" s="124">
        <f t="shared" si="25"/>
        <v>1</v>
      </c>
      <c r="J90" s="123">
        <f t="shared" si="25"/>
        <v>683.31624760479303</v>
      </c>
      <c r="K90" s="298"/>
      <c r="L90" s="299"/>
      <c r="M90" s="305"/>
      <c r="N90" s="298"/>
      <c r="O90" s="299"/>
      <c r="P90" s="298"/>
      <c r="Q90" s="300"/>
      <c r="R90" s="306"/>
      <c r="S90" s="300"/>
      <c r="T90" s="307"/>
    </row>
    <row r="91" spans="1:20" s="113" customFormat="1" x14ac:dyDescent="0.2">
      <c r="A91" s="110"/>
      <c r="B91" s="298"/>
      <c r="C91" s="299"/>
      <c r="D91" s="298"/>
      <c r="E91" s="298"/>
      <c r="F91" s="299"/>
      <c r="G91" s="298"/>
      <c r="H91" s="298"/>
      <c r="I91" s="299"/>
      <c r="J91" s="298"/>
      <c r="K91" s="298"/>
      <c r="L91" s="299"/>
      <c r="M91" s="305"/>
      <c r="N91" s="298"/>
      <c r="O91" s="299"/>
      <c r="P91" s="298"/>
      <c r="Q91" s="300"/>
      <c r="R91" s="306"/>
      <c r="S91" s="300"/>
      <c r="T91" s="307"/>
    </row>
    <row r="92" spans="1:20" s="113" customFormat="1" ht="13.5" thickBot="1" x14ac:dyDescent="0.25">
      <c r="A92" s="110"/>
      <c r="B92" s="111"/>
      <c r="C92" s="112"/>
      <c r="D92" s="112"/>
      <c r="E92" s="111"/>
      <c r="F92" s="111"/>
      <c r="G92" s="112"/>
      <c r="H92" s="111"/>
      <c r="I92" s="111"/>
      <c r="J92" s="112"/>
      <c r="K92" s="111"/>
      <c r="L92" s="111"/>
      <c r="M92" s="112"/>
      <c r="N92" s="111"/>
      <c r="O92" s="111"/>
      <c r="P92" s="112"/>
      <c r="Q92" s="111"/>
      <c r="R92" s="111"/>
    </row>
    <row r="93" spans="1:20" x14ac:dyDescent="0.2">
      <c r="A93" s="703" t="s">
        <v>157</v>
      </c>
      <c r="B93" s="704"/>
      <c r="C93" s="704"/>
      <c r="D93" s="704"/>
      <c r="E93" s="705"/>
      <c r="F93" s="253"/>
    </row>
    <row r="94" spans="1:20" ht="38.25" x14ac:dyDescent="0.2">
      <c r="A94" s="118" t="s">
        <v>122</v>
      </c>
      <c r="B94" s="134" t="s">
        <v>126</v>
      </c>
      <c r="C94" s="134" t="s">
        <v>125</v>
      </c>
      <c r="D94" s="134" t="s">
        <v>124</v>
      </c>
      <c r="E94" s="327" t="s">
        <v>261</v>
      </c>
      <c r="F94" s="176" t="s">
        <v>259</v>
      </c>
      <c r="G94" s="176" t="s">
        <v>260</v>
      </c>
      <c r="H94" s="71"/>
    </row>
    <row r="95" spans="1:20" x14ac:dyDescent="0.2">
      <c r="A95" s="30" t="s">
        <v>62</v>
      </c>
      <c r="B95" s="131">
        <f>T79</f>
        <v>1622.0516187998387</v>
      </c>
      <c r="C95" s="131">
        <f>T63</f>
        <v>2439.8479171550798</v>
      </c>
      <c r="D95" s="131">
        <f>T71</f>
        <v>92.732317902538142</v>
      </c>
      <c r="E95" s="313">
        <f>ROUND(SUM(B95:D95),)</f>
        <v>4155</v>
      </c>
      <c r="F95" s="147">
        <f>ROUND((D87+G87+J87),0)</f>
        <v>1448</v>
      </c>
      <c r="G95" s="147">
        <f>ROUND(E95+F95,0)</f>
        <v>5603</v>
      </c>
    </row>
    <row r="96" spans="1:20" x14ac:dyDescent="0.2">
      <c r="A96" s="30" t="s">
        <v>66</v>
      </c>
      <c r="B96" s="131">
        <f>T80</f>
        <v>1482.4353036058021</v>
      </c>
      <c r="C96" s="131">
        <f>T64</f>
        <v>102.95694642004599</v>
      </c>
      <c r="D96" s="131">
        <f>T72</f>
        <v>2508.3002766062464</v>
      </c>
      <c r="E96" s="313">
        <f>ROUND(SUM(B96:D96),0)</f>
        <v>4094</v>
      </c>
      <c r="F96" s="148">
        <f>ROUND((D88+G88+J88),0)</f>
        <v>113</v>
      </c>
      <c r="G96" s="147">
        <f>ROUND(E96+F96,0)</f>
        <v>4207</v>
      </c>
    </row>
    <row r="97" spans="1:23" x14ac:dyDescent="0.2">
      <c r="A97" s="30" t="s">
        <v>67</v>
      </c>
      <c r="B97" s="131" t="str">
        <f>T82</f>
        <v>nd</v>
      </c>
      <c r="C97" s="131">
        <f>T66</f>
        <v>239.18310665159561</v>
      </c>
      <c r="D97" s="131" t="str">
        <f>T74</f>
        <v>nd</v>
      </c>
      <c r="E97" s="313">
        <f>ROUND(SUM(B97:D97),0)</f>
        <v>239</v>
      </c>
      <c r="F97" s="148">
        <f>D89+G89+J89</f>
        <v>0</v>
      </c>
      <c r="G97" s="147">
        <f>ROUND(E97+F97,0)</f>
        <v>239</v>
      </c>
    </row>
    <row r="98" spans="1:23" x14ac:dyDescent="0.2">
      <c r="A98" s="320" t="s">
        <v>262</v>
      </c>
      <c r="B98" s="319">
        <f>T81</f>
        <v>227.81936206632631</v>
      </c>
      <c r="C98" s="319">
        <f>T65</f>
        <v>430.82445269229851</v>
      </c>
      <c r="D98" s="319">
        <f>T73</f>
        <v>219.23331599887635</v>
      </c>
      <c r="E98" s="321">
        <f>ROUNDUP(SUM(B98:D98),0)</f>
        <v>878</v>
      </c>
      <c r="F98" s="245" t="s">
        <v>171</v>
      </c>
      <c r="G98" s="147">
        <f>ROUND(E98,0)</f>
        <v>878</v>
      </c>
    </row>
    <row r="99" spans="1:23" ht="13.5" thickBot="1" x14ac:dyDescent="0.25">
      <c r="A99" s="139" t="s">
        <v>207</v>
      </c>
      <c r="B99" s="133">
        <f>G18</f>
        <v>1237.8844925450462</v>
      </c>
      <c r="C99" s="133">
        <f>G32</f>
        <v>1631.4759870720495</v>
      </c>
      <c r="D99" s="133">
        <f>G46</f>
        <v>119.73063282811255</v>
      </c>
      <c r="E99" s="314">
        <f>SUM(B99:D99)</f>
        <v>2989.0911124452082</v>
      </c>
      <c r="F99" s="322" t="s">
        <v>171</v>
      </c>
      <c r="G99" s="323">
        <f>E99</f>
        <v>2989.0911124452082</v>
      </c>
    </row>
    <row r="100" spans="1:23" x14ac:dyDescent="0.2">
      <c r="F100" t="s">
        <v>562</v>
      </c>
      <c r="G100" s="2">
        <f>G95+G96+G97+G98</f>
        <v>10927</v>
      </c>
    </row>
    <row r="101" spans="1:23" x14ac:dyDescent="0.2">
      <c r="A101" s="19" t="s">
        <v>172</v>
      </c>
    </row>
    <row r="103" spans="1:23" x14ac:dyDescent="0.2">
      <c r="A103" s="367" t="s">
        <v>297</v>
      </c>
    </row>
    <row r="104" spans="1:23" ht="98.25" customHeight="1" x14ac:dyDescent="0.2">
      <c r="A104" s="361" t="s">
        <v>298</v>
      </c>
      <c r="B104" s="361" t="s">
        <v>367</v>
      </c>
      <c r="C104" s="361" t="s">
        <v>368</v>
      </c>
      <c r="D104" s="361" t="s">
        <v>369</v>
      </c>
      <c r="E104" s="361" t="s">
        <v>370</v>
      </c>
      <c r="F104" s="361" t="s">
        <v>371</v>
      </c>
      <c r="G104" s="361" t="s">
        <v>372</v>
      </c>
      <c r="H104" s="361" t="s">
        <v>373</v>
      </c>
      <c r="I104" s="361" t="s">
        <v>374</v>
      </c>
      <c r="J104" s="361" t="s">
        <v>341</v>
      </c>
      <c r="K104" s="361" t="s">
        <v>342</v>
      </c>
      <c r="L104" s="361" t="s">
        <v>343</v>
      </c>
      <c r="M104" s="361" t="s">
        <v>344</v>
      </c>
      <c r="N104" s="361" t="s">
        <v>345</v>
      </c>
      <c r="O104" s="361" t="s">
        <v>346</v>
      </c>
      <c r="P104" s="361" t="s">
        <v>347</v>
      </c>
      <c r="Q104" s="361" t="s">
        <v>348</v>
      </c>
      <c r="R104" s="361" t="s">
        <v>349</v>
      </c>
      <c r="S104" s="361" t="s">
        <v>350</v>
      </c>
      <c r="T104" s="366" t="s">
        <v>317</v>
      </c>
      <c r="U104" s="366" t="s">
        <v>319</v>
      </c>
      <c r="V104" s="366" t="s">
        <v>320</v>
      </c>
      <c r="W104" s="366" t="s">
        <v>420</v>
      </c>
    </row>
    <row r="105" spans="1:23" x14ac:dyDescent="0.2">
      <c r="A105" s="72" t="s">
        <v>62</v>
      </c>
      <c r="B105" s="394">
        <f>'Newnans Lake Educ Credit'!D30</f>
        <v>31.13707547147942</v>
      </c>
      <c r="C105" s="200">
        <f>'Newnans Lake Educ Credit'!G30</f>
        <v>1102.1719644810196</v>
      </c>
      <c r="D105" s="200">
        <f>'Newnans Lake Educ Credit'!J30</f>
        <v>742.3450724283565</v>
      </c>
      <c r="E105" s="200">
        <f>'Newnans Lake Educ Credit'!M30</f>
        <v>59.61647597583034</v>
      </c>
      <c r="F105" s="200">
        <f>'Newnans Lake Educ Credit'!P30</f>
        <v>0</v>
      </c>
      <c r="G105" s="200">
        <f>'Newnans Lake Educ Credit'!S30</f>
        <v>7.441954304178414</v>
      </c>
      <c r="H105" s="200">
        <f>'Newnans Lake Educ Credit'!D39</f>
        <v>280.3424104531997</v>
      </c>
      <c r="I105" s="200">
        <f>'Newnans Lake Educ Credit'!G39</f>
        <v>1895.6720428242736</v>
      </c>
      <c r="J105" s="200">
        <f>'Newnans Lake Educ Credit'!J39</f>
        <v>538.64272098253241</v>
      </c>
      <c r="K105" s="200">
        <f>'Newnans Lake Educ Credit'!M39</f>
        <v>11.615259084879543</v>
      </c>
      <c r="L105" s="200">
        <f>'Newnans Lake Educ Credit'!P39</f>
        <v>71</v>
      </c>
      <c r="M105" s="200">
        <f>'Newnans Lake Educ Credit'!S39</f>
        <v>124.90531729244915</v>
      </c>
      <c r="N105" s="200">
        <f>'Newnans Lake Educ Credit'!D48</f>
        <v>7.7938766132366792</v>
      </c>
      <c r="O105" s="200">
        <f>'Newnans Lake Educ Credit'!G48</f>
        <v>36.991783816182888</v>
      </c>
      <c r="P105" s="200">
        <f>'Newnans Lake Educ Credit'!J48</f>
        <v>28.267233722163542</v>
      </c>
      <c r="Q105" s="200">
        <f>'Newnans Lake Educ Credit'!M48</f>
        <v>15.988542025634342</v>
      </c>
      <c r="R105" s="200" t="str">
        <f>'Newnans Lake Educ Credit'!P21</f>
        <v>na</v>
      </c>
      <c r="S105" s="200">
        <f>'Newnans Lake Educ Credit'!S48</f>
        <v>22.022992976135079</v>
      </c>
      <c r="T105" s="363">
        <f>ROUND(SUM(B105:S105),0)</f>
        <v>4976</v>
      </c>
      <c r="U105" s="364">
        <v>0.06</v>
      </c>
      <c r="V105" s="147">
        <f>T105*U105</f>
        <v>298.56</v>
      </c>
      <c r="W105" s="153">
        <f>T105/T$109</f>
        <v>0.44365192582025675</v>
      </c>
    </row>
    <row r="106" spans="1:23" x14ac:dyDescent="0.2">
      <c r="A106" s="72" t="s">
        <v>119</v>
      </c>
      <c r="B106" s="394" t="s">
        <v>128</v>
      </c>
      <c r="C106" s="394" t="s">
        <v>128</v>
      </c>
      <c r="D106" s="394" t="s">
        <v>128</v>
      </c>
      <c r="E106" s="394" t="s">
        <v>128</v>
      </c>
      <c r="F106" s="200" t="s">
        <v>128</v>
      </c>
      <c r="G106" s="200">
        <f>'Newnans Lake Educ Credit'!S31</f>
        <v>272.85662615023364</v>
      </c>
      <c r="H106" s="200" t="s">
        <v>128</v>
      </c>
      <c r="I106" s="200" t="s">
        <v>128</v>
      </c>
      <c r="J106" s="200" t="s">
        <v>128</v>
      </c>
      <c r="K106" s="200" t="s">
        <v>128</v>
      </c>
      <c r="L106" s="200" t="s">
        <v>128</v>
      </c>
      <c r="M106" s="200">
        <f>'Newnans Lake Educ Credit'!S40</f>
        <v>515.99348518242959</v>
      </c>
      <c r="N106" s="200" t="str">
        <f>'Newnans Lake Educ Credit'!D22</f>
        <v>na</v>
      </c>
      <c r="O106" s="200" t="str">
        <f>'Newnans Lake Educ Credit'!G22</f>
        <v>na</v>
      </c>
      <c r="P106" s="200" t="str">
        <f>'Newnans Lake Educ Credit'!J22</f>
        <v>na</v>
      </c>
      <c r="Q106" s="200" t="str">
        <f>'Newnans Lake Educ Credit'!M22</f>
        <v>na</v>
      </c>
      <c r="R106" s="200" t="str">
        <f>'Newnans Lake Educ Credit'!P22</f>
        <v>na</v>
      </c>
      <c r="S106" s="200">
        <f>'Newnans Lake Educ Credit'!S49</f>
        <v>262.57321766077951</v>
      </c>
      <c r="T106" s="363">
        <f>ROUND(SUM(B106:S106),0)</f>
        <v>1051</v>
      </c>
      <c r="U106" s="364">
        <v>0.04</v>
      </c>
      <c r="V106" s="147">
        <f t="shared" ref="V106:V108" si="26">T106*U106</f>
        <v>42.04</v>
      </c>
      <c r="W106" s="153">
        <f t="shared" ref="W106:W108" si="27">T106/T$109</f>
        <v>9.3705420827389446E-2</v>
      </c>
    </row>
    <row r="107" spans="1:23" x14ac:dyDescent="0.2">
      <c r="A107" s="72" t="s">
        <v>67</v>
      </c>
      <c r="B107" s="394" t="s">
        <v>128</v>
      </c>
      <c r="C107" s="394" t="s">
        <v>128</v>
      </c>
      <c r="D107" s="394" t="s">
        <v>128</v>
      </c>
      <c r="E107" s="394" t="s">
        <v>128</v>
      </c>
      <c r="F107" s="394" t="s">
        <v>128</v>
      </c>
      <c r="G107" s="200" t="s">
        <v>128</v>
      </c>
      <c r="H107" s="200">
        <f>'Newnans Lake Educ Credit'!D41</f>
        <v>4.9228488655926528</v>
      </c>
      <c r="I107" s="200">
        <f>'Newnans Lake Educ Credit'!G41</f>
        <v>190.15802599782668</v>
      </c>
      <c r="J107" s="200">
        <f>'Newnans Lake Educ Credit'!J41</f>
        <v>90.357279017467633</v>
      </c>
      <c r="K107" s="200">
        <f>'Newnans Lake Educ Credit'!M41</f>
        <v>1.0286982828268674</v>
      </c>
      <c r="L107" s="200" t="s">
        <v>128</v>
      </c>
      <c r="M107" s="200" t="str">
        <f>'Newnans Lake Educ Credit'!S41</f>
        <v>na</v>
      </c>
      <c r="N107" s="200" t="str">
        <f>'Newnans Lake Educ Credit'!D23</f>
        <v>na</v>
      </c>
      <c r="O107" s="200" t="str">
        <f>'Newnans Lake Educ Credit'!G23</f>
        <v>na</v>
      </c>
      <c r="P107" s="200" t="str">
        <f>'Newnans Lake Educ Credit'!J23</f>
        <v>na</v>
      </c>
      <c r="Q107" s="200" t="str">
        <f>'Newnans Lake Educ Credit'!M23</f>
        <v>na</v>
      </c>
      <c r="R107" s="200" t="str">
        <f>'Newnans Lake Educ Credit'!P23</f>
        <v>na</v>
      </c>
      <c r="S107" s="200" t="str">
        <f>'Newnans Lake Educ Credit'!S23</f>
        <v>na</v>
      </c>
      <c r="T107" s="363">
        <f>ROUND(SUM(B107:S107),0)</f>
        <v>286</v>
      </c>
      <c r="U107" s="364">
        <v>3.5000000000000003E-2</v>
      </c>
      <c r="V107" s="147">
        <f t="shared" si="26"/>
        <v>10.010000000000002</v>
      </c>
      <c r="W107" s="153">
        <f t="shared" si="27"/>
        <v>2.549928673323823E-2</v>
      </c>
    </row>
    <row r="108" spans="1:23" x14ac:dyDescent="0.2">
      <c r="A108" s="72" t="s">
        <v>66</v>
      </c>
      <c r="B108" s="200">
        <f>'Newnans Lake Educ Credit'!D33</f>
        <v>324.26292452852056</v>
      </c>
      <c r="C108" s="200">
        <f>'Newnans Lake Educ Credit'!G33</f>
        <v>268.22803551898068</v>
      </c>
      <c r="D108" s="200">
        <f>'Newnans Lake Educ Credit'!J33</f>
        <v>998.31978629743048</v>
      </c>
      <c r="E108" s="200">
        <f>'Newnans Lake Educ Credit'!M33</f>
        <v>145.18352402416966</v>
      </c>
      <c r="F108" s="200" t="s">
        <v>128</v>
      </c>
      <c r="G108" s="200">
        <f>'Newnans Lake Educ Credit'!S33</f>
        <v>39.501419545587979</v>
      </c>
      <c r="H108" s="200">
        <f>'Newnans Lake Educ Credit'!D42</f>
        <v>54.321780632755726</v>
      </c>
      <c r="I108" s="200">
        <f>'Newnans Lake Educ Credit'!G42</f>
        <v>8.5313281815089415</v>
      </c>
      <c r="J108" s="200" t="s">
        <v>128</v>
      </c>
      <c r="K108" s="200">
        <f>'Newnans Lake Educ Credit'!M42</f>
        <v>50.156042632293591</v>
      </c>
      <c r="L108" s="200" t="s">
        <v>128</v>
      </c>
      <c r="M108" s="200">
        <f>'Newnans Lake Educ Credit'!S42</f>
        <v>10.301197525121351</v>
      </c>
      <c r="N108" s="200">
        <f>'Newnans Lake Educ Credit'!D51</f>
        <v>386.00612338676331</v>
      </c>
      <c r="O108" s="200">
        <f>'Newnans Lake Educ Credit'!G51</f>
        <v>57.608216183817099</v>
      </c>
      <c r="P108" s="200">
        <f>'Newnans Lake Educ Credit'!J51</f>
        <v>639.7327662778365</v>
      </c>
      <c r="Q108" s="200">
        <f>'Newnans Lake Educ Credit'!M51</f>
        <v>150.21145797436566</v>
      </c>
      <c r="R108" s="200">
        <f>'Newnans Lake Educ Credit'!P51</f>
        <v>3</v>
      </c>
      <c r="S108" s="200">
        <f>'Newnans Lake Educ Credit'!S51</f>
        <v>1767.6037893630853</v>
      </c>
      <c r="T108" s="363">
        <f>ROUND(SUM(B108:S108),0)</f>
        <v>4903</v>
      </c>
      <c r="U108" s="364">
        <v>0.06</v>
      </c>
      <c r="V108" s="147">
        <f t="shared" si="26"/>
        <v>294.18</v>
      </c>
      <c r="W108" s="153">
        <f t="shared" si="27"/>
        <v>0.43714336661911557</v>
      </c>
    </row>
    <row r="109" spans="1:23" x14ac:dyDescent="0.2">
      <c r="S109" t="s">
        <v>752</v>
      </c>
      <c r="T109" s="2">
        <f>SUM(T105:T108)</f>
        <v>11216</v>
      </c>
      <c r="U109" s="364">
        <v>0.06</v>
      </c>
      <c r="V109" s="672">
        <f>T109*U109</f>
        <v>672.95999999999992</v>
      </c>
    </row>
    <row r="111" spans="1:23" ht="13.5" thickBot="1" x14ac:dyDescent="0.25">
      <c r="A111" s="687" t="s">
        <v>366</v>
      </c>
      <c r="B111" s="688"/>
      <c r="C111" s="688"/>
      <c r="D111" s="688"/>
      <c r="E111" s="688"/>
      <c r="F111" s="688"/>
      <c r="G111" s="688"/>
      <c r="H111" s="688"/>
      <c r="I111" s="688"/>
      <c r="J111" s="688"/>
      <c r="K111" s="688"/>
      <c r="L111" s="688"/>
    </row>
    <row r="112" spans="1:23" ht="89.25" x14ac:dyDescent="0.2">
      <c r="A112" s="378" t="s">
        <v>365</v>
      </c>
      <c r="B112" s="378" t="s">
        <v>770</v>
      </c>
      <c r="C112" s="378" t="s">
        <v>769</v>
      </c>
      <c r="D112" s="378" t="s">
        <v>620</v>
      </c>
      <c r="E112" s="378" t="s">
        <v>776</v>
      </c>
      <c r="F112" s="379" t="s">
        <v>771</v>
      </c>
      <c r="G112" s="378" t="s">
        <v>765</v>
      </c>
      <c r="H112" s="378" t="s">
        <v>383</v>
      </c>
      <c r="I112" s="378" t="s">
        <v>384</v>
      </c>
      <c r="J112" s="380" t="s">
        <v>775</v>
      </c>
      <c r="K112" s="381" t="s">
        <v>774</v>
      </c>
      <c r="L112" s="380" t="s">
        <v>777</v>
      </c>
    </row>
    <row r="113" spans="1:12" x14ac:dyDescent="0.2">
      <c r="A113" s="30" t="s">
        <v>62</v>
      </c>
      <c r="B113" s="312">
        <f>E95</f>
        <v>4155</v>
      </c>
      <c r="C113" s="147">
        <f>ROUNDUP(B113*0.5,0)</f>
        <v>2078</v>
      </c>
      <c r="D113" s="392">
        <f>V105</f>
        <v>298.56</v>
      </c>
      <c r="E113" s="125">
        <v>65</v>
      </c>
      <c r="F113" s="402">
        <f>C113-D113-E113</f>
        <v>1714.44</v>
      </c>
      <c r="G113" s="147">
        <f>B113-C113</f>
        <v>2077</v>
      </c>
      <c r="H113" s="72"/>
      <c r="I113" s="120">
        <v>0</v>
      </c>
      <c r="J113" s="197">
        <f>F113+G113-I113-H113</f>
        <v>3791.44</v>
      </c>
      <c r="K113" s="399">
        <f>F95</f>
        <v>1448</v>
      </c>
      <c r="L113" s="600">
        <f>J113+K113</f>
        <v>5239.4400000000005</v>
      </c>
    </row>
    <row r="114" spans="1:12" x14ac:dyDescent="0.2">
      <c r="A114" s="30" t="s">
        <v>66</v>
      </c>
      <c r="B114" s="312">
        <f>E96</f>
        <v>4094</v>
      </c>
      <c r="C114" s="147">
        <f>ROUNDUP(B114*0.5,0)</f>
        <v>2047</v>
      </c>
      <c r="D114" s="392">
        <f>V108</f>
        <v>294.18</v>
      </c>
      <c r="E114" s="125">
        <v>1034</v>
      </c>
      <c r="F114" s="402">
        <f t="shared" ref="F114:F117" si="28">C114-D114-E114</f>
        <v>718.81999999999994</v>
      </c>
      <c r="G114" s="147">
        <f>B114-C114</f>
        <v>2047</v>
      </c>
      <c r="H114" s="72"/>
      <c r="I114" s="120">
        <v>0</v>
      </c>
      <c r="J114" s="197">
        <f t="shared" ref="J114:J116" si="29">F114+G114-I114</f>
        <v>2765.8199999999997</v>
      </c>
      <c r="K114" s="399">
        <f>F96</f>
        <v>113</v>
      </c>
      <c r="L114" s="600">
        <f t="shared" ref="L114" si="30">J114+K114</f>
        <v>2878.8199999999997</v>
      </c>
    </row>
    <row r="115" spans="1:12" x14ac:dyDescent="0.2">
      <c r="A115" s="34" t="s">
        <v>119</v>
      </c>
      <c r="B115" s="312">
        <f>E98</f>
        <v>878</v>
      </c>
      <c r="C115" s="147">
        <f>ROUNDUP(B115*0.5,0)</f>
        <v>439</v>
      </c>
      <c r="D115" s="392">
        <f>V106</f>
        <v>42.04</v>
      </c>
      <c r="E115" s="125">
        <v>3414</v>
      </c>
      <c r="F115" s="402">
        <f t="shared" si="28"/>
        <v>-3017.04</v>
      </c>
      <c r="G115" s="147">
        <f>B115-C115</f>
        <v>439</v>
      </c>
      <c r="H115" s="72"/>
      <c r="I115" s="120">
        <v>0</v>
      </c>
      <c r="J115" s="197">
        <f t="shared" si="29"/>
        <v>-2578.04</v>
      </c>
      <c r="K115" s="399">
        <v>0</v>
      </c>
      <c r="L115" s="600">
        <v>0</v>
      </c>
    </row>
    <row r="116" spans="1:12" x14ac:dyDescent="0.2">
      <c r="A116" s="30" t="s">
        <v>67</v>
      </c>
      <c r="B116" s="312">
        <f>E97</f>
        <v>239</v>
      </c>
      <c r="C116" s="147">
        <f>ROUNDUP(B116*0.5,0)</f>
        <v>120</v>
      </c>
      <c r="D116" s="392">
        <f>V107</f>
        <v>10.010000000000002</v>
      </c>
      <c r="E116" s="125">
        <f>'[4]Project Summary'!H40</f>
        <v>0</v>
      </c>
      <c r="F116" s="402">
        <f t="shared" si="28"/>
        <v>109.99</v>
      </c>
      <c r="G116" s="147">
        <f>B116-C116</f>
        <v>119</v>
      </c>
      <c r="H116" s="72"/>
      <c r="I116" s="120">
        <v>0</v>
      </c>
      <c r="J116" s="197">
        <f t="shared" si="29"/>
        <v>228.99</v>
      </c>
      <c r="K116" s="399" t="str">
        <f>F98</f>
        <v>nd</v>
      </c>
      <c r="L116" s="600">
        <f>J116</f>
        <v>228.99</v>
      </c>
    </row>
    <row r="117" spans="1:12" ht="13.5" thickBot="1" x14ac:dyDescent="0.25">
      <c r="A117" s="384" t="s">
        <v>132</v>
      </c>
      <c r="B117" s="401">
        <f>ROUNDUP(SUM(B113:B116),0)</f>
        <v>9366</v>
      </c>
      <c r="C117" s="401">
        <f>SUM(C113:C116)</f>
        <v>4684</v>
      </c>
      <c r="D117" s="386">
        <f>ROUND(SUM(D113:D116),0)</f>
        <v>645</v>
      </c>
      <c r="E117" s="386">
        <f>ROUND(SUM(E113:E116),0)</f>
        <v>4513</v>
      </c>
      <c r="F117" s="403">
        <f t="shared" si="28"/>
        <v>-474</v>
      </c>
      <c r="G117" s="401">
        <f>ROUNDUP(SUM(G113:G116),0)</f>
        <v>4682</v>
      </c>
      <c r="H117" s="384"/>
      <c r="I117" s="386">
        <f>SUM(I113:I116)</f>
        <v>0</v>
      </c>
      <c r="J117" s="400">
        <f>SUM(J113:J116)</f>
        <v>4208.21</v>
      </c>
      <c r="K117" s="401">
        <f>ROUND(SUM(K113:K116),0)</f>
        <v>1561</v>
      </c>
      <c r="L117" s="400">
        <f>SUM(L113:L116)</f>
        <v>8347.25</v>
      </c>
    </row>
    <row r="118" spans="1:12" x14ac:dyDescent="0.2">
      <c r="A118" s="388" t="s">
        <v>363</v>
      </c>
      <c r="B118" s="389"/>
      <c r="C118" s="390"/>
      <c r="D118" s="390"/>
      <c r="E118" s="390"/>
      <c r="F118" s="391"/>
      <c r="G118" s="390"/>
      <c r="H118" s="388"/>
      <c r="I118" s="390"/>
      <c r="J118" s="390"/>
      <c r="K118" s="390"/>
      <c r="L118" s="390"/>
    </row>
  </sheetData>
  <mergeCells count="3">
    <mergeCell ref="B1:J2"/>
    <mergeCell ref="A93:E93"/>
    <mergeCell ref="A111:L111"/>
  </mergeCells>
  <printOptions gridLines="1"/>
  <pageMargins left="0.45" right="0.2" top="0.75" bottom="0.5" header="0.3" footer="0.3"/>
  <pageSetup paperSize="5" scale="88" pageOrder="overThenDown" orientation="landscape" r:id="rId1"/>
  <headerFooter>
    <oddHeader>&amp;L&amp;"Arial,Bold"&amp;14Draft Newnans Lake Total Nitrogen Loading Reduction Goals by Jurisdiction&amp;R&amp;"Arial,Bold"&amp;14 DRAFT</oddHeader>
    <oddFooter>&amp;LWater Quality Restoration Program &amp;RDRAFT FDEP August 23, 2016</oddFooter>
  </headerFooter>
  <ignoredErrors>
    <ignoredError sqref="C83 E97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64"/>
  <sheetViews>
    <sheetView topLeftCell="B1" workbookViewId="0">
      <selection activeCell="H70" sqref="H70"/>
    </sheetView>
  </sheetViews>
  <sheetFormatPr defaultRowHeight="12.75" x14ac:dyDescent="0.2"/>
  <cols>
    <col min="1" max="1" width="29.5703125" customWidth="1"/>
    <col min="10" max="10" width="30.85546875" customWidth="1"/>
  </cols>
  <sheetData>
    <row r="1" spans="1:16" ht="13.5" thickBot="1" x14ac:dyDescent="0.25">
      <c r="A1" s="19" t="s">
        <v>265</v>
      </c>
    </row>
    <row r="2" spans="1:16" x14ac:dyDescent="0.2">
      <c r="A2" s="339"/>
      <c r="B2" s="709" t="s">
        <v>179</v>
      </c>
      <c r="C2" s="709"/>
      <c r="D2" s="709"/>
      <c r="E2" s="709"/>
      <c r="F2" s="709"/>
      <c r="G2" s="710"/>
      <c r="J2" s="42"/>
      <c r="K2" s="711" t="s">
        <v>180</v>
      </c>
      <c r="L2" s="711"/>
      <c r="M2" s="711"/>
      <c r="N2" s="711"/>
      <c r="O2" s="711"/>
      <c r="P2" s="712"/>
    </row>
    <row r="3" spans="1:16" x14ac:dyDescent="0.2">
      <c r="A3" s="30"/>
      <c r="B3" s="689" t="s">
        <v>45</v>
      </c>
      <c r="C3" s="707"/>
      <c r="D3" s="707"/>
      <c r="E3" s="707"/>
      <c r="F3" s="707"/>
      <c r="G3" s="708"/>
      <c r="J3" s="30"/>
      <c r="K3" s="689" t="s">
        <v>44</v>
      </c>
      <c r="L3" s="713"/>
      <c r="M3" s="713"/>
      <c r="N3" s="713"/>
      <c r="O3" s="713"/>
      <c r="P3" s="714"/>
    </row>
    <row r="4" spans="1:16" x14ac:dyDescent="0.2">
      <c r="A4" s="89" t="s">
        <v>272</v>
      </c>
      <c r="B4" s="328">
        <v>1996</v>
      </c>
      <c r="C4" s="328">
        <v>1997</v>
      </c>
      <c r="D4" s="328">
        <v>1998</v>
      </c>
      <c r="E4" s="328">
        <v>1999</v>
      </c>
      <c r="F4" s="328">
        <v>2000</v>
      </c>
      <c r="G4" s="333" t="s">
        <v>46</v>
      </c>
      <c r="J4" s="89" t="s">
        <v>75</v>
      </c>
      <c r="K4" s="328">
        <v>1996</v>
      </c>
      <c r="L4" s="328">
        <v>1997</v>
      </c>
      <c r="M4" s="328">
        <v>1998</v>
      </c>
      <c r="N4" s="328">
        <v>1999</v>
      </c>
      <c r="O4" s="328">
        <v>2000</v>
      </c>
      <c r="P4" s="333" t="s">
        <v>46</v>
      </c>
    </row>
    <row r="5" spans="1:16" x14ac:dyDescent="0.2">
      <c r="A5" s="34" t="s">
        <v>42</v>
      </c>
      <c r="B5" s="72">
        <v>1053</v>
      </c>
      <c r="C5" s="72">
        <v>1224</v>
      </c>
      <c r="D5" s="72">
        <v>621</v>
      </c>
      <c r="E5" s="72">
        <v>273</v>
      </c>
      <c r="F5" s="72">
        <v>85</v>
      </c>
      <c r="G5" s="334">
        <f>AVERAGE(B5:F5)</f>
        <v>651.20000000000005</v>
      </c>
      <c r="H5" s="21">
        <f>AVERAGE(B5:F5)</f>
        <v>651.20000000000005</v>
      </c>
      <c r="J5" s="34" t="s">
        <v>42</v>
      </c>
      <c r="K5" s="72">
        <v>115</v>
      </c>
      <c r="L5" s="72">
        <v>134</v>
      </c>
      <c r="M5" s="72">
        <v>68</v>
      </c>
      <c r="N5" s="72">
        <v>30</v>
      </c>
      <c r="O5" s="72">
        <v>9</v>
      </c>
      <c r="P5" s="334">
        <f>AVERAGE(K5:O5)</f>
        <v>71.2</v>
      </c>
    </row>
    <row r="6" spans="1:16" x14ac:dyDescent="0.2">
      <c r="A6" s="34" t="s">
        <v>36</v>
      </c>
      <c r="B6" s="72">
        <v>102</v>
      </c>
      <c r="C6" s="72">
        <v>118</v>
      </c>
      <c r="D6" s="72">
        <v>60</v>
      </c>
      <c r="E6" s="72">
        <v>26</v>
      </c>
      <c r="F6" s="72">
        <v>8</v>
      </c>
      <c r="G6" s="334">
        <f t="shared" ref="G6:G9" si="0">AVERAGE(B6:F6)</f>
        <v>62.8</v>
      </c>
      <c r="H6" s="21">
        <f t="shared" ref="H6:H17" si="1">AVERAGE(B6:F6)</f>
        <v>62.8</v>
      </c>
      <c r="J6" s="34" t="s">
        <v>36</v>
      </c>
      <c r="K6" s="72">
        <v>16</v>
      </c>
      <c r="L6" s="72">
        <v>18</v>
      </c>
      <c r="M6" s="72">
        <v>9</v>
      </c>
      <c r="N6" s="72">
        <v>4</v>
      </c>
      <c r="O6" s="72">
        <v>1</v>
      </c>
      <c r="P6" s="334">
        <f t="shared" ref="P6:P9" si="2">AVERAGE(K6:O6)</f>
        <v>9.6</v>
      </c>
    </row>
    <row r="7" spans="1:16" x14ac:dyDescent="0.2">
      <c r="A7" s="34" t="s">
        <v>34</v>
      </c>
      <c r="B7" s="72">
        <v>3387</v>
      </c>
      <c r="C7" s="72">
        <v>3935</v>
      </c>
      <c r="D7" s="72">
        <v>1999</v>
      </c>
      <c r="E7" s="72">
        <v>879</v>
      </c>
      <c r="F7" s="72">
        <v>272</v>
      </c>
      <c r="G7" s="334">
        <f t="shared" si="0"/>
        <v>2094.4</v>
      </c>
      <c r="H7" s="21">
        <f t="shared" si="1"/>
        <v>2094.4</v>
      </c>
      <c r="J7" s="34" t="s">
        <v>34</v>
      </c>
      <c r="K7" s="72">
        <v>369</v>
      </c>
      <c r="L7" s="72">
        <v>429</v>
      </c>
      <c r="M7" s="72">
        <v>218</v>
      </c>
      <c r="N7" s="72">
        <v>96</v>
      </c>
      <c r="O7" s="72">
        <v>30</v>
      </c>
      <c r="P7" s="334">
        <f t="shared" si="2"/>
        <v>228.4</v>
      </c>
    </row>
    <row r="8" spans="1:16" x14ac:dyDescent="0.2">
      <c r="A8" s="34" t="s">
        <v>35</v>
      </c>
      <c r="B8" s="159">
        <v>1017</v>
      </c>
      <c r="C8" s="72">
        <v>1182</v>
      </c>
      <c r="D8" s="72">
        <v>600</v>
      </c>
      <c r="E8" s="72">
        <v>264</v>
      </c>
      <c r="F8" s="72">
        <v>82</v>
      </c>
      <c r="G8" s="334">
        <f t="shared" si="0"/>
        <v>629</v>
      </c>
      <c r="H8" s="21">
        <f t="shared" si="1"/>
        <v>629</v>
      </c>
      <c r="J8" s="34" t="s">
        <v>35</v>
      </c>
      <c r="K8" s="159">
        <v>123</v>
      </c>
      <c r="L8" s="72">
        <v>143</v>
      </c>
      <c r="M8" s="72">
        <v>72</v>
      </c>
      <c r="N8" s="72">
        <v>32</v>
      </c>
      <c r="O8" s="72">
        <v>10</v>
      </c>
      <c r="P8" s="334">
        <f t="shared" si="2"/>
        <v>76</v>
      </c>
    </row>
    <row r="9" spans="1:16" x14ac:dyDescent="0.2">
      <c r="A9" s="34" t="s">
        <v>43</v>
      </c>
      <c r="B9" s="72">
        <v>549</v>
      </c>
      <c r="C9" s="72">
        <v>638</v>
      </c>
      <c r="D9" s="72">
        <v>324</v>
      </c>
      <c r="E9" s="72">
        <v>143</v>
      </c>
      <c r="F9" s="72">
        <v>44</v>
      </c>
      <c r="G9" s="334">
        <f t="shared" si="0"/>
        <v>339.6</v>
      </c>
      <c r="H9" s="21">
        <f t="shared" si="1"/>
        <v>339.6</v>
      </c>
      <c r="J9" s="34" t="s">
        <v>43</v>
      </c>
      <c r="K9" s="159">
        <v>53</v>
      </c>
      <c r="L9" s="72">
        <v>61</v>
      </c>
      <c r="M9" s="72">
        <v>31</v>
      </c>
      <c r="N9" s="72">
        <v>14</v>
      </c>
      <c r="O9" s="72">
        <v>4</v>
      </c>
      <c r="P9" s="334">
        <f t="shared" si="2"/>
        <v>32.6</v>
      </c>
    </row>
    <row r="10" spans="1:16" x14ac:dyDescent="0.2">
      <c r="A10" s="34" t="s">
        <v>47</v>
      </c>
      <c r="B10" s="72"/>
      <c r="C10" s="72"/>
      <c r="D10" s="72"/>
      <c r="E10" s="72"/>
      <c r="F10" s="72"/>
      <c r="G10" s="334">
        <f>SUM(G5:G9)</f>
        <v>3777</v>
      </c>
      <c r="H10" s="21"/>
      <c r="J10" s="34" t="s">
        <v>47</v>
      </c>
      <c r="K10" s="72"/>
      <c r="L10" s="72"/>
      <c r="M10" s="72"/>
      <c r="N10" s="72"/>
      <c r="O10" s="72"/>
      <c r="P10" s="334">
        <f>SUM(P5:P9)</f>
        <v>417.8</v>
      </c>
    </row>
    <row r="11" spans="1:16" x14ac:dyDescent="0.2">
      <c r="A11" s="34" t="s">
        <v>48</v>
      </c>
      <c r="B11" s="72"/>
      <c r="C11" s="72"/>
      <c r="D11" s="72"/>
      <c r="E11" s="72"/>
      <c r="F11" s="72"/>
      <c r="G11" s="334">
        <f>'Newnans Lake TN'!B52-'Newnans Lake Tribs loading'!G10</f>
        <v>20388.600000000002</v>
      </c>
      <c r="H11" s="21"/>
      <c r="J11" s="34" t="s">
        <v>48</v>
      </c>
      <c r="K11" s="72"/>
      <c r="L11" s="72"/>
      <c r="M11" s="72"/>
      <c r="N11" s="72"/>
      <c r="O11" s="72"/>
      <c r="P11" s="334">
        <f>SUM(P12:P17)</f>
        <v>3964.9999999999995</v>
      </c>
    </row>
    <row r="12" spans="1:16" x14ac:dyDescent="0.2">
      <c r="A12" s="34" t="s">
        <v>27</v>
      </c>
      <c r="B12" s="72">
        <v>3160</v>
      </c>
      <c r="C12" s="72">
        <v>3672</v>
      </c>
      <c r="D12" s="72">
        <v>1864</v>
      </c>
      <c r="E12" s="72">
        <v>820</v>
      </c>
      <c r="F12" s="72">
        <v>254</v>
      </c>
      <c r="G12" s="334">
        <f t="shared" ref="G12:G17" si="3">AVERAGE(B12:F12)</f>
        <v>1954</v>
      </c>
      <c r="H12" s="21">
        <f t="shared" si="1"/>
        <v>1954</v>
      </c>
      <c r="J12" s="34" t="s">
        <v>27</v>
      </c>
      <c r="K12" s="72">
        <v>458</v>
      </c>
      <c r="L12" s="72">
        <v>532</v>
      </c>
      <c r="M12" s="72">
        <v>270</v>
      </c>
      <c r="N12" s="72">
        <v>119</v>
      </c>
      <c r="O12" s="72">
        <v>37</v>
      </c>
      <c r="P12" s="334">
        <f t="shared" ref="P12:P17" si="4">AVERAGE(K12:O12)</f>
        <v>283.2</v>
      </c>
    </row>
    <row r="13" spans="1:16" x14ac:dyDescent="0.2">
      <c r="A13" s="34" t="s">
        <v>33</v>
      </c>
      <c r="B13" s="72">
        <v>1099</v>
      </c>
      <c r="C13" s="72">
        <v>1277</v>
      </c>
      <c r="D13" s="72">
        <v>649</v>
      </c>
      <c r="E13" s="72">
        <v>285</v>
      </c>
      <c r="F13" s="72">
        <v>88</v>
      </c>
      <c r="G13" s="334">
        <f t="shared" si="3"/>
        <v>679.6</v>
      </c>
      <c r="H13" s="21">
        <f t="shared" si="1"/>
        <v>679.6</v>
      </c>
      <c r="J13" s="34" t="s">
        <v>33</v>
      </c>
      <c r="K13" s="72">
        <v>159</v>
      </c>
      <c r="L13" s="72">
        <v>185</v>
      </c>
      <c r="M13" s="72">
        <v>94</v>
      </c>
      <c r="N13" s="72">
        <v>41</v>
      </c>
      <c r="O13" s="72">
        <v>13</v>
      </c>
      <c r="P13" s="334">
        <f t="shared" si="4"/>
        <v>98.4</v>
      </c>
    </row>
    <row r="14" spans="1:16" x14ac:dyDescent="0.2">
      <c r="A14" s="34" t="s">
        <v>100</v>
      </c>
      <c r="B14" s="72">
        <v>20955</v>
      </c>
      <c r="C14" s="72">
        <v>24350</v>
      </c>
      <c r="D14" s="72">
        <v>12366</v>
      </c>
      <c r="E14" s="72">
        <v>5441</v>
      </c>
      <c r="F14" s="72">
        <v>1684</v>
      </c>
      <c r="G14" s="334">
        <f t="shared" si="3"/>
        <v>12959.2</v>
      </c>
      <c r="H14" s="21">
        <f t="shared" si="1"/>
        <v>12959.2</v>
      </c>
      <c r="J14" s="34" t="s">
        <v>100</v>
      </c>
      <c r="K14" s="72">
        <v>2095</v>
      </c>
      <c r="L14" s="72">
        <v>2435</v>
      </c>
      <c r="M14" s="72">
        <v>1236</v>
      </c>
      <c r="N14" s="72">
        <v>544</v>
      </c>
      <c r="O14" s="72">
        <v>168</v>
      </c>
      <c r="P14" s="334">
        <f t="shared" si="4"/>
        <v>1295.5999999999999</v>
      </c>
    </row>
    <row r="15" spans="1:16" x14ac:dyDescent="0.2">
      <c r="A15" s="34" t="s">
        <v>87</v>
      </c>
      <c r="B15" s="72">
        <v>5817</v>
      </c>
      <c r="C15" s="72">
        <f>7148</f>
        <v>7148</v>
      </c>
      <c r="D15" s="72">
        <v>3523</v>
      </c>
      <c r="E15" s="72">
        <v>1495</v>
      </c>
      <c r="F15" s="72">
        <v>430</v>
      </c>
      <c r="G15" s="334">
        <f t="shared" si="3"/>
        <v>3682.6</v>
      </c>
      <c r="H15" s="21">
        <f t="shared" si="1"/>
        <v>3682.6</v>
      </c>
      <c r="J15" s="34" t="s">
        <v>87</v>
      </c>
      <c r="K15" s="72">
        <v>1587</v>
      </c>
      <c r="L15" s="72">
        <v>1950</v>
      </c>
      <c r="M15" s="72">
        <v>961</v>
      </c>
      <c r="N15" s="72">
        <v>408</v>
      </c>
      <c r="O15" s="72">
        <v>117</v>
      </c>
      <c r="P15" s="334">
        <f t="shared" si="4"/>
        <v>1004.6</v>
      </c>
    </row>
    <row r="16" spans="1:16" x14ac:dyDescent="0.2">
      <c r="A16" s="34" t="s">
        <v>32</v>
      </c>
      <c r="B16" s="272">
        <v>30716</v>
      </c>
      <c r="C16" s="72">
        <v>35693</v>
      </c>
      <c r="D16" s="72">
        <v>18126</v>
      </c>
      <c r="E16" s="72">
        <v>7975</v>
      </c>
      <c r="F16" s="72">
        <v>2468</v>
      </c>
      <c r="G16" s="334">
        <f t="shared" si="3"/>
        <v>18995.599999999999</v>
      </c>
      <c r="H16" s="21">
        <f t="shared" si="1"/>
        <v>18995.599999999999</v>
      </c>
      <c r="J16" s="34" t="s">
        <v>32</v>
      </c>
      <c r="K16" s="72">
        <v>1845</v>
      </c>
      <c r="L16" s="72">
        <v>2144</v>
      </c>
      <c r="M16" s="72">
        <v>1089</v>
      </c>
      <c r="N16" s="72">
        <v>479</v>
      </c>
      <c r="O16" s="72">
        <v>148</v>
      </c>
      <c r="P16" s="334">
        <f t="shared" si="4"/>
        <v>1141</v>
      </c>
    </row>
    <row r="17" spans="1:16" x14ac:dyDescent="0.2">
      <c r="A17" s="34" t="s">
        <v>88</v>
      </c>
      <c r="B17" s="72">
        <v>1685</v>
      </c>
      <c r="C17" s="72">
        <v>1958</v>
      </c>
      <c r="D17" s="72">
        <v>995</v>
      </c>
      <c r="E17" s="72">
        <v>437</v>
      </c>
      <c r="F17" s="72">
        <v>136</v>
      </c>
      <c r="G17" s="334">
        <f t="shared" si="3"/>
        <v>1042.2</v>
      </c>
      <c r="H17" s="21">
        <f t="shared" si="1"/>
        <v>1042.2</v>
      </c>
      <c r="J17" s="34" t="s">
        <v>88</v>
      </c>
      <c r="K17" s="72">
        <v>230</v>
      </c>
      <c r="L17" s="72">
        <v>267</v>
      </c>
      <c r="M17" s="72">
        <v>136</v>
      </c>
      <c r="N17" s="72">
        <v>60</v>
      </c>
      <c r="O17" s="72">
        <v>18</v>
      </c>
      <c r="P17" s="334">
        <f t="shared" si="4"/>
        <v>142.19999999999999</v>
      </c>
    </row>
    <row r="18" spans="1:16" x14ac:dyDescent="0.2">
      <c r="A18" s="335" t="s">
        <v>123</v>
      </c>
      <c r="B18" s="330"/>
      <c r="C18" s="330"/>
      <c r="D18" s="330"/>
      <c r="E18" s="330"/>
      <c r="F18" s="330"/>
      <c r="G18" s="334">
        <f>SUM(G12:G17)+SUM(G5:G9)</f>
        <v>43090.2</v>
      </c>
      <c r="H18" s="21"/>
      <c r="J18" s="335" t="s">
        <v>132</v>
      </c>
      <c r="K18" s="330"/>
      <c r="L18" s="330"/>
      <c r="M18" s="330"/>
      <c r="N18" s="330"/>
      <c r="O18" s="330"/>
      <c r="P18" s="334">
        <f>SUM(P5:P9)+SUM(P12:P17)</f>
        <v>4382.7999999999993</v>
      </c>
    </row>
    <row r="19" spans="1:16" x14ac:dyDescent="0.2">
      <c r="A19" s="30"/>
      <c r="B19" s="689" t="s">
        <v>45</v>
      </c>
      <c r="C19" s="707"/>
      <c r="D19" s="707"/>
      <c r="E19" s="707"/>
      <c r="F19" s="707"/>
      <c r="G19" s="708"/>
      <c r="H19" s="21"/>
      <c r="J19" s="30"/>
      <c r="K19" s="689" t="s">
        <v>44</v>
      </c>
      <c r="L19" s="707"/>
      <c r="M19" s="707"/>
      <c r="N19" s="707"/>
      <c r="O19" s="707"/>
      <c r="P19" s="708"/>
    </row>
    <row r="20" spans="1:16" x14ac:dyDescent="0.2">
      <c r="A20" s="89" t="s">
        <v>49</v>
      </c>
      <c r="B20" s="328">
        <v>1996</v>
      </c>
      <c r="C20" s="328">
        <v>1997</v>
      </c>
      <c r="D20" s="328">
        <v>1998</v>
      </c>
      <c r="E20" s="328">
        <v>1999</v>
      </c>
      <c r="F20" s="328">
        <v>2000</v>
      </c>
      <c r="G20" s="336" t="s">
        <v>46</v>
      </c>
      <c r="H20" s="21"/>
      <c r="J20" s="89" t="s">
        <v>49</v>
      </c>
      <c r="K20" s="328">
        <v>1996</v>
      </c>
      <c r="L20" s="328">
        <v>1997</v>
      </c>
      <c r="M20" s="328">
        <v>1998</v>
      </c>
      <c r="N20" s="328">
        <v>1999</v>
      </c>
      <c r="O20" s="328">
        <v>2000</v>
      </c>
      <c r="P20" s="336" t="s">
        <v>46</v>
      </c>
    </row>
    <row r="21" spans="1:16" x14ac:dyDescent="0.2">
      <c r="A21" s="34" t="s">
        <v>42</v>
      </c>
      <c r="B21" s="72">
        <v>3318</v>
      </c>
      <c r="C21" s="72">
        <v>3856</v>
      </c>
      <c r="D21" s="72">
        <v>1958</v>
      </c>
      <c r="E21" s="72">
        <v>862</v>
      </c>
      <c r="F21" s="72">
        <v>267</v>
      </c>
      <c r="G21" s="334">
        <f>AVERAGE(B21:F21)</f>
        <v>2052.1999999999998</v>
      </c>
      <c r="H21" s="21">
        <f>AVERAGE(B21:F21)</f>
        <v>2052.1999999999998</v>
      </c>
      <c r="J21" s="34" t="s">
        <v>42</v>
      </c>
      <c r="K21" s="72">
        <v>39</v>
      </c>
      <c r="L21" s="72">
        <v>495</v>
      </c>
      <c r="M21" s="72">
        <v>251</v>
      </c>
      <c r="N21" s="72">
        <v>111</v>
      </c>
      <c r="O21" s="72">
        <v>34</v>
      </c>
      <c r="P21" s="334">
        <f t="shared" ref="P21:P25" si="5">AVERAGE(K21:O21)</f>
        <v>186</v>
      </c>
    </row>
    <row r="22" spans="1:16" x14ac:dyDescent="0.2">
      <c r="A22" s="34" t="s">
        <v>36</v>
      </c>
      <c r="B22" s="72">
        <v>269</v>
      </c>
      <c r="C22" s="72">
        <v>312</v>
      </c>
      <c r="D22" s="72">
        <v>158</v>
      </c>
      <c r="E22" s="72">
        <v>70</v>
      </c>
      <c r="F22" s="72">
        <v>22</v>
      </c>
      <c r="G22" s="334">
        <f t="shared" ref="G22:G25" si="6">AVERAGE(B22:F22)</f>
        <v>166.2</v>
      </c>
      <c r="H22" s="21">
        <f t="shared" ref="H22:H33" si="7">AVERAGE(B22:F22)</f>
        <v>166.2</v>
      </c>
      <c r="J22" s="34" t="s">
        <v>36</v>
      </c>
      <c r="K22" s="72">
        <v>48</v>
      </c>
      <c r="L22" s="72">
        <v>55</v>
      </c>
      <c r="M22" s="72">
        <v>28</v>
      </c>
      <c r="N22" s="72">
        <v>12</v>
      </c>
      <c r="O22" s="72">
        <v>4</v>
      </c>
      <c r="P22" s="334">
        <f t="shared" si="5"/>
        <v>29.4</v>
      </c>
    </row>
    <row r="23" spans="1:16" x14ac:dyDescent="0.2">
      <c r="A23" s="34" t="s">
        <v>34</v>
      </c>
      <c r="B23" s="72">
        <v>153</v>
      </c>
      <c r="C23" s="72">
        <v>178</v>
      </c>
      <c r="D23" s="72">
        <v>90</v>
      </c>
      <c r="E23" s="72">
        <v>40</v>
      </c>
      <c r="F23" s="72">
        <v>12</v>
      </c>
      <c r="G23" s="334">
        <f t="shared" si="6"/>
        <v>94.6</v>
      </c>
      <c r="H23" s="21">
        <f t="shared" si="7"/>
        <v>94.6</v>
      </c>
      <c r="J23" s="34" t="s">
        <v>34</v>
      </c>
      <c r="K23" s="72">
        <v>19</v>
      </c>
      <c r="L23" s="72">
        <v>22</v>
      </c>
      <c r="M23" s="72">
        <v>11</v>
      </c>
      <c r="N23" s="72">
        <v>5</v>
      </c>
      <c r="O23" s="72">
        <v>2</v>
      </c>
      <c r="P23" s="334">
        <f t="shared" si="5"/>
        <v>11.8</v>
      </c>
    </row>
    <row r="24" spans="1:16" x14ac:dyDescent="0.2">
      <c r="A24" s="34" t="s">
        <v>35</v>
      </c>
      <c r="B24" s="72">
        <v>1080</v>
      </c>
      <c r="C24" s="72">
        <v>1255</v>
      </c>
      <c r="D24" s="72">
        <v>637</v>
      </c>
      <c r="E24" s="72">
        <v>280</v>
      </c>
      <c r="F24" s="72">
        <v>88</v>
      </c>
      <c r="G24" s="334">
        <f t="shared" si="6"/>
        <v>668</v>
      </c>
      <c r="H24" s="21">
        <f t="shared" si="7"/>
        <v>668</v>
      </c>
      <c r="J24" s="34" t="s">
        <v>35</v>
      </c>
      <c r="K24" s="72">
        <v>150</v>
      </c>
      <c r="L24" s="72">
        <v>174</v>
      </c>
      <c r="M24" s="72">
        <v>88.6</v>
      </c>
      <c r="N24" s="72">
        <v>39</v>
      </c>
      <c r="O24" s="72">
        <v>12</v>
      </c>
      <c r="P24" s="334">
        <f t="shared" si="5"/>
        <v>92.72</v>
      </c>
    </row>
    <row r="25" spans="1:16" x14ac:dyDescent="0.2">
      <c r="A25" s="34" t="s">
        <v>43</v>
      </c>
      <c r="B25" s="72">
        <v>637</v>
      </c>
      <c r="C25" s="72">
        <v>740</v>
      </c>
      <c r="D25" s="72">
        <v>376</v>
      </c>
      <c r="E25" s="72">
        <v>165</v>
      </c>
      <c r="F25" s="72">
        <v>51</v>
      </c>
      <c r="G25" s="334">
        <f t="shared" si="6"/>
        <v>393.8</v>
      </c>
      <c r="H25" s="21">
        <f t="shared" si="7"/>
        <v>393.8</v>
      </c>
      <c r="J25" s="34" t="s">
        <v>43</v>
      </c>
      <c r="K25" s="72">
        <v>71</v>
      </c>
      <c r="L25" s="72">
        <v>83</v>
      </c>
      <c r="M25" s="72">
        <v>42</v>
      </c>
      <c r="N25" s="72">
        <v>18</v>
      </c>
      <c r="O25" s="72">
        <v>6</v>
      </c>
      <c r="P25" s="334">
        <f t="shared" si="5"/>
        <v>44</v>
      </c>
    </row>
    <row r="26" spans="1:16" x14ac:dyDescent="0.2">
      <c r="A26" s="34" t="s">
        <v>47</v>
      </c>
      <c r="B26" s="72"/>
      <c r="C26" s="72"/>
      <c r="D26" s="72"/>
      <c r="E26" s="72"/>
      <c r="F26" s="72"/>
      <c r="G26" s="334">
        <f>SUM(G21:G25)</f>
        <v>3374.7999999999997</v>
      </c>
      <c r="H26" s="21"/>
      <c r="J26" s="34" t="s">
        <v>47</v>
      </c>
      <c r="K26" s="72"/>
      <c r="L26" s="72"/>
      <c r="M26" s="72"/>
      <c r="N26" s="72"/>
      <c r="O26" s="72"/>
      <c r="P26" s="334">
        <f>SUM(P21:P25)</f>
        <v>363.92</v>
      </c>
    </row>
    <row r="27" spans="1:16" x14ac:dyDescent="0.2">
      <c r="A27" s="34" t="s">
        <v>48</v>
      </c>
      <c r="B27" s="72"/>
      <c r="C27" s="72"/>
      <c r="D27" s="72"/>
      <c r="E27" s="72"/>
      <c r="F27" s="72"/>
      <c r="G27" s="334">
        <f>'Newnans Lake TN'!B53-'Newnans Lake Tribs loading'!G26</f>
        <v>4651.2000000000007</v>
      </c>
      <c r="H27" s="21"/>
      <c r="J27" s="34" t="s">
        <v>48</v>
      </c>
      <c r="K27" s="72"/>
      <c r="L27" s="72"/>
      <c r="M27" s="72"/>
      <c r="N27" s="72"/>
      <c r="O27" s="72"/>
      <c r="P27" s="334">
        <f>SUM(P28:P33)</f>
        <v>1025.0666666666668</v>
      </c>
    </row>
    <row r="28" spans="1:16" x14ac:dyDescent="0.2">
      <c r="A28" s="34" t="s">
        <v>27</v>
      </c>
      <c r="B28" s="72">
        <v>232</v>
      </c>
      <c r="C28" s="72">
        <v>269</v>
      </c>
      <c r="D28" s="72">
        <v>137</v>
      </c>
      <c r="E28" s="72">
        <v>60</v>
      </c>
      <c r="F28" s="72">
        <v>19</v>
      </c>
      <c r="G28" s="334">
        <f t="shared" ref="G28:G33" si="8">AVERAGE(B28:F28)</f>
        <v>143.4</v>
      </c>
      <c r="H28" s="21">
        <f t="shared" si="7"/>
        <v>143.4</v>
      </c>
      <c r="J28" s="34" t="s">
        <v>27</v>
      </c>
      <c r="K28" s="72">
        <v>39</v>
      </c>
      <c r="L28" s="72">
        <v>45</v>
      </c>
      <c r="M28" s="72">
        <v>23</v>
      </c>
      <c r="N28" s="72">
        <v>10</v>
      </c>
      <c r="O28" s="72">
        <v>3</v>
      </c>
      <c r="P28" s="334">
        <f t="shared" ref="P28:P33" si="9">AVERAGE(K28:O28)</f>
        <v>24</v>
      </c>
    </row>
    <row r="29" spans="1:16" x14ac:dyDescent="0.2">
      <c r="A29" s="34" t="s">
        <v>33</v>
      </c>
      <c r="B29" s="72">
        <v>1036</v>
      </c>
      <c r="C29" s="72">
        <v>1204</v>
      </c>
      <c r="D29" s="72">
        <v>612</v>
      </c>
      <c r="E29" s="72">
        <v>269</v>
      </c>
      <c r="F29" s="72">
        <v>83</v>
      </c>
      <c r="G29" s="334">
        <f t="shared" si="8"/>
        <v>640.79999999999995</v>
      </c>
      <c r="H29" s="21">
        <f t="shared" si="7"/>
        <v>640.79999999999995</v>
      </c>
      <c r="J29" s="34" t="s">
        <v>33</v>
      </c>
      <c r="K29" s="72">
        <v>172</v>
      </c>
      <c r="L29" s="72">
        <v>200</v>
      </c>
      <c r="M29" s="72">
        <v>102</v>
      </c>
      <c r="N29" s="72">
        <v>45</v>
      </c>
      <c r="O29" s="72">
        <v>14</v>
      </c>
      <c r="P29" s="334">
        <f t="shared" si="9"/>
        <v>106.6</v>
      </c>
    </row>
    <row r="30" spans="1:16" x14ac:dyDescent="0.2">
      <c r="A30" s="34" t="s">
        <v>100</v>
      </c>
      <c r="B30" s="159">
        <v>4652</v>
      </c>
      <c r="C30" s="72">
        <v>5406</v>
      </c>
      <c r="D30" s="72">
        <v>2745</v>
      </c>
      <c r="E30" s="72">
        <v>1207</v>
      </c>
      <c r="F30" s="72">
        <v>374</v>
      </c>
      <c r="G30" s="334">
        <f t="shared" si="8"/>
        <v>2876.8</v>
      </c>
      <c r="H30" s="21">
        <f t="shared" si="7"/>
        <v>2876.8</v>
      </c>
      <c r="J30" s="34" t="s">
        <v>100</v>
      </c>
      <c r="K30" s="72">
        <v>539</v>
      </c>
      <c r="L30" s="72">
        <v>625</v>
      </c>
      <c r="M30" s="72">
        <v>318</v>
      </c>
      <c r="N30" s="72">
        <v>140</v>
      </c>
      <c r="O30" s="72">
        <v>43</v>
      </c>
      <c r="P30" s="334">
        <f t="shared" si="9"/>
        <v>333</v>
      </c>
    </row>
    <row r="31" spans="1:16" x14ac:dyDescent="0.2">
      <c r="A31" s="34" t="s">
        <v>87</v>
      </c>
      <c r="B31" s="72">
        <v>1544</v>
      </c>
      <c r="C31" s="72">
        <v>1898</v>
      </c>
      <c r="D31" s="72">
        <v>935</v>
      </c>
      <c r="E31" s="72">
        <v>397</v>
      </c>
      <c r="F31" s="72">
        <v>114</v>
      </c>
      <c r="G31" s="334">
        <f t="shared" si="8"/>
        <v>977.6</v>
      </c>
      <c r="H31" s="21">
        <f t="shared" si="7"/>
        <v>977.6</v>
      </c>
      <c r="J31" s="34" t="s">
        <v>87</v>
      </c>
      <c r="K31" s="72">
        <v>421</v>
      </c>
      <c r="L31" s="72">
        <v>518</v>
      </c>
      <c r="M31" s="72">
        <v>255</v>
      </c>
      <c r="N31" s="72">
        <v>108</v>
      </c>
      <c r="O31" s="72">
        <v>31</v>
      </c>
      <c r="P31" s="334">
        <f t="shared" si="9"/>
        <v>266.60000000000002</v>
      </c>
    </row>
    <row r="32" spans="1:16" x14ac:dyDescent="0.2">
      <c r="A32" s="34" t="s">
        <v>32</v>
      </c>
      <c r="B32" s="72">
        <v>6248</v>
      </c>
      <c r="C32" s="72">
        <v>7260</v>
      </c>
      <c r="D32" s="72">
        <v>3687</v>
      </c>
      <c r="E32" s="72">
        <v>1622</v>
      </c>
      <c r="F32" s="72">
        <v>502</v>
      </c>
      <c r="G32" s="334">
        <f t="shared" si="8"/>
        <v>3863.8</v>
      </c>
      <c r="H32" s="21">
        <f t="shared" si="7"/>
        <v>3863.8</v>
      </c>
      <c r="J32" s="34" t="s">
        <v>32</v>
      </c>
      <c r="K32" s="72">
        <v>472</v>
      </c>
      <c r="L32" s="72">
        <v>549</v>
      </c>
      <c r="M32" s="72">
        <v>279</v>
      </c>
      <c r="N32" s="72">
        <v>123</v>
      </c>
      <c r="O32" s="72">
        <v>38</v>
      </c>
      <c r="P32" s="334">
        <f t="shared" si="9"/>
        <v>292.2</v>
      </c>
    </row>
    <row r="33" spans="1:17" x14ac:dyDescent="0.2">
      <c r="A33" s="34" t="s">
        <v>88</v>
      </c>
      <c r="B33" s="72">
        <v>16</v>
      </c>
      <c r="C33" s="72">
        <v>18</v>
      </c>
      <c r="D33" s="72">
        <v>9</v>
      </c>
      <c r="E33" s="72">
        <v>4</v>
      </c>
      <c r="F33" s="72">
        <v>1</v>
      </c>
      <c r="G33" s="334">
        <f t="shared" si="8"/>
        <v>9.6</v>
      </c>
      <c r="H33" s="21">
        <f t="shared" si="7"/>
        <v>9.6</v>
      </c>
      <c r="J33" s="34" t="s">
        <v>88</v>
      </c>
      <c r="K33" s="72">
        <v>3</v>
      </c>
      <c r="L33" s="72">
        <v>3</v>
      </c>
      <c r="M33" s="72">
        <v>2</v>
      </c>
      <c r="N33" s="72" t="s">
        <v>101</v>
      </c>
      <c r="O33" s="72" t="s">
        <v>101</v>
      </c>
      <c r="P33" s="334">
        <f t="shared" si="9"/>
        <v>2.6666666666666665</v>
      </c>
    </row>
    <row r="34" spans="1:17" x14ac:dyDescent="0.2">
      <c r="A34" s="335" t="s">
        <v>123</v>
      </c>
      <c r="B34" s="330"/>
      <c r="C34" s="330"/>
      <c r="D34" s="330"/>
      <c r="E34" s="330"/>
      <c r="F34" s="330"/>
      <c r="G34" s="334">
        <f>SUM(G28:G33)+SUM(G21:G25)</f>
        <v>11886.800000000001</v>
      </c>
      <c r="H34" s="21"/>
      <c r="J34" s="335" t="s">
        <v>132</v>
      </c>
      <c r="K34" s="330"/>
      <c r="L34" s="330"/>
      <c r="M34" s="330"/>
      <c r="N34" s="330"/>
      <c r="O34" s="330"/>
      <c r="P34" s="334">
        <f>SUM(P21:P25)+SUM(P28:P33)</f>
        <v>1388.9866666666669</v>
      </c>
    </row>
    <row r="35" spans="1:17" x14ac:dyDescent="0.2">
      <c r="A35" s="30"/>
      <c r="B35" s="689" t="s">
        <v>45</v>
      </c>
      <c r="C35" s="707"/>
      <c r="D35" s="707"/>
      <c r="E35" s="707"/>
      <c r="F35" s="707"/>
      <c r="G35" s="708"/>
      <c r="H35" s="21"/>
      <c r="J35" s="30"/>
      <c r="K35" s="689" t="s">
        <v>44</v>
      </c>
      <c r="L35" s="707"/>
      <c r="M35" s="707"/>
      <c r="N35" s="707"/>
      <c r="O35" s="707"/>
      <c r="P35" s="708"/>
    </row>
    <row r="36" spans="1:17" x14ac:dyDescent="0.2">
      <c r="A36" s="89" t="s">
        <v>65</v>
      </c>
      <c r="B36" s="328">
        <v>1996</v>
      </c>
      <c r="C36" s="328">
        <v>1997</v>
      </c>
      <c r="D36" s="328">
        <v>1998</v>
      </c>
      <c r="E36" s="328">
        <v>1999</v>
      </c>
      <c r="F36" s="328">
        <v>2000</v>
      </c>
      <c r="G36" s="336" t="s">
        <v>46</v>
      </c>
      <c r="H36" s="21"/>
      <c r="J36" s="89" t="s">
        <v>65</v>
      </c>
      <c r="K36" s="328">
        <v>1996</v>
      </c>
      <c r="L36" s="328">
        <v>1997</v>
      </c>
      <c r="M36" s="328">
        <v>1998</v>
      </c>
      <c r="N36" s="328">
        <v>1999</v>
      </c>
      <c r="O36" s="328">
        <v>2000</v>
      </c>
      <c r="P36" s="336" t="s">
        <v>46</v>
      </c>
    </row>
    <row r="37" spans="1:17" x14ac:dyDescent="0.2">
      <c r="A37" s="34" t="s">
        <v>42</v>
      </c>
      <c r="B37" s="72">
        <v>517</v>
      </c>
      <c r="C37" s="72">
        <v>601</v>
      </c>
      <c r="D37" s="72">
        <v>305</v>
      </c>
      <c r="E37" s="72">
        <v>134</v>
      </c>
      <c r="F37" s="72">
        <v>42</v>
      </c>
      <c r="G37" s="334">
        <f t="shared" ref="G37:G41" si="10">AVERAGE(B37:F37)</f>
        <v>319.8</v>
      </c>
      <c r="H37" s="21">
        <f>AVERAGE(B37:F37)</f>
        <v>319.8</v>
      </c>
      <c r="J37" s="34" t="s">
        <v>42</v>
      </c>
      <c r="K37" s="72">
        <v>57</v>
      </c>
      <c r="L37" s="72">
        <v>66</v>
      </c>
      <c r="M37" s="72">
        <v>34</v>
      </c>
      <c r="N37" s="72">
        <v>15</v>
      </c>
      <c r="O37" s="72">
        <v>5</v>
      </c>
      <c r="P37" s="334">
        <f t="shared" ref="P37:P41" si="11">AVERAGE(K37:O37)</f>
        <v>35.4</v>
      </c>
      <c r="Q37">
        <f>AVERAGE(K37:O37)</f>
        <v>35.4</v>
      </c>
    </row>
    <row r="38" spans="1:17" x14ac:dyDescent="0.2">
      <c r="A38" s="34" t="s">
        <v>36</v>
      </c>
      <c r="B38" s="72">
        <v>331</v>
      </c>
      <c r="C38" s="72">
        <v>385</v>
      </c>
      <c r="D38" s="72">
        <v>195</v>
      </c>
      <c r="E38" s="72">
        <v>86</v>
      </c>
      <c r="F38" s="72">
        <v>27</v>
      </c>
      <c r="G38" s="334">
        <f t="shared" si="10"/>
        <v>204.8</v>
      </c>
      <c r="H38" s="21">
        <f t="shared" ref="H38:H49" si="12">AVERAGE(B38:F38)</f>
        <v>204.8</v>
      </c>
      <c r="J38" s="34" t="s">
        <v>36</v>
      </c>
      <c r="K38" s="72">
        <v>51</v>
      </c>
      <c r="L38" s="72">
        <v>59</v>
      </c>
      <c r="M38" s="72">
        <v>30</v>
      </c>
      <c r="N38" s="72">
        <v>13</v>
      </c>
      <c r="O38" s="72">
        <v>4</v>
      </c>
      <c r="P38" s="334">
        <f t="shared" si="11"/>
        <v>31.4</v>
      </c>
      <c r="Q38">
        <f t="shared" ref="Q38:Q49" si="13">AVERAGE(K38:O38)</f>
        <v>31.4</v>
      </c>
    </row>
    <row r="39" spans="1:17" x14ac:dyDescent="0.2">
      <c r="A39" s="34" t="s">
        <v>34</v>
      </c>
      <c r="B39" s="72">
        <v>2216</v>
      </c>
      <c r="C39" s="72">
        <v>2575</v>
      </c>
      <c r="D39" s="72">
        <v>1308</v>
      </c>
      <c r="E39" s="72">
        <v>575</v>
      </c>
      <c r="F39" s="72">
        <v>178</v>
      </c>
      <c r="G39" s="334">
        <f t="shared" si="10"/>
        <v>1370.4</v>
      </c>
      <c r="H39" s="21">
        <f t="shared" si="12"/>
        <v>1370.4</v>
      </c>
      <c r="J39" s="34" t="s">
        <v>34</v>
      </c>
      <c r="K39" s="72">
        <v>241</v>
      </c>
      <c r="L39" s="72">
        <v>280</v>
      </c>
      <c r="M39" s="72">
        <v>142</v>
      </c>
      <c r="N39" s="72">
        <v>63</v>
      </c>
      <c r="O39" s="72">
        <v>19</v>
      </c>
      <c r="P39" s="334">
        <f t="shared" si="11"/>
        <v>149</v>
      </c>
      <c r="Q39">
        <f t="shared" si="13"/>
        <v>149</v>
      </c>
    </row>
    <row r="40" spans="1:17" x14ac:dyDescent="0.2">
      <c r="A40" s="34" t="s">
        <v>35</v>
      </c>
      <c r="B40" s="72">
        <v>2814</v>
      </c>
      <c r="C40" s="72">
        <v>3271</v>
      </c>
      <c r="D40" s="72">
        <v>1661</v>
      </c>
      <c r="E40" s="72">
        <v>731</v>
      </c>
      <c r="F40" s="72">
        <v>226</v>
      </c>
      <c r="G40" s="334">
        <f t="shared" si="10"/>
        <v>1740.6</v>
      </c>
      <c r="H40" s="21">
        <f t="shared" si="12"/>
        <v>1740.6</v>
      </c>
      <c r="J40" s="34" t="s">
        <v>35</v>
      </c>
      <c r="K40" s="72">
        <v>340</v>
      </c>
      <c r="L40" s="72">
        <v>395</v>
      </c>
      <c r="M40" s="72">
        <v>201</v>
      </c>
      <c r="N40" s="72">
        <v>88</v>
      </c>
      <c r="O40" s="72">
        <v>27</v>
      </c>
      <c r="P40" s="334">
        <f t="shared" si="11"/>
        <v>210.2</v>
      </c>
      <c r="Q40">
        <f t="shared" si="13"/>
        <v>210.2</v>
      </c>
    </row>
    <row r="41" spans="1:17" x14ac:dyDescent="0.2">
      <c r="A41" s="34" t="s">
        <v>43</v>
      </c>
      <c r="B41" s="72">
        <v>575</v>
      </c>
      <c r="C41" s="72">
        <v>668</v>
      </c>
      <c r="D41" s="72">
        <v>339</v>
      </c>
      <c r="E41" s="72">
        <v>149</v>
      </c>
      <c r="F41" s="72">
        <v>46</v>
      </c>
      <c r="G41" s="334">
        <f t="shared" si="10"/>
        <v>355.4</v>
      </c>
      <c r="H41" s="21">
        <f t="shared" si="12"/>
        <v>355.4</v>
      </c>
      <c r="J41" s="34" t="s">
        <v>43</v>
      </c>
      <c r="K41" s="72">
        <v>55</v>
      </c>
      <c r="L41" s="72">
        <v>64</v>
      </c>
      <c r="M41" s="72">
        <v>33</v>
      </c>
      <c r="N41" s="72">
        <v>14</v>
      </c>
      <c r="O41" s="72">
        <v>4</v>
      </c>
      <c r="P41" s="334">
        <f t="shared" si="11"/>
        <v>34</v>
      </c>
      <c r="Q41">
        <f t="shared" si="13"/>
        <v>34</v>
      </c>
    </row>
    <row r="42" spans="1:17" x14ac:dyDescent="0.2">
      <c r="A42" s="34" t="s">
        <v>47</v>
      </c>
      <c r="B42" s="72"/>
      <c r="C42" s="72"/>
      <c r="D42" s="72"/>
      <c r="E42" s="72"/>
      <c r="F42" s="72"/>
      <c r="G42" s="334">
        <f>SUM(G37:G41)</f>
        <v>3991</v>
      </c>
      <c r="H42" s="21"/>
      <c r="J42" s="34" t="s">
        <v>47</v>
      </c>
      <c r="K42" s="72"/>
      <c r="L42" s="72"/>
      <c r="M42" s="72"/>
      <c r="N42" s="72"/>
      <c r="O42" s="72"/>
      <c r="P42" s="334">
        <f>SUM(P37:P41)</f>
        <v>460</v>
      </c>
    </row>
    <row r="43" spans="1:17" x14ac:dyDescent="0.2">
      <c r="A43" s="34" t="s">
        <v>48</v>
      </c>
      <c r="B43" s="72"/>
      <c r="C43" s="72"/>
      <c r="D43" s="72"/>
      <c r="E43" s="72"/>
      <c r="F43" s="72"/>
      <c r="G43" s="334">
        <f>SUM(G44:G49)</f>
        <v>24823.800000000003</v>
      </c>
      <c r="H43" s="21"/>
      <c r="J43" s="34" t="s">
        <v>48</v>
      </c>
      <c r="K43" s="72"/>
      <c r="L43" s="72"/>
      <c r="M43" s="72"/>
      <c r="N43" s="72"/>
      <c r="O43" s="72"/>
      <c r="P43" s="334">
        <f>SUM(P44:P49)</f>
        <v>2758.2</v>
      </c>
    </row>
    <row r="44" spans="1:17" x14ac:dyDescent="0.2">
      <c r="A44" s="34" t="s">
        <v>27</v>
      </c>
      <c r="B44" s="72">
        <v>2397</v>
      </c>
      <c r="C44" s="72">
        <v>2786</v>
      </c>
      <c r="D44" s="72">
        <v>1415</v>
      </c>
      <c r="E44" s="72">
        <v>622</v>
      </c>
      <c r="F44" s="72">
        <v>193</v>
      </c>
      <c r="G44" s="334">
        <f t="shared" ref="G44:G49" si="14">AVERAGE(B44:F44)</f>
        <v>1482.6</v>
      </c>
      <c r="H44" s="21">
        <f t="shared" si="12"/>
        <v>1482.6</v>
      </c>
      <c r="J44" s="34" t="s">
        <v>27</v>
      </c>
      <c r="K44" s="72">
        <v>348</v>
      </c>
      <c r="L44" s="72">
        <v>404</v>
      </c>
      <c r="M44" s="72">
        <v>205</v>
      </c>
      <c r="N44" s="72">
        <v>90</v>
      </c>
      <c r="O44" s="72">
        <v>28</v>
      </c>
      <c r="P44" s="334">
        <f t="shared" ref="P44:P49" si="15">AVERAGE(K44:O44)</f>
        <v>215</v>
      </c>
      <c r="Q44">
        <f t="shared" si="13"/>
        <v>215</v>
      </c>
    </row>
    <row r="45" spans="1:17" x14ac:dyDescent="0.2">
      <c r="A45" s="34" t="s">
        <v>33</v>
      </c>
      <c r="B45" s="72">
        <v>1087</v>
      </c>
      <c r="C45" s="72">
        <v>1263</v>
      </c>
      <c r="D45" s="72">
        <v>641</v>
      </c>
      <c r="E45" s="72">
        <v>282</v>
      </c>
      <c r="F45" s="72">
        <v>87</v>
      </c>
      <c r="G45" s="334">
        <f t="shared" si="14"/>
        <v>672</v>
      </c>
      <c r="H45" s="21">
        <f t="shared" si="12"/>
        <v>672</v>
      </c>
      <c r="J45" s="34" t="s">
        <v>33</v>
      </c>
      <c r="K45" s="72">
        <v>158</v>
      </c>
      <c r="L45" s="72">
        <v>183</v>
      </c>
      <c r="M45" s="72">
        <v>93</v>
      </c>
      <c r="N45" s="72">
        <v>41</v>
      </c>
      <c r="O45" s="72">
        <v>13</v>
      </c>
      <c r="P45" s="334">
        <f t="shared" si="15"/>
        <v>97.6</v>
      </c>
      <c r="Q45">
        <f t="shared" si="13"/>
        <v>97.6</v>
      </c>
    </row>
    <row r="46" spans="1:17" x14ac:dyDescent="0.2">
      <c r="A46" s="34" t="s">
        <v>100</v>
      </c>
      <c r="B46" s="72">
        <v>23214</v>
      </c>
      <c r="C46" s="72">
        <v>26976</v>
      </c>
      <c r="D46" s="72">
        <v>13699</v>
      </c>
      <c r="E46" s="72">
        <v>6027</v>
      </c>
      <c r="F46" s="72">
        <v>1865</v>
      </c>
      <c r="G46" s="334">
        <f t="shared" si="14"/>
        <v>14356.2</v>
      </c>
      <c r="H46" s="21">
        <f t="shared" si="12"/>
        <v>14356.2</v>
      </c>
      <c r="J46" s="34" t="s">
        <v>100</v>
      </c>
      <c r="K46" s="72">
        <v>2328</v>
      </c>
      <c r="L46" s="72">
        <v>2706</v>
      </c>
      <c r="M46" s="72">
        <v>1374</v>
      </c>
      <c r="N46" s="72">
        <v>605</v>
      </c>
      <c r="O46" s="72">
        <v>187</v>
      </c>
      <c r="P46" s="334">
        <f t="shared" si="15"/>
        <v>1440</v>
      </c>
      <c r="Q46">
        <f t="shared" si="13"/>
        <v>1440</v>
      </c>
    </row>
    <row r="47" spans="1:17" x14ac:dyDescent="0.2">
      <c r="A47" s="34" t="s">
        <v>87</v>
      </c>
      <c r="B47" s="72">
        <v>3219</v>
      </c>
      <c r="C47" s="72">
        <v>3956</v>
      </c>
      <c r="D47" s="72">
        <v>1949</v>
      </c>
      <c r="E47" s="72">
        <v>828</v>
      </c>
      <c r="F47" s="72">
        <v>238</v>
      </c>
      <c r="G47" s="334">
        <f t="shared" si="14"/>
        <v>2038</v>
      </c>
      <c r="H47" s="21">
        <f t="shared" si="12"/>
        <v>2038</v>
      </c>
      <c r="J47" s="34" t="s">
        <v>87</v>
      </c>
      <c r="K47" s="72">
        <v>878</v>
      </c>
      <c r="L47" s="72">
        <v>1079</v>
      </c>
      <c r="M47" s="72">
        <v>532</v>
      </c>
      <c r="N47" s="72">
        <v>226</v>
      </c>
      <c r="O47" s="72">
        <v>65</v>
      </c>
      <c r="P47" s="334">
        <f t="shared" si="15"/>
        <v>556</v>
      </c>
      <c r="Q47">
        <f t="shared" si="13"/>
        <v>556</v>
      </c>
    </row>
    <row r="48" spans="1:17" x14ac:dyDescent="0.2">
      <c r="A48" s="34" t="s">
        <v>32</v>
      </c>
      <c r="B48" s="72">
        <v>8823</v>
      </c>
      <c r="C48" s="72">
        <v>10253</v>
      </c>
      <c r="D48" s="72">
        <v>5207</v>
      </c>
      <c r="E48" s="72">
        <v>2291</v>
      </c>
      <c r="F48" s="72">
        <v>709</v>
      </c>
      <c r="G48" s="334">
        <f t="shared" si="14"/>
        <v>5456.6</v>
      </c>
      <c r="H48" s="21">
        <f t="shared" si="12"/>
        <v>5456.6</v>
      </c>
      <c r="J48" s="34" t="s">
        <v>32</v>
      </c>
      <c r="K48" s="72">
        <v>547</v>
      </c>
      <c r="L48" s="72">
        <v>636</v>
      </c>
      <c r="M48" s="72">
        <v>323</v>
      </c>
      <c r="N48" s="72">
        <v>142</v>
      </c>
      <c r="O48" s="72">
        <v>44</v>
      </c>
      <c r="P48" s="334">
        <f t="shared" si="15"/>
        <v>338.4</v>
      </c>
      <c r="Q48">
        <f t="shared" si="13"/>
        <v>338.4</v>
      </c>
    </row>
    <row r="49" spans="1:17" x14ac:dyDescent="0.2">
      <c r="A49" s="34" t="s">
        <v>88</v>
      </c>
      <c r="B49" s="72">
        <v>1323</v>
      </c>
      <c r="C49" s="72">
        <v>1537</v>
      </c>
      <c r="D49" s="72">
        <v>781</v>
      </c>
      <c r="E49" s="72">
        <v>344</v>
      </c>
      <c r="F49" s="72">
        <v>107</v>
      </c>
      <c r="G49" s="334">
        <f t="shared" si="14"/>
        <v>818.4</v>
      </c>
      <c r="H49" s="21">
        <f t="shared" si="12"/>
        <v>818.4</v>
      </c>
      <c r="J49" s="34" t="s">
        <v>88</v>
      </c>
      <c r="K49" s="72">
        <v>180</v>
      </c>
      <c r="L49" s="72">
        <v>209</v>
      </c>
      <c r="M49" s="72">
        <v>106</v>
      </c>
      <c r="N49" s="72">
        <v>47</v>
      </c>
      <c r="O49" s="72">
        <v>14</v>
      </c>
      <c r="P49" s="334">
        <f t="shared" si="15"/>
        <v>111.2</v>
      </c>
      <c r="Q49">
        <f t="shared" si="13"/>
        <v>111.2</v>
      </c>
    </row>
    <row r="50" spans="1:17" ht="13.5" thickBot="1" x14ac:dyDescent="0.25">
      <c r="A50" s="337" t="s">
        <v>123</v>
      </c>
      <c r="B50" s="211"/>
      <c r="C50" s="211"/>
      <c r="D50" s="211"/>
      <c r="E50" s="211"/>
      <c r="F50" s="211"/>
      <c r="G50" s="338">
        <f>SUM(G37:G41)+SUM(G44:G49)</f>
        <v>28814.800000000003</v>
      </c>
      <c r="H50" s="21"/>
      <c r="J50" s="337" t="s">
        <v>132</v>
      </c>
      <c r="K50" s="211"/>
      <c r="L50" s="211"/>
      <c r="M50" s="211"/>
      <c r="N50" s="211"/>
      <c r="O50" s="211"/>
      <c r="P50" s="338">
        <f>SUM(P37:P41)+SUM(P44:P49)</f>
        <v>3218.2</v>
      </c>
    </row>
    <row r="52" spans="1:17" x14ac:dyDescent="0.2">
      <c r="A52" s="70"/>
      <c r="B52" s="70"/>
      <c r="C52" s="70" t="s">
        <v>760</v>
      </c>
      <c r="D52" s="70"/>
      <c r="E52" s="70"/>
      <c r="F52" s="70"/>
    </row>
    <row r="53" spans="1:17" x14ac:dyDescent="0.2">
      <c r="A53" s="235" t="s">
        <v>759</v>
      </c>
      <c r="B53" s="235">
        <v>1996</v>
      </c>
      <c r="C53" s="235">
        <v>1997</v>
      </c>
      <c r="D53" s="235">
        <v>1998</v>
      </c>
      <c r="E53" s="235">
        <v>1999</v>
      </c>
      <c r="F53" s="235">
        <v>2000</v>
      </c>
    </row>
    <row r="54" spans="1:17" x14ac:dyDescent="0.2">
      <c r="A54" s="159" t="s">
        <v>42</v>
      </c>
      <c r="B54" s="343">
        <f>(B5+B21+B37)/2.2046</f>
        <v>2217.1822552844051</v>
      </c>
      <c r="C54" s="343">
        <f>(C5+C21+C37)/2.2046</f>
        <v>2576.8846956363964</v>
      </c>
      <c r="D54" s="343">
        <f>(D5+D21+D37)/2.2046</f>
        <v>1308.1738183797513</v>
      </c>
      <c r="E54" s="343">
        <f>(E5+E21+E37)/2.2046</f>
        <v>575.61462396806678</v>
      </c>
      <c r="F54" s="343">
        <f>(F5+F21+F37)/2.2046</f>
        <v>178.71722761498683</v>
      </c>
    </row>
    <row r="55" spans="1:17" x14ac:dyDescent="0.2">
      <c r="A55" s="159" t="s">
        <v>36</v>
      </c>
      <c r="B55" s="343">
        <f>(B6+B22+B38)/2.2046</f>
        <v>318.42511113127097</v>
      </c>
      <c r="C55" s="343">
        <f t="shared" ref="C55:F55" si="16">(C6+C22+C38)/2.2046</f>
        <v>369.68157488886874</v>
      </c>
      <c r="D55" s="343">
        <f t="shared" si="16"/>
        <v>187.33557107865371</v>
      </c>
      <c r="E55" s="343">
        <f t="shared" si="16"/>
        <v>82.554658441440623</v>
      </c>
      <c r="F55" s="343">
        <f t="shared" si="16"/>
        <v>25.855030391000632</v>
      </c>
    </row>
    <row r="56" spans="1:17" x14ac:dyDescent="0.2">
      <c r="A56" s="159" t="s">
        <v>34</v>
      </c>
      <c r="B56" s="343">
        <f>(B7+B23+B39)/2.2046</f>
        <v>2610.9044724666605</v>
      </c>
      <c r="C56" s="343">
        <f t="shared" ref="C56:F56" si="17">(C7+C23+C39)/2.2046</f>
        <v>3033.6568992107409</v>
      </c>
      <c r="D56" s="343">
        <f t="shared" si="17"/>
        <v>1540.869091898757</v>
      </c>
      <c r="E56" s="343">
        <f t="shared" si="17"/>
        <v>677.6739544588587</v>
      </c>
      <c r="F56" s="343">
        <f t="shared" si="17"/>
        <v>209.56182527442618</v>
      </c>
    </row>
    <row r="57" spans="1:17" x14ac:dyDescent="0.2">
      <c r="A57" s="159" t="s">
        <v>35</v>
      </c>
      <c r="B57" s="343">
        <f>(B8+B24+B40)/2.2046</f>
        <v>2227.614986845686</v>
      </c>
      <c r="C57" s="343">
        <f t="shared" ref="C57:F57" si="18">(C8+C24+C40)/2.2046</f>
        <v>2589.1318152952917</v>
      </c>
      <c r="D57" s="343">
        <f t="shared" si="18"/>
        <v>1314.5241767214006</v>
      </c>
      <c r="E57" s="343">
        <f t="shared" si="18"/>
        <v>578.33620611448782</v>
      </c>
      <c r="F57" s="343">
        <f t="shared" si="18"/>
        <v>179.62442166379387</v>
      </c>
    </row>
    <row r="58" spans="1:17" x14ac:dyDescent="0.2">
      <c r="A58" s="159" t="s">
        <v>761</v>
      </c>
      <c r="B58" s="343">
        <f>(B9+B25+B41+B13+B29+B45)/2.2046</f>
        <v>2260.2739726027398</v>
      </c>
      <c r="C58" s="343">
        <f t="shared" ref="C58:F58" si="19">(C9+C25+C41+C13+C29+C45)/2.2046</f>
        <v>2626.3267712963802</v>
      </c>
      <c r="D58" s="343">
        <f t="shared" si="19"/>
        <v>1334.0288487707519</v>
      </c>
      <c r="E58" s="343">
        <f t="shared" si="19"/>
        <v>586.50095255375118</v>
      </c>
      <c r="F58" s="343">
        <f t="shared" si="19"/>
        <v>180.98521273700445</v>
      </c>
    </row>
    <row r="59" spans="1:17" x14ac:dyDescent="0.2">
      <c r="A59" s="159" t="s">
        <v>27</v>
      </c>
      <c r="B59" s="343">
        <f>(B12+B28+B44)/2.2046</f>
        <v>2625.8731742719765</v>
      </c>
      <c r="C59" s="343">
        <f t="shared" ref="C59:F59" si="20">(C12+C28+C44)/2.2046</f>
        <v>3051.3471831624784</v>
      </c>
      <c r="D59" s="343">
        <f t="shared" si="20"/>
        <v>1549.4874353624239</v>
      </c>
      <c r="E59" s="343">
        <f t="shared" si="20"/>
        <v>681.30273065408687</v>
      </c>
      <c r="F59" s="343">
        <f t="shared" si="20"/>
        <v>211.37621337204027</v>
      </c>
    </row>
    <row r="60" spans="1:17" x14ac:dyDescent="0.2">
      <c r="A60" s="159" t="s">
        <v>100</v>
      </c>
      <c r="B60" s="343">
        <f>(B14+B30+B46)/2.2046</f>
        <v>22145.060328404245</v>
      </c>
      <c r="C60" s="343">
        <f t="shared" ref="C60:F60" si="21">(C14+C30+C46)/2.2046</f>
        <v>25733.466388460489</v>
      </c>
      <c r="D60" s="343">
        <f t="shared" si="21"/>
        <v>13068.130273065408</v>
      </c>
      <c r="E60" s="343">
        <f t="shared" si="21"/>
        <v>5749.3422843146145</v>
      </c>
      <c r="F60" s="343">
        <f t="shared" si="21"/>
        <v>1779.4611267350085</v>
      </c>
    </row>
    <row r="61" spans="1:17" x14ac:dyDescent="0.2">
      <c r="A61" s="159" t="s">
        <v>87</v>
      </c>
      <c r="B61" s="343">
        <f>(B15+B31+B47)/2.2046</f>
        <v>4799.0565181892407</v>
      </c>
      <c r="C61" s="343">
        <f t="shared" ref="C61:F61" si="22">(C15+C31+C47)/2.2046</f>
        <v>5897.6685112945652</v>
      </c>
      <c r="D61" s="343">
        <f t="shared" si="22"/>
        <v>2906.196135353352</v>
      </c>
      <c r="E61" s="343">
        <f t="shared" si="22"/>
        <v>1233.7839063775741</v>
      </c>
      <c r="F61" s="343">
        <f t="shared" si="22"/>
        <v>354.71287308355255</v>
      </c>
    </row>
    <row r="62" spans="1:17" x14ac:dyDescent="0.2">
      <c r="A62" s="159" t="s">
        <v>32</v>
      </c>
      <c r="B62" s="343">
        <f>(B16+B32+B48)/2.2046</f>
        <v>20768.846956363966</v>
      </c>
      <c r="C62" s="343">
        <f t="shared" ref="C62:F62" si="23">(C16+C32+C48)/2.2046</f>
        <v>24134.083280413681</v>
      </c>
      <c r="D62" s="343">
        <f t="shared" si="23"/>
        <v>12256.191599383108</v>
      </c>
      <c r="E62" s="343">
        <f t="shared" si="23"/>
        <v>5392.3614261090443</v>
      </c>
      <c r="F62" s="343">
        <f t="shared" si="23"/>
        <v>1668.7834527805496</v>
      </c>
    </row>
    <row r="63" spans="1:17" x14ac:dyDescent="0.2">
      <c r="A63" s="159" t="s">
        <v>88</v>
      </c>
      <c r="B63" s="343">
        <f>(B17+B33+B49)/2.2046</f>
        <v>1371.6774017962441</v>
      </c>
      <c r="C63" s="343">
        <f t="shared" ref="C63:F63" si="24">(C17+C33+C49)/2.2046</f>
        <v>1593.4863467295654</v>
      </c>
      <c r="D63" s="343">
        <f t="shared" si="24"/>
        <v>809.670688560283</v>
      </c>
      <c r="E63" s="343">
        <f t="shared" si="24"/>
        <v>356.07366415676313</v>
      </c>
      <c r="F63" s="343">
        <f t="shared" si="24"/>
        <v>110.67767395445885</v>
      </c>
    </row>
    <row r="64" spans="1:17" x14ac:dyDescent="0.2">
      <c r="A64" s="72"/>
      <c r="B64" s="343">
        <f>SUM(B54:B63)</f>
        <v>61344.91517735643</v>
      </c>
      <c r="C64" s="343">
        <f t="shared" ref="C64:F64" si="25">SUM(C54:C63)</f>
        <v>71605.733466388454</v>
      </c>
      <c r="D64" s="343">
        <f t="shared" si="25"/>
        <v>36274.607638573892</v>
      </c>
      <c r="E64" s="343">
        <f t="shared" si="25"/>
        <v>15913.544407148687</v>
      </c>
      <c r="F64" s="343">
        <f t="shared" si="25"/>
        <v>4899.7550576068215</v>
      </c>
    </row>
  </sheetData>
  <mergeCells count="8">
    <mergeCell ref="B3:G3"/>
    <mergeCell ref="B19:G19"/>
    <mergeCell ref="B35:G35"/>
    <mergeCell ref="B2:G2"/>
    <mergeCell ref="K2:P2"/>
    <mergeCell ref="K3:P3"/>
    <mergeCell ref="K19:P19"/>
    <mergeCell ref="K35:P3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59"/>
  <sheetViews>
    <sheetView workbookViewId="0">
      <selection activeCell="E3" sqref="E3"/>
    </sheetView>
  </sheetViews>
  <sheetFormatPr defaultRowHeight="12.75" x14ac:dyDescent="0.2"/>
  <cols>
    <col min="1" max="1" width="21.7109375" customWidth="1"/>
    <col min="2" max="2" width="13.140625" customWidth="1"/>
    <col min="3" max="3" width="15.140625" customWidth="1"/>
    <col min="4" max="4" width="14.42578125" customWidth="1"/>
    <col min="5" max="5" width="13.85546875" customWidth="1"/>
    <col min="6" max="6" width="13.42578125" customWidth="1"/>
    <col min="7" max="7" width="14.5703125" customWidth="1"/>
    <col min="8" max="8" width="13.42578125" customWidth="1"/>
    <col min="9" max="9" width="13.85546875" customWidth="1"/>
    <col min="10" max="10" width="13.42578125" customWidth="1"/>
    <col min="11" max="11" width="12.140625" customWidth="1"/>
    <col min="12" max="12" width="12.85546875" customWidth="1"/>
    <col min="13" max="15" width="12" customWidth="1"/>
    <col min="16" max="16" width="13.7109375" customWidth="1"/>
    <col min="17" max="17" width="13.28515625" customWidth="1"/>
    <col min="18" max="18" width="13.5703125" customWidth="1"/>
    <col min="19" max="19" width="14.7109375" customWidth="1"/>
    <col min="20" max="20" width="12.85546875" customWidth="1"/>
  </cols>
  <sheetData>
    <row r="1" spans="1:20" x14ac:dyDescent="0.2">
      <c r="A1" s="367" t="s">
        <v>351</v>
      </c>
      <c r="B1" s="375" t="s">
        <v>376</v>
      </c>
      <c r="C1" s="367"/>
      <c r="D1" s="367"/>
      <c r="E1" s="367"/>
    </row>
    <row r="2" spans="1:20" ht="76.5" x14ac:dyDescent="0.2">
      <c r="A2" s="374" t="s">
        <v>298</v>
      </c>
      <c r="B2" s="342" t="s">
        <v>301</v>
      </c>
      <c r="C2" s="342" t="s">
        <v>299</v>
      </c>
      <c r="D2" s="342" t="s">
        <v>318</v>
      </c>
      <c r="E2" s="342" t="s">
        <v>314</v>
      </c>
      <c r="F2" s="342" t="s">
        <v>309</v>
      </c>
      <c r="G2" s="342" t="s">
        <v>310</v>
      </c>
      <c r="H2" s="342" t="s">
        <v>311</v>
      </c>
      <c r="I2" s="342" t="s">
        <v>312</v>
      </c>
      <c r="J2" s="342" t="s">
        <v>313</v>
      </c>
      <c r="K2" s="342" t="s">
        <v>303</v>
      </c>
      <c r="L2" s="342" t="s">
        <v>304</v>
      </c>
      <c r="M2" s="342" t="s">
        <v>305</v>
      </c>
      <c r="N2" s="342" t="s">
        <v>306</v>
      </c>
      <c r="O2" s="342" t="s">
        <v>307</v>
      </c>
      <c r="P2" s="342" t="s">
        <v>308</v>
      </c>
      <c r="Q2" s="342" t="s">
        <v>302</v>
      </c>
      <c r="R2" s="342" t="s">
        <v>315</v>
      </c>
      <c r="S2" s="342" t="s">
        <v>316</v>
      </c>
      <c r="T2" s="342" t="s">
        <v>317</v>
      </c>
    </row>
    <row r="3" spans="1:20" x14ac:dyDescent="0.2">
      <c r="A3" s="72" t="s">
        <v>62</v>
      </c>
      <c r="B3" s="125">
        <f>'Newnans LU'!D18</f>
        <v>26.675057155499999</v>
      </c>
      <c r="C3" s="205">
        <f>'Newnans LU'!F18</f>
        <v>8.7611354731230787E-2</v>
      </c>
      <c r="D3" s="125">
        <f>C3*'Newnans Lake BMAP TP'!E12</f>
        <v>2.9787860608618466</v>
      </c>
      <c r="E3" s="125">
        <f>'Newnans LU'!D16</f>
        <v>1486.8937456599999</v>
      </c>
      <c r="F3" s="205">
        <f>'Newnans LU'!F16</f>
        <v>0.80427026012917358</v>
      </c>
      <c r="G3" s="125">
        <f>F3*'Newnans Lake BMAP TP'!E$13</f>
        <v>119.83626875924686</v>
      </c>
      <c r="H3" s="125">
        <f>'Newnans LU'!D17</f>
        <v>403.4</v>
      </c>
      <c r="I3" s="205">
        <f>'Newnans LU'!F17</f>
        <v>0.42648803425735754</v>
      </c>
      <c r="J3" s="125">
        <f>I3*'Newnans Lake BMAP TP'!E14</f>
        <v>89.647784800896545</v>
      </c>
      <c r="K3" s="125">
        <f>'Newnans LU'!D15</f>
        <v>99.74</v>
      </c>
      <c r="L3" s="205">
        <f>'Newnans LU'!F15</f>
        <v>0.29109607410073407</v>
      </c>
      <c r="M3" s="125">
        <f>L3*'Newnans Lake BMAP TP'!E15</f>
        <v>9.1404167267630498</v>
      </c>
      <c r="N3" s="204">
        <f>'Newnans LU'!D19</f>
        <v>3.33241738471E-2</v>
      </c>
      <c r="O3" s="205">
        <f>'Newnans LU'!F19</f>
        <v>1</v>
      </c>
      <c r="P3" s="206">
        <f>O3*'Newnans Lake BMAP TP'!E17</f>
        <v>0</v>
      </c>
      <c r="Q3" s="369">
        <f>'Newnans LU'!D14</f>
        <v>5.3685177681600003</v>
      </c>
      <c r="R3" s="205">
        <f>'Newnans LU'!F14</f>
        <v>2.3270651357656078E-2</v>
      </c>
      <c r="S3" s="125">
        <f>R3*'Newnans Lake BMAP TP'!E$16</f>
        <v>0.82378105806102508</v>
      </c>
      <c r="T3" s="147">
        <f>D3+G3+J3+M3+P3+S3</f>
        <v>222.42703740582934</v>
      </c>
    </row>
    <row r="4" spans="1:20" x14ac:dyDescent="0.2">
      <c r="A4" s="72" t="s">
        <v>119</v>
      </c>
      <c r="B4" s="125" t="s">
        <v>128</v>
      </c>
      <c r="C4" s="205" t="s">
        <v>128</v>
      </c>
      <c r="D4" s="125" t="s">
        <v>128</v>
      </c>
      <c r="E4" s="125" t="s">
        <v>128</v>
      </c>
      <c r="F4" s="205"/>
      <c r="G4" s="370" t="s">
        <v>128</v>
      </c>
      <c r="H4" s="125" t="s">
        <v>128</v>
      </c>
      <c r="I4" s="205" t="s">
        <v>128</v>
      </c>
      <c r="J4" s="125"/>
      <c r="K4" s="125" t="s">
        <v>128</v>
      </c>
      <c r="L4" s="208" t="s">
        <v>128</v>
      </c>
      <c r="M4" s="371" t="s">
        <v>128</v>
      </c>
      <c r="N4" s="206" t="s">
        <v>128</v>
      </c>
      <c r="O4" s="206" t="s">
        <v>128</v>
      </c>
      <c r="P4" s="206" t="s">
        <v>128</v>
      </c>
      <c r="Q4" s="369">
        <f>'Newnans LU'!D38</f>
        <v>196.83480787100001</v>
      </c>
      <c r="R4" s="205">
        <f>'Newnans LU'!E38</f>
        <v>0.8532102131026692</v>
      </c>
      <c r="S4" s="125">
        <f>R4*'Newnans Lake BMAP TP'!E$16</f>
        <v>30.20364154383449</v>
      </c>
      <c r="T4" s="147">
        <f>S4</f>
        <v>30.20364154383449</v>
      </c>
    </row>
    <row r="5" spans="1:20" x14ac:dyDescent="0.2">
      <c r="A5" s="159" t="s">
        <v>67</v>
      </c>
      <c r="B5" s="371" t="s">
        <v>128</v>
      </c>
      <c r="C5" s="208" t="s">
        <v>128</v>
      </c>
      <c r="D5" s="371" t="s">
        <v>128</v>
      </c>
      <c r="E5" s="371" t="s">
        <v>128</v>
      </c>
      <c r="F5" s="208" t="s">
        <v>128</v>
      </c>
      <c r="G5" s="371" t="s">
        <v>128</v>
      </c>
      <c r="H5" s="371" t="s">
        <v>128</v>
      </c>
      <c r="I5" s="208" t="s">
        <v>128</v>
      </c>
      <c r="J5" s="371" t="s">
        <v>128</v>
      </c>
      <c r="K5" s="371" t="s">
        <v>128</v>
      </c>
      <c r="L5" s="208" t="s">
        <v>128</v>
      </c>
      <c r="M5" s="371" t="s">
        <v>128</v>
      </c>
      <c r="N5" s="149" t="s">
        <v>128</v>
      </c>
      <c r="O5" s="149" t="s">
        <v>128</v>
      </c>
      <c r="P5" s="149" t="s">
        <v>128</v>
      </c>
      <c r="Q5" s="372" t="s">
        <v>128</v>
      </c>
      <c r="R5" s="205" t="s">
        <v>128</v>
      </c>
      <c r="S5" s="125" t="s">
        <v>128</v>
      </c>
      <c r="T5" s="363" t="s">
        <v>128</v>
      </c>
    </row>
    <row r="6" spans="1:20" x14ac:dyDescent="0.2">
      <c r="A6" s="159" t="s">
        <v>66</v>
      </c>
      <c r="B6" s="125">
        <f>'Newnans LU'!D35</f>
        <v>277.79526221499998</v>
      </c>
      <c r="C6" s="205">
        <f>'Newnans LU'!F35</f>
        <v>0.91238864526876928</v>
      </c>
      <c r="D6" s="125">
        <f>C6*'Newnans Lake BMAP TP'!E12</f>
        <v>31.021213939138157</v>
      </c>
      <c r="E6" s="125">
        <f>'Newnans LU'!D33</f>
        <v>361.85513810600003</v>
      </c>
      <c r="F6" s="205">
        <f>'Newnans LU'!F33</f>
        <v>0.19572973987082651</v>
      </c>
      <c r="G6" s="125">
        <f>F6*'Newnans Lake BMAP TP'!E$13</f>
        <v>29.163731240753151</v>
      </c>
      <c r="H6" s="125">
        <f>'Newnans LU'!D34</f>
        <v>542.5</v>
      </c>
      <c r="I6" s="205">
        <f>'Newnans LU'!F34</f>
        <v>0.57354922802334285</v>
      </c>
      <c r="J6" s="125">
        <f>I6*'Newnans Lake BMAP TP'!E14</f>
        <v>120.56004773050667</v>
      </c>
      <c r="K6" s="125">
        <f>'Newnans LU'!D32</f>
        <v>242.86140976999999</v>
      </c>
      <c r="L6" s="205">
        <f>'Newnans LU'!F32</f>
        <v>0.70890392589926587</v>
      </c>
      <c r="M6" s="125">
        <f>L6*'Newnans Lake BMAP TP'!E15</f>
        <v>22.259583273236949</v>
      </c>
      <c r="N6" s="206" t="s">
        <v>128</v>
      </c>
      <c r="O6" s="206" t="s">
        <v>128</v>
      </c>
      <c r="P6" s="206" t="s">
        <v>128</v>
      </c>
      <c r="Q6" s="369">
        <f>'Newnans LU'!D31</f>
        <v>28.495749959299999</v>
      </c>
      <c r="R6" s="205">
        <f>'Newnans LU'!F31</f>
        <v>0.12351913553967472</v>
      </c>
      <c r="S6" s="125">
        <f>R6*'Newnans Lake BMAP TP'!E$16</f>
        <v>4.3725773981044851</v>
      </c>
      <c r="T6" s="147">
        <f>D6+G6+J6+M6+S6</f>
        <v>207.37715358173941</v>
      </c>
    </row>
    <row r="7" spans="1:20" x14ac:dyDescent="0.2">
      <c r="A7" s="72" t="s">
        <v>68</v>
      </c>
      <c r="B7" s="206"/>
      <c r="C7" s="205">
        <v>0.99999999999912725</v>
      </c>
      <c r="D7" s="125">
        <f>SUM(D3:D6)</f>
        <v>34</v>
      </c>
      <c r="E7" s="125"/>
      <c r="F7" s="205">
        <v>1.0000000000007945</v>
      </c>
      <c r="G7" s="125">
        <f>SUM(G3:G6)</f>
        <v>149</v>
      </c>
      <c r="H7" s="125"/>
      <c r="I7" s="205">
        <v>1.0000000000017311</v>
      </c>
      <c r="J7" s="125">
        <f>SUM(J3:J6)</f>
        <v>210.2078325314032</v>
      </c>
      <c r="K7" s="125"/>
      <c r="L7" s="205">
        <v>1.000000000000286</v>
      </c>
      <c r="M7" s="125">
        <f>SUM(M3:M6)</f>
        <v>31.4</v>
      </c>
      <c r="N7" s="206"/>
      <c r="O7" s="205">
        <f>SUM(O3:O6)</f>
        <v>1</v>
      </c>
      <c r="P7" s="206">
        <v>7</v>
      </c>
      <c r="Q7" s="369"/>
      <c r="R7" s="205">
        <f>SUM(R3:R6)</f>
        <v>1</v>
      </c>
      <c r="S7" s="125">
        <f>SUM(S3:S6)</f>
        <v>35.4</v>
      </c>
      <c r="T7" s="147">
        <f>SUM(T3:T6)</f>
        <v>460.00783253140321</v>
      </c>
    </row>
    <row r="8" spans="1:20" x14ac:dyDescent="0.2">
      <c r="B8" s="373"/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3"/>
      <c r="R8" s="373"/>
      <c r="S8" s="373"/>
      <c r="T8" s="373"/>
    </row>
    <row r="9" spans="1:20" x14ac:dyDescent="0.2">
      <c r="B9" s="373"/>
      <c r="C9" s="373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3"/>
      <c r="R9" s="373"/>
      <c r="S9" s="373"/>
      <c r="T9" s="373"/>
    </row>
    <row r="10" spans="1:20" x14ac:dyDescent="0.2">
      <c r="A10" s="367" t="s">
        <v>351</v>
      </c>
      <c r="B10" s="715" t="s">
        <v>377</v>
      </c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</row>
    <row r="11" spans="1:20" ht="76.5" x14ac:dyDescent="0.2">
      <c r="A11" s="374" t="s">
        <v>298</v>
      </c>
      <c r="B11" s="342" t="s">
        <v>301</v>
      </c>
      <c r="C11" s="342" t="s">
        <v>299</v>
      </c>
      <c r="D11" s="342" t="s">
        <v>318</v>
      </c>
      <c r="E11" s="342" t="s">
        <v>314</v>
      </c>
      <c r="F11" s="342" t="s">
        <v>309</v>
      </c>
      <c r="G11" s="342" t="s">
        <v>310</v>
      </c>
      <c r="H11" s="342" t="s">
        <v>311</v>
      </c>
      <c r="I11" s="342" t="s">
        <v>312</v>
      </c>
      <c r="J11" s="342" t="s">
        <v>313</v>
      </c>
      <c r="K11" s="342" t="s">
        <v>303</v>
      </c>
      <c r="L11" s="342" t="s">
        <v>304</v>
      </c>
      <c r="M11" s="342" t="s">
        <v>305</v>
      </c>
      <c r="N11" s="342" t="s">
        <v>306</v>
      </c>
      <c r="O11" s="342" t="s">
        <v>307</v>
      </c>
      <c r="P11" s="342" t="s">
        <v>308</v>
      </c>
      <c r="Q11" s="342" t="s">
        <v>302</v>
      </c>
      <c r="R11" s="342" t="s">
        <v>315</v>
      </c>
      <c r="S11" s="342" t="s">
        <v>316</v>
      </c>
      <c r="T11" s="342" t="s">
        <v>317</v>
      </c>
    </row>
    <row r="12" spans="1:20" x14ac:dyDescent="0.2">
      <c r="A12" s="72" t="s">
        <v>62</v>
      </c>
      <c r="B12" s="125">
        <f>'Newnans LU'!D7</f>
        <v>280.83585518500001</v>
      </c>
      <c r="C12" s="205">
        <f>'Newnans LU'!F7</f>
        <v>0.82550768684687781</v>
      </c>
      <c r="D12" s="125">
        <f>C12*'Newnans Lake BMAP TP'!E$26</f>
        <v>26.911550591208218</v>
      </c>
      <c r="E12" s="125">
        <f>'Newnans LU'!D5</f>
        <v>1812.44421102</v>
      </c>
      <c r="F12" s="205">
        <f>'Newnans LU'!F5</f>
        <v>0.90511461173809848</v>
      </c>
      <c r="G12" s="125">
        <f>F12*'Newnans Lake BMAP TP'!E$27</f>
        <v>206.7281773209817</v>
      </c>
      <c r="H12" s="125">
        <f>'Newnans LU'!D6</f>
        <v>142.900985088</v>
      </c>
      <c r="I12" s="205">
        <f>'Newnans LU'!F6</f>
        <v>0.85634772811213411</v>
      </c>
      <c r="J12" s="125">
        <f>I12*'Newnans Lake BMAP TP'!E$28</f>
        <v>65.082427336522187</v>
      </c>
      <c r="K12" s="125">
        <f>'Newnans LU'!D4</f>
        <v>57.427694150599997</v>
      </c>
      <c r="L12" s="205">
        <f>'Newnans LU'!F4</f>
        <v>0.1849563548547698</v>
      </c>
      <c r="M12" s="125">
        <f>L12*'Newnans Lake BMAP TP'!E29</f>
        <v>1.77558100660579</v>
      </c>
      <c r="N12" s="204">
        <f>'Newnans LU'!D8</f>
        <v>15.5313258738</v>
      </c>
      <c r="O12" s="205">
        <f>'Newnans LU'!F8</f>
        <v>1</v>
      </c>
      <c r="P12" s="206">
        <f>O12*'Newnans Lake BMAP TP'!E31</f>
        <v>4</v>
      </c>
      <c r="Q12" s="369">
        <f>'Newnans LU'!D3</f>
        <v>80.138620946299994</v>
      </c>
      <c r="R12" s="205">
        <f>'Newnans LU'!F3</f>
        <v>0.19180791967513688</v>
      </c>
      <c r="S12" s="125">
        <f>R12*'Newnans Lake BMAP TP'!E30</f>
        <v>13.656723880869746</v>
      </c>
      <c r="T12" s="147">
        <f>D12+G12+J12+M12+P12+S12</f>
        <v>318.15446013618759</v>
      </c>
    </row>
    <row r="13" spans="1:20" x14ac:dyDescent="0.2">
      <c r="A13" s="72" t="s">
        <v>119</v>
      </c>
      <c r="B13" s="125" t="s">
        <v>128</v>
      </c>
      <c r="C13" s="205" t="s">
        <v>128</v>
      </c>
      <c r="D13" s="125" t="s">
        <v>128</v>
      </c>
      <c r="E13" s="125" t="s">
        <v>128</v>
      </c>
      <c r="F13" s="208" t="s">
        <v>128</v>
      </c>
      <c r="G13" s="370" t="s">
        <v>128</v>
      </c>
      <c r="H13" s="125" t="s">
        <v>128</v>
      </c>
      <c r="I13" s="205" t="s">
        <v>128</v>
      </c>
      <c r="J13" s="371" t="s">
        <v>128</v>
      </c>
      <c r="K13" s="125" t="s">
        <v>128</v>
      </c>
      <c r="L13" s="208" t="s">
        <v>128</v>
      </c>
      <c r="M13" s="371" t="s">
        <v>128</v>
      </c>
      <c r="N13" s="206" t="s">
        <v>128</v>
      </c>
      <c r="O13" s="206" t="s">
        <v>128</v>
      </c>
      <c r="P13" s="206" t="s">
        <v>128</v>
      </c>
      <c r="Q13" s="369">
        <f>'Newnans LU'!D36</f>
        <v>331.058814918</v>
      </c>
      <c r="R13" s="205">
        <f>'Newnans LU'!F36</f>
        <v>0.79237328805655649</v>
      </c>
      <c r="S13" s="125">
        <f>R13*'Newnans Lake BMAP TP'!E30</f>
        <v>56.416978109626825</v>
      </c>
      <c r="T13" s="147">
        <f>S13</f>
        <v>56.416978109626825</v>
      </c>
    </row>
    <row r="14" spans="1:20" x14ac:dyDescent="0.2">
      <c r="A14" s="159" t="s">
        <v>67</v>
      </c>
      <c r="B14" s="371">
        <f>'Newnans LU'!D42</f>
        <v>4.9444967284599999</v>
      </c>
      <c r="C14" s="208">
        <f>'Newnans LU'!F42</f>
        <v>1.4496021394560224E-2</v>
      </c>
      <c r="D14" s="125">
        <f>C14*'Newnans Lake BMAP TP'!E$26</f>
        <v>0.47257029746266332</v>
      </c>
      <c r="E14" s="371">
        <f>'Newnans LU'!D40</f>
        <v>181.809303304</v>
      </c>
      <c r="F14" s="208">
        <f>'Newnans LU'!F40</f>
        <v>9.0793557103622358E-2</v>
      </c>
      <c r="G14" s="125">
        <f>F14*'Newnans Lake BMAP TP'!E$27</f>
        <v>20.737248442467347</v>
      </c>
      <c r="H14" s="371">
        <f>'Newnans LU'!D41</f>
        <v>23.971630319100001</v>
      </c>
      <c r="I14" s="208">
        <f>'Newnans LU'!F41</f>
        <v>0.14365227188786586</v>
      </c>
      <c r="J14" s="125">
        <f>I14*'Newnans Lake BMAP TP'!E$28</f>
        <v>10.917572663477806</v>
      </c>
      <c r="K14" s="371">
        <f>'Newnans LU'!D39</f>
        <v>5.0860472021499996</v>
      </c>
      <c r="L14" s="208">
        <f>'Newnans LU'!F39</f>
        <v>1.6380545904886423E-2</v>
      </c>
      <c r="M14" s="371">
        <f>L14*'Newnans Lake BMAP TP'!E29</f>
        <v>0.15725324068690966</v>
      </c>
      <c r="N14" s="149" t="s">
        <v>128</v>
      </c>
      <c r="O14" s="149" t="s">
        <v>128</v>
      </c>
      <c r="P14" s="149" t="s">
        <v>128</v>
      </c>
      <c r="Q14" s="372" t="s">
        <v>128</v>
      </c>
      <c r="R14" s="205" t="s">
        <v>128</v>
      </c>
      <c r="S14" s="125" t="s">
        <v>128</v>
      </c>
      <c r="T14" s="363">
        <f>D14+G14+J14+M14</f>
        <v>32.284644644094726</v>
      </c>
    </row>
    <row r="15" spans="1:20" x14ac:dyDescent="0.2">
      <c r="A15" s="159" t="s">
        <v>66</v>
      </c>
      <c r="B15" s="125">
        <f>'Newnans LU'!D24</f>
        <v>54.417395669900003</v>
      </c>
      <c r="C15" s="205">
        <f>'Newnans LU'!F24</f>
        <v>0.15995812907171886</v>
      </c>
      <c r="D15" s="125">
        <f>C15*'Newnans Lake BMAP TP'!E$26</f>
        <v>5.2146350077380346</v>
      </c>
      <c r="E15" s="125">
        <f>'Newnans LU'!D22</f>
        <v>8.1936759395200003</v>
      </c>
      <c r="F15" s="205">
        <f>'Newnans LU'!F22</f>
        <v>4.073399628298769E-3</v>
      </c>
      <c r="G15" s="125">
        <f>F15*'Newnans Lake BMAP TP'!E$27</f>
        <v>0.93036447510343889</v>
      </c>
      <c r="H15" s="125">
        <f>'Newnans LU'!D23</f>
        <v>0</v>
      </c>
      <c r="I15" s="205">
        <f>'Newnans LU'!F43</f>
        <v>0</v>
      </c>
      <c r="J15" s="125">
        <f>I15*'Newnans Lake BMAP TP'!E$28</f>
        <v>0</v>
      </c>
      <c r="K15" s="125">
        <f>'Newnans LU'!D21</f>
        <v>247.97947435899999</v>
      </c>
      <c r="L15" s="205">
        <f>'Newnans LU'!F21</f>
        <v>0.79866309924034384</v>
      </c>
      <c r="M15" s="125">
        <f>L15*'Newnans Lake BMAP TP'!E29</f>
        <v>7.6671657527073007</v>
      </c>
      <c r="N15" s="206" t="s">
        <v>128</v>
      </c>
      <c r="O15" s="206" t="s">
        <v>128</v>
      </c>
      <c r="P15" s="206" t="s">
        <v>128</v>
      </c>
      <c r="Q15" s="369">
        <f>'Newnans LU'!D20</f>
        <v>6.6091997839949999</v>
      </c>
      <c r="R15" s="205">
        <f>'Newnans LU'!F20</f>
        <v>1.5818792268306743E-2</v>
      </c>
      <c r="S15" s="125">
        <f>R15*'Newnans Lake BMAP TP'!E30</f>
        <v>1.1262980095034401</v>
      </c>
      <c r="T15" s="147">
        <f>D15+G15+J15+M15+S15</f>
        <v>14.938463245052215</v>
      </c>
    </row>
    <row r="16" spans="1:20" x14ac:dyDescent="0.2">
      <c r="A16" s="72" t="s">
        <v>68</v>
      </c>
      <c r="B16" s="206"/>
      <c r="C16" s="205">
        <f>SUM(C12:C15)</f>
        <v>0.99996183731315691</v>
      </c>
      <c r="D16" s="125">
        <f>SUM(D12:D15)</f>
        <v>32.598755896408917</v>
      </c>
      <c r="E16" s="125"/>
      <c r="F16" s="205">
        <v>1.0000000000007945</v>
      </c>
      <c r="G16" s="125">
        <f>SUM(G12:G15)</f>
        <v>228.39579023855248</v>
      </c>
      <c r="H16" s="125"/>
      <c r="I16" s="205">
        <f>SUM(I12:I15)</f>
        <v>1</v>
      </c>
      <c r="J16" s="125">
        <f>SUM(J12:J15)</f>
        <v>76</v>
      </c>
      <c r="K16" s="125"/>
      <c r="L16" s="205">
        <f>L12+L14+L15</f>
        <v>1</v>
      </c>
      <c r="M16" s="125">
        <f>SUM(M12:M15)</f>
        <v>9.6</v>
      </c>
      <c r="N16" s="206"/>
      <c r="O16" s="205">
        <f>SUM(O12:O15)</f>
        <v>1</v>
      </c>
      <c r="P16" s="206">
        <f>SUM(P12:P15)</f>
        <v>4</v>
      </c>
      <c r="Q16" s="369"/>
      <c r="R16" s="205">
        <f>SUM(R12:R15)</f>
        <v>1.0000000000000002</v>
      </c>
      <c r="S16" s="125">
        <f>SUM(S12:S15)</f>
        <v>71.200000000000017</v>
      </c>
      <c r="T16" s="147">
        <f>SUM(T12:T15)</f>
        <v>421.79454613496137</v>
      </c>
    </row>
    <row r="17" spans="1:20" x14ac:dyDescent="0.2">
      <c r="B17" s="373"/>
      <c r="C17" s="373"/>
      <c r="D17" s="373"/>
      <c r="E17" s="373"/>
      <c r="F17" s="373"/>
      <c r="G17" s="373"/>
      <c r="H17" s="373"/>
      <c r="I17" s="373"/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</row>
    <row r="18" spans="1:20" x14ac:dyDescent="0.2"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</row>
    <row r="19" spans="1:20" x14ac:dyDescent="0.2">
      <c r="A19" s="367" t="s">
        <v>351</v>
      </c>
      <c r="B19" s="717" t="s">
        <v>378</v>
      </c>
      <c r="C19" s="718"/>
      <c r="D19" s="718"/>
      <c r="E19" s="718"/>
      <c r="F19" s="718"/>
      <c r="G19" s="718"/>
      <c r="H19" s="718"/>
      <c r="I19" s="718"/>
      <c r="J19" s="718"/>
      <c r="K19" s="718"/>
      <c r="L19" s="718"/>
      <c r="M19" s="718"/>
      <c r="N19" s="718"/>
      <c r="O19" s="718"/>
      <c r="P19" s="718"/>
      <c r="Q19" s="718"/>
      <c r="R19" s="718"/>
      <c r="S19" s="718"/>
      <c r="T19" s="718"/>
    </row>
    <row r="20" spans="1:20" ht="76.5" x14ac:dyDescent="0.2">
      <c r="A20" s="374" t="s">
        <v>298</v>
      </c>
      <c r="B20" s="342" t="s">
        <v>301</v>
      </c>
      <c r="C20" s="342" t="s">
        <v>299</v>
      </c>
      <c r="D20" s="342" t="s">
        <v>318</v>
      </c>
      <c r="E20" s="342" t="s">
        <v>314</v>
      </c>
      <c r="F20" s="342" t="s">
        <v>309</v>
      </c>
      <c r="G20" s="342" t="s">
        <v>310</v>
      </c>
      <c r="H20" s="342" t="s">
        <v>311</v>
      </c>
      <c r="I20" s="342" t="s">
        <v>312</v>
      </c>
      <c r="J20" s="342" t="s">
        <v>313</v>
      </c>
      <c r="K20" s="342" t="s">
        <v>303</v>
      </c>
      <c r="L20" s="342" t="s">
        <v>304</v>
      </c>
      <c r="M20" s="342" t="s">
        <v>305</v>
      </c>
      <c r="N20" s="342" t="s">
        <v>306</v>
      </c>
      <c r="O20" s="342" t="s">
        <v>307</v>
      </c>
      <c r="P20" s="342" t="s">
        <v>308</v>
      </c>
      <c r="Q20" s="342" t="s">
        <v>302</v>
      </c>
      <c r="R20" s="342" t="s">
        <v>315</v>
      </c>
      <c r="S20" s="342" t="s">
        <v>316</v>
      </c>
      <c r="T20" s="342" t="s">
        <v>317</v>
      </c>
    </row>
    <row r="21" spans="1:20" x14ac:dyDescent="0.2">
      <c r="A21" s="72" t="s">
        <v>62</v>
      </c>
      <c r="B21" s="125">
        <f>'Newnans LU'!D13</f>
        <v>5.4897800805200001</v>
      </c>
      <c r="C21" s="205">
        <f>'Newnans LU'!F13</f>
        <v>1.9791459149915386E-2</v>
      </c>
      <c r="D21" s="125">
        <f>C21*'Newnans Lake BMAP TP'!E$40</f>
        <v>0.87082420259627702</v>
      </c>
      <c r="E21" s="125">
        <f>'Newnans LU'!D11</f>
        <v>202.579696807</v>
      </c>
      <c r="F21" s="205">
        <f>'Newnans LU'!F11</f>
        <v>0.391033655562187</v>
      </c>
      <c r="G21" s="125">
        <f>F21*'Newnans Lake BMAP TP'!E$41</f>
        <v>4.6141971356338072</v>
      </c>
      <c r="H21" s="125">
        <f>'Newnans LU'!D12</f>
        <v>23</v>
      </c>
      <c r="I21" s="205">
        <f>'Newnans LU'!F12</f>
        <v>4.2316218146951412E-2</v>
      </c>
      <c r="J21" s="125">
        <f>I21*'Newnans Lake BMAP TP'!E$42</f>
        <v>3.9235597465853349</v>
      </c>
      <c r="K21" s="125">
        <f>'Newnans LU'!D10</f>
        <v>78.3</v>
      </c>
      <c r="L21" s="205">
        <f>'Newnans LU'!F10</f>
        <v>9.6200613872649471E-2</v>
      </c>
      <c r="M21" s="125">
        <f>L21*'Newnans Lake BMAP TP'!E43</f>
        <v>2.8282980478558941</v>
      </c>
      <c r="N21" s="207" t="s">
        <v>128</v>
      </c>
      <c r="O21" s="208" t="s">
        <v>128</v>
      </c>
      <c r="P21" s="149" t="s">
        <v>128</v>
      </c>
      <c r="Q21" s="369">
        <f>'Newnans LU'!D9</f>
        <v>13.5288753038</v>
      </c>
      <c r="R21" s="205">
        <f>'Newnans LU'!F9</f>
        <v>1.073140677133568E-2</v>
      </c>
      <c r="S21" s="125">
        <f>R21*'Newnans Lake BMAP TP'!E44</f>
        <v>1.9960416594684365</v>
      </c>
      <c r="T21" s="148">
        <f>D21+G21+J21+M21+S21</f>
        <v>14.232920792139751</v>
      </c>
    </row>
    <row r="22" spans="1:20" x14ac:dyDescent="0.2">
      <c r="A22" s="72" t="s">
        <v>119</v>
      </c>
      <c r="B22" s="125" t="s">
        <v>128</v>
      </c>
      <c r="C22" s="205" t="s">
        <v>128</v>
      </c>
      <c r="D22" s="125" t="s">
        <v>128</v>
      </c>
      <c r="E22" s="125" t="s">
        <v>128</v>
      </c>
      <c r="F22" s="208" t="s">
        <v>128</v>
      </c>
      <c r="G22" s="370" t="s">
        <v>128</v>
      </c>
      <c r="H22" s="125" t="s">
        <v>128</v>
      </c>
      <c r="I22" s="205" t="s">
        <v>128</v>
      </c>
      <c r="J22" s="371" t="s">
        <v>128</v>
      </c>
      <c r="K22" s="125" t="s">
        <v>128</v>
      </c>
      <c r="L22" s="208" t="s">
        <v>128</v>
      </c>
      <c r="M22" s="371" t="s">
        <v>128</v>
      </c>
      <c r="N22" s="206" t="s">
        <v>128</v>
      </c>
      <c r="O22" s="206" t="s">
        <v>128</v>
      </c>
      <c r="P22" s="206" t="s">
        <v>128</v>
      </c>
      <c r="Q22" s="369">
        <f>'Newnans LU'!D37</f>
        <v>161.30052457900001</v>
      </c>
      <c r="R22" s="205">
        <f>'Newnans LU'!F37</f>
        <v>0.12794718724333862</v>
      </c>
      <c r="S22" s="125">
        <f>R22*'Newnans Lake BMAP TP'!E44</f>
        <v>23.798176827260981</v>
      </c>
      <c r="T22" s="148">
        <f>S22</f>
        <v>23.798176827260981</v>
      </c>
    </row>
    <row r="23" spans="1:20" x14ac:dyDescent="0.2">
      <c r="A23" s="159" t="s">
        <v>67</v>
      </c>
      <c r="B23" s="371" t="s">
        <v>128</v>
      </c>
      <c r="C23" s="208" t="s">
        <v>128</v>
      </c>
      <c r="D23" s="371" t="s">
        <v>128</v>
      </c>
      <c r="E23" s="371" t="s">
        <v>128</v>
      </c>
      <c r="F23" s="208" t="s">
        <v>128</v>
      </c>
      <c r="G23" s="371" t="s">
        <v>128</v>
      </c>
      <c r="H23" s="371" t="s">
        <v>128</v>
      </c>
      <c r="I23" s="371" t="s">
        <v>128</v>
      </c>
      <c r="J23" s="371" t="s">
        <v>128</v>
      </c>
      <c r="K23" s="371" t="s">
        <v>128</v>
      </c>
      <c r="L23" s="371" t="s">
        <v>128</v>
      </c>
      <c r="M23" s="371" t="s">
        <v>128</v>
      </c>
      <c r="N23" s="371" t="s">
        <v>128</v>
      </c>
      <c r="O23" s="371" t="s">
        <v>128</v>
      </c>
      <c r="P23" s="371" t="s">
        <v>128</v>
      </c>
      <c r="Q23" s="371" t="s">
        <v>128</v>
      </c>
      <c r="R23" s="371" t="s">
        <v>128</v>
      </c>
      <c r="S23" s="371" t="s">
        <v>128</v>
      </c>
      <c r="T23" s="245" t="s">
        <v>128</v>
      </c>
    </row>
    <row r="24" spans="1:20" x14ac:dyDescent="0.2">
      <c r="A24" s="159" t="s">
        <v>66</v>
      </c>
      <c r="B24" s="125">
        <f>'Newnans LU'!D29</f>
        <v>271.89149024099999</v>
      </c>
      <c r="C24" s="205">
        <f>'Newnans LU'!F29</f>
        <v>0.98020854085008458</v>
      </c>
      <c r="D24" s="125">
        <f>C24*'Newnans Lake BMAP TP'!E$40</f>
        <v>43.129175797403718</v>
      </c>
      <c r="E24" s="125">
        <f>'Newnans LU'!D27</f>
        <v>315.48235213800001</v>
      </c>
      <c r="F24" s="205">
        <f>'Newnans LU'!F27</f>
        <v>0.60896634443781295</v>
      </c>
      <c r="G24" s="125">
        <f>F24*'Newnans Lake BMAP TP'!E$41</f>
        <v>7.1858028643661935</v>
      </c>
      <c r="H24" s="125">
        <f>'Newnans LU'!D28</f>
        <v>521.35238520300004</v>
      </c>
      <c r="I24" s="205">
        <f>'Newnans LU'!F28</f>
        <v>0.9576837818530487</v>
      </c>
      <c r="J24" s="125">
        <f>I24*'Newnans Lake BMAP TP'!E$42</f>
        <v>88.796440253414673</v>
      </c>
      <c r="K24" s="125">
        <f>'Newnans LU'!D26</f>
        <v>735.928160144</v>
      </c>
      <c r="L24" s="205">
        <f>'Newnans LU'!F26</f>
        <v>0.90379938612735056</v>
      </c>
      <c r="M24" s="125">
        <f>L24*'Newnans Lake BMAP TP'!E43</f>
        <v>26.571701952144107</v>
      </c>
      <c r="N24" s="125">
        <f>'Newnans LU'!D30</f>
        <v>1.7347513595999999</v>
      </c>
      <c r="O24" s="205">
        <f>'Newnans LU'!F30</f>
        <v>1</v>
      </c>
      <c r="P24" s="206">
        <f>O24*'Newnans Lake BMAP TP'!E45</f>
        <v>0</v>
      </c>
      <c r="Q24" s="369">
        <f>'Newnans LU'!D25</f>
        <v>1085.85110474</v>
      </c>
      <c r="R24" s="205">
        <f>'Newnans LU'!F25</f>
        <v>0.86132140598532569</v>
      </c>
      <c r="S24" s="125">
        <f>R24*'Newnans Lake BMAP TP'!E44</f>
        <v>160.20578151327058</v>
      </c>
      <c r="T24" s="148">
        <f>D24+G24+J24+M24+P24+S24</f>
        <v>325.88890238059923</v>
      </c>
    </row>
    <row r="25" spans="1:20" x14ac:dyDescent="0.2">
      <c r="A25" s="72" t="s">
        <v>68</v>
      </c>
      <c r="B25" s="206"/>
      <c r="C25" s="205">
        <f>SUM(C21:C24)</f>
        <v>1</v>
      </c>
      <c r="D25" s="125">
        <f>SUM(D21:D24)</f>
        <v>43.999999999999993</v>
      </c>
      <c r="E25" s="125"/>
      <c r="F25" s="205">
        <v>1.0000000000007945</v>
      </c>
      <c r="G25" s="125">
        <f>SUM(G21:G24)</f>
        <v>11.8</v>
      </c>
      <c r="H25" s="125"/>
      <c r="I25" s="205">
        <f>SUM(I21:I24)</f>
        <v>1</v>
      </c>
      <c r="J25" s="125">
        <f>SUM(J21:J24)</f>
        <v>92.720000000000013</v>
      </c>
      <c r="K25" s="125"/>
      <c r="L25" s="205">
        <f>L21+L24</f>
        <v>1</v>
      </c>
      <c r="M25" s="125">
        <f>SUM(M21:M24)</f>
        <v>29.400000000000002</v>
      </c>
      <c r="N25" s="206"/>
      <c r="O25" s="205">
        <f>SUM(O21:O24)</f>
        <v>1</v>
      </c>
      <c r="P25" s="206">
        <f>SUM(P21:P24)</f>
        <v>0</v>
      </c>
      <c r="Q25" s="369"/>
      <c r="R25" s="205">
        <f>SUM(R21:R24)</f>
        <v>1</v>
      </c>
      <c r="S25" s="125">
        <f>SUM(S21:S24)</f>
        <v>186</v>
      </c>
      <c r="T25" s="148">
        <f>SUM(T21:T24)</f>
        <v>363.91999999999996</v>
      </c>
    </row>
    <row r="26" spans="1:20" x14ac:dyDescent="0.2"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</row>
    <row r="27" spans="1:20" x14ac:dyDescent="0.2"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</row>
    <row r="28" spans="1:20" x14ac:dyDescent="0.2">
      <c r="A28" s="367" t="s">
        <v>352</v>
      </c>
      <c r="B28" s="717" t="s">
        <v>376</v>
      </c>
      <c r="C28" s="718"/>
      <c r="D28" s="718"/>
      <c r="E28" s="718"/>
      <c r="F28" s="718"/>
      <c r="G28" s="718"/>
      <c r="H28" s="718"/>
      <c r="I28" s="718"/>
      <c r="J28" s="718"/>
      <c r="K28" s="718"/>
      <c r="L28" s="718"/>
      <c r="M28" s="718"/>
      <c r="N28" s="718"/>
      <c r="O28" s="718"/>
      <c r="P28" s="718"/>
      <c r="Q28" s="718"/>
      <c r="R28" s="718"/>
      <c r="S28" s="718"/>
      <c r="T28" s="718"/>
    </row>
    <row r="29" spans="1:20" ht="76.5" x14ac:dyDescent="0.2">
      <c r="A29" s="374" t="s">
        <v>298</v>
      </c>
      <c r="B29" s="342" t="s">
        <v>301</v>
      </c>
      <c r="C29" s="342" t="s">
        <v>299</v>
      </c>
      <c r="D29" s="342" t="s">
        <v>359</v>
      </c>
      <c r="E29" s="342" t="s">
        <v>314</v>
      </c>
      <c r="F29" s="342" t="s">
        <v>309</v>
      </c>
      <c r="G29" s="342" t="s">
        <v>358</v>
      </c>
      <c r="H29" s="342" t="s">
        <v>311</v>
      </c>
      <c r="I29" s="342" t="s">
        <v>312</v>
      </c>
      <c r="J29" s="342" t="s">
        <v>357</v>
      </c>
      <c r="K29" s="342" t="s">
        <v>303</v>
      </c>
      <c r="L29" s="342" t="s">
        <v>304</v>
      </c>
      <c r="M29" s="342" t="s">
        <v>356</v>
      </c>
      <c r="N29" s="342" t="s">
        <v>306</v>
      </c>
      <c r="O29" s="342" t="s">
        <v>307</v>
      </c>
      <c r="P29" s="342" t="s">
        <v>355</v>
      </c>
      <c r="Q29" s="342" t="s">
        <v>302</v>
      </c>
      <c r="R29" s="342" t="s">
        <v>315</v>
      </c>
      <c r="S29" s="342" t="s">
        <v>354</v>
      </c>
      <c r="T29" s="342" t="s">
        <v>353</v>
      </c>
    </row>
    <row r="30" spans="1:20" x14ac:dyDescent="0.2">
      <c r="A30" s="72" t="s">
        <v>62</v>
      </c>
      <c r="B30" s="125">
        <v>26.675057155499999</v>
      </c>
      <c r="C30" s="205">
        <f>'Newnans LU'!F18</f>
        <v>8.7611354731230787E-2</v>
      </c>
      <c r="D30" s="125">
        <f>C30*'Newnans Lake TN'!E12</f>
        <v>31.13707547147942</v>
      </c>
      <c r="E30" s="200">
        <v>1497.6090124509999</v>
      </c>
      <c r="F30" s="205">
        <f>'Newnans LU'!F16</f>
        <v>0.80427026012917358</v>
      </c>
      <c r="G30" s="200">
        <f>F30*'Newnans Lake TN'!E$13</f>
        <v>1102.1719644810196</v>
      </c>
      <c r="H30" s="125">
        <f>'Newnans LU'!D17</f>
        <v>403.4</v>
      </c>
      <c r="I30" s="205">
        <f>'Newnans LU'!F17</f>
        <v>0.42648803425735754</v>
      </c>
      <c r="J30" s="125">
        <f>I30*'Newnans Lake TN'!E$14</f>
        <v>742.3450724283565</v>
      </c>
      <c r="K30" s="125">
        <f>'Newnans LU'!D15</f>
        <v>99.74</v>
      </c>
      <c r="L30" s="205">
        <f>'Newnans LU'!F15</f>
        <v>0.29109607410073407</v>
      </c>
      <c r="M30" s="125">
        <f>L30*'Newnans Lake TN'!E$15</f>
        <v>59.61647597583034</v>
      </c>
      <c r="N30" s="204">
        <f>'Newnans LU'!D19</f>
        <v>3.33241738471E-2</v>
      </c>
      <c r="O30" s="205">
        <f>'Newnans LU'!F19</f>
        <v>1</v>
      </c>
      <c r="P30" s="206">
        <f>O30*'Newnans Lake TN'!E17</f>
        <v>0</v>
      </c>
      <c r="Q30" s="369">
        <v>4.7142674067500003</v>
      </c>
      <c r="R30" s="205">
        <f>'Newnans LU'!F14</f>
        <v>2.3270651357656078E-2</v>
      </c>
      <c r="S30" s="125">
        <f>R30*'Newnans Lake TN'!E$16</f>
        <v>7.441954304178414</v>
      </c>
      <c r="T30" s="147">
        <f>D30+G30+J30+M30+P30+S30</f>
        <v>1942.7125426608643</v>
      </c>
    </row>
    <row r="31" spans="1:20" x14ac:dyDescent="0.2">
      <c r="A31" s="72" t="s">
        <v>119</v>
      </c>
      <c r="B31" s="125" t="s">
        <v>128</v>
      </c>
      <c r="C31" s="205" t="s">
        <v>128</v>
      </c>
      <c r="D31" s="125" t="s">
        <v>128</v>
      </c>
      <c r="E31" s="125" t="s">
        <v>128</v>
      </c>
      <c r="F31" s="208" t="s">
        <v>128</v>
      </c>
      <c r="G31" s="370" t="s">
        <v>128</v>
      </c>
      <c r="H31" s="125" t="s">
        <v>128</v>
      </c>
      <c r="I31" s="205" t="s">
        <v>128</v>
      </c>
      <c r="J31" s="371" t="s">
        <v>128</v>
      </c>
      <c r="K31" s="125" t="s">
        <v>128</v>
      </c>
      <c r="L31" s="208" t="s">
        <v>128</v>
      </c>
      <c r="M31" s="371" t="s">
        <v>128</v>
      </c>
      <c r="N31" s="206" t="s">
        <v>128</v>
      </c>
      <c r="O31" s="206" t="s">
        <v>128</v>
      </c>
      <c r="P31" s="206" t="s">
        <v>128</v>
      </c>
      <c r="Q31" s="369">
        <f>'Newnans LU'!D38</f>
        <v>196.83480787100001</v>
      </c>
      <c r="R31" s="205">
        <f>'Newnans LU'!F38</f>
        <v>0.8532102131026692</v>
      </c>
      <c r="S31" s="125">
        <f>R31*'Newnans Lake TN'!E$16</f>
        <v>272.85662615023364</v>
      </c>
      <c r="T31" s="147">
        <f>S31</f>
        <v>272.85662615023364</v>
      </c>
    </row>
    <row r="32" spans="1:20" x14ac:dyDescent="0.2">
      <c r="A32" s="159" t="s">
        <v>67</v>
      </c>
      <c r="B32" s="371" t="s">
        <v>128</v>
      </c>
      <c r="C32" s="208" t="s">
        <v>128</v>
      </c>
      <c r="D32" s="371" t="s">
        <v>128</v>
      </c>
      <c r="E32" s="371" t="s">
        <v>128</v>
      </c>
      <c r="F32" s="208" t="s">
        <v>128</v>
      </c>
      <c r="G32" s="371" t="s">
        <v>128</v>
      </c>
      <c r="H32" s="371" t="s">
        <v>128</v>
      </c>
      <c r="I32" s="208" t="s">
        <v>128</v>
      </c>
      <c r="J32" s="371" t="s">
        <v>128</v>
      </c>
      <c r="K32" s="371" t="s">
        <v>128</v>
      </c>
      <c r="L32" s="208" t="s">
        <v>128</v>
      </c>
      <c r="M32" s="371" t="s">
        <v>128</v>
      </c>
      <c r="N32" s="149" t="s">
        <v>128</v>
      </c>
      <c r="O32" s="149" t="s">
        <v>128</v>
      </c>
      <c r="P32" s="149" t="s">
        <v>128</v>
      </c>
      <c r="Q32" s="372" t="s">
        <v>128</v>
      </c>
      <c r="R32" s="205" t="s">
        <v>128</v>
      </c>
      <c r="S32" s="125" t="s">
        <v>128</v>
      </c>
      <c r="T32" s="363" t="s">
        <v>128</v>
      </c>
    </row>
    <row r="33" spans="1:20" x14ac:dyDescent="0.2">
      <c r="A33" s="159" t="s">
        <v>66</v>
      </c>
      <c r="B33" s="125">
        <v>277.79526221499998</v>
      </c>
      <c r="C33" s="205">
        <f>'Newnans LU'!F35</f>
        <v>0.91238864526876928</v>
      </c>
      <c r="D33" s="125">
        <f>C33*'Newnans Lake TN'!E12</f>
        <v>324.26292452852056</v>
      </c>
      <c r="E33" s="125">
        <v>363.98175425464382</v>
      </c>
      <c r="F33" s="205">
        <f>'Newnans LU'!F33</f>
        <v>0.19572973987082651</v>
      </c>
      <c r="G33" s="125">
        <f>F33*'Newnans Lake TN'!E$13</f>
        <v>268.22803551898068</v>
      </c>
      <c r="H33" s="125">
        <f>'Newnans LU'!D34</f>
        <v>542.5</v>
      </c>
      <c r="I33" s="205">
        <f>'Newnans LU'!F34</f>
        <v>0.57354922802334285</v>
      </c>
      <c r="J33" s="125">
        <f>I33*'Newnans Lake TN'!E$14</f>
        <v>998.31978629743048</v>
      </c>
      <c r="K33" s="125">
        <f>'Newnans LU'!D32</f>
        <v>242.86140976999999</v>
      </c>
      <c r="L33" s="205">
        <f>'Newnans LU'!F32</f>
        <v>0.70890392589926587</v>
      </c>
      <c r="M33" s="125">
        <f>L33*'Newnans Lake TN'!E$15</f>
        <v>145.18352402416966</v>
      </c>
      <c r="N33" s="206" t="s">
        <v>128</v>
      </c>
      <c r="O33" s="206" t="s">
        <v>128</v>
      </c>
      <c r="P33" s="206" t="s">
        <v>128</v>
      </c>
      <c r="Q33" s="369">
        <v>28.495749959299999</v>
      </c>
      <c r="R33" s="205">
        <f>'Newnans LU'!F31</f>
        <v>0.12351913553967472</v>
      </c>
      <c r="S33" s="125">
        <f>R33*'Newnans Lake TN'!E$16</f>
        <v>39.501419545587979</v>
      </c>
      <c r="T33" s="147">
        <f>D33+G33+J33+M33+S33</f>
        <v>1775.4956899146894</v>
      </c>
    </row>
    <row r="34" spans="1:20" x14ac:dyDescent="0.2">
      <c r="A34" s="72" t="s">
        <v>68</v>
      </c>
      <c r="B34" s="206"/>
      <c r="C34" s="205">
        <v>0.99999999999912725</v>
      </c>
      <c r="D34" s="125">
        <f>SUM(D30:D33)</f>
        <v>355.4</v>
      </c>
      <c r="E34" s="125"/>
      <c r="F34" s="205">
        <v>1.0000000000007945</v>
      </c>
      <c r="G34" s="200">
        <f>SUM(G29:G33)</f>
        <v>1370.4000000000003</v>
      </c>
      <c r="H34" s="125"/>
      <c r="I34" s="205">
        <v>1.0000000000017311</v>
      </c>
      <c r="J34" s="200">
        <f>SUM(J30:J33)</f>
        <v>1740.6648587257869</v>
      </c>
      <c r="K34" s="125"/>
      <c r="L34" s="205">
        <v>1.000000000000286</v>
      </c>
      <c r="M34" s="125">
        <f>SUM(M30:M33)</f>
        <v>204.8</v>
      </c>
      <c r="N34" s="206"/>
      <c r="O34" s="205">
        <v>1</v>
      </c>
      <c r="P34" s="206">
        <f>SUM(P30:P33)</f>
        <v>0</v>
      </c>
      <c r="Q34" s="369"/>
      <c r="R34" s="205">
        <v>0.99992542842806209</v>
      </c>
      <c r="S34" s="125">
        <f>SUM(S30:S33)</f>
        <v>319.8</v>
      </c>
      <c r="T34" s="147">
        <f>SUM(T30:T33)</f>
        <v>3991.0648587257874</v>
      </c>
    </row>
    <row r="35" spans="1:20" x14ac:dyDescent="0.2">
      <c r="B35" s="373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</row>
    <row r="36" spans="1:20" x14ac:dyDescent="0.2"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</row>
    <row r="37" spans="1:20" x14ac:dyDescent="0.2">
      <c r="A37" s="367" t="s">
        <v>352</v>
      </c>
      <c r="B37" s="717" t="s">
        <v>377</v>
      </c>
      <c r="C37" s="718"/>
      <c r="D37" s="718"/>
      <c r="E37" s="718"/>
      <c r="F37" s="718"/>
      <c r="G37" s="718"/>
      <c r="H37" s="718"/>
      <c r="I37" s="718"/>
      <c r="J37" s="718"/>
      <c r="K37" s="718"/>
      <c r="L37" s="718"/>
      <c r="M37" s="718"/>
      <c r="N37" s="718"/>
      <c r="O37" s="718"/>
      <c r="P37" s="718"/>
      <c r="Q37" s="718"/>
      <c r="R37" s="718"/>
      <c r="S37" s="718"/>
      <c r="T37" s="718"/>
    </row>
    <row r="38" spans="1:20" ht="76.5" x14ac:dyDescent="0.2">
      <c r="A38" s="374" t="s">
        <v>298</v>
      </c>
      <c r="B38" s="342" t="s">
        <v>301</v>
      </c>
      <c r="C38" s="342" t="s">
        <v>299</v>
      </c>
      <c r="D38" s="342" t="s">
        <v>359</v>
      </c>
      <c r="E38" s="342" t="s">
        <v>314</v>
      </c>
      <c r="F38" s="342" t="s">
        <v>309</v>
      </c>
      <c r="G38" s="342" t="s">
        <v>358</v>
      </c>
      <c r="H38" s="342" t="s">
        <v>311</v>
      </c>
      <c r="I38" s="342" t="s">
        <v>312</v>
      </c>
      <c r="J38" s="342" t="s">
        <v>357</v>
      </c>
      <c r="K38" s="342" t="s">
        <v>303</v>
      </c>
      <c r="L38" s="342" t="s">
        <v>304</v>
      </c>
      <c r="M38" s="342" t="s">
        <v>356</v>
      </c>
      <c r="N38" s="342" t="s">
        <v>306</v>
      </c>
      <c r="O38" s="342" t="s">
        <v>307</v>
      </c>
      <c r="P38" s="342" t="s">
        <v>355</v>
      </c>
      <c r="Q38" s="342" t="s">
        <v>302</v>
      </c>
      <c r="R38" s="342" t="s">
        <v>315</v>
      </c>
      <c r="S38" s="342" t="s">
        <v>354</v>
      </c>
      <c r="T38" s="342" t="s">
        <v>317</v>
      </c>
    </row>
    <row r="39" spans="1:20" x14ac:dyDescent="0.2">
      <c r="A39" s="72" t="s">
        <v>62</v>
      </c>
      <c r="B39" s="125">
        <v>280.83585518500001</v>
      </c>
      <c r="C39" s="205">
        <f>'Newnans LU'!F7</f>
        <v>0.82550768684687781</v>
      </c>
      <c r="D39" s="125">
        <f>C39*'Newnans Lake TN'!E$30</f>
        <v>280.3424104531997</v>
      </c>
      <c r="E39" s="200">
        <v>1824.76428687</v>
      </c>
      <c r="F39" s="205">
        <f>'Newnans LU'!F5</f>
        <v>0.90511461173809848</v>
      </c>
      <c r="G39" s="200">
        <f>F39*'Newnans Lake TN'!E28</f>
        <v>1895.6720428242736</v>
      </c>
      <c r="H39" s="125">
        <v>143.71898623000001</v>
      </c>
      <c r="I39" s="205">
        <f>'Newnans LU'!F6</f>
        <v>0.85634772811213411</v>
      </c>
      <c r="J39" s="125">
        <f>I39*'Newnans Lake TN'!E29</f>
        <v>538.64272098253241</v>
      </c>
      <c r="K39" s="125">
        <v>59.059930325400003</v>
      </c>
      <c r="L39" s="205">
        <f>'Newnans LU'!F4</f>
        <v>0.1849563548547698</v>
      </c>
      <c r="M39" s="125">
        <f>L39*'Newnans Lake TN'!E$27</f>
        <v>11.615259084879543</v>
      </c>
      <c r="N39" s="204">
        <v>15.5313258738</v>
      </c>
      <c r="O39" s="205">
        <f>'Newnans LU'!F8</f>
        <v>1</v>
      </c>
      <c r="P39" s="206">
        <f>O39*'Newnans Lake TN'!E31</f>
        <v>71</v>
      </c>
      <c r="Q39" s="369">
        <v>71.313836428900004</v>
      </c>
      <c r="R39" s="205">
        <f>'Newnans LU'!F3</f>
        <v>0.19180791967513688</v>
      </c>
      <c r="S39" s="125">
        <f>R39*'Newnans Lake TN'!E$26</f>
        <v>124.90531729244915</v>
      </c>
      <c r="T39" s="147">
        <f>D39+G39+J39+M39+P39+S39</f>
        <v>2922.1777506373346</v>
      </c>
    </row>
    <row r="40" spans="1:20" x14ac:dyDescent="0.2">
      <c r="A40" s="72" t="s">
        <v>119</v>
      </c>
      <c r="B40" s="125" t="s">
        <v>128</v>
      </c>
      <c r="C40" s="205" t="s">
        <v>128</v>
      </c>
      <c r="D40" s="125" t="s">
        <v>128</v>
      </c>
      <c r="E40" s="125" t="s">
        <v>128</v>
      </c>
      <c r="F40" s="208" t="s">
        <v>128</v>
      </c>
      <c r="G40" s="370" t="s">
        <v>128</v>
      </c>
      <c r="H40" s="125" t="s">
        <v>128</v>
      </c>
      <c r="I40" s="205" t="s">
        <v>128</v>
      </c>
      <c r="J40" s="371" t="s">
        <v>128</v>
      </c>
      <c r="K40" s="125" t="s">
        <v>128</v>
      </c>
      <c r="L40" s="208" t="s">
        <v>128</v>
      </c>
      <c r="M40" s="371" t="s">
        <v>128</v>
      </c>
      <c r="N40" s="206" t="s">
        <v>128</v>
      </c>
      <c r="O40" s="206" t="s">
        <v>128</v>
      </c>
      <c r="P40" s="206" t="s">
        <v>128</v>
      </c>
      <c r="Q40" s="369">
        <v>284.33566276190004</v>
      </c>
      <c r="R40" s="205">
        <f>'Newnans LU'!F36</f>
        <v>0.79237328805655649</v>
      </c>
      <c r="S40" s="125">
        <f>R40*'Newnans Lake TN'!E$26</f>
        <v>515.99348518242959</v>
      </c>
      <c r="T40" s="148">
        <f>S40</f>
        <v>515.99348518242959</v>
      </c>
    </row>
    <row r="41" spans="1:20" x14ac:dyDescent="0.2">
      <c r="A41" s="159" t="s">
        <v>67</v>
      </c>
      <c r="B41" s="371">
        <v>4.9444967284599999</v>
      </c>
      <c r="C41" s="208">
        <f>'Newnans LU'!F42</f>
        <v>1.4496021394560224E-2</v>
      </c>
      <c r="D41" s="125">
        <f>C41*'Newnans Lake TN'!E$30</f>
        <v>4.9228488655926528</v>
      </c>
      <c r="E41" s="371">
        <v>180.41245039899999</v>
      </c>
      <c r="F41" s="208">
        <f>'Newnans LU'!F40</f>
        <v>9.0793557103622358E-2</v>
      </c>
      <c r="G41" s="125">
        <f>F41*'Newnans Lake TN'!E$28</f>
        <v>190.15802599782668</v>
      </c>
      <c r="H41" s="371">
        <v>23.9746862545</v>
      </c>
      <c r="I41" s="208">
        <f>'Newnans LU'!F41</f>
        <v>0.14365227188786586</v>
      </c>
      <c r="J41" s="125">
        <f>I41*'Newnans Lake TN'!E29</f>
        <v>90.357279017467633</v>
      </c>
      <c r="K41" s="371">
        <v>5.0860472021499996</v>
      </c>
      <c r="L41" s="208">
        <f>'Newnans LU'!F39</f>
        <v>1.6380545904886423E-2</v>
      </c>
      <c r="M41" s="125">
        <f>L41*'Newnans Lake TN'!E$27</f>
        <v>1.0286982828268674</v>
      </c>
      <c r="N41" s="149" t="s">
        <v>128</v>
      </c>
      <c r="O41" s="149" t="s">
        <v>128</v>
      </c>
      <c r="P41" s="149" t="s">
        <v>128</v>
      </c>
      <c r="Q41" s="372" t="s">
        <v>128</v>
      </c>
      <c r="R41" s="205" t="s">
        <v>128</v>
      </c>
      <c r="S41" s="125" t="s">
        <v>128</v>
      </c>
      <c r="T41" s="245">
        <f>D41+G41+J41+M41</f>
        <v>286.46685216371384</v>
      </c>
    </row>
    <row r="42" spans="1:20" x14ac:dyDescent="0.2">
      <c r="A42" s="159" t="s">
        <v>66</v>
      </c>
      <c r="B42" s="125">
        <v>55.3130139059</v>
      </c>
      <c r="C42" s="205">
        <f>'Newnans LU'!F24</f>
        <v>0.15995812907171886</v>
      </c>
      <c r="D42" s="125">
        <f>C42*'Newnans Lake TN'!E$30</f>
        <v>54.321780632755726</v>
      </c>
      <c r="E42" s="125">
        <v>8.1936759395200003</v>
      </c>
      <c r="F42" s="205">
        <f>'Newnans LU'!F22</f>
        <v>4.073399628298769E-3</v>
      </c>
      <c r="G42" s="125">
        <f>F42*'Newnans Lake TN'!E$28</f>
        <v>8.5313281815089415</v>
      </c>
      <c r="H42" s="371" t="s">
        <v>128</v>
      </c>
      <c r="I42" s="208" t="s">
        <v>128</v>
      </c>
      <c r="J42" s="371" t="s">
        <v>128</v>
      </c>
      <c r="K42" s="125">
        <v>251.2798750707</v>
      </c>
      <c r="L42" s="205">
        <f>'Newnans LU'!F21</f>
        <v>0.79866309924034384</v>
      </c>
      <c r="M42" s="125">
        <f>L42*'Newnans Lake TN'!E$27</f>
        <v>50.156042632293591</v>
      </c>
      <c r="N42" s="206" t="s">
        <v>128</v>
      </c>
      <c r="O42" s="206" t="s">
        <v>128</v>
      </c>
      <c r="P42" s="206" t="s">
        <v>128</v>
      </c>
      <c r="Q42" s="369">
        <v>6.6091997839949999</v>
      </c>
      <c r="R42" s="205">
        <f>'Newnans LU'!F20</f>
        <v>1.5818792268306743E-2</v>
      </c>
      <c r="S42" s="125">
        <f>R42*'Newnans Lake TN'!E$26</f>
        <v>10.301197525121351</v>
      </c>
      <c r="T42" s="148">
        <f>D42+G42+M42+S42</f>
        <v>123.31034897167962</v>
      </c>
    </row>
    <row r="43" spans="1:20" x14ac:dyDescent="0.2">
      <c r="A43" s="72" t="s">
        <v>68</v>
      </c>
      <c r="B43" s="206"/>
      <c r="C43" s="205">
        <v>1.0000039786051507</v>
      </c>
      <c r="D43" s="125">
        <f>SUM(D39:D42)</f>
        <v>339.58703995154809</v>
      </c>
      <c r="E43" s="125"/>
      <c r="F43" s="205">
        <v>1.0000000000007945</v>
      </c>
      <c r="G43" s="200">
        <f>SUM(G39:G42)</f>
        <v>2094.361397003609</v>
      </c>
      <c r="H43" s="125"/>
      <c r="I43" s="205">
        <v>0.99999999999940392</v>
      </c>
      <c r="J43" s="125">
        <f>SUM(J39:J42)</f>
        <v>629</v>
      </c>
      <c r="K43" s="125"/>
      <c r="L43" s="205">
        <f>SUM(L39:L42)</f>
        <v>1</v>
      </c>
      <c r="M43" s="125">
        <f>SUM(M39:M42)</f>
        <v>62.800000000000004</v>
      </c>
      <c r="N43" s="206"/>
      <c r="O43" s="205">
        <f>SUM(O39:O42)</f>
        <v>1</v>
      </c>
      <c r="P43" s="206">
        <f>SUM(P39:P42)</f>
        <v>71</v>
      </c>
      <c r="Q43" s="369"/>
      <c r="R43" s="205">
        <f>SUM(R39:R42)</f>
        <v>1.0000000000000002</v>
      </c>
      <c r="S43" s="125">
        <f>SUM(S39:S42)</f>
        <v>651.20000000000005</v>
      </c>
      <c r="T43" s="147">
        <f>SUM(T39:T42)</f>
        <v>3847.9484369551574</v>
      </c>
    </row>
    <row r="44" spans="1:20" x14ac:dyDescent="0.2"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</row>
    <row r="45" spans="1:20" x14ac:dyDescent="0.2">
      <c r="B45" s="373"/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</row>
    <row r="46" spans="1:20" x14ac:dyDescent="0.2">
      <c r="A46" s="367" t="s">
        <v>352</v>
      </c>
      <c r="B46" s="717" t="s">
        <v>378</v>
      </c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8"/>
      <c r="T46" s="718"/>
    </row>
    <row r="47" spans="1:20" ht="76.5" x14ac:dyDescent="0.2">
      <c r="A47" s="374" t="s">
        <v>298</v>
      </c>
      <c r="B47" s="342" t="s">
        <v>301</v>
      </c>
      <c r="C47" s="342" t="s">
        <v>299</v>
      </c>
      <c r="D47" s="342" t="s">
        <v>359</v>
      </c>
      <c r="E47" s="342" t="s">
        <v>314</v>
      </c>
      <c r="F47" s="342" t="s">
        <v>309</v>
      </c>
      <c r="G47" s="342" t="s">
        <v>358</v>
      </c>
      <c r="H47" s="342" t="s">
        <v>311</v>
      </c>
      <c r="I47" s="342" t="s">
        <v>312</v>
      </c>
      <c r="J47" s="342" t="s">
        <v>357</v>
      </c>
      <c r="K47" s="342" t="s">
        <v>303</v>
      </c>
      <c r="L47" s="342" t="s">
        <v>304</v>
      </c>
      <c r="M47" s="342" t="s">
        <v>356</v>
      </c>
      <c r="N47" s="342" t="s">
        <v>306</v>
      </c>
      <c r="O47" s="342" t="s">
        <v>307</v>
      </c>
      <c r="P47" s="342" t="s">
        <v>355</v>
      </c>
      <c r="Q47" s="342" t="s">
        <v>302</v>
      </c>
      <c r="R47" s="342" t="s">
        <v>315</v>
      </c>
      <c r="S47" s="342" t="s">
        <v>354</v>
      </c>
      <c r="T47" s="342" t="s">
        <v>317</v>
      </c>
    </row>
    <row r="48" spans="1:20" x14ac:dyDescent="0.2">
      <c r="A48" s="72" t="s">
        <v>62</v>
      </c>
      <c r="B48" s="125">
        <v>5.4897800805200001</v>
      </c>
      <c r="C48" s="205">
        <f>'Newnans LU'!F13</f>
        <v>1.9791459149915386E-2</v>
      </c>
      <c r="D48" s="125">
        <f>C48*'Newnans Lake TN'!E$44</f>
        <v>7.7938766132366792</v>
      </c>
      <c r="E48" s="125">
        <v>65.105504725100005</v>
      </c>
      <c r="F48" s="205">
        <f>'Newnans LU'!F11</f>
        <v>0.391033655562187</v>
      </c>
      <c r="G48" s="125">
        <f>F48*'Newnans Lake TN'!E$42</f>
        <v>36.991783816182888</v>
      </c>
      <c r="H48" s="125">
        <v>23</v>
      </c>
      <c r="I48" s="205">
        <f>'Newnans LU'!F12</f>
        <v>4.2316218146951412E-2</v>
      </c>
      <c r="J48" s="125">
        <f>I48*'Newnans Lake TN'!E$43</f>
        <v>28.267233722163542</v>
      </c>
      <c r="K48" s="125">
        <v>45.293839656199999</v>
      </c>
      <c r="L48" s="205">
        <f>'Newnans LU'!F10</f>
        <v>9.6200613872649471E-2</v>
      </c>
      <c r="M48" s="125">
        <f>L48*'Newnans Lake TN'!E$41</f>
        <v>15.988542025634342</v>
      </c>
      <c r="N48" s="207" t="s">
        <v>128</v>
      </c>
      <c r="O48" s="208" t="s">
        <v>128</v>
      </c>
      <c r="P48" s="149" t="s">
        <v>128</v>
      </c>
      <c r="Q48" s="369">
        <v>5.5591097306900004</v>
      </c>
      <c r="R48" s="205">
        <f>'Newnans LU'!F9</f>
        <v>1.073140677133568E-2</v>
      </c>
      <c r="S48" s="125">
        <f>R48*'Newnans Lake TN'!E40</f>
        <v>22.022992976135079</v>
      </c>
      <c r="T48" s="148">
        <f>D48+G48+J48+M48+S48</f>
        <v>111.06442915335253</v>
      </c>
    </row>
    <row r="49" spans="1:20" x14ac:dyDescent="0.2">
      <c r="A49" s="72" t="s">
        <v>119</v>
      </c>
      <c r="B49" s="125" t="s">
        <v>128</v>
      </c>
      <c r="C49" s="205" t="s">
        <v>128</v>
      </c>
      <c r="D49" s="125" t="s">
        <v>128</v>
      </c>
      <c r="E49" s="125" t="s">
        <v>128</v>
      </c>
      <c r="F49" s="208" t="s">
        <v>128</v>
      </c>
      <c r="G49" s="370" t="s">
        <v>128</v>
      </c>
      <c r="H49" s="125" t="s">
        <v>128</v>
      </c>
      <c r="I49" s="205" t="s">
        <v>128</v>
      </c>
      <c r="J49" s="371" t="s">
        <v>128</v>
      </c>
      <c r="K49" s="125" t="s">
        <v>128</v>
      </c>
      <c r="L49" s="208" t="s">
        <v>128</v>
      </c>
      <c r="M49" s="371" t="s">
        <v>128</v>
      </c>
      <c r="N49" s="206" t="s">
        <v>128</v>
      </c>
      <c r="O49" s="206" t="s">
        <v>128</v>
      </c>
      <c r="P49" s="206" t="s">
        <v>128</v>
      </c>
      <c r="Q49" s="369">
        <v>119.5176719383</v>
      </c>
      <c r="R49" s="205">
        <f>'Newnans LU'!F37</f>
        <v>0.12794718724333862</v>
      </c>
      <c r="S49" s="125">
        <f>R49*'Newnans Lake TN'!E40</f>
        <v>262.57321766077951</v>
      </c>
      <c r="T49" s="148">
        <f>S49</f>
        <v>262.57321766077951</v>
      </c>
    </row>
    <row r="50" spans="1:20" x14ac:dyDescent="0.2">
      <c r="A50" s="159" t="s">
        <v>67</v>
      </c>
      <c r="B50" s="371" t="s">
        <v>128</v>
      </c>
      <c r="C50" s="208" t="s">
        <v>128</v>
      </c>
      <c r="D50" s="371" t="s">
        <v>128</v>
      </c>
      <c r="E50" s="371" t="s">
        <v>128</v>
      </c>
      <c r="F50" s="208" t="s">
        <v>128</v>
      </c>
      <c r="G50" s="371" t="s">
        <v>128</v>
      </c>
      <c r="H50" s="371" t="s">
        <v>128</v>
      </c>
      <c r="I50" s="371" t="s">
        <v>128</v>
      </c>
      <c r="J50" s="371" t="s">
        <v>128</v>
      </c>
      <c r="K50" s="371" t="s">
        <v>128</v>
      </c>
      <c r="L50" s="371" t="s">
        <v>128</v>
      </c>
      <c r="M50" s="371" t="s">
        <v>128</v>
      </c>
      <c r="N50" s="371" t="s">
        <v>128</v>
      </c>
      <c r="O50" s="371" t="s">
        <v>128</v>
      </c>
      <c r="P50" s="371" t="s">
        <v>128</v>
      </c>
      <c r="Q50" s="371" t="s">
        <v>128</v>
      </c>
      <c r="R50" s="371" t="s">
        <v>128</v>
      </c>
      <c r="S50" s="371" t="s">
        <v>128</v>
      </c>
      <c r="T50" s="245" t="s">
        <v>128</v>
      </c>
    </row>
    <row r="51" spans="1:20" x14ac:dyDescent="0.2">
      <c r="A51" s="159" t="s">
        <v>66</v>
      </c>
      <c r="B51" s="125">
        <v>271.89149024099999</v>
      </c>
      <c r="C51" s="205">
        <f>'Newnans LU'!F29</f>
        <v>0.98020854085008458</v>
      </c>
      <c r="D51" s="125">
        <f>C51*'Newnans Lake TN'!E$44</f>
        <v>386.00612338676331</v>
      </c>
      <c r="E51" s="125">
        <v>317.84868935820003</v>
      </c>
      <c r="F51" s="205">
        <f>'Newnans LU'!F27</f>
        <v>0.60896634443781295</v>
      </c>
      <c r="G51" s="125">
        <f>F51*'Newnans Lake TN'!E$42</f>
        <v>57.608216183817099</v>
      </c>
      <c r="H51" s="125">
        <v>527.16177037800003</v>
      </c>
      <c r="I51" s="205">
        <f>'Newnans LU'!F28</f>
        <v>0.9576837818530487</v>
      </c>
      <c r="J51" s="125">
        <f>I51*'Newnans Lake TN'!E$43</f>
        <v>639.7327662778365</v>
      </c>
      <c r="K51" s="125">
        <v>740.25467734799997</v>
      </c>
      <c r="L51" s="205">
        <f>'Newnans LU'!F26</f>
        <v>0.90379938612735056</v>
      </c>
      <c r="M51" s="125">
        <f>L51*'Newnans Lake TN'!E$41</f>
        <v>150.21145797436566</v>
      </c>
      <c r="N51" s="125">
        <v>1.7347513595999999</v>
      </c>
      <c r="O51" s="205">
        <f>'Newnans LU'!F30</f>
        <v>1</v>
      </c>
      <c r="P51" s="206">
        <f>O51*'Newnans Lake TN'!E45</f>
        <v>3</v>
      </c>
      <c r="Q51" s="369">
        <v>1085.9558808436</v>
      </c>
      <c r="R51" s="205">
        <f>'Newnans LU'!F25</f>
        <v>0.86132140598532569</v>
      </c>
      <c r="S51" s="200">
        <f>R51*'Newnans Lake TN'!E40</f>
        <v>1767.6037893630853</v>
      </c>
      <c r="T51" s="147">
        <f>D51+G51+J51+M51+P51+S51</f>
        <v>3004.1623531858677</v>
      </c>
    </row>
    <row r="52" spans="1:20" x14ac:dyDescent="0.2">
      <c r="A52" s="72" t="s">
        <v>68</v>
      </c>
      <c r="B52" s="206"/>
      <c r="C52" s="205">
        <f>SUM(C48:C51)</f>
        <v>1</v>
      </c>
      <c r="D52" s="125">
        <f>SUM(D48:D51)</f>
        <v>393.8</v>
      </c>
      <c r="E52" s="125"/>
      <c r="F52" s="205">
        <f>SUM(F48:F51)</f>
        <v>1</v>
      </c>
      <c r="G52" s="125">
        <f>SUM(G48:G51)</f>
        <v>94.6</v>
      </c>
      <c r="H52" s="125"/>
      <c r="I52" s="205">
        <f>SUM(I48:I51)</f>
        <v>1</v>
      </c>
      <c r="J52" s="125">
        <f>SUM(J48:J51)</f>
        <v>668</v>
      </c>
      <c r="K52" s="125"/>
      <c r="L52" s="205">
        <f>SUM(L48:L51)</f>
        <v>1</v>
      </c>
      <c r="M52" s="125">
        <f>SUM(M48:M51)</f>
        <v>166.2</v>
      </c>
      <c r="N52" s="206"/>
      <c r="O52" s="205">
        <v>1</v>
      </c>
      <c r="P52" s="206">
        <f>SUM(P48:P51)</f>
        <v>3</v>
      </c>
      <c r="Q52" s="369"/>
      <c r="R52" s="205">
        <f>SUM(R48:R51)</f>
        <v>1</v>
      </c>
      <c r="S52" s="200">
        <f>SUM(S48:S51)</f>
        <v>2052.1999999999998</v>
      </c>
      <c r="T52" s="147">
        <f>SUM(T48:T51)</f>
        <v>3377.7999999999997</v>
      </c>
    </row>
    <row r="54" spans="1:20" x14ac:dyDescent="0.2">
      <c r="A54" s="19" t="s">
        <v>360</v>
      </c>
    </row>
    <row r="59" spans="1:20" x14ac:dyDescent="0.2">
      <c r="R59" s="585"/>
    </row>
  </sheetData>
  <mergeCells count="5">
    <mergeCell ref="B10:T10"/>
    <mergeCell ref="B19:T19"/>
    <mergeCell ref="B28:T28"/>
    <mergeCell ref="B37:T37"/>
    <mergeCell ref="B46:T46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75"/>
  <sheetViews>
    <sheetView workbookViewId="0">
      <selection activeCell="G6" sqref="G6"/>
    </sheetView>
  </sheetViews>
  <sheetFormatPr defaultRowHeight="12.75" x14ac:dyDescent="0.2"/>
  <cols>
    <col min="1" max="1" width="29" customWidth="1"/>
    <col min="2" max="2" width="33.140625" customWidth="1"/>
    <col min="3" max="3" width="19.140625" customWidth="1"/>
    <col min="4" max="4" width="12.5703125" customWidth="1"/>
    <col min="5" max="5" width="12.85546875" customWidth="1"/>
    <col min="6" max="6" width="15.5703125" customWidth="1"/>
    <col min="7" max="7" width="18.5703125" customWidth="1"/>
    <col min="8" max="8" width="16.85546875" customWidth="1"/>
    <col min="9" max="9" width="15.85546875" customWidth="1"/>
    <col min="10" max="10" width="19.140625" customWidth="1"/>
    <col min="11" max="11" width="13.7109375" customWidth="1"/>
    <col min="12" max="12" width="13.85546875" customWidth="1"/>
    <col min="13" max="13" width="13.28515625" customWidth="1"/>
    <col min="14" max="14" width="14.140625" customWidth="1"/>
  </cols>
  <sheetData>
    <row r="1" spans="1:14" x14ac:dyDescent="0.2">
      <c r="A1" s="173" t="s">
        <v>181</v>
      </c>
    </row>
    <row r="2" spans="1:14" ht="38.25" x14ac:dyDescent="0.2">
      <c r="A2" s="172" t="s">
        <v>56</v>
      </c>
      <c r="B2" s="172" t="s">
        <v>57</v>
      </c>
      <c r="C2" s="172" t="s">
        <v>58</v>
      </c>
      <c r="D2" s="172" t="s">
        <v>59</v>
      </c>
      <c r="E2" s="172" t="s">
        <v>60</v>
      </c>
      <c r="F2" s="172" t="s">
        <v>61</v>
      </c>
      <c r="G2" s="720"/>
      <c r="H2" s="721"/>
    </row>
    <row r="3" spans="1:14" x14ac:dyDescent="0.2">
      <c r="A3" s="72" t="s">
        <v>62</v>
      </c>
      <c r="B3" s="72" t="s">
        <v>42</v>
      </c>
      <c r="C3" s="72" t="s">
        <v>63</v>
      </c>
      <c r="D3" s="151">
        <v>80.138620946299994</v>
      </c>
      <c r="E3" s="152">
        <v>0.19180791967513688</v>
      </c>
      <c r="F3" s="153">
        <f>E3</f>
        <v>0.19180791967513688</v>
      </c>
    </row>
    <row r="4" spans="1:14" x14ac:dyDescent="0.2">
      <c r="A4" s="72" t="s">
        <v>62</v>
      </c>
      <c r="B4" s="72" t="s">
        <v>36</v>
      </c>
      <c r="C4" s="72" t="s">
        <v>63</v>
      </c>
      <c r="D4" s="151">
        <v>57.427694150599997</v>
      </c>
      <c r="E4" s="152">
        <v>0.1849563548547698</v>
      </c>
      <c r="F4" s="153">
        <f t="shared" ref="F4:F42" si="0">E4</f>
        <v>0.1849563548547698</v>
      </c>
    </row>
    <row r="5" spans="1:14" x14ac:dyDescent="0.2">
      <c r="A5" s="72" t="s">
        <v>62</v>
      </c>
      <c r="B5" s="72" t="s">
        <v>34</v>
      </c>
      <c r="C5" s="72" t="s">
        <v>63</v>
      </c>
      <c r="D5" s="151">
        <v>1812.44421102</v>
      </c>
      <c r="E5" s="152">
        <v>0.90511461173809848</v>
      </c>
      <c r="F5" s="153">
        <f t="shared" si="0"/>
        <v>0.90511461173809848</v>
      </c>
      <c r="G5" s="144"/>
      <c r="H5" s="144"/>
      <c r="I5" s="144"/>
      <c r="J5" s="144"/>
      <c r="K5" s="144"/>
      <c r="L5" s="144"/>
      <c r="M5" s="144"/>
      <c r="N5" s="144"/>
    </row>
    <row r="6" spans="1:14" x14ac:dyDescent="0.2">
      <c r="A6" s="72" t="s">
        <v>62</v>
      </c>
      <c r="B6" s="72" t="s">
        <v>35</v>
      </c>
      <c r="C6" s="72" t="s">
        <v>63</v>
      </c>
      <c r="D6" s="151">
        <f>[5]OCB_correct_roads_2018!$E$32</f>
        <v>142.900985088</v>
      </c>
      <c r="E6" s="152">
        <f>[5]OCB_correct_roads_2018!$F$32</f>
        <v>0.85634772811213411</v>
      </c>
      <c r="F6" s="153">
        <f t="shared" si="0"/>
        <v>0.85634772811213411</v>
      </c>
      <c r="G6" s="144"/>
      <c r="H6" s="144"/>
      <c r="I6" s="144"/>
      <c r="J6" s="144"/>
      <c r="K6" s="144"/>
      <c r="L6" s="144"/>
      <c r="M6" s="144"/>
      <c r="N6" s="144"/>
    </row>
    <row r="7" spans="1:14" x14ac:dyDescent="0.2">
      <c r="A7" s="72" t="s">
        <v>62</v>
      </c>
      <c r="B7" s="72" t="s">
        <v>43</v>
      </c>
      <c r="C7" s="72" t="s">
        <v>63</v>
      </c>
      <c r="D7" s="151">
        <v>280.83585518500001</v>
      </c>
      <c r="E7" s="152">
        <v>0.82550768684687781</v>
      </c>
      <c r="F7" s="153">
        <f t="shared" si="0"/>
        <v>0.82550768684687781</v>
      </c>
      <c r="G7" s="144"/>
      <c r="H7" s="144"/>
      <c r="I7" s="144"/>
      <c r="J7" s="144"/>
      <c r="K7" s="144"/>
      <c r="L7" s="144"/>
      <c r="M7" s="144"/>
      <c r="N7" s="144"/>
    </row>
    <row r="8" spans="1:14" x14ac:dyDescent="0.2">
      <c r="A8" s="159" t="s">
        <v>62</v>
      </c>
      <c r="B8" s="159" t="s">
        <v>200</v>
      </c>
      <c r="C8" s="159" t="s">
        <v>63</v>
      </c>
      <c r="D8" s="71">
        <v>15.5313258738</v>
      </c>
      <c r="E8" s="152">
        <f t="shared" ref="E8" si="1">D8/B64</f>
        <v>1</v>
      </c>
      <c r="F8" s="153">
        <f t="shared" si="0"/>
        <v>1</v>
      </c>
      <c r="G8" s="144"/>
      <c r="H8" s="144"/>
      <c r="I8" s="144"/>
      <c r="J8" s="144"/>
      <c r="K8" s="144"/>
      <c r="L8" s="144"/>
      <c r="M8" s="144"/>
      <c r="N8" s="144"/>
    </row>
    <row r="9" spans="1:14" x14ac:dyDescent="0.2">
      <c r="A9" s="72" t="s">
        <v>62</v>
      </c>
      <c r="B9" s="72" t="s">
        <v>42</v>
      </c>
      <c r="C9" s="72" t="s">
        <v>64</v>
      </c>
      <c r="D9" s="151">
        <v>13.5288753038</v>
      </c>
      <c r="E9" s="152">
        <v>1.073140677133568E-2</v>
      </c>
      <c r="F9" s="153">
        <f t="shared" si="0"/>
        <v>1.073140677133568E-2</v>
      </c>
      <c r="G9" s="144"/>
      <c r="H9" s="144"/>
      <c r="I9" s="144"/>
      <c r="J9" s="144"/>
      <c r="K9" s="144"/>
      <c r="L9" s="144"/>
      <c r="M9" s="144"/>
      <c r="N9" s="144"/>
    </row>
    <row r="10" spans="1:14" x14ac:dyDescent="0.2">
      <c r="A10" s="72" t="s">
        <v>62</v>
      </c>
      <c r="B10" s="72" t="s">
        <v>36</v>
      </c>
      <c r="C10" s="72" t="s">
        <v>64</v>
      </c>
      <c r="D10" s="151">
        <v>78.3</v>
      </c>
      <c r="E10" s="152">
        <v>9.6200613872649471E-2</v>
      </c>
      <c r="F10" s="153">
        <f t="shared" si="0"/>
        <v>9.6200613872649471E-2</v>
      </c>
      <c r="G10" s="144"/>
      <c r="H10" s="144"/>
      <c r="I10" s="144"/>
      <c r="J10" s="144"/>
      <c r="K10" s="144"/>
      <c r="L10" s="144"/>
      <c r="M10" s="144"/>
      <c r="N10" s="144"/>
    </row>
    <row r="11" spans="1:14" x14ac:dyDescent="0.2">
      <c r="A11" s="72" t="s">
        <v>62</v>
      </c>
      <c r="B11" s="72" t="s">
        <v>34</v>
      </c>
      <c r="C11" s="72" t="s">
        <v>64</v>
      </c>
      <c r="D11" s="151">
        <v>202.579696807</v>
      </c>
      <c r="E11" s="152">
        <v>0.391033655562187</v>
      </c>
      <c r="F11" s="153">
        <f t="shared" si="0"/>
        <v>0.391033655562187</v>
      </c>
      <c r="G11" s="144"/>
      <c r="H11" s="144"/>
      <c r="I11" s="144"/>
      <c r="J11" s="144"/>
      <c r="K11" s="144"/>
      <c r="L11" s="144"/>
      <c r="M11" s="144"/>
      <c r="N11" s="144"/>
    </row>
    <row r="12" spans="1:14" x14ac:dyDescent="0.2">
      <c r="A12" s="72" t="s">
        <v>62</v>
      </c>
      <c r="B12" s="72" t="s">
        <v>35</v>
      </c>
      <c r="C12" s="72" t="s">
        <v>64</v>
      </c>
      <c r="D12" s="151">
        <v>23</v>
      </c>
      <c r="E12" s="152">
        <v>4.2316218146951412E-2</v>
      </c>
      <c r="F12" s="153">
        <f t="shared" si="0"/>
        <v>4.2316218146951412E-2</v>
      </c>
      <c r="G12" s="144"/>
      <c r="H12" s="144"/>
      <c r="I12" s="144"/>
      <c r="J12" s="144"/>
      <c r="K12" s="144"/>
      <c r="L12" s="144"/>
      <c r="M12" s="144"/>
      <c r="N12" s="144"/>
    </row>
    <row r="13" spans="1:14" x14ac:dyDescent="0.2">
      <c r="A13" s="72" t="s">
        <v>62</v>
      </c>
      <c r="B13" s="72" t="s">
        <v>43</v>
      </c>
      <c r="C13" s="72" t="s">
        <v>64</v>
      </c>
      <c r="D13" s="151">
        <v>5.4897800805200001</v>
      </c>
      <c r="E13" s="152">
        <f>D13/C63</f>
        <v>1.9791459149915386E-2</v>
      </c>
      <c r="F13" s="153">
        <f t="shared" si="0"/>
        <v>1.9791459149915386E-2</v>
      </c>
      <c r="G13" s="144"/>
      <c r="H13" s="144"/>
      <c r="I13" s="144"/>
      <c r="J13" s="144"/>
      <c r="K13" s="144"/>
      <c r="L13" s="144"/>
      <c r="M13" s="144"/>
      <c r="N13" s="144"/>
    </row>
    <row r="14" spans="1:14" x14ac:dyDescent="0.2">
      <c r="A14" s="72" t="s">
        <v>62</v>
      </c>
      <c r="B14" s="72" t="s">
        <v>42</v>
      </c>
      <c r="C14" s="72" t="s">
        <v>65</v>
      </c>
      <c r="D14" s="151">
        <v>5.3685177681600003</v>
      </c>
      <c r="E14" s="152">
        <v>2.3270651357656078E-2</v>
      </c>
      <c r="F14" s="153">
        <v>2.3270651357656078E-2</v>
      </c>
      <c r="G14" s="144"/>
      <c r="H14" s="144"/>
      <c r="I14" s="144"/>
      <c r="J14" s="144"/>
      <c r="K14" s="144"/>
      <c r="L14" s="144"/>
      <c r="M14" s="144"/>
      <c r="N14" s="144"/>
    </row>
    <row r="15" spans="1:14" x14ac:dyDescent="0.2">
      <c r="A15" s="72" t="s">
        <v>62</v>
      </c>
      <c r="B15" s="72" t="s">
        <v>36</v>
      </c>
      <c r="C15" s="72" t="s">
        <v>65</v>
      </c>
      <c r="D15" s="76">
        <v>99.74</v>
      </c>
      <c r="E15" s="152">
        <v>0.29109607410073407</v>
      </c>
      <c r="F15" s="153">
        <f t="shared" si="0"/>
        <v>0.29109607410073407</v>
      </c>
      <c r="G15" s="144"/>
      <c r="H15" s="144"/>
      <c r="I15" s="144"/>
      <c r="J15" s="144"/>
      <c r="K15" s="144"/>
      <c r="L15" s="144"/>
      <c r="M15" s="144"/>
      <c r="N15" s="144"/>
    </row>
    <row r="16" spans="1:14" x14ac:dyDescent="0.2">
      <c r="A16" s="72" t="s">
        <v>62</v>
      </c>
      <c r="B16" s="72" t="s">
        <v>34</v>
      </c>
      <c r="C16" s="72" t="s">
        <v>65</v>
      </c>
      <c r="D16" s="151">
        <v>1486.8937456599999</v>
      </c>
      <c r="E16" s="152">
        <v>0.80427026012917358</v>
      </c>
      <c r="F16" s="153">
        <f t="shared" si="0"/>
        <v>0.80427026012917358</v>
      </c>
      <c r="G16" s="144"/>
      <c r="H16" s="144"/>
      <c r="I16" s="144"/>
      <c r="J16" s="144"/>
      <c r="K16" s="144"/>
      <c r="L16" s="144"/>
      <c r="M16" s="144"/>
      <c r="N16" s="144"/>
    </row>
    <row r="17" spans="1:14" x14ac:dyDescent="0.2">
      <c r="A17" s="72" t="s">
        <v>62</v>
      </c>
      <c r="B17" s="72" t="s">
        <v>35</v>
      </c>
      <c r="C17" s="72" t="s">
        <v>65</v>
      </c>
      <c r="D17" s="151">
        <v>403.4</v>
      </c>
      <c r="E17" s="77">
        <f>D17/D62</f>
        <v>0.42648803425735754</v>
      </c>
      <c r="F17" s="153">
        <f t="shared" si="0"/>
        <v>0.42648803425735754</v>
      </c>
      <c r="G17" s="144"/>
      <c r="H17" s="144"/>
      <c r="I17" s="144"/>
      <c r="J17" s="144"/>
      <c r="K17" s="144"/>
      <c r="L17" s="144"/>
      <c r="M17" s="144"/>
      <c r="N17" s="144"/>
    </row>
    <row r="18" spans="1:14" x14ac:dyDescent="0.2">
      <c r="A18" s="72" t="s">
        <v>62</v>
      </c>
      <c r="B18" s="72" t="s">
        <v>43</v>
      </c>
      <c r="C18" s="72" t="s">
        <v>65</v>
      </c>
      <c r="D18" s="76">
        <v>26.675057155499999</v>
      </c>
      <c r="E18" s="152">
        <f>D18/D63</f>
        <v>8.7611354731230787E-2</v>
      </c>
      <c r="F18" s="153">
        <f t="shared" si="0"/>
        <v>8.7611354731230787E-2</v>
      </c>
      <c r="G18" s="144"/>
      <c r="H18" s="144"/>
      <c r="I18" s="144"/>
      <c r="J18" s="144"/>
      <c r="K18" s="144"/>
      <c r="L18" s="144"/>
      <c r="M18" s="144"/>
      <c r="N18" s="144"/>
    </row>
    <row r="19" spans="1:14" x14ac:dyDescent="0.2">
      <c r="A19" s="159" t="s">
        <v>62</v>
      </c>
      <c r="B19" s="159" t="s">
        <v>200</v>
      </c>
      <c r="C19" s="159" t="s">
        <v>65</v>
      </c>
      <c r="D19" s="79">
        <v>3.33241738471E-2</v>
      </c>
      <c r="E19" s="152">
        <v>1</v>
      </c>
      <c r="F19" s="153">
        <f t="shared" si="0"/>
        <v>1</v>
      </c>
      <c r="G19" s="144"/>
      <c r="H19" s="144"/>
      <c r="I19" s="144"/>
      <c r="J19" s="144"/>
      <c r="K19" s="144"/>
      <c r="L19" s="144"/>
      <c r="M19" s="144"/>
      <c r="N19" s="144"/>
    </row>
    <row r="20" spans="1:14" x14ac:dyDescent="0.2">
      <c r="A20" s="72" t="s">
        <v>66</v>
      </c>
      <c r="B20" s="72" t="s">
        <v>42</v>
      </c>
      <c r="C20" s="72" t="s">
        <v>63</v>
      </c>
      <c r="D20" s="151">
        <v>6.6091997839949999</v>
      </c>
      <c r="E20" s="152">
        <v>1.5818792268306743E-2</v>
      </c>
      <c r="F20" s="153">
        <f t="shared" si="0"/>
        <v>1.5818792268306743E-2</v>
      </c>
      <c r="G20" s="144"/>
      <c r="H20" s="144"/>
      <c r="I20" s="144"/>
      <c r="J20" s="144"/>
      <c r="K20" s="144"/>
      <c r="L20" s="144"/>
      <c r="M20" s="144"/>
      <c r="N20" s="144"/>
    </row>
    <row r="21" spans="1:14" x14ac:dyDescent="0.2">
      <c r="A21" s="72" t="s">
        <v>66</v>
      </c>
      <c r="B21" s="72" t="s">
        <v>36</v>
      </c>
      <c r="C21" s="72" t="s">
        <v>63</v>
      </c>
      <c r="D21" s="151">
        <v>247.97947435899999</v>
      </c>
      <c r="E21" s="152">
        <v>0.79866309924034384</v>
      </c>
      <c r="F21" s="153">
        <f t="shared" si="0"/>
        <v>0.79866309924034384</v>
      </c>
      <c r="G21" s="144"/>
      <c r="H21" s="144"/>
      <c r="I21" s="144"/>
      <c r="J21" s="144"/>
      <c r="K21" s="144"/>
      <c r="L21" s="144"/>
      <c r="M21" s="144"/>
      <c r="N21" s="144"/>
    </row>
    <row r="22" spans="1:14" x14ac:dyDescent="0.2">
      <c r="A22" s="72" t="s">
        <v>66</v>
      </c>
      <c r="B22" s="72" t="s">
        <v>34</v>
      </c>
      <c r="C22" s="72" t="s">
        <v>63</v>
      </c>
      <c r="D22" s="151">
        <v>8.1936759395200003</v>
      </c>
      <c r="E22" s="152">
        <f>D22/B61</f>
        <v>4.073399628298769E-3</v>
      </c>
      <c r="F22" s="153">
        <f t="shared" si="0"/>
        <v>4.073399628298769E-3</v>
      </c>
      <c r="G22" s="144"/>
      <c r="H22" s="144"/>
      <c r="I22" s="144"/>
      <c r="J22" s="144"/>
      <c r="K22" s="144"/>
      <c r="L22" s="144"/>
      <c r="M22" s="144"/>
      <c r="N22" s="144"/>
    </row>
    <row r="23" spans="1:14" x14ac:dyDescent="0.2">
      <c r="A23" s="72" t="s">
        <v>66</v>
      </c>
      <c r="B23" s="72" t="s">
        <v>35</v>
      </c>
      <c r="C23" s="72" t="s">
        <v>63</v>
      </c>
      <c r="D23" s="151"/>
      <c r="E23" s="152"/>
      <c r="F23" s="153">
        <f t="shared" si="0"/>
        <v>0</v>
      </c>
      <c r="G23" s="144"/>
      <c r="H23" s="144"/>
      <c r="I23" s="144"/>
      <c r="J23" s="144"/>
      <c r="K23" s="144"/>
      <c r="L23" s="144"/>
      <c r="M23" s="144"/>
      <c r="N23" s="144"/>
    </row>
    <row r="24" spans="1:14" x14ac:dyDescent="0.2">
      <c r="A24" s="72" t="s">
        <v>66</v>
      </c>
      <c r="B24" s="72" t="s">
        <v>43</v>
      </c>
      <c r="C24" s="72" t="s">
        <v>63</v>
      </c>
      <c r="D24" s="151">
        <v>54.417395669900003</v>
      </c>
      <c r="E24" s="152">
        <v>0.15995812907171886</v>
      </c>
      <c r="F24" s="153">
        <f t="shared" si="0"/>
        <v>0.15995812907171886</v>
      </c>
      <c r="G24" s="144"/>
      <c r="H24" s="144"/>
      <c r="I24" s="144"/>
      <c r="J24" s="144"/>
      <c r="K24" s="144"/>
      <c r="L24" s="144"/>
      <c r="M24" s="144"/>
      <c r="N24" s="144"/>
    </row>
    <row r="25" spans="1:14" x14ac:dyDescent="0.2">
      <c r="A25" s="72" t="s">
        <v>66</v>
      </c>
      <c r="B25" s="72" t="s">
        <v>42</v>
      </c>
      <c r="C25" s="72" t="s">
        <v>64</v>
      </c>
      <c r="D25" s="151">
        <v>1085.85110474</v>
      </c>
      <c r="E25" s="152">
        <v>0.86132140598532569</v>
      </c>
      <c r="F25" s="153">
        <f t="shared" si="0"/>
        <v>0.86132140598532569</v>
      </c>
      <c r="G25" s="144"/>
      <c r="H25" s="144"/>
      <c r="I25" s="144"/>
      <c r="J25" s="144"/>
      <c r="K25" s="144"/>
      <c r="L25" s="144"/>
      <c r="M25" s="144"/>
      <c r="N25" s="144"/>
    </row>
    <row r="26" spans="1:14" x14ac:dyDescent="0.2">
      <c r="A26" s="72" t="s">
        <v>66</v>
      </c>
      <c r="B26" s="72" t="s">
        <v>36</v>
      </c>
      <c r="C26" s="72" t="s">
        <v>64</v>
      </c>
      <c r="D26" s="151">
        <v>735.928160144</v>
      </c>
      <c r="E26" s="152">
        <v>0.90379938612735056</v>
      </c>
      <c r="F26" s="153">
        <f t="shared" si="0"/>
        <v>0.90379938612735056</v>
      </c>
      <c r="G26" s="144"/>
      <c r="H26" s="144"/>
      <c r="I26" s="144"/>
      <c r="J26" s="144"/>
      <c r="K26" s="144"/>
      <c r="L26" s="144"/>
      <c r="M26" s="144"/>
      <c r="N26" s="144"/>
    </row>
    <row r="27" spans="1:14" x14ac:dyDescent="0.2">
      <c r="A27" s="72" t="s">
        <v>66</v>
      </c>
      <c r="B27" s="72" t="s">
        <v>34</v>
      </c>
      <c r="C27" s="72" t="s">
        <v>64</v>
      </c>
      <c r="D27" s="151">
        <v>315.48235213800001</v>
      </c>
      <c r="E27" s="152">
        <v>0.60896634443781295</v>
      </c>
      <c r="F27" s="153">
        <f t="shared" si="0"/>
        <v>0.60896634443781295</v>
      </c>
      <c r="G27" s="144"/>
      <c r="H27" s="144"/>
      <c r="I27" s="144"/>
      <c r="J27" s="144"/>
      <c r="K27" s="144"/>
      <c r="L27" s="144"/>
      <c r="M27" s="144"/>
      <c r="N27" s="144"/>
    </row>
    <row r="28" spans="1:14" x14ac:dyDescent="0.2">
      <c r="A28" s="72" t="s">
        <v>66</v>
      </c>
      <c r="B28" s="72" t="s">
        <v>35</v>
      </c>
      <c r="C28" s="72" t="s">
        <v>64</v>
      </c>
      <c r="D28" s="151">
        <v>521.35238520300004</v>
      </c>
      <c r="E28" s="152">
        <v>0.9576837818530487</v>
      </c>
      <c r="F28" s="153">
        <f t="shared" si="0"/>
        <v>0.9576837818530487</v>
      </c>
      <c r="G28" s="144"/>
      <c r="H28" s="144"/>
      <c r="I28" s="144"/>
      <c r="J28" s="144"/>
      <c r="K28" s="144"/>
      <c r="L28" s="144"/>
      <c r="M28" s="144"/>
      <c r="N28" s="144"/>
    </row>
    <row r="29" spans="1:14" x14ac:dyDescent="0.2">
      <c r="A29" s="72" t="s">
        <v>66</v>
      </c>
      <c r="B29" s="72" t="s">
        <v>43</v>
      </c>
      <c r="C29" s="72" t="s">
        <v>64</v>
      </c>
      <c r="D29" s="151">
        <v>271.89149024099999</v>
      </c>
      <c r="E29" s="152">
        <f t="shared" ref="E29:E30" si="2">D29/C63</f>
        <v>0.98020854085008458</v>
      </c>
      <c r="F29" s="153">
        <f t="shared" si="0"/>
        <v>0.98020854085008458</v>
      </c>
      <c r="G29" s="144"/>
      <c r="H29" s="144"/>
      <c r="I29" s="144"/>
      <c r="J29" s="144"/>
      <c r="K29" s="144"/>
      <c r="L29" s="144"/>
      <c r="M29" s="144"/>
      <c r="N29" s="144"/>
    </row>
    <row r="30" spans="1:14" x14ac:dyDescent="0.2">
      <c r="A30" s="159" t="s">
        <v>66</v>
      </c>
      <c r="B30" s="159" t="s">
        <v>200</v>
      </c>
      <c r="C30" s="159" t="s">
        <v>64</v>
      </c>
      <c r="D30" s="151">
        <v>1.7347513595999999</v>
      </c>
      <c r="E30" s="152">
        <f t="shared" si="2"/>
        <v>1</v>
      </c>
      <c r="F30" s="153">
        <f t="shared" si="0"/>
        <v>1</v>
      </c>
      <c r="G30" s="144"/>
      <c r="H30" s="144"/>
      <c r="I30" s="144"/>
      <c r="J30" s="144"/>
      <c r="K30" s="144"/>
      <c r="L30" s="144"/>
      <c r="M30" s="144"/>
      <c r="N30" s="144"/>
    </row>
    <row r="31" spans="1:14" x14ac:dyDescent="0.2">
      <c r="A31" s="72" t="s">
        <v>66</v>
      </c>
      <c r="B31" s="72" t="s">
        <v>42</v>
      </c>
      <c r="C31" s="72" t="s">
        <v>65</v>
      </c>
      <c r="D31" s="151">
        <v>28.495749959299999</v>
      </c>
      <c r="E31" s="152">
        <v>0.12351913553967472</v>
      </c>
      <c r="F31" s="153">
        <f t="shared" si="0"/>
        <v>0.12351913553967472</v>
      </c>
      <c r="G31" s="144"/>
      <c r="H31" s="144"/>
      <c r="I31" s="144"/>
      <c r="J31" s="144"/>
      <c r="K31" s="144"/>
      <c r="L31" s="144"/>
      <c r="M31" s="144"/>
      <c r="N31" s="144"/>
    </row>
    <row r="32" spans="1:14" x14ac:dyDescent="0.2">
      <c r="A32" s="72" t="s">
        <v>66</v>
      </c>
      <c r="B32" s="72" t="s">
        <v>36</v>
      </c>
      <c r="C32" s="72" t="s">
        <v>65</v>
      </c>
      <c r="D32" s="151">
        <v>242.86140976999999</v>
      </c>
      <c r="E32" s="152">
        <v>0.70890392589926587</v>
      </c>
      <c r="F32" s="153">
        <f t="shared" si="0"/>
        <v>0.70890392589926587</v>
      </c>
      <c r="G32" s="144"/>
      <c r="H32" s="144"/>
      <c r="I32" s="144"/>
      <c r="J32" s="144"/>
      <c r="K32" s="144"/>
      <c r="L32" s="144"/>
      <c r="M32" s="144"/>
      <c r="N32" s="144"/>
    </row>
    <row r="33" spans="1:14" x14ac:dyDescent="0.2">
      <c r="A33" s="72" t="s">
        <v>66</v>
      </c>
      <c r="B33" s="72" t="s">
        <v>34</v>
      </c>
      <c r="C33" s="72" t="s">
        <v>65</v>
      </c>
      <c r="D33" s="151">
        <v>361.85513810600003</v>
      </c>
      <c r="E33" s="152">
        <v>0.19572973987082651</v>
      </c>
      <c r="F33" s="153">
        <f t="shared" si="0"/>
        <v>0.19572973987082651</v>
      </c>
      <c r="G33" s="144"/>
      <c r="H33" s="144"/>
      <c r="I33" s="144"/>
      <c r="J33" s="144"/>
      <c r="K33" s="144"/>
      <c r="L33" s="144"/>
      <c r="M33" s="144"/>
      <c r="N33" s="144"/>
    </row>
    <row r="34" spans="1:14" x14ac:dyDescent="0.2">
      <c r="A34" s="72" t="s">
        <v>66</v>
      </c>
      <c r="B34" s="72" t="s">
        <v>35</v>
      </c>
      <c r="C34" s="72" t="s">
        <v>65</v>
      </c>
      <c r="D34" s="151">
        <v>542.5</v>
      </c>
      <c r="E34" s="152">
        <f>D34/D62</f>
        <v>0.57354922802334285</v>
      </c>
      <c r="F34" s="153">
        <f t="shared" si="0"/>
        <v>0.57354922802334285</v>
      </c>
      <c r="G34" s="144"/>
      <c r="H34" s="144"/>
      <c r="I34" s="144"/>
      <c r="J34" s="144"/>
      <c r="K34" s="144"/>
      <c r="L34" s="144"/>
      <c r="M34" s="144"/>
      <c r="N34" s="144"/>
    </row>
    <row r="35" spans="1:14" x14ac:dyDescent="0.2">
      <c r="A35" s="72" t="s">
        <v>66</v>
      </c>
      <c r="B35" s="72" t="s">
        <v>43</v>
      </c>
      <c r="C35" s="72" t="s">
        <v>65</v>
      </c>
      <c r="D35" s="151">
        <v>277.79526221499998</v>
      </c>
      <c r="E35" s="152">
        <f>D35/D63</f>
        <v>0.91238864526876928</v>
      </c>
      <c r="F35" s="153">
        <f t="shared" si="0"/>
        <v>0.91238864526876928</v>
      </c>
      <c r="G35" s="144"/>
      <c r="H35" s="144"/>
      <c r="I35" s="144"/>
      <c r="J35" s="144"/>
      <c r="K35" s="144"/>
      <c r="L35" s="144"/>
      <c r="M35" s="144"/>
      <c r="N35" s="144"/>
    </row>
    <row r="36" spans="1:14" x14ac:dyDescent="0.2">
      <c r="A36" s="159" t="s">
        <v>262</v>
      </c>
      <c r="B36" s="72" t="s">
        <v>42</v>
      </c>
      <c r="C36" s="72" t="s">
        <v>63</v>
      </c>
      <c r="D36" s="151">
        <v>331.058814918</v>
      </c>
      <c r="E36" s="152">
        <v>0.79237328805655649</v>
      </c>
      <c r="F36" s="153">
        <f t="shared" si="0"/>
        <v>0.79237328805655649</v>
      </c>
      <c r="G36" s="144"/>
      <c r="H36" s="144"/>
      <c r="I36" s="144"/>
      <c r="J36" s="144"/>
      <c r="K36" s="144"/>
      <c r="L36" s="144"/>
      <c r="M36" s="144"/>
      <c r="N36" s="144"/>
    </row>
    <row r="37" spans="1:14" x14ac:dyDescent="0.2">
      <c r="A37" s="159" t="s">
        <v>262</v>
      </c>
      <c r="B37" s="72" t="s">
        <v>42</v>
      </c>
      <c r="C37" s="72" t="s">
        <v>64</v>
      </c>
      <c r="D37" s="151">
        <v>161.30052457900001</v>
      </c>
      <c r="E37" s="152">
        <v>0.12794718724333862</v>
      </c>
      <c r="F37" s="153">
        <f t="shared" si="0"/>
        <v>0.12794718724333862</v>
      </c>
    </row>
    <row r="38" spans="1:14" x14ac:dyDescent="0.2">
      <c r="A38" s="159" t="s">
        <v>262</v>
      </c>
      <c r="B38" s="72" t="s">
        <v>42</v>
      </c>
      <c r="C38" s="72" t="s">
        <v>65</v>
      </c>
      <c r="D38" s="151">
        <v>196.83480787100001</v>
      </c>
      <c r="E38" s="152">
        <v>0.8532102131026692</v>
      </c>
      <c r="F38" s="153">
        <f t="shared" si="0"/>
        <v>0.8532102131026692</v>
      </c>
      <c r="I38" s="269"/>
    </row>
    <row r="39" spans="1:14" x14ac:dyDescent="0.2">
      <c r="A39" s="72" t="s">
        <v>67</v>
      </c>
      <c r="B39" s="72" t="s">
        <v>36</v>
      </c>
      <c r="C39" s="72" t="s">
        <v>63</v>
      </c>
      <c r="D39" s="151">
        <v>5.0860472021499996</v>
      </c>
      <c r="E39" s="152">
        <v>1.6380545904886423E-2</v>
      </c>
      <c r="F39" s="153">
        <f t="shared" si="0"/>
        <v>1.6380545904886423E-2</v>
      </c>
    </row>
    <row r="40" spans="1:14" x14ac:dyDescent="0.2">
      <c r="A40" s="72" t="s">
        <v>67</v>
      </c>
      <c r="B40" s="72" t="s">
        <v>34</v>
      </c>
      <c r="C40" s="72" t="s">
        <v>63</v>
      </c>
      <c r="D40" s="151">
        <v>181.809303304</v>
      </c>
      <c r="E40" s="152">
        <v>9.0793557103622358E-2</v>
      </c>
      <c r="F40" s="153">
        <f t="shared" si="0"/>
        <v>9.0793557103622358E-2</v>
      </c>
    </row>
    <row r="41" spans="1:14" x14ac:dyDescent="0.2">
      <c r="A41" s="72" t="s">
        <v>67</v>
      </c>
      <c r="B41" s="72" t="s">
        <v>35</v>
      </c>
      <c r="C41" s="72" t="s">
        <v>63</v>
      </c>
      <c r="D41" s="151">
        <v>23.971630319100001</v>
      </c>
      <c r="E41" s="152">
        <v>0.14365227188786586</v>
      </c>
      <c r="F41" s="153">
        <f t="shared" si="0"/>
        <v>0.14365227188786586</v>
      </c>
    </row>
    <row r="42" spans="1:14" x14ac:dyDescent="0.2">
      <c r="A42" s="72" t="s">
        <v>67</v>
      </c>
      <c r="B42" s="72" t="s">
        <v>43</v>
      </c>
      <c r="C42" s="72" t="s">
        <v>63</v>
      </c>
      <c r="D42" s="151">
        <v>4.9444967284599999</v>
      </c>
      <c r="E42" s="152">
        <f>D42/B63</f>
        <v>1.4496021394560224E-2</v>
      </c>
      <c r="F42" s="153">
        <f t="shared" si="0"/>
        <v>1.4496021394560224E-2</v>
      </c>
    </row>
    <row r="44" spans="1:14" x14ac:dyDescent="0.2">
      <c r="A44" s="19" t="s">
        <v>182</v>
      </c>
    </row>
    <row r="46" spans="1:14" x14ac:dyDescent="0.2">
      <c r="B46" s="70"/>
      <c r="C46" s="70"/>
      <c r="D46" s="70"/>
      <c r="E46" s="70"/>
    </row>
    <row r="47" spans="1:14" ht="13.15" customHeight="1" x14ac:dyDescent="0.2">
      <c r="A47" s="273" t="s">
        <v>150</v>
      </c>
      <c r="B47" s="273" t="s">
        <v>151</v>
      </c>
      <c r="C47" s="72"/>
      <c r="D47" s="72"/>
      <c r="E47" s="72"/>
      <c r="F47" s="719" t="s">
        <v>163</v>
      </c>
      <c r="G47" s="275"/>
    </row>
    <row r="48" spans="1:14" ht="24.75" customHeight="1" x14ac:dyDescent="0.2">
      <c r="A48" s="273" t="s">
        <v>148</v>
      </c>
      <c r="B48" s="276" t="s">
        <v>227</v>
      </c>
      <c r="C48" s="277" t="s">
        <v>228</v>
      </c>
      <c r="D48" s="277" t="s">
        <v>229</v>
      </c>
      <c r="E48" s="277" t="s">
        <v>183</v>
      </c>
      <c r="F48" s="719"/>
      <c r="G48" s="119" t="s">
        <v>164</v>
      </c>
    </row>
    <row r="49" spans="1:8" x14ac:dyDescent="0.2">
      <c r="A49" s="143" t="s">
        <v>42</v>
      </c>
      <c r="B49" s="174">
        <v>362.25869897479504</v>
      </c>
      <c r="C49" s="79">
        <v>1211.0326625125899</v>
      </c>
      <c r="D49" s="79">
        <v>202.24082091355001</v>
      </c>
      <c r="E49" s="79">
        <v>1775.5321824009352</v>
      </c>
      <c r="F49" s="79">
        <v>307.35000000000002</v>
      </c>
      <c r="G49" s="79" t="e">
        <f>E49-#REF!</f>
        <v>#REF!</v>
      </c>
    </row>
    <row r="50" spans="1:8" x14ac:dyDescent="0.2">
      <c r="A50" s="143" t="s">
        <v>36</v>
      </c>
      <c r="B50" s="79">
        <v>315.42585259825</v>
      </c>
      <c r="C50" s="79">
        <v>785.54851700419999</v>
      </c>
      <c r="D50" s="79">
        <v>344.06604714579998</v>
      </c>
      <c r="E50" s="79">
        <v>1445.04041674825</v>
      </c>
      <c r="F50" s="79">
        <v>28.83</v>
      </c>
      <c r="G50" s="79" t="e">
        <f>E50-#REF!</f>
        <v>#REF!</v>
      </c>
    </row>
    <row r="51" spans="1:8" x14ac:dyDescent="0.2">
      <c r="A51" s="143" t="s">
        <v>34</v>
      </c>
      <c r="B51" s="79">
        <v>2013.3704132085199</v>
      </c>
      <c r="C51" s="79">
        <v>382.95419408330002</v>
      </c>
      <c r="D51" s="79">
        <v>1861.5907667056438</v>
      </c>
      <c r="E51" s="79">
        <v>4257.9153739974636</v>
      </c>
      <c r="F51" s="79">
        <v>1970.12</v>
      </c>
      <c r="G51" s="79" t="e">
        <f>E51-#REF!</f>
        <v>#REF!</v>
      </c>
    </row>
    <row r="52" spans="1:8" x14ac:dyDescent="0.2">
      <c r="A52" s="143" t="s">
        <v>35</v>
      </c>
      <c r="B52" s="79">
        <v>167.69367248450001</v>
      </c>
      <c r="C52" s="79">
        <v>550.16177037800003</v>
      </c>
      <c r="D52" s="79">
        <v>945.86475492199747</v>
      </c>
      <c r="E52" s="79">
        <v>1663.7201977844975</v>
      </c>
      <c r="F52" s="79">
        <v>386.03</v>
      </c>
      <c r="G52" s="79" t="e">
        <f>E52-#REF!</f>
        <v>#REF!</v>
      </c>
    </row>
    <row r="53" spans="1:8" x14ac:dyDescent="0.2">
      <c r="A53" s="143" t="s">
        <v>43</v>
      </c>
      <c r="B53" s="79">
        <v>341.09336581936003</v>
      </c>
      <c r="C53" s="79">
        <v>277.38127032151999</v>
      </c>
      <c r="D53" s="79">
        <v>304.47031937049996</v>
      </c>
      <c r="E53" s="79">
        <v>922.94495551137993</v>
      </c>
      <c r="F53" s="79">
        <v>734.58</v>
      </c>
      <c r="G53" s="79" t="e">
        <f>E53-#REF!</f>
        <v>#REF!</v>
      </c>
    </row>
    <row r="54" spans="1:8" x14ac:dyDescent="0.2">
      <c r="A54" s="143" t="s">
        <v>183</v>
      </c>
      <c r="B54" s="79">
        <v>3199.8420030854249</v>
      </c>
      <c r="C54" s="79">
        <v>3207.0784142996099</v>
      </c>
      <c r="D54" s="79">
        <v>3658.2327090574909</v>
      </c>
      <c r="E54" s="79">
        <v>10065.153126442527</v>
      </c>
      <c r="F54" s="161">
        <f>SUM(F49:F53)</f>
        <v>3426.91</v>
      </c>
      <c r="G54" s="161" t="e">
        <f>E54-#REF!</f>
        <v>#REF!</v>
      </c>
    </row>
    <row r="56" spans="1:8" x14ac:dyDescent="0.2">
      <c r="A56" s="582" t="s">
        <v>665</v>
      </c>
      <c r="B56" s="583"/>
      <c r="C56" s="81"/>
    </row>
    <row r="57" spans="1:8" x14ac:dyDescent="0.2">
      <c r="A57" s="270" t="s">
        <v>150</v>
      </c>
      <c r="B57" t="s">
        <v>151</v>
      </c>
    </row>
    <row r="58" spans="1:8" ht="38.25" x14ac:dyDescent="0.2">
      <c r="A58" s="282" t="s">
        <v>148</v>
      </c>
      <c r="B58" s="283" t="s">
        <v>227</v>
      </c>
      <c r="C58" s="283" t="s">
        <v>228</v>
      </c>
      <c r="D58" s="283" t="s">
        <v>229</v>
      </c>
      <c r="E58" s="283" t="s">
        <v>183</v>
      </c>
      <c r="F58" s="283"/>
      <c r="G58" s="269"/>
      <c r="H58" s="269"/>
    </row>
    <row r="59" spans="1:8" x14ac:dyDescent="0.2">
      <c r="A59" s="284" t="s">
        <v>42</v>
      </c>
      <c r="B59" s="581">
        <v>372.86500000000001</v>
      </c>
      <c r="C59" s="580">
        <v>1216.6379999999999</v>
      </c>
      <c r="D59" s="502">
        <v>203.61699999999999</v>
      </c>
      <c r="E59" s="584">
        <f>SUM(B59:D59)</f>
        <v>1793.12</v>
      </c>
      <c r="F59" s="146"/>
    </row>
    <row r="60" spans="1:8" x14ac:dyDescent="0.2">
      <c r="A60" s="284" t="s">
        <v>36</v>
      </c>
      <c r="B60" s="581">
        <v>313.53399999999999</v>
      </c>
      <c r="C60" s="580">
        <v>818.58399999999995</v>
      </c>
      <c r="D60" s="502">
        <v>344.06604714579998</v>
      </c>
      <c r="E60" s="584">
        <f t="shared" ref="E60:E65" si="3">SUM(B60:D60)</f>
        <v>1476.1840471457999</v>
      </c>
      <c r="F60" s="146"/>
    </row>
    <row r="61" spans="1:8" x14ac:dyDescent="0.2">
      <c r="A61" s="284" t="s">
        <v>34</v>
      </c>
      <c r="B61" s="581">
        <v>2011.508</v>
      </c>
      <c r="C61" s="580">
        <v>522.66999999999996</v>
      </c>
      <c r="D61" s="502">
        <v>1861.5907667056438</v>
      </c>
      <c r="E61" s="584">
        <f t="shared" si="3"/>
        <v>4395.7687667056434</v>
      </c>
      <c r="F61" s="146"/>
    </row>
    <row r="62" spans="1:8" x14ac:dyDescent="0.2">
      <c r="A62" s="284" t="s">
        <v>35</v>
      </c>
      <c r="B62" s="581">
        <v>167.69367248450001</v>
      </c>
      <c r="C62" s="580">
        <v>550.1982496677</v>
      </c>
      <c r="D62" s="502">
        <v>945.86475492199747</v>
      </c>
      <c r="E62" s="584">
        <f t="shared" si="3"/>
        <v>1663.7566770741973</v>
      </c>
      <c r="F62" s="146"/>
    </row>
    <row r="63" spans="1:8" x14ac:dyDescent="0.2">
      <c r="A63" s="284" t="s">
        <v>43</v>
      </c>
      <c r="B63" s="581">
        <v>341.09336581936003</v>
      </c>
      <c r="C63" s="580">
        <v>277.38127032151999</v>
      </c>
      <c r="D63" s="502">
        <v>304.47031937049996</v>
      </c>
      <c r="E63" s="584">
        <f t="shared" si="3"/>
        <v>922.94495551137993</v>
      </c>
      <c r="F63" s="146"/>
    </row>
    <row r="64" spans="1:8" x14ac:dyDescent="0.2">
      <c r="A64" s="579" t="s">
        <v>200</v>
      </c>
      <c r="B64" s="581">
        <v>15.5313258738</v>
      </c>
      <c r="C64" s="580">
        <v>1.7347513595999999</v>
      </c>
      <c r="D64" s="502">
        <v>3.33241738471E-2</v>
      </c>
      <c r="E64" s="584">
        <f t="shared" si="3"/>
        <v>17.2994014072471</v>
      </c>
      <c r="F64" s="146"/>
    </row>
    <row r="65" spans="1:6" x14ac:dyDescent="0.2">
      <c r="A65" s="284" t="s">
        <v>183</v>
      </c>
      <c r="B65" s="581">
        <f>SUM(B59:B64)</f>
        <v>3222.2253641776601</v>
      </c>
      <c r="C65" s="580">
        <f>SUM(C59:C64)</f>
        <v>3387.2062713488199</v>
      </c>
      <c r="D65" s="502">
        <f>SUM(D59:D64)</f>
        <v>3659.6422123177881</v>
      </c>
      <c r="E65" s="584">
        <f t="shared" si="3"/>
        <v>10269.073847844269</v>
      </c>
      <c r="F65" s="146"/>
    </row>
    <row r="66" spans="1:6" x14ac:dyDescent="0.2">
      <c r="A66" s="284"/>
      <c r="B66" s="170"/>
      <c r="C66" s="171"/>
      <c r="D66" s="285"/>
      <c r="E66" s="146"/>
      <c r="F66" s="146"/>
    </row>
    <row r="67" spans="1:6" x14ac:dyDescent="0.2">
      <c r="A67" s="579" t="s">
        <v>666</v>
      </c>
      <c r="B67" s="170"/>
      <c r="C67" s="171"/>
      <c r="D67" s="285"/>
      <c r="E67" s="146"/>
      <c r="F67" s="146"/>
    </row>
    <row r="68" spans="1:6" x14ac:dyDescent="0.2">
      <c r="A68" s="284"/>
      <c r="B68" s="170"/>
      <c r="C68" s="171"/>
      <c r="D68" s="285"/>
      <c r="E68" s="146"/>
      <c r="F68" s="146"/>
    </row>
    <row r="69" spans="1:6" x14ac:dyDescent="0.2">
      <c r="A69" s="284"/>
      <c r="B69" s="170"/>
      <c r="C69" s="171"/>
      <c r="D69" s="285"/>
      <c r="E69" s="146"/>
      <c r="F69" s="146"/>
    </row>
    <row r="70" spans="1:6" x14ac:dyDescent="0.2">
      <c r="A70" s="284"/>
      <c r="B70" s="170"/>
      <c r="C70" s="171"/>
      <c r="D70" s="285"/>
      <c r="E70" s="146"/>
      <c r="F70" s="146"/>
    </row>
    <row r="71" spans="1:6" x14ac:dyDescent="0.2">
      <c r="A71" s="284"/>
      <c r="B71" s="170"/>
      <c r="C71" s="171"/>
      <c r="D71" s="285"/>
      <c r="E71" s="146"/>
      <c r="F71" s="146"/>
    </row>
    <row r="72" spans="1:6" x14ac:dyDescent="0.2">
      <c r="A72" s="284"/>
      <c r="B72" s="170"/>
      <c r="C72" s="171"/>
      <c r="D72" s="285"/>
      <c r="E72" s="146"/>
      <c r="F72" s="146"/>
    </row>
    <row r="73" spans="1:6" x14ac:dyDescent="0.2">
      <c r="A73" s="284"/>
      <c r="B73" s="170"/>
      <c r="C73" s="171"/>
      <c r="D73" s="285"/>
      <c r="E73" s="146"/>
      <c r="F73" s="146"/>
    </row>
    <row r="74" spans="1:6" x14ac:dyDescent="0.2">
      <c r="A74" s="284"/>
      <c r="B74" s="170"/>
      <c r="C74" s="171"/>
      <c r="D74" s="285"/>
      <c r="E74" s="146"/>
      <c r="F74" s="146"/>
    </row>
    <row r="75" spans="1:6" x14ac:dyDescent="0.2">
      <c r="A75" s="284"/>
      <c r="B75" s="170"/>
      <c r="C75" s="171"/>
      <c r="D75" s="285"/>
      <c r="E75" s="146"/>
      <c r="F75" s="146"/>
    </row>
  </sheetData>
  <mergeCells count="2">
    <mergeCell ref="F47:F48"/>
    <mergeCell ref="G2:H2"/>
  </mergeCells>
  <pageMargins left="0.7" right="0.7" top="0.75" bottom="0.75" header="0.3" footer="0.3"/>
  <pageSetup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B30" sqref="B30"/>
    </sheetView>
  </sheetViews>
  <sheetFormatPr defaultRowHeight="12.75" x14ac:dyDescent="0.2"/>
  <cols>
    <col min="1" max="1" width="42.28515625" customWidth="1"/>
    <col min="2" max="3" width="13" customWidth="1"/>
    <col min="4" max="4" width="13.42578125" customWidth="1"/>
    <col min="5" max="5" width="12" customWidth="1"/>
    <col min="6" max="6" width="13.28515625" customWidth="1"/>
    <col min="7" max="7" width="13.5703125" customWidth="1"/>
    <col min="8" max="8" width="13.85546875" customWidth="1"/>
    <col min="9" max="10" width="13.7109375" customWidth="1"/>
    <col min="11" max="11" width="12.140625" customWidth="1"/>
  </cols>
  <sheetData>
    <row r="1" spans="1:11" ht="64.150000000000006" customHeight="1" x14ac:dyDescent="0.2">
      <c r="A1" s="564" t="s">
        <v>433</v>
      </c>
      <c r="B1" s="475" t="s">
        <v>427</v>
      </c>
      <c r="C1" s="475" t="s">
        <v>428</v>
      </c>
      <c r="D1" s="476" t="s">
        <v>424</v>
      </c>
      <c r="E1" s="476" t="s">
        <v>429</v>
      </c>
      <c r="F1" s="476" t="s">
        <v>425</v>
      </c>
      <c r="G1" s="476" t="s">
        <v>430</v>
      </c>
      <c r="H1" s="476" t="s">
        <v>640</v>
      </c>
      <c r="I1" s="476" t="s">
        <v>641</v>
      </c>
      <c r="J1" s="476" t="s">
        <v>642</v>
      </c>
      <c r="K1" s="476" t="s">
        <v>639</v>
      </c>
    </row>
    <row r="2" spans="1:11" ht="18.600000000000001" customHeight="1" x14ac:dyDescent="0.2">
      <c r="A2" s="477" t="s">
        <v>431</v>
      </c>
      <c r="B2" s="478" t="s">
        <v>393</v>
      </c>
      <c r="C2" s="478" t="s">
        <v>393</v>
      </c>
      <c r="D2" s="478">
        <f>'Newnans Lake BMAP TP'!B4</f>
        <v>386</v>
      </c>
      <c r="E2" s="478">
        <f>'Newnans Lake BMAP TP'!G4</f>
        <v>0</v>
      </c>
      <c r="F2" s="478">
        <f>'Newnans Lake TN'!D4</f>
        <v>0</v>
      </c>
      <c r="G2" s="478">
        <f>'Newnans Lake TN'!G4</f>
        <v>0</v>
      </c>
      <c r="H2" s="559" t="s">
        <v>393</v>
      </c>
      <c r="I2" s="559" t="s">
        <v>393</v>
      </c>
      <c r="J2" s="560" t="s">
        <v>393</v>
      </c>
      <c r="K2" s="560" t="s">
        <v>393</v>
      </c>
    </row>
    <row r="3" spans="1:11" ht="13.9" customHeight="1" x14ac:dyDescent="0.2">
      <c r="A3" s="480" t="s">
        <v>643</v>
      </c>
      <c r="B3" s="468">
        <f>'Orange Lake BMAP'!B4+'Orange Lake BMAP'!B17</f>
        <v>594</v>
      </c>
      <c r="C3" s="468" t="s">
        <v>426</v>
      </c>
      <c r="D3" s="464">
        <f>'Newnans Lake BMAP TP'!B7+'Newnans Lake BMAP TP'!B21+'Newnans Lake BMAP TP'!B35</f>
        <v>1767.3629036140831</v>
      </c>
      <c r="E3" s="465" t="s">
        <v>426</v>
      </c>
      <c r="F3" s="464">
        <f>'Newnans Lake TN'!B7+'Newnans Lake TN'!B21+'Newnans Lake TN'!B35</f>
        <v>28242.6</v>
      </c>
      <c r="G3" s="481" t="s">
        <v>426</v>
      </c>
      <c r="H3" s="550">
        <f>'Lochloosa Lake TP Budget'!B4+'Lochloosa Lake TP Budget'!B13+'Lochloosa Lake TP Budget'!B25+'Lochloosa Lake TP Budget'!B37+'Lochloosa Lake TP Budget'!B51+'Lochloosa Lake TP Budget'!B64+'Lochloosa Lake TP Budget'!B76+'Lochloosa Lake TP Budget'!B79+'Lochloosa Lake TP Budget'!B94+'Lochloosa Lake TP Budget'!B104+'Lochloosa Lake TP Budget'!B113+'Lochloosa Lake TP Budget'!B121</f>
        <v>1698.0377839896739</v>
      </c>
      <c r="I3" s="561" t="s">
        <v>426</v>
      </c>
      <c r="J3" s="562">
        <f>'Lochloosa Lake TN Budget'!N148</f>
        <v>24325.093797677124</v>
      </c>
      <c r="K3" s="562" t="s">
        <v>426</v>
      </c>
    </row>
    <row r="4" spans="1:11" x14ac:dyDescent="0.2">
      <c r="A4" s="482" t="s">
        <v>422</v>
      </c>
      <c r="B4" s="548">
        <f>'Orange Lake BMAP'!B5+'Orange Lake BMAP'!B18</f>
        <v>3362.6666666666665</v>
      </c>
      <c r="C4" s="474" t="s">
        <v>426</v>
      </c>
      <c r="D4" s="470">
        <f>'Newnans Lake BMAP TP'!D8+'Newnans Lake BMAP TP'!D22+'Newnans Lake BMAP TP'!D36</f>
        <v>3371.2</v>
      </c>
      <c r="E4" s="471" t="s">
        <v>426</v>
      </c>
      <c r="F4" s="470">
        <f>'Newnans Lake TN'!D8+'Newnans Lake TN'!D22+'Newnans Lake TN'!D36</f>
        <v>32184.6</v>
      </c>
      <c r="G4" s="483" t="s">
        <v>426</v>
      </c>
      <c r="H4" s="147">
        <f>'Lochloosa Lake TP Budget'!D6+'Lochloosa Lake TP Budget'!D7+'Lochloosa Lake TP Budget'!D15+'Lochloosa Lake TP Budget'!D16+'Lochloosa Lake TP Budget'!D27+'Lochloosa Lake TP Budget'!D28+'Lochloosa Lake TP Budget'!D39+'Lochloosa Lake TP Budget'!D40+'Lochloosa Lake TP Budget'!D53+'Lochloosa Lake TP Budget'!D54+'Lochloosa Lake TP Budget'!D66+'Lochloosa Lake TP Budget'!D67+'Lochloosa Lake TP Budget'!D78+'Lochloosa Lake TP Budget'!D81+'Lochloosa Lake TP Budget'!D82+'Lochloosa Lake TP Budget'!D96+'Lochloosa Lake TP Budget'!D97+'Lochloosa Lake TP Budget'!D106+'Lochloosa Lake TP Budget'!D107+'Lochloosa Lake TP Budget'!D115+'Lochloosa Lake TP Budget'!D116+'Lochloosa Lake TP Budget'!D123+'Lochloosa Lake TP Budget'!D124</f>
        <v>1202.692361832668</v>
      </c>
      <c r="I4" s="136" t="s">
        <v>426</v>
      </c>
      <c r="J4" s="147">
        <f>'Lochloosa Lake TN Budget'!N149</f>
        <v>16668.583247057803</v>
      </c>
      <c r="K4" s="363" t="s">
        <v>426</v>
      </c>
    </row>
    <row r="5" spans="1:11" x14ac:dyDescent="0.2">
      <c r="A5" s="484" t="s">
        <v>423</v>
      </c>
      <c r="B5" s="548">
        <f>'Orange Lake BMAP'!B8+'Orange Lake BMAP'!B21</f>
        <v>945.63333333333333</v>
      </c>
      <c r="C5" s="548">
        <f>'Orange Lake BMAP'!G8+'Orange Lake BMAP'!G21</f>
        <v>542.09660325288712</v>
      </c>
      <c r="D5" s="470">
        <f>'Newnans Lake BMAP TP'!D11+'Newnans Lake BMAP TP'!D25+'Newnans Lake BMAP TP'!D39</f>
        <v>1245.7199999999998</v>
      </c>
      <c r="E5" s="470">
        <f>'Newnans Lake BMAP TP'!G25+'Newnans Lake BMAP TP'!G11+'Newnans Lake BMAP TP'!G39</f>
        <v>1044.6142360075994</v>
      </c>
      <c r="F5" s="470">
        <f>'Newnans Lake TN'!D11+'Newnans Lake TN'!D25+'Newnans Lake TN'!D39</f>
        <v>11216.8</v>
      </c>
      <c r="G5" s="147">
        <f>'Newnans Lake TN'!G11+'Newnans Lake TN'!G25+'Newnans Lake TN'!G39</f>
        <v>9365.3735167808427</v>
      </c>
      <c r="H5" s="147">
        <f>'Lochloosa Lake TP Budget'!N152</f>
        <v>1666.8738384216481</v>
      </c>
      <c r="I5" s="131">
        <f>'Lochloosa Lake TP Budget'!N160</f>
        <v>889.03737842065789</v>
      </c>
      <c r="J5" s="147">
        <f>'Lochloosa Lake TN Budget'!N150</f>
        <v>13265.687822416157</v>
      </c>
      <c r="K5" s="147">
        <f>'Lochloosa Lake TN Budget'!N157</f>
        <v>9631.4177777754685</v>
      </c>
    </row>
    <row r="6" spans="1:11" x14ac:dyDescent="0.2">
      <c r="A6" s="235" t="s">
        <v>27</v>
      </c>
      <c r="B6" s="548">
        <f>'Orange Lake BMAP'!B15+'Orange Lake BMAP'!B29</f>
        <v>5986</v>
      </c>
      <c r="C6" s="548">
        <f>'Orange Lake BMAP'!G15+'Orange Lake BMAP'!G29</f>
        <v>3431.5523286740272</v>
      </c>
      <c r="D6" s="470">
        <f>'Newnans Lake BMAP TP'!D18+'Newnans Lake BMAP TP'!D32+'Newnans Lake BMAP TP'!D46</f>
        <v>522.20000000000005</v>
      </c>
      <c r="E6" s="470">
        <f>'Newnans Lake BMAP TP'!G18+'Newnans Lake BMAP TP'!G32+'Newnans Lake BMAP TP'!G46</f>
        <v>437.89740394564467</v>
      </c>
      <c r="F6" s="470">
        <f>'Newnans Lake TN'!D18+'Newnans Lake TN'!D32+'Newnans Lake TN'!D46</f>
        <v>3580</v>
      </c>
      <c r="G6" s="147">
        <f>'Newnans Lake TN'!G18+'Newnans Lake TN'!G32+'Newnans Lake TN'!G46</f>
        <v>2989.0911124452082</v>
      </c>
      <c r="H6" s="147">
        <f>'Lochloosa Lake TP Budget'!N153</f>
        <v>2510.4</v>
      </c>
      <c r="I6" s="131">
        <f>'Lochloosa Lake TP Budget'!N159</f>
        <v>1468.9698061405063</v>
      </c>
      <c r="J6" s="147">
        <f>'Lochloosa Lake TN Budget'!N151</f>
        <v>22402.879999999997</v>
      </c>
      <c r="K6" s="147">
        <f>'Lochloosa Lake TN Budget'!N156</f>
        <v>16265.383786619035</v>
      </c>
    </row>
    <row r="7" spans="1:11" x14ac:dyDescent="0.2">
      <c r="A7" s="221" t="s">
        <v>421</v>
      </c>
      <c r="B7" s="549">
        <f>'Orange Lake BMAP'!B16+'Orange Lake BMAP'!B28</f>
        <v>390</v>
      </c>
      <c r="C7" s="549">
        <f>'Orange Lake BMAP'!G16+'Orange Lake BMAP'!G28</f>
        <v>223.57257069543442</v>
      </c>
      <c r="D7" s="470">
        <f>'Newnans Lake BMAP TP'!D20+'Newnans Lake BMAP TP'!D33+'Newnans Lake BMAP TP'!D47</f>
        <v>256.06666666666666</v>
      </c>
      <c r="E7" s="470">
        <f>'Newnans Lake BMAP TP'!G20+'Newnans Lake BMAP TP'!G33+'Newnans Lake BMAP TP'!G47</f>
        <v>214.72793674903886</v>
      </c>
      <c r="F7" s="470">
        <f>'Newnans Lake TN'!D20+'Newnans Lake TN'!D34+'Newnans Lake TN'!D48</f>
        <v>1870.1999999999998</v>
      </c>
      <c r="G7" s="147">
        <f>'Newnans Lake TN'!G20+'Newnans Lake TN'!G34+'Newnans Lake TN'!G48</f>
        <v>1561.5078766745889</v>
      </c>
      <c r="H7" s="363" t="s">
        <v>393</v>
      </c>
      <c r="I7" s="136" t="s">
        <v>393</v>
      </c>
      <c r="J7" s="363" t="s">
        <v>393</v>
      </c>
      <c r="K7" s="147"/>
    </row>
    <row r="8" spans="1:11" x14ac:dyDescent="0.2">
      <c r="A8" s="221" t="s">
        <v>0</v>
      </c>
      <c r="B8" s="549">
        <f>'Orange Lake BMAP'!B30</f>
        <v>2941</v>
      </c>
      <c r="C8" s="549" t="s">
        <v>426</v>
      </c>
      <c r="D8" s="470">
        <f>'Newnans Lake BMAP TP'!B50</f>
        <v>3223</v>
      </c>
      <c r="E8" s="471" t="s">
        <v>426</v>
      </c>
      <c r="F8" s="470">
        <f>'Newnans Lake TN'!B49</f>
        <v>6446</v>
      </c>
      <c r="G8" s="483" t="s">
        <v>426</v>
      </c>
      <c r="H8" s="147">
        <f>'Lochloosa Lake TP Budget'!D136</f>
        <v>4248</v>
      </c>
      <c r="I8" s="136" t="s">
        <v>426</v>
      </c>
      <c r="J8" s="147">
        <f>'Lochloosa Lake TN Budget'!B135</f>
        <v>72824.551800000001</v>
      </c>
      <c r="K8" s="363" t="s">
        <v>426</v>
      </c>
    </row>
    <row r="9" spans="1:11" x14ac:dyDescent="0.2">
      <c r="A9" s="221" t="s">
        <v>1</v>
      </c>
      <c r="B9" s="548">
        <f>SUM(B10:B11)</f>
        <v>13671</v>
      </c>
      <c r="C9" s="548">
        <f>'Orange Lake BMAP'!G31</f>
        <v>7837.0784973776517</v>
      </c>
      <c r="D9" s="548" t="s">
        <v>393</v>
      </c>
      <c r="E9" s="243" t="s">
        <v>393</v>
      </c>
      <c r="F9" s="548" t="s">
        <v>393</v>
      </c>
      <c r="G9" s="149" t="s">
        <v>393</v>
      </c>
      <c r="H9" s="363" t="s">
        <v>393</v>
      </c>
      <c r="I9" s="136" t="s">
        <v>393</v>
      </c>
      <c r="J9" s="363" t="s">
        <v>393</v>
      </c>
      <c r="K9" s="363" t="s">
        <v>393</v>
      </c>
    </row>
    <row r="10" spans="1:11" x14ac:dyDescent="0.2">
      <c r="A10" s="159" t="s">
        <v>89</v>
      </c>
      <c r="B10" s="473">
        <f>'Orange Lake BMAP'!B32</f>
        <v>10344</v>
      </c>
      <c r="C10" s="473">
        <f>'Orange Lake BMAP'!G32</f>
        <v>5929.832490445061</v>
      </c>
      <c r="D10" s="472"/>
      <c r="E10" s="472"/>
      <c r="F10" s="472"/>
      <c r="G10" s="206"/>
      <c r="H10" s="147"/>
      <c r="I10" s="131"/>
      <c r="J10" s="147"/>
      <c r="K10" s="147"/>
    </row>
    <row r="11" spans="1:11" x14ac:dyDescent="0.2">
      <c r="A11" s="159" t="s">
        <v>90</v>
      </c>
      <c r="B11" s="474">
        <f>'Orange Lake BMAP'!B33</f>
        <v>3327</v>
      </c>
      <c r="C11" s="474">
        <f>'Orange Lake BMAP'!G33</f>
        <v>1907.2460069325907</v>
      </c>
      <c r="D11" s="472"/>
      <c r="E11" s="472"/>
      <c r="F11" s="472"/>
      <c r="G11" s="206"/>
      <c r="H11" s="147"/>
      <c r="I11" s="131"/>
      <c r="J11" s="147"/>
      <c r="K11" s="147"/>
    </row>
    <row r="12" spans="1:11" x14ac:dyDescent="0.2">
      <c r="A12" s="235" t="s">
        <v>3</v>
      </c>
      <c r="B12" s="469" t="s">
        <v>393</v>
      </c>
      <c r="C12" s="469" t="s">
        <v>393</v>
      </c>
      <c r="D12" s="470">
        <f>'Newnans Lake BMAP TP'!D19+'Newnans Lake BMAP TP'!D34+'Newnans Lake BMAP TP'!D48</f>
        <v>1827.1999999999998</v>
      </c>
      <c r="E12" s="471" t="s">
        <v>426</v>
      </c>
      <c r="F12" s="470">
        <f>'Newnans Lake TN'!B19+'Newnans Lake TN'!B33+'Newnans Lake TN'!B47</f>
        <v>6698.2000000000007</v>
      </c>
      <c r="G12" s="483" t="s">
        <v>426</v>
      </c>
      <c r="H12" s="363" t="s">
        <v>393</v>
      </c>
      <c r="I12" s="136" t="s">
        <v>393</v>
      </c>
      <c r="J12" s="363" t="s">
        <v>393</v>
      </c>
      <c r="K12" s="363" t="s">
        <v>393</v>
      </c>
    </row>
    <row r="13" spans="1:11" x14ac:dyDescent="0.2">
      <c r="A13" s="235" t="s">
        <v>13</v>
      </c>
      <c r="B13" s="469" t="s">
        <v>393</v>
      </c>
      <c r="C13" s="469" t="s">
        <v>393</v>
      </c>
      <c r="D13" s="470">
        <f>'Newnans Lake BMAP TP'!D49</f>
        <v>13478</v>
      </c>
      <c r="E13" s="470">
        <f>'Newnans Lake BMAP TP'!G49</f>
        <v>11302.147089964381</v>
      </c>
      <c r="F13" s="470">
        <f>'Newnans Lake TN'!D50</f>
        <v>226527</v>
      </c>
      <c r="G13" s="147">
        <f>'Newnans Lake TN'!G50</f>
        <v>189136.82749409936</v>
      </c>
      <c r="H13" s="147">
        <f>'Lochloosa Lake TP Budget'!D137</f>
        <v>5426</v>
      </c>
      <c r="I13" s="131">
        <f>'Lochloosa Lake TP Budget'!G137</f>
        <v>2893.9910566111344</v>
      </c>
      <c r="J13" s="147">
        <f>'Lochloosa Lake TN Budget'!D136</f>
        <v>266655</v>
      </c>
      <c r="K13" s="147">
        <f>'Lochloosa Lake TN Budget'!G136</f>
        <v>193602.15800918889</v>
      </c>
    </row>
    <row r="14" spans="1:11" x14ac:dyDescent="0.2">
      <c r="A14" s="485" t="s">
        <v>4</v>
      </c>
      <c r="B14" s="470"/>
      <c r="C14" s="470"/>
      <c r="D14" s="472"/>
      <c r="E14" s="472"/>
      <c r="F14" s="472"/>
      <c r="G14" s="206"/>
      <c r="H14" s="72"/>
      <c r="I14" s="131"/>
      <c r="J14" s="272"/>
      <c r="K14" s="147"/>
    </row>
    <row r="15" spans="1:11" x14ac:dyDescent="0.2">
      <c r="A15" s="373" t="s">
        <v>731</v>
      </c>
      <c r="B15" s="399">
        <f>'Orange Lake BMAP'!B38</f>
        <v>27890.299999999996</v>
      </c>
      <c r="C15" s="399"/>
      <c r="D15" s="399">
        <f>'Newnans Lake BMAP TP'!B56</f>
        <v>26076.749570280746</v>
      </c>
      <c r="E15" s="248"/>
      <c r="F15" s="399">
        <f>'Newnans Lake TN'!B56</f>
        <v>319869.39999999997</v>
      </c>
      <c r="G15" s="248"/>
      <c r="H15" s="399">
        <f>'Lochloosa Lake TP Budget'!B139</f>
        <v>16751.958421389554</v>
      </c>
      <c r="I15" s="318"/>
      <c r="J15" s="349">
        <f>'Lochloosa Lake TN Budget'!B139</f>
        <v>416142</v>
      </c>
      <c r="K15" s="399"/>
    </row>
    <row r="16" spans="1:11" ht="25.5" x14ac:dyDescent="0.2">
      <c r="A16" s="644" t="s">
        <v>749</v>
      </c>
      <c r="B16" s="399">
        <f>'Orange Lake BMAP'!D38</f>
        <v>27296.3</v>
      </c>
      <c r="C16" s="399"/>
      <c r="D16" s="399">
        <f>'Newnans Lake BMAP TP'!D56</f>
        <v>23923.386666666665</v>
      </c>
      <c r="E16" s="399"/>
      <c r="F16" s="399">
        <f>'Newnans Lake TN'!D56</f>
        <v>288522.8</v>
      </c>
      <c r="G16" s="248"/>
      <c r="H16" s="399">
        <f>'Lochloosa Lake TP Budget'!D139</f>
        <v>15053.966200254315</v>
      </c>
      <c r="I16" s="318"/>
      <c r="J16" s="318">
        <f>'Lochloosa Lake TN Budget'!D139</f>
        <v>391817</v>
      </c>
      <c r="K16" s="399"/>
    </row>
    <row r="17" spans="1:11" x14ac:dyDescent="0.2">
      <c r="A17" s="467" t="s">
        <v>14</v>
      </c>
      <c r="B17" s="399">
        <v>15262</v>
      </c>
      <c r="C17" s="399"/>
      <c r="D17" s="399">
        <v>10924</v>
      </c>
      <c r="E17" s="248"/>
      <c r="F17" s="399">
        <v>85470</v>
      </c>
      <c r="G17" s="248"/>
      <c r="H17" s="399">
        <v>9932</v>
      </c>
      <c r="I17" s="318"/>
      <c r="J17" s="318">
        <v>172318.14980000001</v>
      </c>
      <c r="K17" s="399"/>
    </row>
    <row r="18" spans="1:11" x14ac:dyDescent="0.2">
      <c r="A18" s="467" t="s">
        <v>15</v>
      </c>
      <c r="B18" s="399">
        <f>B16-B17</f>
        <v>12034.3</v>
      </c>
      <c r="C18" s="399">
        <f>SUM(C5:C9)</f>
        <v>12034.3</v>
      </c>
      <c r="D18" s="399">
        <f>'Newnans Lake BMAP TP'!D58</f>
        <v>12999.386666666665</v>
      </c>
      <c r="E18" s="399">
        <f>SUM(E2:E13)</f>
        <v>12999.386666666664</v>
      </c>
      <c r="F18" s="399">
        <f>'Newnans Lake TN'!D58</f>
        <v>203052.79999999999</v>
      </c>
      <c r="G18" s="399">
        <f>'Newnans Lake TN'!I58</f>
        <v>203052.79999999999</v>
      </c>
      <c r="H18" s="399">
        <f>H16-H17</f>
        <v>5121.9662002543155</v>
      </c>
      <c r="I18" s="318">
        <v>5121.8294532070631</v>
      </c>
      <c r="J18" s="318">
        <f>J16-J17</f>
        <v>219498.85019999999</v>
      </c>
      <c r="K18" s="399">
        <f>K5+K6+K13</f>
        <v>219498.95957358339</v>
      </c>
    </row>
    <row r="20" spans="1:11" x14ac:dyDescent="0.2">
      <c r="A20" s="546" t="s">
        <v>638</v>
      </c>
      <c r="F20" s="2"/>
      <c r="H20" s="2"/>
    </row>
    <row r="21" spans="1:11" x14ac:dyDescent="0.2">
      <c r="A21" s="563" t="s">
        <v>651</v>
      </c>
    </row>
    <row r="22" spans="1:11" x14ac:dyDescent="0.2">
      <c r="A22" s="546" t="s">
        <v>644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2"/>
  <sheetViews>
    <sheetView workbookViewId="0">
      <selection activeCell="C20" sqref="C20"/>
    </sheetView>
  </sheetViews>
  <sheetFormatPr defaultRowHeight="12.75" x14ac:dyDescent="0.2"/>
  <cols>
    <col min="1" max="1" width="21" customWidth="1"/>
    <col min="2" max="2" width="14.28515625" customWidth="1"/>
    <col min="3" max="3" width="14" customWidth="1"/>
    <col min="4" max="6" width="14.7109375" customWidth="1"/>
    <col min="7" max="7" width="15.140625" customWidth="1"/>
    <col min="8" max="8" width="13.7109375" customWidth="1"/>
    <col min="9" max="9" width="14.5703125" customWidth="1"/>
  </cols>
  <sheetData>
    <row r="1" spans="1:9" ht="90" x14ac:dyDescent="0.2">
      <c r="A1" s="419" t="s">
        <v>122</v>
      </c>
      <c r="B1" s="420" t="s">
        <v>391</v>
      </c>
      <c r="C1" s="420" t="s">
        <v>652</v>
      </c>
      <c r="D1" s="420" t="s">
        <v>392</v>
      </c>
      <c r="E1" s="420" t="s">
        <v>653</v>
      </c>
      <c r="F1" s="420" t="s">
        <v>654</v>
      </c>
      <c r="G1" s="414" t="s">
        <v>655</v>
      </c>
      <c r="H1" s="415" t="s">
        <v>657</v>
      </c>
      <c r="I1" s="416" t="s">
        <v>656</v>
      </c>
    </row>
    <row r="2" spans="1:9" ht="14.25" x14ac:dyDescent="0.2">
      <c r="A2" s="413" t="s">
        <v>62</v>
      </c>
      <c r="B2" s="409">
        <f>'Orange Lake BMAP'!B102</f>
        <v>38</v>
      </c>
      <c r="C2" s="409">
        <f>'Orange Lake BMAP'!K102</f>
        <v>60</v>
      </c>
      <c r="D2" s="409">
        <f>'Newnans Lake BMAP TP'!E95</f>
        <v>465</v>
      </c>
      <c r="E2" s="409">
        <f>'Newnans Lake BMAP TP'!F95</f>
        <v>198</v>
      </c>
      <c r="F2" s="409">
        <f>'Lochloosa TP BMAP'!J2</f>
        <v>411</v>
      </c>
      <c r="G2" s="410">
        <f>B2+D2+F2</f>
        <v>914</v>
      </c>
      <c r="H2" s="417">
        <f>C2+E2</f>
        <v>258</v>
      </c>
      <c r="I2" s="418">
        <f>G2+H2</f>
        <v>1172</v>
      </c>
    </row>
    <row r="3" spans="1:9" ht="14.25" x14ac:dyDescent="0.2">
      <c r="A3" s="413" t="s">
        <v>119</v>
      </c>
      <c r="B3" s="409">
        <f>'Orange Lake BMAP'!B103</f>
        <v>15</v>
      </c>
      <c r="C3" s="409"/>
      <c r="D3" s="409">
        <f>'Newnans Lake BMAP TP'!E97</f>
        <v>93</v>
      </c>
      <c r="E3" s="409"/>
      <c r="F3" s="409">
        <f>'Lochloosa TP BMAP'!J3</f>
        <v>321</v>
      </c>
      <c r="G3" s="410">
        <f t="shared" ref="G3:G11" si="0">B3+D3+F3</f>
        <v>429</v>
      </c>
      <c r="H3" s="417">
        <f t="shared" ref="H3:H11" si="1">C3+E3</f>
        <v>0</v>
      </c>
      <c r="I3" s="418">
        <f t="shared" ref="I3:I11" si="2">G3+H3</f>
        <v>429</v>
      </c>
    </row>
    <row r="4" spans="1:9" ht="14.25" x14ac:dyDescent="0.2">
      <c r="A4" s="413" t="s">
        <v>139</v>
      </c>
      <c r="B4" s="409">
        <f>'Orange Lake BMAP'!B104</f>
        <v>99</v>
      </c>
      <c r="C4" s="409"/>
      <c r="D4" s="409"/>
      <c r="E4" s="409"/>
      <c r="F4" s="409"/>
      <c r="G4" s="410">
        <f t="shared" si="0"/>
        <v>99</v>
      </c>
      <c r="H4" s="417">
        <f t="shared" si="1"/>
        <v>0</v>
      </c>
      <c r="I4" s="418">
        <f t="shared" si="2"/>
        <v>99</v>
      </c>
    </row>
    <row r="5" spans="1:9" ht="14.25" x14ac:dyDescent="0.2">
      <c r="A5" s="413" t="s">
        <v>140</v>
      </c>
      <c r="B5" s="409">
        <f>'Orange Lake BMAP'!B105</f>
        <v>319</v>
      </c>
      <c r="C5" s="409">
        <f>'Orange Lake BMAP'!K105</f>
        <v>120</v>
      </c>
      <c r="D5" s="409"/>
      <c r="E5" s="409"/>
      <c r="F5" s="411"/>
      <c r="G5" s="410">
        <f t="shared" si="0"/>
        <v>319</v>
      </c>
      <c r="H5" s="417">
        <f t="shared" si="1"/>
        <v>120</v>
      </c>
      <c r="I5" s="418">
        <f t="shared" si="2"/>
        <v>439</v>
      </c>
    </row>
    <row r="6" spans="1:9" ht="14.25" x14ac:dyDescent="0.2">
      <c r="A6" s="413" t="s">
        <v>142</v>
      </c>
      <c r="B6" s="409">
        <f>'Orange Lake BMAP'!B106</f>
        <v>28</v>
      </c>
      <c r="C6" s="409">
        <f>'Orange Lake BMAP'!K106</f>
        <v>43</v>
      </c>
      <c r="D6" s="409"/>
      <c r="E6" s="409"/>
      <c r="F6" s="409"/>
      <c r="G6" s="410">
        <f t="shared" si="0"/>
        <v>28</v>
      </c>
      <c r="H6" s="417">
        <f t="shared" si="1"/>
        <v>43</v>
      </c>
      <c r="I6" s="418">
        <f t="shared" si="2"/>
        <v>71</v>
      </c>
    </row>
    <row r="7" spans="1:9" ht="14.25" x14ac:dyDescent="0.2">
      <c r="A7" s="413" t="s">
        <v>143</v>
      </c>
      <c r="B7" s="409">
        <f>'Orange Lake BMAP'!B107</f>
        <v>31</v>
      </c>
      <c r="C7" s="409"/>
      <c r="D7" s="409"/>
      <c r="E7" s="409"/>
      <c r="F7" s="409"/>
      <c r="G7" s="410">
        <f t="shared" si="0"/>
        <v>31</v>
      </c>
      <c r="H7" s="417">
        <f t="shared" si="1"/>
        <v>0</v>
      </c>
      <c r="I7" s="418">
        <f t="shared" si="2"/>
        <v>31</v>
      </c>
    </row>
    <row r="8" spans="1:9" ht="14.25" x14ac:dyDescent="0.2">
      <c r="A8" s="413" t="s">
        <v>141</v>
      </c>
      <c r="B8" s="409">
        <f>'Orange Lake BMAP'!B108</f>
        <v>12</v>
      </c>
      <c r="C8" s="409"/>
      <c r="D8" s="409"/>
      <c r="E8" s="409"/>
      <c r="F8" s="409"/>
      <c r="G8" s="410">
        <f t="shared" si="0"/>
        <v>12</v>
      </c>
      <c r="H8" s="417">
        <f t="shared" si="1"/>
        <v>0</v>
      </c>
      <c r="I8" s="418">
        <f t="shared" si="2"/>
        <v>12</v>
      </c>
    </row>
    <row r="9" spans="1:9" ht="14.25" x14ac:dyDescent="0.2">
      <c r="A9" s="413" t="s">
        <v>67</v>
      </c>
      <c r="B9" s="409"/>
      <c r="C9" s="409"/>
      <c r="D9" s="409">
        <f>'Newnans Lake BMAP TP'!E98</f>
        <v>27</v>
      </c>
      <c r="E9" s="409">
        <f>'Newnans Lake BMAP TP'!F98</f>
        <v>0</v>
      </c>
      <c r="F9" s="409"/>
      <c r="G9" s="410">
        <f t="shared" si="0"/>
        <v>27</v>
      </c>
      <c r="H9" s="417">
        <f t="shared" si="1"/>
        <v>0</v>
      </c>
      <c r="I9" s="418">
        <f t="shared" si="2"/>
        <v>27</v>
      </c>
    </row>
    <row r="10" spans="1:9" ht="14.25" x14ac:dyDescent="0.2">
      <c r="A10" s="413" t="s">
        <v>66</v>
      </c>
      <c r="B10" s="409"/>
      <c r="C10" s="409"/>
      <c r="D10" s="409">
        <f>'Newnans Lake BMAP TP'!E96</f>
        <v>461</v>
      </c>
      <c r="E10" s="409">
        <f>'Newnans Lake BMAP TP'!F96</f>
        <v>16</v>
      </c>
      <c r="F10" s="409"/>
      <c r="G10" s="410">
        <f t="shared" si="0"/>
        <v>461</v>
      </c>
      <c r="H10" s="417">
        <f t="shared" si="1"/>
        <v>16</v>
      </c>
      <c r="I10" s="418">
        <f t="shared" si="2"/>
        <v>477</v>
      </c>
    </row>
    <row r="11" spans="1:9" ht="14.25" x14ac:dyDescent="0.2">
      <c r="A11" s="412" t="s">
        <v>218</v>
      </c>
      <c r="B11" s="409"/>
      <c r="C11" s="409"/>
      <c r="D11" s="409"/>
      <c r="E11" s="409"/>
      <c r="F11" s="409">
        <f>'Lochloosa TP BMAP'!J4</f>
        <v>156</v>
      </c>
      <c r="G11" s="410">
        <f t="shared" si="0"/>
        <v>156</v>
      </c>
      <c r="H11" s="417">
        <f t="shared" si="1"/>
        <v>0</v>
      </c>
      <c r="I11" s="418">
        <f t="shared" si="2"/>
        <v>156</v>
      </c>
    </row>
    <row r="12" spans="1:9" ht="59.25" customHeight="1" thickBot="1" x14ac:dyDescent="0.3">
      <c r="A12" s="421" t="s">
        <v>390</v>
      </c>
      <c r="B12" s="422">
        <f>SUM(B2:B11)</f>
        <v>542</v>
      </c>
      <c r="C12" s="422">
        <f t="shared" ref="C12:I12" si="3">SUM(C2:C11)</f>
        <v>223</v>
      </c>
      <c r="D12" s="422">
        <f t="shared" si="3"/>
        <v>1046</v>
      </c>
      <c r="E12" s="422">
        <f>ROUND(SUM(E2:E11),0)</f>
        <v>214</v>
      </c>
      <c r="F12" s="422">
        <f>SUM(F2:F11)</f>
        <v>888</v>
      </c>
      <c r="G12" s="425">
        <f t="shared" si="3"/>
        <v>2476</v>
      </c>
      <c r="H12" s="426">
        <f>ROUND(SUM(H2:H11),0)</f>
        <v>437</v>
      </c>
      <c r="I12" s="423">
        <f t="shared" si="3"/>
        <v>2913</v>
      </c>
    </row>
  </sheetData>
  <pageMargins left="0.7" right="0.7" top="0.75" bottom="0.75" header="0.3" footer="0.3"/>
  <pageSetup orientation="portrait" r:id="rId1"/>
  <ignoredErrors>
    <ignoredError sqref="H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5BCFA-00CD-411B-9CB8-CCD8F64F9C7A}">
  <dimension ref="A1:I34"/>
  <sheetViews>
    <sheetView workbookViewId="0">
      <selection activeCell="E32" sqref="E32"/>
    </sheetView>
  </sheetViews>
  <sheetFormatPr defaultRowHeight="12.75" x14ac:dyDescent="0.2"/>
  <cols>
    <col min="1" max="1" width="11.7109375" customWidth="1"/>
    <col min="2" max="2" width="14.85546875" customWidth="1"/>
    <col min="3" max="3" width="16" customWidth="1"/>
    <col min="4" max="4" width="14.28515625" customWidth="1"/>
    <col min="5" max="5" width="12.85546875" customWidth="1"/>
    <col min="6" max="6" width="15.5703125" customWidth="1"/>
    <col min="7" max="7" width="14.28515625" customWidth="1"/>
    <col min="8" max="8" width="12.28515625" customWidth="1"/>
    <col min="9" max="9" width="12.5703125" customWidth="1"/>
  </cols>
  <sheetData>
    <row r="1" spans="1:9" ht="38.25" x14ac:dyDescent="0.2">
      <c r="A1" s="635" t="s">
        <v>732</v>
      </c>
      <c r="B1" s="636" t="s">
        <v>122</v>
      </c>
      <c r="C1" s="636" t="s">
        <v>42</v>
      </c>
      <c r="D1" s="636" t="s">
        <v>36</v>
      </c>
      <c r="E1" s="636" t="s">
        <v>34</v>
      </c>
      <c r="F1" s="636" t="s">
        <v>35</v>
      </c>
      <c r="G1" s="636" t="s">
        <v>559</v>
      </c>
      <c r="H1" s="636" t="s">
        <v>561</v>
      </c>
      <c r="I1" s="637" t="s">
        <v>733</v>
      </c>
    </row>
    <row r="2" spans="1:9" x14ac:dyDescent="0.2">
      <c r="A2" s="30">
        <v>16</v>
      </c>
      <c r="B2" s="159" t="s">
        <v>62</v>
      </c>
      <c r="C2" s="153"/>
      <c r="D2" s="153"/>
      <c r="E2" s="153">
        <f>'Lochloosa Lake TP Budget'!C163</f>
        <v>1</v>
      </c>
      <c r="F2" s="153"/>
      <c r="G2" s="153"/>
      <c r="H2" s="153"/>
      <c r="I2" s="638"/>
    </row>
    <row r="3" spans="1:9" x14ac:dyDescent="0.2">
      <c r="A3" s="30"/>
      <c r="B3" s="159" t="s">
        <v>119</v>
      </c>
      <c r="C3" s="153"/>
      <c r="D3" s="153"/>
      <c r="E3" s="153"/>
      <c r="F3" s="153"/>
      <c r="G3" s="153"/>
      <c r="H3" s="153"/>
      <c r="I3" s="638"/>
    </row>
    <row r="4" spans="1:9" x14ac:dyDescent="0.2">
      <c r="A4" s="30"/>
      <c r="B4" s="159" t="s">
        <v>218</v>
      </c>
      <c r="C4" s="153"/>
      <c r="D4" s="153"/>
      <c r="E4" s="153"/>
      <c r="F4" s="153"/>
      <c r="G4" s="153"/>
      <c r="H4" s="153"/>
      <c r="I4" s="638"/>
    </row>
    <row r="5" spans="1:9" x14ac:dyDescent="0.2">
      <c r="A5" s="30">
        <v>17</v>
      </c>
      <c r="B5" s="159" t="s">
        <v>62</v>
      </c>
      <c r="C5" s="153"/>
      <c r="D5" s="153"/>
      <c r="E5" s="153">
        <f>'Lochloosa Lake TP Budget'!C168</f>
        <v>1</v>
      </c>
      <c r="F5" s="153"/>
      <c r="G5" s="153"/>
      <c r="H5" s="153"/>
      <c r="I5" s="638">
        <f>'Lochloosa Lake TP Budget'!I168</f>
        <v>1</v>
      </c>
    </row>
    <row r="6" spans="1:9" x14ac:dyDescent="0.2">
      <c r="A6" s="30"/>
      <c r="B6" s="159" t="s">
        <v>119</v>
      </c>
      <c r="C6" s="153">
        <f>'Lochloosa Lake TP Budget'!F169</f>
        <v>1</v>
      </c>
      <c r="D6" s="153"/>
      <c r="E6" s="153"/>
      <c r="F6" s="153"/>
      <c r="G6" s="153"/>
      <c r="H6" s="153"/>
      <c r="I6" s="638"/>
    </row>
    <row r="7" spans="1:9" x14ac:dyDescent="0.2">
      <c r="A7" s="30"/>
      <c r="B7" s="159" t="s">
        <v>218</v>
      </c>
      <c r="C7" s="153"/>
      <c r="D7" s="153"/>
      <c r="E7" s="153"/>
      <c r="F7" s="153"/>
      <c r="G7" s="153"/>
      <c r="H7" s="153"/>
      <c r="I7" s="638"/>
    </row>
    <row r="8" spans="1:9" x14ac:dyDescent="0.2">
      <c r="A8" s="30">
        <v>18</v>
      </c>
      <c r="B8" s="159" t="s">
        <v>62</v>
      </c>
      <c r="C8" s="153"/>
      <c r="D8" s="153"/>
      <c r="E8" s="153">
        <f>'Lochloosa Lake TP Budget'!C173</f>
        <v>1</v>
      </c>
      <c r="F8" s="153"/>
      <c r="G8" s="153">
        <f>'Lochloosa Lake TP Budget'!I173</f>
        <v>1</v>
      </c>
      <c r="H8" s="153"/>
      <c r="I8" s="638"/>
    </row>
    <row r="9" spans="1:9" x14ac:dyDescent="0.2">
      <c r="A9" s="30"/>
      <c r="B9" s="159" t="s">
        <v>119</v>
      </c>
      <c r="C9" s="153">
        <f>'Lochloosa Lake TP Budget'!F174</f>
        <v>1</v>
      </c>
      <c r="D9" s="153"/>
      <c r="E9" s="153"/>
      <c r="F9" s="153"/>
      <c r="G9" s="153"/>
      <c r="H9" s="153"/>
      <c r="I9" s="638"/>
    </row>
    <row r="10" spans="1:9" x14ac:dyDescent="0.2">
      <c r="A10" s="30"/>
      <c r="B10" s="159" t="s">
        <v>218</v>
      </c>
      <c r="C10" s="153"/>
      <c r="D10" s="153"/>
      <c r="E10" s="153"/>
      <c r="F10" s="153"/>
      <c r="G10" s="153"/>
      <c r="H10" s="153"/>
      <c r="I10" s="638"/>
    </row>
    <row r="11" spans="1:9" x14ac:dyDescent="0.2">
      <c r="A11" s="30">
        <v>19</v>
      </c>
      <c r="B11" s="159" t="s">
        <v>62</v>
      </c>
      <c r="C11" s="153"/>
      <c r="D11" s="153"/>
      <c r="E11" s="153">
        <f>'Lochloosa Lake TP Budget'!C178</f>
        <v>1</v>
      </c>
      <c r="F11" s="153">
        <f>'Lochloosa Lake TP Budget'!L178</f>
        <v>1</v>
      </c>
      <c r="G11" s="153">
        <f>'Lochloosa Lake TP Budget'!F178</f>
        <v>1</v>
      </c>
      <c r="H11" s="153"/>
      <c r="I11" s="638">
        <f>'Lochloosa Lake TP Budget'!L178</f>
        <v>1</v>
      </c>
    </row>
    <row r="12" spans="1:9" x14ac:dyDescent="0.2">
      <c r="A12" s="30"/>
      <c r="B12" s="159" t="s">
        <v>119</v>
      </c>
      <c r="C12" s="153">
        <f>'Lochloosa Lake TP Budget'!O179</f>
        <v>1</v>
      </c>
      <c r="D12" s="153"/>
      <c r="E12" s="153"/>
      <c r="F12" s="153"/>
      <c r="G12" s="153"/>
      <c r="H12" s="153"/>
      <c r="I12" s="638"/>
    </row>
    <row r="13" spans="1:9" x14ac:dyDescent="0.2">
      <c r="A13" s="30"/>
      <c r="B13" s="159" t="s">
        <v>218</v>
      </c>
      <c r="C13" s="153"/>
      <c r="D13" s="153"/>
      <c r="E13" s="153"/>
      <c r="F13" s="153"/>
      <c r="G13" s="153"/>
      <c r="H13" s="153"/>
      <c r="I13" s="638"/>
    </row>
    <row r="14" spans="1:9" x14ac:dyDescent="0.2">
      <c r="A14" s="30">
        <v>20</v>
      </c>
      <c r="B14" s="159" t="s">
        <v>62</v>
      </c>
      <c r="C14" s="153"/>
      <c r="D14" s="153"/>
      <c r="E14" s="153">
        <f>'Lochloosa Lake TP Budget'!C183</f>
        <v>0.98398804468169387</v>
      </c>
      <c r="F14" s="153"/>
      <c r="G14" s="153">
        <f>'Lochloosa Lake TP Budget'!F183</f>
        <v>0.4878779837035685</v>
      </c>
      <c r="H14" s="153"/>
      <c r="I14" s="638">
        <f>'Lochloosa Lake TP Budget'!I183</f>
        <v>0.98511937818180828</v>
      </c>
    </row>
    <row r="15" spans="1:9" x14ac:dyDescent="0.2">
      <c r="A15" s="30"/>
      <c r="B15" s="159" t="s">
        <v>119</v>
      </c>
      <c r="C15" s="153">
        <f>'Lochloosa Lake TP Budget'!L184</f>
        <v>1</v>
      </c>
      <c r="D15" s="153"/>
      <c r="E15" s="153"/>
      <c r="F15" s="153"/>
      <c r="G15" s="153"/>
      <c r="H15" s="153"/>
      <c r="I15" s="638"/>
    </row>
    <row r="16" spans="1:9" x14ac:dyDescent="0.2">
      <c r="A16" s="30"/>
      <c r="B16" s="159" t="s">
        <v>218</v>
      </c>
      <c r="C16" s="153"/>
      <c r="D16" s="153"/>
      <c r="E16" s="153">
        <f>'Lochloosa Lake TP Budget'!C185</f>
        <v>1.6011955318306154E-2</v>
      </c>
      <c r="F16" s="153"/>
      <c r="G16" s="153">
        <f>'Lochloosa Lake TP Budget'!F185</f>
        <v>0.5121220162964315</v>
      </c>
      <c r="H16" s="153"/>
      <c r="I16" s="638">
        <f>'Lochloosa Lake TP Budget'!I185</f>
        <v>1.4880621818191806E-2</v>
      </c>
    </row>
    <row r="17" spans="1:9" x14ac:dyDescent="0.2">
      <c r="A17" s="30">
        <v>21</v>
      </c>
      <c r="B17" s="159" t="s">
        <v>62</v>
      </c>
      <c r="C17" s="153">
        <f>'Lochloosa Lake TP Budget'!F189</f>
        <v>1</v>
      </c>
      <c r="D17" s="153"/>
      <c r="E17" s="153">
        <f>'Lochloosa Lake TP Budget'!C188</f>
        <v>1</v>
      </c>
      <c r="F17" s="153"/>
      <c r="G17" s="153"/>
      <c r="H17" s="153">
        <f>'Lochloosa Lake TP Budget'!I188</f>
        <v>1</v>
      </c>
      <c r="I17" s="638">
        <f>'Lochloosa Lake TP Budget'!L188</f>
        <v>1</v>
      </c>
    </row>
    <row r="18" spans="1:9" x14ac:dyDescent="0.2">
      <c r="A18" s="30"/>
      <c r="B18" s="159" t="s">
        <v>119</v>
      </c>
      <c r="C18" s="153"/>
      <c r="D18" s="153"/>
      <c r="E18" s="153"/>
      <c r="F18" s="153"/>
      <c r="G18" s="153"/>
      <c r="H18" s="153"/>
      <c r="I18" s="638"/>
    </row>
    <row r="19" spans="1:9" x14ac:dyDescent="0.2">
      <c r="A19" s="30"/>
      <c r="B19" s="159" t="s">
        <v>218</v>
      </c>
      <c r="C19" s="153"/>
      <c r="D19" s="153"/>
      <c r="E19" s="153"/>
      <c r="F19" s="153"/>
      <c r="G19" s="153"/>
      <c r="H19" s="153"/>
      <c r="I19" s="638"/>
    </row>
    <row r="20" spans="1:9" x14ac:dyDescent="0.2">
      <c r="A20" s="30">
        <v>23</v>
      </c>
      <c r="B20" s="159" t="s">
        <v>62</v>
      </c>
      <c r="C20" s="153"/>
      <c r="D20" s="153"/>
      <c r="E20" s="153">
        <f>'Lochloosa Lake TP Budget'!C193</f>
        <v>0.54025618380562346</v>
      </c>
      <c r="F20" s="153"/>
      <c r="G20" s="153">
        <f>'Lochloosa Lake TP Budget'!F193</f>
        <v>3.6216619327275934E-2</v>
      </c>
      <c r="H20" s="153"/>
      <c r="I20" s="638">
        <f>'Lochloosa Lake TP Budget'!L193</f>
        <v>1.6205311171023914E-2</v>
      </c>
    </row>
    <row r="21" spans="1:9" x14ac:dyDescent="0.2">
      <c r="A21" s="30"/>
      <c r="B21" s="159" t="s">
        <v>119</v>
      </c>
      <c r="C21" s="153">
        <f>'Lochloosa Lake TP Budget'!R194</f>
        <v>1</v>
      </c>
      <c r="D21" s="153"/>
      <c r="E21" s="153"/>
      <c r="F21" s="153"/>
      <c r="G21" s="153"/>
      <c r="H21" s="153"/>
      <c r="I21" s="638"/>
    </row>
    <row r="22" spans="1:9" x14ac:dyDescent="0.2">
      <c r="A22" s="30"/>
      <c r="B22" s="159" t="s">
        <v>218</v>
      </c>
      <c r="C22" s="153"/>
      <c r="D22" s="153">
        <f>'Lochloosa Lake TP Budget'!O195</f>
        <v>1</v>
      </c>
      <c r="E22" s="153">
        <f>'Lochloosa Lake TP Budget'!C195</f>
        <v>0.4597438161943766</v>
      </c>
      <c r="F22" s="153">
        <f>'Lochloosa Lake TP Budget'!I195</f>
        <v>1</v>
      </c>
      <c r="G22" s="153">
        <f>'Lochloosa Lake TP Budget'!F195</f>
        <v>0.96378338067272418</v>
      </c>
      <c r="H22" s="153"/>
      <c r="I22" s="638">
        <f>'Lochloosa Lake TP Budget'!L195</f>
        <v>0.98379468882897614</v>
      </c>
    </row>
    <row r="23" spans="1:9" x14ac:dyDescent="0.2">
      <c r="A23" s="30">
        <v>24</v>
      </c>
      <c r="B23" s="159" t="s">
        <v>62</v>
      </c>
      <c r="C23" s="153"/>
      <c r="D23" s="153"/>
      <c r="E23" s="153">
        <f>'Lochloosa Lake TP Budget'!C198</f>
        <v>0.98754164297816283</v>
      </c>
      <c r="F23" s="153"/>
      <c r="G23" s="153"/>
      <c r="H23" s="153"/>
      <c r="I23" s="638"/>
    </row>
    <row r="24" spans="1:9" x14ac:dyDescent="0.2">
      <c r="A24" s="30"/>
      <c r="B24" s="159" t="s">
        <v>119</v>
      </c>
      <c r="C24" s="153">
        <f>'Lochloosa Lake TP Budget'!F199</f>
        <v>1</v>
      </c>
      <c r="D24" s="153"/>
      <c r="E24" s="153"/>
      <c r="F24" s="153"/>
      <c r="G24" s="153"/>
      <c r="H24" s="153"/>
      <c r="I24" s="638"/>
    </row>
    <row r="25" spans="1:9" x14ac:dyDescent="0.2">
      <c r="A25" s="30"/>
      <c r="B25" s="159" t="s">
        <v>218</v>
      </c>
      <c r="C25" s="153"/>
      <c r="D25" s="153"/>
      <c r="E25" s="153">
        <f>'Lochloosa Lake TP Budget'!C200</f>
        <v>1.2458357021837186E-2</v>
      </c>
      <c r="F25" s="153"/>
      <c r="G25" s="153"/>
      <c r="H25" s="153"/>
      <c r="I25" s="638"/>
    </row>
    <row r="26" spans="1:9" x14ac:dyDescent="0.2">
      <c r="A26" s="30">
        <v>25</v>
      </c>
      <c r="B26" s="159" t="s">
        <v>62</v>
      </c>
      <c r="C26" s="153"/>
      <c r="D26" s="153"/>
      <c r="E26" s="153">
        <f>'Lochloosa Lake TP Budget'!C203</f>
        <v>1</v>
      </c>
      <c r="F26" s="153"/>
      <c r="G26" s="153"/>
      <c r="H26" s="153"/>
      <c r="I26" s="638"/>
    </row>
    <row r="27" spans="1:9" x14ac:dyDescent="0.2">
      <c r="A27" s="30"/>
      <c r="B27" s="159" t="s">
        <v>119</v>
      </c>
      <c r="C27" s="153">
        <f>'Lochloosa Lake TP Budget'!F204</f>
        <v>1</v>
      </c>
      <c r="D27" s="153"/>
      <c r="E27" s="153"/>
      <c r="F27" s="153"/>
      <c r="G27" s="153"/>
      <c r="H27" s="153"/>
      <c r="I27" s="638"/>
    </row>
    <row r="28" spans="1:9" x14ac:dyDescent="0.2">
      <c r="A28" s="30"/>
      <c r="B28" s="159" t="s">
        <v>218</v>
      </c>
      <c r="C28" s="153"/>
      <c r="D28" s="153"/>
      <c r="E28" s="153"/>
      <c r="F28" s="153"/>
      <c r="G28" s="153"/>
      <c r="H28" s="153"/>
      <c r="I28" s="638"/>
    </row>
    <row r="29" spans="1:9" x14ac:dyDescent="0.2">
      <c r="A29" s="30">
        <v>26</v>
      </c>
      <c r="B29" s="159" t="s">
        <v>62</v>
      </c>
      <c r="C29" s="153"/>
      <c r="D29" s="153"/>
      <c r="E29" s="153">
        <f>'Lochloosa Lake TP Budget'!C208</f>
        <v>1</v>
      </c>
      <c r="F29" s="153"/>
      <c r="G29" s="153"/>
      <c r="H29" s="153"/>
      <c r="I29" s="638"/>
    </row>
    <row r="30" spans="1:9" x14ac:dyDescent="0.2">
      <c r="A30" s="30"/>
      <c r="B30" s="159" t="s">
        <v>119</v>
      </c>
      <c r="C30" s="153"/>
      <c r="D30" s="153"/>
      <c r="E30" s="153"/>
      <c r="F30" s="153"/>
      <c r="G30" s="153"/>
      <c r="H30" s="153"/>
      <c r="I30" s="638"/>
    </row>
    <row r="31" spans="1:9" x14ac:dyDescent="0.2">
      <c r="A31" s="30"/>
      <c r="B31" s="159" t="s">
        <v>218</v>
      </c>
      <c r="C31" s="153"/>
      <c r="D31" s="153"/>
      <c r="E31" s="153"/>
      <c r="F31" s="153"/>
      <c r="G31" s="153"/>
      <c r="H31" s="153"/>
      <c r="I31" s="638"/>
    </row>
    <row r="32" spans="1:9" x14ac:dyDescent="0.2">
      <c r="A32" s="30">
        <v>27</v>
      </c>
      <c r="B32" s="159" t="s">
        <v>62</v>
      </c>
      <c r="C32" s="153"/>
      <c r="D32" s="153"/>
      <c r="E32" s="153">
        <f>'Lochloosa Lake TP Budget'!C213</f>
        <v>1</v>
      </c>
      <c r="F32" s="153">
        <f>'Lochloosa Lake TP Budget'!I213</f>
        <v>1</v>
      </c>
      <c r="G32" s="153">
        <f>'Lochloosa Lake TP Budget'!F213</f>
        <v>1</v>
      </c>
      <c r="H32" s="153"/>
      <c r="I32" s="638">
        <f>'Lochloosa Lake TP Budget'!L213</f>
        <v>1</v>
      </c>
    </row>
    <row r="33" spans="1:9" x14ac:dyDescent="0.2">
      <c r="A33" s="30"/>
      <c r="B33" s="159" t="s">
        <v>119</v>
      </c>
      <c r="C33" s="153">
        <f>'Lochloosa Lake TP Budget'!O214</f>
        <v>1</v>
      </c>
      <c r="D33" s="153"/>
      <c r="E33" s="153"/>
      <c r="F33" s="153"/>
      <c r="G33" s="153"/>
      <c r="H33" s="153"/>
      <c r="I33" s="638"/>
    </row>
    <row r="34" spans="1:9" ht="13.5" thickBot="1" x14ac:dyDescent="0.25">
      <c r="A34" s="601"/>
      <c r="B34" s="639" t="s">
        <v>218</v>
      </c>
      <c r="C34" s="640"/>
      <c r="D34" s="640"/>
      <c r="E34" s="640"/>
      <c r="F34" s="640"/>
      <c r="G34" s="640"/>
      <c r="H34" s="640"/>
      <c r="I34" s="641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2"/>
  <sheetViews>
    <sheetView workbookViewId="0">
      <selection activeCell="D12" sqref="D12"/>
    </sheetView>
  </sheetViews>
  <sheetFormatPr defaultRowHeight="12.75" x14ac:dyDescent="0.2"/>
  <cols>
    <col min="1" max="1" width="21.42578125" customWidth="1"/>
    <col min="2" max="2" width="14.7109375" customWidth="1"/>
    <col min="3" max="3" width="15.28515625" customWidth="1"/>
    <col min="4" max="4" width="15.85546875" customWidth="1"/>
    <col min="5" max="5" width="15.7109375" customWidth="1"/>
    <col min="6" max="6" width="15.28515625" customWidth="1"/>
    <col min="7" max="7" width="15.5703125" customWidth="1"/>
  </cols>
  <sheetData>
    <row r="1" spans="1:7" ht="90" x14ac:dyDescent="0.2">
      <c r="A1" s="419" t="s">
        <v>122</v>
      </c>
      <c r="B1" s="420" t="s">
        <v>394</v>
      </c>
      <c r="C1" s="420" t="s">
        <v>395</v>
      </c>
      <c r="D1" s="420" t="s">
        <v>396</v>
      </c>
      <c r="E1" s="414" t="s">
        <v>658</v>
      </c>
      <c r="F1" s="415" t="s">
        <v>659</v>
      </c>
      <c r="G1" s="416" t="s">
        <v>397</v>
      </c>
    </row>
    <row r="2" spans="1:7" ht="14.25" x14ac:dyDescent="0.2">
      <c r="A2" s="413" t="s">
        <v>62</v>
      </c>
      <c r="B2" s="427">
        <f>'Newnans Lake TN'!E95</f>
        <v>4155</v>
      </c>
      <c r="C2" s="427">
        <f>'Newnans Lake TN'!F95</f>
        <v>1448</v>
      </c>
      <c r="D2" s="427">
        <f>'Lochloosa TN BMAP'!J2</f>
        <v>4055</v>
      </c>
      <c r="E2" s="428">
        <f>B2+D2</f>
        <v>8210</v>
      </c>
      <c r="F2" s="429">
        <f>C2</f>
        <v>1448</v>
      </c>
      <c r="G2" s="430">
        <f>E2+F2</f>
        <v>9658</v>
      </c>
    </row>
    <row r="3" spans="1:7" ht="14.25" x14ac:dyDescent="0.2">
      <c r="A3" s="413" t="s">
        <v>119</v>
      </c>
      <c r="B3" s="427">
        <f>'Newnans Lake TN'!E98</f>
        <v>878</v>
      </c>
      <c r="C3" s="427"/>
      <c r="D3" s="427">
        <f>'Lochloosa TN BMAP'!J3</f>
        <v>3674</v>
      </c>
      <c r="E3" s="428">
        <f t="shared" ref="E3:E11" si="0">B3+D3</f>
        <v>4552</v>
      </c>
      <c r="F3" s="429">
        <f t="shared" ref="F3:F11" si="1">C3</f>
        <v>0</v>
      </c>
      <c r="G3" s="430">
        <f t="shared" ref="G3:G11" si="2">E3+F3</f>
        <v>4552</v>
      </c>
    </row>
    <row r="4" spans="1:7" ht="14.25" x14ac:dyDescent="0.2">
      <c r="A4" s="413" t="s">
        <v>139</v>
      </c>
      <c r="B4" s="427"/>
      <c r="C4" s="427"/>
      <c r="D4" s="427"/>
      <c r="E4" s="428">
        <f t="shared" si="0"/>
        <v>0</v>
      </c>
      <c r="F4" s="429">
        <f t="shared" si="1"/>
        <v>0</v>
      </c>
      <c r="G4" s="430">
        <f t="shared" si="2"/>
        <v>0</v>
      </c>
    </row>
    <row r="5" spans="1:7" ht="14.25" x14ac:dyDescent="0.2">
      <c r="A5" s="413" t="s">
        <v>140</v>
      </c>
      <c r="B5" s="427"/>
      <c r="C5" s="427"/>
      <c r="D5" s="431"/>
      <c r="E5" s="428">
        <f t="shared" si="0"/>
        <v>0</v>
      </c>
      <c r="F5" s="429">
        <f t="shared" si="1"/>
        <v>0</v>
      </c>
      <c r="G5" s="430">
        <f t="shared" si="2"/>
        <v>0</v>
      </c>
    </row>
    <row r="6" spans="1:7" ht="14.25" x14ac:dyDescent="0.2">
      <c r="A6" s="413" t="s">
        <v>142</v>
      </c>
      <c r="B6" s="427"/>
      <c r="C6" s="427"/>
      <c r="D6" s="427"/>
      <c r="E6" s="428">
        <f t="shared" si="0"/>
        <v>0</v>
      </c>
      <c r="F6" s="429">
        <f t="shared" si="1"/>
        <v>0</v>
      </c>
      <c r="G6" s="430">
        <f t="shared" si="2"/>
        <v>0</v>
      </c>
    </row>
    <row r="7" spans="1:7" ht="14.25" x14ac:dyDescent="0.2">
      <c r="A7" s="413" t="s">
        <v>143</v>
      </c>
      <c r="B7" s="427"/>
      <c r="C7" s="427"/>
      <c r="D7" s="427"/>
      <c r="E7" s="428">
        <f t="shared" si="0"/>
        <v>0</v>
      </c>
      <c r="F7" s="429">
        <f t="shared" si="1"/>
        <v>0</v>
      </c>
      <c r="G7" s="430">
        <f t="shared" si="2"/>
        <v>0</v>
      </c>
    </row>
    <row r="8" spans="1:7" ht="14.25" x14ac:dyDescent="0.2">
      <c r="A8" s="413" t="s">
        <v>141</v>
      </c>
      <c r="B8" s="427"/>
      <c r="C8" s="427"/>
      <c r="D8" s="427"/>
      <c r="E8" s="428">
        <f t="shared" si="0"/>
        <v>0</v>
      </c>
      <c r="F8" s="429">
        <f t="shared" si="1"/>
        <v>0</v>
      </c>
      <c r="G8" s="430">
        <f t="shared" si="2"/>
        <v>0</v>
      </c>
    </row>
    <row r="9" spans="1:7" ht="14.25" x14ac:dyDescent="0.2">
      <c r="A9" s="413" t="s">
        <v>67</v>
      </c>
      <c r="B9" s="427">
        <f>'Newnans Lake TN'!E97</f>
        <v>239</v>
      </c>
      <c r="C9" s="427">
        <v>0</v>
      </c>
      <c r="D9" s="427"/>
      <c r="E9" s="428">
        <f t="shared" si="0"/>
        <v>239</v>
      </c>
      <c r="F9" s="429">
        <v>0</v>
      </c>
      <c r="G9" s="430">
        <f t="shared" si="2"/>
        <v>239</v>
      </c>
    </row>
    <row r="10" spans="1:7" ht="14.25" x14ac:dyDescent="0.2">
      <c r="A10" s="413" t="s">
        <v>66</v>
      </c>
      <c r="B10" s="427">
        <f>'Newnans Lake TN'!E96</f>
        <v>4094</v>
      </c>
      <c r="C10" s="427">
        <f>'Newnans Lake TN'!F96</f>
        <v>113</v>
      </c>
      <c r="D10" s="427"/>
      <c r="E10" s="428">
        <f t="shared" si="0"/>
        <v>4094</v>
      </c>
      <c r="F10" s="429">
        <f t="shared" si="1"/>
        <v>113</v>
      </c>
      <c r="G10" s="430">
        <f t="shared" si="2"/>
        <v>4207</v>
      </c>
    </row>
    <row r="11" spans="1:7" ht="14.25" x14ac:dyDescent="0.2">
      <c r="A11" s="412" t="s">
        <v>218</v>
      </c>
      <c r="B11" s="427"/>
      <c r="C11" s="427"/>
      <c r="D11" s="427">
        <f>'Lochloosa TN BMAP'!J4</f>
        <v>1902</v>
      </c>
      <c r="E11" s="428">
        <f t="shared" si="0"/>
        <v>1902</v>
      </c>
      <c r="F11" s="429">
        <f t="shared" si="1"/>
        <v>0</v>
      </c>
      <c r="G11" s="430">
        <f t="shared" si="2"/>
        <v>1902</v>
      </c>
    </row>
    <row r="12" spans="1:7" ht="44.45" customHeight="1" thickBot="1" x14ac:dyDescent="0.3">
      <c r="A12" s="421" t="s">
        <v>390</v>
      </c>
      <c r="B12" s="424">
        <f t="shared" ref="B12:G12" si="3">SUM(B2:B11)</f>
        <v>9366</v>
      </c>
      <c r="C12" s="424">
        <f t="shared" si="3"/>
        <v>1561</v>
      </c>
      <c r="D12" s="424">
        <f t="shared" si="3"/>
        <v>9631</v>
      </c>
      <c r="E12" s="425">
        <f t="shared" si="3"/>
        <v>18997</v>
      </c>
      <c r="F12" s="426">
        <f t="shared" si="3"/>
        <v>1561</v>
      </c>
      <c r="G12" s="423">
        <f t="shared" si="3"/>
        <v>20558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4"/>
  <sheetViews>
    <sheetView workbookViewId="0">
      <selection activeCell="A25" sqref="A25"/>
    </sheetView>
  </sheetViews>
  <sheetFormatPr defaultRowHeight="12.75" x14ac:dyDescent="0.2"/>
  <cols>
    <col min="1" max="1" width="35.5703125" bestFit="1" customWidth="1"/>
    <col min="2" max="2" width="14.85546875" customWidth="1"/>
    <col min="3" max="3" width="14.140625" customWidth="1"/>
    <col min="4" max="4" width="14.7109375" customWidth="1"/>
    <col min="5" max="5" width="14.28515625" customWidth="1"/>
    <col min="6" max="7" width="14.7109375" customWidth="1"/>
    <col min="8" max="9" width="15.140625" customWidth="1"/>
    <col min="10" max="10" width="14" customWidth="1"/>
    <col min="11" max="11" width="14.85546875" customWidth="1"/>
    <col min="12" max="12" width="14.7109375" customWidth="1"/>
  </cols>
  <sheetData>
    <row r="1" spans="1:12" ht="80.45" customHeight="1" x14ac:dyDescent="0.25">
      <c r="A1" s="448" t="s">
        <v>122</v>
      </c>
      <c r="B1" s="455" t="s">
        <v>411</v>
      </c>
      <c r="C1" s="446" t="s">
        <v>412</v>
      </c>
      <c r="D1" s="446" t="s">
        <v>413</v>
      </c>
      <c r="E1" s="446" t="s">
        <v>414</v>
      </c>
      <c r="F1" s="446" t="s">
        <v>416</v>
      </c>
      <c r="G1" s="446" t="s">
        <v>415</v>
      </c>
      <c r="H1" s="565" t="s">
        <v>417</v>
      </c>
      <c r="I1" s="446" t="s">
        <v>663</v>
      </c>
      <c r="J1" s="446" t="s">
        <v>661</v>
      </c>
      <c r="K1" s="446" t="s">
        <v>664</v>
      </c>
      <c r="L1" s="576" t="s">
        <v>662</v>
      </c>
    </row>
    <row r="2" spans="1:12" ht="15.75" x14ac:dyDescent="0.25">
      <c r="A2" s="449" t="s">
        <v>62</v>
      </c>
      <c r="B2" s="456">
        <v>0.06</v>
      </c>
      <c r="C2" s="572">
        <f>'Newnans Lake BMAP TP'!T105</f>
        <v>555</v>
      </c>
      <c r="D2" s="453">
        <f t="shared" ref="D2:D5" si="0">C2*B2</f>
        <v>33.299999999999997</v>
      </c>
      <c r="E2" s="572">
        <f>'Newnans Lake TN'!T105</f>
        <v>4976</v>
      </c>
      <c r="F2" s="453">
        <f t="shared" ref="F2:F5" si="1">E2*B2</f>
        <v>298.56</v>
      </c>
      <c r="G2" s="572">
        <f>'Orange Lake BMAP'!N91</f>
        <v>67</v>
      </c>
      <c r="H2" s="566">
        <f>G2*B2</f>
        <v>4.0199999999999996</v>
      </c>
      <c r="I2" s="454">
        <f>'Lochloosa TP BMAP'!I11</f>
        <v>771.55486671193466</v>
      </c>
      <c r="J2" s="571">
        <f>I2*B2</f>
        <v>46.293292002716079</v>
      </c>
      <c r="K2" s="570">
        <f>'Lochloosa TN BMAP'!I11</f>
        <v>5585.3203737356689</v>
      </c>
      <c r="L2" s="577">
        <f>K2*B2</f>
        <v>335.1192224241401</v>
      </c>
    </row>
    <row r="3" spans="1:12" ht="15.75" x14ac:dyDescent="0.2">
      <c r="A3" s="450" t="s">
        <v>119</v>
      </c>
      <c r="B3" s="457">
        <v>0.04</v>
      </c>
      <c r="C3" s="573">
        <f>'Newnans Lake BMAP TP'!T106</f>
        <v>110</v>
      </c>
      <c r="D3" s="462">
        <f t="shared" si="0"/>
        <v>4.4000000000000004</v>
      </c>
      <c r="E3" s="573">
        <f>'Newnans Lake TN'!T106</f>
        <v>1051</v>
      </c>
      <c r="F3" s="453">
        <f t="shared" si="1"/>
        <v>42.04</v>
      </c>
      <c r="G3" s="572">
        <f>'Orange Lake BMAP'!N92</f>
        <v>25</v>
      </c>
      <c r="H3" s="566">
        <f>G3*B3</f>
        <v>1</v>
      </c>
      <c r="I3" s="453">
        <f>'Lochloosa TP BMAP'!I12</f>
        <v>491.56873589402437</v>
      </c>
      <c r="J3" s="571">
        <f>I3*B3</f>
        <v>19.662749435760976</v>
      </c>
      <c r="K3" s="570">
        <f>'Lochloosa TN BMAP'!I12</f>
        <v>5060.2834443046031</v>
      </c>
      <c r="L3" s="577">
        <f>K3*B3</f>
        <v>202.41133777218414</v>
      </c>
    </row>
    <row r="4" spans="1:12" ht="15.75" x14ac:dyDescent="0.2">
      <c r="A4" s="450" t="s">
        <v>66</v>
      </c>
      <c r="B4" s="457">
        <v>0.06</v>
      </c>
      <c r="C4" s="573">
        <f>'Newnans Lake BMAP TP'!T108</f>
        <v>548</v>
      </c>
      <c r="D4" s="462">
        <f t="shared" si="0"/>
        <v>32.879999999999995</v>
      </c>
      <c r="E4" s="573">
        <f>'Newnans Lake TN'!T108</f>
        <v>4903</v>
      </c>
      <c r="F4" s="453">
        <f t="shared" si="1"/>
        <v>294.18</v>
      </c>
      <c r="G4" s="572"/>
      <c r="H4" s="566"/>
      <c r="I4" s="453"/>
      <c r="J4" s="575"/>
      <c r="K4" s="570"/>
      <c r="L4" s="577"/>
    </row>
    <row r="5" spans="1:12" ht="15.75" x14ac:dyDescent="0.2">
      <c r="A5" s="450" t="s">
        <v>67</v>
      </c>
      <c r="B5" s="458">
        <v>3.5000000000000003E-2</v>
      </c>
      <c r="C5" s="573">
        <f>'Newnans Lake BMAP TP'!T107</f>
        <v>32</v>
      </c>
      <c r="D5" s="462">
        <f t="shared" si="0"/>
        <v>1.1200000000000001</v>
      </c>
      <c r="E5" s="573">
        <f>'Newnans Lake TN'!T107</f>
        <v>286</v>
      </c>
      <c r="F5" s="453">
        <f t="shared" si="1"/>
        <v>10.010000000000002</v>
      </c>
      <c r="G5" s="572"/>
      <c r="H5" s="566"/>
      <c r="I5" s="453"/>
      <c r="J5" s="575"/>
      <c r="K5" s="570"/>
      <c r="L5" s="577"/>
    </row>
    <row r="6" spans="1:12" ht="15.75" x14ac:dyDescent="0.2">
      <c r="A6" s="450" t="s">
        <v>140</v>
      </c>
      <c r="B6" s="457">
        <v>5.5E-2</v>
      </c>
      <c r="C6" s="573"/>
      <c r="D6" s="461"/>
      <c r="E6" s="573"/>
      <c r="F6" s="453"/>
      <c r="G6" s="572">
        <f>'Orange Lake BMAP'!N94</f>
        <v>556</v>
      </c>
      <c r="H6" s="566">
        <f t="shared" ref="H6:H11" si="2">G6*B6</f>
        <v>30.580000000000002</v>
      </c>
      <c r="I6" s="453"/>
      <c r="J6" s="575"/>
      <c r="K6" s="570"/>
      <c r="L6" s="577"/>
    </row>
    <row r="7" spans="1:12" ht="15.75" x14ac:dyDescent="0.2">
      <c r="A7" s="450" t="s">
        <v>142</v>
      </c>
      <c r="B7" s="457">
        <v>0.03</v>
      </c>
      <c r="C7" s="573"/>
      <c r="D7" s="461"/>
      <c r="E7" s="573"/>
      <c r="F7" s="453"/>
      <c r="G7" s="572">
        <f>'Orange Lake BMAP'!N95</f>
        <v>48</v>
      </c>
      <c r="H7" s="566">
        <f t="shared" si="2"/>
        <v>1.44</v>
      </c>
      <c r="I7" s="453"/>
      <c r="J7" s="575"/>
      <c r="K7" s="570"/>
      <c r="L7" s="577"/>
    </row>
    <row r="8" spans="1:12" ht="15.75" x14ac:dyDescent="0.2">
      <c r="A8" s="450" t="s">
        <v>143</v>
      </c>
      <c r="B8" s="457">
        <v>3.5000000000000003E-2</v>
      </c>
      <c r="C8" s="572"/>
      <c r="D8" s="447"/>
      <c r="E8" s="572"/>
      <c r="F8" s="453"/>
      <c r="G8" s="572">
        <f>'Orange Lake BMAP'!N96</f>
        <v>54</v>
      </c>
      <c r="H8" s="566">
        <f t="shared" si="2"/>
        <v>1.8900000000000001</v>
      </c>
      <c r="I8" s="453"/>
      <c r="J8" s="575"/>
      <c r="K8" s="570"/>
      <c r="L8" s="577"/>
    </row>
    <row r="9" spans="1:12" ht="15.75" x14ac:dyDescent="0.2">
      <c r="A9" s="450" t="s">
        <v>141</v>
      </c>
      <c r="B9" s="457">
        <v>0.03</v>
      </c>
      <c r="C9" s="572"/>
      <c r="D9" s="447"/>
      <c r="E9" s="572"/>
      <c r="F9" s="453"/>
      <c r="G9" s="572">
        <f>'Orange Lake BMAP'!N97</f>
        <v>20</v>
      </c>
      <c r="H9" s="566">
        <f t="shared" si="2"/>
        <v>0.6</v>
      </c>
      <c r="I9" s="453"/>
      <c r="J9" s="575"/>
      <c r="K9" s="570"/>
      <c r="L9" s="577"/>
    </row>
    <row r="10" spans="1:12" ht="15.75" x14ac:dyDescent="0.2">
      <c r="A10" s="450" t="s">
        <v>218</v>
      </c>
      <c r="B10" s="457">
        <v>0.04</v>
      </c>
      <c r="C10" s="572"/>
      <c r="D10" s="447"/>
      <c r="E10" s="572"/>
      <c r="F10" s="453"/>
      <c r="G10" s="572"/>
      <c r="H10" s="566"/>
      <c r="I10" s="453">
        <f>'Lochloosa TP BMAP'!I13</f>
        <v>292.65023581568903</v>
      </c>
      <c r="J10" s="571">
        <f>I10*B10</f>
        <v>11.706009432627562</v>
      </c>
      <c r="K10" s="570">
        <f>'Lochloosa TN BMAP'!I13</f>
        <v>2620.0840043758881</v>
      </c>
      <c r="L10" s="577">
        <f>K10*B10</f>
        <v>104.80336017503552</v>
      </c>
    </row>
    <row r="11" spans="1:12" ht="15.75" x14ac:dyDescent="0.25">
      <c r="A11" s="451" t="s">
        <v>139</v>
      </c>
      <c r="B11" s="459">
        <v>5.0000000000000001E-3</v>
      </c>
      <c r="C11" s="571"/>
      <c r="D11" s="452"/>
      <c r="E11" s="571"/>
      <c r="F11" s="454"/>
      <c r="G11" s="571">
        <f>'Orange Lake BMAP'!N93</f>
        <v>172</v>
      </c>
      <c r="H11" s="566">
        <f t="shared" si="2"/>
        <v>0.86</v>
      </c>
      <c r="I11" s="453"/>
      <c r="J11" s="569"/>
      <c r="K11" s="569"/>
      <c r="L11" s="568"/>
    </row>
    <row r="12" spans="1:12" ht="32.25" thickBot="1" x14ac:dyDescent="0.25">
      <c r="A12" s="486" t="s">
        <v>418</v>
      </c>
      <c r="B12" s="460"/>
      <c r="C12" s="574">
        <f>SUM(C2:C5)</f>
        <v>1245</v>
      </c>
      <c r="D12" s="487">
        <f>ROUNDDOWN(SUM(D2:D5),0)</f>
        <v>71</v>
      </c>
      <c r="E12" s="574">
        <f>ROUND(SUM(E2:E5),0)</f>
        <v>11216</v>
      </c>
      <c r="F12" s="487">
        <f>SUM(F2:F5)</f>
        <v>644.79</v>
      </c>
      <c r="G12" s="574">
        <f>ROUNDDOWN(SUM(G2:G11),0)</f>
        <v>942</v>
      </c>
      <c r="H12" s="567">
        <f t="shared" ref="H12:L12" si="3">SUM(H2:H11)</f>
        <v>40.39</v>
      </c>
      <c r="I12" s="487">
        <f t="shared" si="3"/>
        <v>1555.7738384216482</v>
      </c>
      <c r="J12" s="574">
        <f t="shared" si="3"/>
        <v>77.662050871104626</v>
      </c>
      <c r="K12" s="574">
        <f>ROUNDDOWN(SUM(K2:K11),0)</f>
        <v>13265</v>
      </c>
      <c r="L12" s="578">
        <f t="shared" si="3"/>
        <v>642.3339203713598</v>
      </c>
    </row>
    <row r="14" spans="1:12" x14ac:dyDescent="0.2">
      <c r="A14" s="19" t="s">
        <v>660</v>
      </c>
    </row>
    <row r="15" spans="1:12" x14ac:dyDescent="0.2">
      <c r="A15" s="19" t="s">
        <v>673</v>
      </c>
    </row>
    <row r="16" spans="1:12" x14ac:dyDescent="0.2">
      <c r="A16" s="606" t="s">
        <v>674</v>
      </c>
    </row>
    <row r="17" spans="1:1" x14ac:dyDescent="0.2">
      <c r="A17" s="606" t="s">
        <v>675</v>
      </c>
    </row>
    <row r="18" spans="1:1" ht="71.25" x14ac:dyDescent="0.2">
      <c r="A18" s="605" t="s">
        <v>670</v>
      </c>
    </row>
    <row r="19" spans="1:1" ht="14.25" x14ac:dyDescent="0.2">
      <c r="A19" s="605" t="s">
        <v>671</v>
      </c>
    </row>
    <row r="20" spans="1:1" ht="71.25" x14ac:dyDescent="0.2">
      <c r="A20" s="605" t="s">
        <v>672</v>
      </c>
    </row>
    <row r="21" spans="1:1" ht="14.25" x14ac:dyDescent="0.2">
      <c r="A21" s="605" t="s">
        <v>671</v>
      </c>
    </row>
    <row r="22" spans="1:1" ht="71.25" x14ac:dyDescent="0.2">
      <c r="A22" s="605" t="s">
        <v>757</v>
      </c>
    </row>
    <row r="23" spans="1:1" ht="14.25" x14ac:dyDescent="0.2">
      <c r="A23" s="605" t="s">
        <v>671</v>
      </c>
    </row>
    <row r="24" spans="1:1" ht="71.25" x14ac:dyDescent="0.2">
      <c r="A24" s="605" t="s">
        <v>758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7"/>
  <sheetViews>
    <sheetView topLeftCell="A3" workbookViewId="0">
      <selection activeCell="G26" sqref="G26"/>
    </sheetView>
  </sheetViews>
  <sheetFormatPr defaultRowHeight="12.75" x14ac:dyDescent="0.2"/>
  <cols>
    <col min="1" max="1" width="36.7109375" customWidth="1"/>
    <col min="2" max="2" width="16.28515625" customWidth="1"/>
    <col min="3" max="3" width="13.7109375" customWidth="1"/>
    <col min="4" max="4" width="12.85546875" customWidth="1"/>
    <col min="5" max="5" width="12.28515625" customWidth="1"/>
    <col min="6" max="6" width="13.85546875" customWidth="1"/>
    <col min="7" max="7" width="17.85546875" customWidth="1"/>
    <col min="8" max="8" width="13.28515625" customWidth="1"/>
  </cols>
  <sheetData>
    <row r="1" spans="1:8" ht="69.599999999999994" customHeight="1" x14ac:dyDescent="0.2">
      <c r="A1" s="433" t="s">
        <v>398</v>
      </c>
      <c r="B1" s="434" t="s">
        <v>122</v>
      </c>
      <c r="C1" s="434" t="s">
        <v>404</v>
      </c>
      <c r="D1" s="434" t="s">
        <v>399</v>
      </c>
      <c r="E1" s="434" t="s">
        <v>400</v>
      </c>
      <c r="F1" s="434" t="s">
        <v>401</v>
      </c>
      <c r="G1" s="434" t="s">
        <v>402</v>
      </c>
      <c r="H1" s="435" t="s">
        <v>403</v>
      </c>
    </row>
    <row r="2" spans="1:8" ht="16.149999999999999" customHeight="1" x14ac:dyDescent="0.2">
      <c r="A2" s="436" t="s">
        <v>405</v>
      </c>
      <c r="B2" s="437" t="s">
        <v>62</v>
      </c>
      <c r="C2" s="438">
        <f>'Newnans LU'!F7</f>
        <v>0.82550768684687781</v>
      </c>
      <c r="D2" s="438">
        <f>'Newnans LU'!F5</f>
        <v>0.90511461173809848</v>
      </c>
      <c r="E2" s="438">
        <f>'Newnans LU'!F6</f>
        <v>0.85634772811213411</v>
      </c>
      <c r="F2" s="439">
        <f>'Newnans LU'!F4</f>
        <v>0.1849563548547698</v>
      </c>
      <c r="G2" s="439">
        <f>'Newnans LU'!F3</f>
        <v>0.19180791967513688</v>
      </c>
      <c r="H2" s="440">
        <f>'Newnans LU'!F8</f>
        <v>1</v>
      </c>
    </row>
    <row r="3" spans="1:8" ht="14.45" customHeight="1" x14ac:dyDescent="0.2">
      <c r="A3" s="436" t="s">
        <v>405</v>
      </c>
      <c r="B3" s="437" t="s">
        <v>66</v>
      </c>
      <c r="C3" s="438">
        <f>'Newnans LU'!F24</f>
        <v>0.15995812907171886</v>
      </c>
      <c r="D3" s="438">
        <f>'Newnans LU'!F22</f>
        <v>4.073399628298769E-3</v>
      </c>
      <c r="E3" s="438" t="s">
        <v>393</v>
      </c>
      <c r="F3" s="439">
        <f>'Newnans LU'!F21</f>
        <v>0.79866309924034384</v>
      </c>
      <c r="G3" s="439">
        <f>'Newnans LU'!F20</f>
        <v>1.5818792268306743E-2</v>
      </c>
      <c r="H3" s="440" t="s">
        <v>393</v>
      </c>
    </row>
    <row r="4" spans="1:8" ht="16.899999999999999" customHeight="1" x14ac:dyDescent="0.2">
      <c r="A4" s="436" t="s">
        <v>405</v>
      </c>
      <c r="B4" s="437" t="s">
        <v>119</v>
      </c>
      <c r="C4" s="438" t="s">
        <v>393</v>
      </c>
      <c r="D4" s="438" t="s">
        <v>393</v>
      </c>
      <c r="E4" s="438" t="s">
        <v>393</v>
      </c>
      <c r="F4" s="439" t="s">
        <v>393</v>
      </c>
      <c r="G4" s="439">
        <f>'Newnans LU'!F36</f>
        <v>0.79237328805655649</v>
      </c>
      <c r="H4" s="440" t="s">
        <v>393</v>
      </c>
    </row>
    <row r="5" spans="1:8" ht="18.75" customHeight="1" x14ac:dyDescent="0.2">
      <c r="A5" s="436" t="s">
        <v>405</v>
      </c>
      <c r="B5" s="437" t="s">
        <v>67</v>
      </c>
      <c r="C5" s="438">
        <f>'Newnans LU'!F42</f>
        <v>1.4496021394560224E-2</v>
      </c>
      <c r="D5" s="438">
        <f>'Newnans LU'!F40</f>
        <v>9.0793557103622358E-2</v>
      </c>
      <c r="E5" s="438">
        <f>'Newnans LU'!F41</f>
        <v>0.14365227188786586</v>
      </c>
      <c r="F5" s="439">
        <f>'Newnans LU'!F39</f>
        <v>1.6380545904886423E-2</v>
      </c>
      <c r="G5" s="439" t="s">
        <v>393</v>
      </c>
      <c r="H5" s="440" t="s">
        <v>393</v>
      </c>
    </row>
    <row r="6" spans="1:8" ht="24" customHeight="1" x14ac:dyDescent="0.2">
      <c r="A6" s="436" t="s">
        <v>406</v>
      </c>
      <c r="B6" s="437" t="s">
        <v>62</v>
      </c>
      <c r="C6" s="438">
        <f>'Newnans LU'!F13</f>
        <v>1.9791459149915386E-2</v>
      </c>
      <c r="D6" s="438">
        <f>'Newnans LU'!F11</f>
        <v>0.391033655562187</v>
      </c>
      <c r="E6" s="438">
        <f>'Newnans LU'!F12</f>
        <v>4.2316218146951412E-2</v>
      </c>
      <c r="F6" s="439">
        <f>'Newnans LU'!F10</f>
        <v>9.6200613872649471E-2</v>
      </c>
      <c r="G6" s="439">
        <f>'Newnans LU'!F9</f>
        <v>1.073140677133568E-2</v>
      </c>
      <c r="H6" s="440" t="s">
        <v>393</v>
      </c>
    </row>
    <row r="7" spans="1:8" ht="22.5" customHeight="1" x14ac:dyDescent="0.2">
      <c r="A7" s="436" t="s">
        <v>406</v>
      </c>
      <c r="B7" s="437" t="s">
        <v>66</v>
      </c>
      <c r="C7" s="438">
        <f>'Newnans LU'!F29</f>
        <v>0.98020854085008458</v>
      </c>
      <c r="D7" s="438">
        <f>'Newnans LU'!F27</f>
        <v>0.60896634443781295</v>
      </c>
      <c r="E7" s="438">
        <f>'Newnans LU'!F28</f>
        <v>0.9576837818530487</v>
      </c>
      <c r="F7" s="439">
        <f>'Newnans LU'!F26</f>
        <v>0.90379938612735056</v>
      </c>
      <c r="G7" s="439">
        <f>'Newnans LU'!F25</f>
        <v>0.86132140598532569</v>
      </c>
      <c r="H7" s="440">
        <f>'Newnans LU'!F30</f>
        <v>1</v>
      </c>
    </row>
    <row r="8" spans="1:8" ht="24" customHeight="1" x14ac:dyDescent="0.2">
      <c r="A8" s="436" t="s">
        <v>407</v>
      </c>
      <c r="B8" s="437" t="s">
        <v>119</v>
      </c>
      <c r="C8" s="438" t="s">
        <v>393</v>
      </c>
      <c r="D8" s="438" t="s">
        <v>393</v>
      </c>
      <c r="E8" s="438" t="s">
        <v>393</v>
      </c>
      <c r="F8" s="439" t="s">
        <v>393</v>
      </c>
      <c r="G8" s="439">
        <f>'Newnans LU'!F37</f>
        <v>0.12794718724333862</v>
      </c>
      <c r="H8" s="440" t="s">
        <v>393</v>
      </c>
    </row>
    <row r="9" spans="1:8" ht="18.75" customHeight="1" x14ac:dyDescent="0.2">
      <c r="A9" s="436" t="s">
        <v>406</v>
      </c>
      <c r="B9" s="437" t="s">
        <v>67</v>
      </c>
      <c r="C9" s="438" t="s">
        <v>393</v>
      </c>
      <c r="D9" s="438" t="s">
        <v>393</v>
      </c>
      <c r="E9" s="438" t="s">
        <v>393</v>
      </c>
      <c r="F9" s="439" t="s">
        <v>393</v>
      </c>
      <c r="G9" s="439" t="s">
        <v>393</v>
      </c>
      <c r="H9" s="440" t="s">
        <v>393</v>
      </c>
    </row>
    <row r="10" spans="1:8" ht="21.75" customHeight="1" x14ac:dyDescent="0.2">
      <c r="A10" s="436" t="s">
        <v>408</v>
      </c>
      <c r="B10" s="437" t="s">
        <v>62</v>
      </c>
      <c r="C10" s="438">
        <f>'Newnans LU'!F18</f>
        <v>8.7611354731230787E-2</v>
      </c>
      <c r="D10" s="438">
        <f>'Newnans LU'!F16</f>
        <v>0.80427026012917358</v>
      </c>
      <c r="E10" s="438">
        <f>'Newnans LU'!F17</f>
        <v>0.42648803425735754</v>
      </c>
      <c r="F10" s="439">
        <f>'Newnans LU'!F15</f>
        <v>0.29109607410073407</v>
      </c>
      <c r="G10" s="439">
        <f>'Newnans LU'!F14</f>
        <v>2.3270651357656078E-2</v>
      </c>
      <c r="H10" s="440">
        <f>'Newnans LU'!F19</f>
        <v>1</v>
      </c>
    </row>
    <row r="11" spans="1:8" ht="22.5" customHeight="1" x14ac:dyDescent="0.2">
      <c r="A11" s="436" t="s">
        <v>408</v>
      </c>
      <c r="B11" s="437" t="s">
        <v>66</v>
      </c>
      <c r="C11" s="438">
        <f>'Newnans LU'!F35</f>
        <v>0.91238864526876928</v>
      </c>
      <c r="D11" s="438">
        <f>'Newnans LU'!F33</f>
        <v>0.19572973987082651</v>
      </c>
      <c r="E11" s="438">
        <f>'Newnans LU'!F34</f>
        <v>0.57354922802334285</v>
      </c>
      <c r="F11" s="439">
        <f>'Newnans LU'!F32</f>
        <v>0.70890392589926587</v>
      </c>
      <c r="G11" s="439">
        <f>'Newnans LU'!F31</f>
        <v>0.12351913553967472</v>
      </c>
      <c r="H11" s="440" t="s">
        <v>393</v>
      </c>
    </row>
    <row r="12" spans="1:8" ht="28.5" x14ac:dyDescent="0.2">
      <c r="A12" s="436" t="s">
        <v>408</v>
      </c>
      <c r="B12" s="437" t="s">
        <v>119</v>
      </c>
      <c r="C12" s="438" t="s">
        <v>393</v>
      </c>
      <c r="D12" s="438" t="s">
        <v>393</v>
      </c>
      <c r="E12" s="438" t="s">
        <v>393</v>
      </c>
      <c r="F12" s="439" t="s">
        <v>393</v>
      </c>
      <c r="G12" s="439">
        <f>'Newnans LU'!F38</f>
        <v>0.8532102131026692</v>
      </c>
      <c r="H12" s="440" t="s">
        <v>393</v>
      </c>
    </row>
    <row r="13" spans="1:8" ht="20.25" customHeight="1" x14ac:dyDescent="0.2">
      <c r="A13" s="436" t="s">
        <v>408</v>
      </c>
      <c r="B13" s="437" t="s">
        <v>67</v>
      </c>
      <c r="C13" s="438" t="s">
        <v>393</v>
      </c>
      <c r="D13" s="438" t="s">
        <v>393</v>
      </c>
      <c r="E13" s="438" t="s">
        <v>393</v>
      </c>
      <c r="F13" s="439" t="s">
        <v>393</v>
      </c>
      <c r="G13" s="439" t="s">
        <v>393</v>
      </c>
      <c r="H13" s="440" t="s">
        <v>393</v>
      </c>
    </row>
    <row r="14" spans="1:8" ht="16.899999999999999" customHeight="1" x14ac:dyDescent="0.2">
      <c r="A14" s="436" t="s">
        <v>409</v>
      </c>
      <c r="B14" s="437" t="s">
        <v>62</v>
      </c>
      <c r="C14" s="438">
        <f>'Orange Lake LU'!E9</f>
        <v>6.8938492819921496E-2</v>
      </c>
      <c r="D14" s="438">
        <f>'Orange Lake LU'!E7</f>
        <v>8.5321331776393575E-2</v>
      </c>
      <c r="E14" s="438">
        <f>'Orange Lake LU'!E8</f>
        <v>3.7535509547102289E-2</v>
      </c>
      <c r="F14" s="439">
        <f>'Orange Lake LU'!E6</f>
        <v>2.6589464898671488E-2</v>
      </c>
      <c r="G14" s="439" t="s">
        <v>393</v>
      </c>
      <c r="H14" s="440">
        <f>'Orange Lake LU'!E10</f>
        <v>8.0000000000000002E-3</v>
      </c>
    </row>
    <row r="15" spans="1:8" ht="16.899999999999999" customHeight="1" x14ac:dyDescent="0.2">
      <c r="A15" s="436" t="s">
        <v>409</v>
      </c>
      <c r="B15" s="437" t="s">
        <v>140</v>
      </c>
      <c r="C15" s="438">
        <f>'Orange Lake LU'!E19</f>
        <v>0.88170117491952094</v>
      </c>
      <c r="D15" s="438">
        <f>'Orange Lake LU'!E17</f>
        <v>0.83146534846648901</v>
      </c>
      <c r="E15" s="438">
        <f>'Orange Lake LU'!E18</f>
        <v>0.61289591706792046</v>
      </c>
      <c r="F15" s="439">
        <f>'Orange Lake LU'!E16</f>
        <v>0.87314984006058682</v>
      </c>
      <c r="G15" s="439">
        <f>'Orange Lake LU'!E15</f>
        <v>5.7144525232483999E-2</v>
      </c>
      <c r="H15" s="440">
        <f>'Orange Lake LU'!E20</f>
        <v>0.99199999999999999</v>
      </c>
    </row>
    <row r="16" spans="1:8" ht="21.75" customHeight="1" x14ac:dyDescent="0.2">
      <c r="A16" s="436" t="s">
        <v>409</v>
      </c>
      <c r="B16" s="437" t="s">
        <v>119</v>
      </c>
      <c r="C16" s="438" t="s">
        <v>393</v>
      </c>
      <c r="D16" s="438" t="s">
        <v>393</v>
      </c>
      <c r="E16" s="438" t="s">
        <v>393</v>
      </c>
      <c r="F16" s="439" t="s">
        <v>393</v>
      </c>
      <c r="G16" s="439">
        <f>'Orange Lake LU'!E13</f>
        <v>8.9812159962319449E-2</v>
      </c>
      <c r="H16" s="440" t="s">
        <v>393</v>
      </c>
    </row>
    <row r="17" spans="1:8" ht="19.149999999999999" customHeight="1" x14ac:dyDescent="0.2">
      <c r="A17" s="436" t="s">
        <v>409</v>
      </c>
      <c r="B17" s="437" t="s">
        <v>139</v>
      </c>
      <c r="C17" s="438" t="s">
        <v>393</v>
      </c>
      <c r="D17" s="438" t="s">
        <v>393</v>
      </c>
      <c r="E17" s="438" t="s">
        <v>393</v>
      </c>
      <c r="F17" s="439" t="s">
        <v>393</v>
      </c>
      <c r="G17" s="439">
        <f>'Orange Lake LU'!E14</f>
        <v>0.85304331480569162</v>
      </c>
      <c r="H17" s="440" t="s">
        <v>393</v>
      </c>
    </row>
    <row r="18" spans="1:8" ht="14.45" customHeight="1" x14ac:dyDescent="0.2">
      <c r="A18" s="436" t="s">
        <v>409</v>
      </c>
      <c r="B18" s="437" t="s">
        <v>142</v>
      </c>
      <c r="C18" s="438">
        <f>'Orange Lake LU'!E24</f>
        <v>3.0654590131894068E-2</v>
      </c>
      <c r="D18" s="438">
        <f>'Orange Lake LU'!E22</f>
        <v>2.3278283660617714E-2</v>
      </c>
      <c r="E18" s="438">
        <f>'Orange Lake LU'!E23</f>
        <v>0.21165607171095302</v>
      </c>
      <c r="F18" s="439">
        <f>'Orange Lake LU'!E21</f>
        <v>5.9024455498256204E-2</v>
      </c>
      <c r="G18" s="439" t="s">
        <v>393</v>
      </c>
      <c r="H18" s="440" t="s">
        <v>393</v>
      </c>
    </row>
    <row r="19" spans="1:8" ht="14.25" x14ac:dyDescent="0.2">
      <c r="A19" s="436" t="s">
        <v>409</v>
      </c>
      <c r="B19" s="437" t="s">
        <v>143</v>
      </c>
      <c r="C19" s="438">
        <f>'Orange Lake LU'!E31</f>
        <v>1.8705743285558903E-2</v>
      </c>
      <c r="D19" s="438">
        <f>'Orange Lake LU'!E29</f>
        <v>1.1902410074551398E-2</v>
      </c>
      <c r="E19" s="438">
        <f>'Orange Lake LU'!E30</f>
        <v>0.13791252591993466</v>
      </c>
      <c r="F19" s="439">
        <f>'Orange Lake LU'!E28</f>
        <v>1.5188701116756589E-2</v>
      </c>
      <c r="G19" s="439" t="s">
        <v>393</v>
      </c>
      <c r="H19" s="440">
        <f>'Orange Lake LU'!E32</f>
        <v>0</v>
      </c>
    </row>
    <row r="20" spans="1:8" ht="14.25" x14ac:dyDescent="0.2">
      <c r="A20" s="436" t="s">
        <v>409</v>
      </c>
      <c r="B20" s="437" t="s">
        <v>141</v>
      </c>
      <c r="C20" s="438" t="s">
        <v>393</v>
      </c>
      <c r="D20" s="438">
        <f>'Orange Lake LU'!E34</f>
        <v>4.8032626022742719E-2</v>
      </c>
      <c r="E20" s="438" t="s">
        <v>393</v>
      </c>
      <c r="F20" s="439">
        <f>'Orange Lake LU'!E33</f>
        <v>2.6047538426014847E-2</v>
      </c>
      <c r="G20" s="439" t="s">
        <v>393</v>
      </c>
      <c r="H20" s="440" t="s">
        <v>393</v>
      </c>
    </row>
    <row r="21" spans="1:8" ht="27" customHeight="1" x14ac:dyDescent="0.2">
      <c r="A21" s="436" t="s">
        <v>410</v>
      </c>
      <c r="B21" s="437" t="s">
        <v>62</v>
      </c>
      <c r="C21" s="438" t="s">
        <v>393</v>
      </c>
      <c r="D21" s="438">
        <f>'Orange Lake LU'!E5</f>
        <v>0.75780365563429364</v>
      </c>
      <c r="E21" s="438" t="s">
        <v>393</v>
      </c>
      <c r="F21" s="439">
        <f>'Orange Lake LU'!E4</f>
        <v>0.14446874402379709</v>
      </c>
      <c r="G21" s="439">
        <f>'Orange Lake LU'!E3</f>
        <v>5.1007345843512998E-2</v>
      </c>
      <c r="H21" s="440">
        <f>'Orange Lake LU'!E11</f>
        <v>1</v>
      </c>
    </row>
    <row r="22" spans="1:8" ht="14.45" customHeight="1" x14ac:dyDescent="0.2">
      <c r="A22" s="436" t="s">
        <v>410</v>
      </c>
      <c r="B22" s="437" t="s">
        <v>140</v>
      </c>
      <c r="C22" s="438" t="s">
        <v>393</v>
      </c>
      <c r="D22" s="438" t="s">
        <v>393</v>
      </c>
      <c r="E22" s="438" t="s">
        <v>393</v>
      </c>
      <c r="F22" s="439" t="s">
        <v>393</v>
      </c>
      <c r="G22" s="439" t="s">
        <v>393</v>
      </c>
      <c r="H22" s="440" t="s">
        <v>393</v>
      </c>
    </row>
    <row r="23" spans="1:8" ht="31.5" customHeight="1" x14ac:dyDescent="0.2">
      <c r="A23" s="436" t="s">
        <v>410</v>
      </c>
      <c r="B23" s="437" t="s">
        <v>119</v>
      </c>
      <c r="C23" s="438" t="s">
        <v>393</v>
      </c>
      <c r="D23" s="438" t="s">
        <v>393</v>
      </c>
      <c r="E23" s="438" t="s">
        <v>393</v>
      </c>
      <c r="F23" s="439" t="s">
        <v>393</v>
      </c>
      <c r="G23" s="439">
        <f>'Orange Lake LU'!E12</f>
        <v>0.94899265415856016</v>
      </c>
      <c r="H23" s="440" t="s">
        <v>393</v>
      </c>
    </row>
    <row r="24" spans="1:8" ht="29.25" customHeight="1" x14ac:dyDescent="0.2">
      <c r="A24" s="436" t="s">
        <v>410</v>
      </c>
      <c r="B24" s="437" t="s">
        <v>139</v>
      </c>
      <c r="C24" s="438" t="s">
        <v>393</v>
      </c>
      <c r="D24" s="438" t="s">
        <v>393</v>
      </c>
      <c r="E24" s="438" t="s">
        <v>393</v>
      </c>
      <c r="F24" s="439" t="s">
        <v>393</v>
      </c>
      <c r="G24" s="439" t="s">
        <v>393</v>
      </c>
      <c r="H24" s="440" t="s">
        <v>393</v>
      </c>
    </row>
    <row r="25" spans="1:8" ht="33" customHeight="1" x14ac:dyDescent="0.2">
      <c r="A25" s="436" t="s">
        <v>410</v>
      </c>
      <c r="B25" s="437" t="s">
        <v>142</v>
      </c>
      <c r="C25" s="438" t="s">
        <v>393</v>
      </c>
      <c r="D25" s="438" t="s">
        <v>393</v>
      </c>
      <c r="E25" s="438" t="s">
        <v>393</v>
      </c>
      <c r="F25" s="439" t="s">
        <v>393</v>
      </c>
      <c r="G25" s="439" t="s">
        <v>393</v>
      </c>
      <c r="H25" s="440" t="s">
        <v>393</v>
      </c>
    </row>
    <row r="26" spans="1:8" ht="29.25" customHeight="1" x14ac:dyDescent="0.2">
      <c r="A26" s="436" t="s">
        <v>410</v>
      </c>
      <c r="B26" s="437" t="s">
        <v>143</v>
      </c>
      <c r="C26" s="438" t="s">
        <v>393</v>
      </c>
      <c r="D26" s="438">
        <f>'Orange Lake LU'!E26</f>
        <v>0.2421963443645147</v>
      </c>
      <c r="E26" s="438">
        <f>'Orange Lake LU'!E27</f>
        <v>1</v>
      </c>
      <c r="F26" s="439">
        <f>'Orange Lake LU'!E25</f>
        <v>0.85553125597620305</v>
      </c>
      <c r="G26" s="439" t="s">
        <v>393</v>
      </c>
      <c r="H26" s="440" t="s">
        <v>393</v>
      </c>
    </row>
    <row r="27" spans="1:8" ht="23.25" customHeight="1" thickBot="1" x14ac:dyDescent="0.25">
      <c r="A27" s="441" t="s">
        <v>410</v>
      </c>
      <c r="B27" s="442" t="s">
        <v>141</v>
      </c>
      <c r="C27" s="443" t="s">
        <v>393</v>
      </c>
      <c r="D27" s="443" t="s">
        <v>393</v>
      </c>
      <c r="E27" s="443" t="s">
        <v>393</v>
      </c>
      <c r="F27" s="444" t="s">
        <v>393</v>
      </c>
      <c r="G27" s="444" t="s">
        <v>393</v>
      </c>
      <c r="H27" s="445" t="s">
        <v>393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8"/>
  <sheetViews>
    <sheetView workbookViewId="0">
      <selection activeCell="G39" sqref="G39"/>
    </sheetView>
  </sheetViews>
  <sheetFormatPr defaultRowHeight="12.75" x14ac:dyDescent="0.2"/>
  <cols>
    <col min="1" max="1" width="19" customWidth="1"/>
    <col min="2" max="2" width="17.42578125" customWidth="1"/>
    <col min="3" max="3" width="18.85546875" customWidth="1"/>
    <col min="4" max="4" width="17.5703125" customWidth="1"/>
    <col min="5" max="5" width="14.7109375" customWidth="1"/>
    <col min="6" max="6" width="17.85546875" customWidth="1"/>
    <col min="7" max="7" width="15.28515625" customWidth="1"/>
    <col min="8" max="8" width="14.5703125" customWidth="1"/>
    <col min="9" max="9" width="18" customWidth="1"/>
    <col min="10" max="10" width="12.42578125" customWidth="1"/>
  </cols>
  <sheetData>
    <row r="1" spans="1:10" x14ac:dyDescent="0.2">
      <c r="A1" s="173" t="s">
        <v>263</v>
      </c>
      <c r="B1" s="173" t="s">
        <v>264</v>
      </c>
      <c r="D1" s="19" t="s">
        <v>273</v>
      </c>
    </row>
    <row r="2" spans="1:10" x14ac:dyDescent="0.2">
      <c r="A2" s="142" t="s">
        <v>211</v>
      </c>
      <c r="B2" s="142" t="s">
        <v>151</v>
      </c>
      <c r="J2" t="s">
        <v>274</v>
      </c>
    </row>
    <row r="3" spans="1:10" x14ac:dyDescent="0.2">
      <c r="A3" s="142" t="s">
        <v>148</v>
      </c>
      <c r="B3" t="s">
        <v>230</v>
      </c>
      <c r="C3" t="s">
        <v>75</v>
      </c>
      <c r="D3" t="s">
        <v>49</v>
      </c>
      <c r="E3" t="s">
        <v>213</v>
      </c>
      <c r="F3" t="s">
        <v>65</v>
      </c>
      <c r="G3" t="s">
        <v>214</v>
      </c>
      <c r="H3" t="s">
        <v>95</v>
      </c>
      <c r="I3" t="s">
        <v>149</v>
      </c>
    </row>
    <row r="4" spans="1:10" x14ac:dyDescent="0.2">
      <c r="A4" s="143" t="s">
        <v>216</v>
      </c>
      <c r="B4" s="144">
        <v>105</v>
      </c>
      <c r="C4" s="144">
        <v>839</v>
      </c>
      <c r="D4" s="144">
        <v>142</v>
      </c>
      <c r="E4" s="144">
        <v>1105</v>
      </c>
      <c r="F4" s="144">
        <v>1362</v>
      </c>
      <c r="G4" s="144">
        <v>88</v>
      </c>
      <c r="H4" s="144">
        <v>276</v>
      </c>
      <c r="I4" s="144">
        <v>3917</v>
      </c>
      <c r="J4">
        <f>I4-I7</f>
        <v>3323</v>
      </c>
    </row>
    <row r="5" spans="1:10" x14ac:dyDescent="0.2">
      <c r="A5" s="268" t="s">
        <v>215</v>
      </c>
      <c r="B5" s="144">
        <v>11</v>
      </c>
      <c r="C5" s="144">
        <v>142</v>
      </c>
      <c r="D5" s="144">
        <v>25</v>
      </c>
      <c r="E5" s="144">
        <v>151</v>
      </c>
      <c r="F5" s="144">
        <v>235</v>
      </c>
      <c r="G5" s="144">
        <v>10</v>
      </c>
      <c r="H5" s="144">
        <v>44</v>
      </c>
      <c r="I5" s="144">
        <v>618</v>
      </c>
    </row>
    <row r="6" spans="1:10" x14ac:dyDescent="0.2">
      <c r="A6" s="268" t="s">
        <v>220</v>
      </c>
      <c r="B6" s="144">
        <v>86</v>
      </c>
      <c r="C6" s="144">
        <v>543</v>
      </c>
      <c r="D6" s="144">
        <v>102</v>
      </c>
      <c r="E6" s="144">
        <v>789</v>
      </c>
      <c r="F6" s="144">
        <v>916</v>
      </c>
      <c r="G6" s="144">
        <v>71</v>
      </c>
      <c r="H6" s="144">
        <v>198</v>
      </c>
      <c r="I6" s="144">
        <v>2705</v>
      </c>
    </row>
    <row r="7" spans="1:10" x14ac:dyDescent="0.2">
      <c r="A7" s="268" t="s">
        <v>221</v>
      </c>
      <c r="B7" s="144">
        <v>8</v>
      </c>
      <c r="C7" s="144">
        <v>154</v>
      </c>
      <c r="D7" s="144">
        <v>15</v>
      </c>
      <c r="E7" s="144">
        <v>165</v>
      </c>
      <c r="F7" s="144">
        <v>211</v>
      </c>
      <c r="G7" s="144">
        <v>7</v>
      </c>
      <c r="H7" s="144">
        <v>34</v>
      </c>
      <c r="I7" s="144">
        <v>594</v>
      </c>
    </row>
    <row r="8" spans="1:10" x14ac:dyDescent="0.2">
      <c r="A8" s="143" t="s">
        <v>217</v>
      </c>
      <c r="B8" s="144"/>
      <c r="C8" s="144">
        <v>15</v>
      </c>
      <c r="D8" s="144">
        <v>159</v>
      </c>
      <c r="E8" s="144"/>
      <c r="F8" s="144">
        <v>101</v>
      </c>
      <c r="G8" s="144"/>
      <c r="H8" s="144"/>
      <c r="I8" s="144">
        <v>275</v>
      </c>
      <c r="J8">
        <f>I8-I11</f>
        <v>257</v>
      </c>
    </row>
    <row r="9" spans="1:10" x14ac:dyDescent="0.2">
      <c r="A9" s="268" t="s">
        <v>215</v>
      </c>
      <c r="B9" s="144"/>
      <c r="C9" s="144">
        <v>2</v>
      </c>
      <c r="D9" s="144">
        <v>11</v>
      </c>
      <c r="E9" s="144"/>
      <c r="F9" s="144">
        <v>2</v>
      </c>
      <c r="G9" s="144"/>
      <c r="H9" s="144"/>
      <c r="I9" s="144">
        <v>15</v>
      </c>
    </row>
    <row r="10" spans="1:10" x14ac:dyDescent="0.2">
      <c r="A10" s="268" t="s">
        <v>220</v>
      </c>
      <c r="B10" s="144"/>
      <c r="C10" s="144">
        <v>13</v>
      </c>
      <c r="D10" s="144">
        <v>136</v>
      </c>
      <c r="E10" s="144"/>
      <c r="F10" s="144">
        <v>93</v>
      </c>
      <c r="G10" s="144"/>
      <c r="H10" s="144"/>
      <c r="I10" s="144">
        <v>242</v>
      </c>
    </row>
    <row r="11" spans="1:10" x14ac:dyDescent="0.2">
      <c r="A11" s="268" t="s">
        <v>221</v>
      </c>
      <c r="B11" s="144"/>
      <c r="C11" s="144"/>
      <c r="D11" s="144">
        <v>12</v>
      </c>
      <c r="E11" s="144"/>
      <c r="F11" s="144">
        <v>6</v>
      </c>
      <c r="G11" s="144"/>
      <c r="H11" s="144"/>
      <c r="I11" s="144">
        <v>18</v>
      </c>
    </row>
    <row r="12" spans="1:10" x14ac:dyDescent="0.2">
      <c r="A12" s="143" t="s">
        <v>231</v>
      </c>
      <c r="B12" s="144"/>
      <c r="C12" s="144"/>
      <c r="D12" s="144"/>
      <c r="E12" s="144">
        <v>108</v>
      </c>
      <c r="F12" s="144"/>
      <c r="G12" s="144"/>
      <c r="H12" s="144"/>
      <c r="I12" s="144">
        <v>108</v>
      </c>
      <c r="J12">
        <f>I12-I15</f>
        <v>106</v>
      </c>
    </row>
    <row r="13" spans="1:10" x14ac:dyDescent="0.2">
      <c r="A13" s="268" t="s">
        <v>215</v>
      </c>
      <c r="B13" s="144"/>
      <c r="C13" s="144"/>
      <c r="D13" s="144"/>
      <c r="E13" s="144">
        <v>4</v>
      </c>
      <c r="F13" s="144"/>
      <c r="G13" s="144"/>
      <c r="H13" s="144"/>
      <c r="I13" s="144">
        <v>4</v>
      </c>
    </row>
    <row r="14" spans="1:10" x14ac:dyDescent="0.2">
      <c r="A14" s="268" t="s">
        <v>220</v>
      </c>
      <c r="B14" s="144"/>
      <c r="C14" s="144"/>
      <c r="D14" s="144"/>
      <c r="E14" s="144">
        <v>102</v>
      </c>
      <c r="F14" s="144"/>
      <c r="G14" s="144"/>
      <c r="H14" s="144"/>
      <c r="I14" s="144">
        <v>102</v>
      </c>
    </row>
    <row r="15" spans="1:10" x14ac:dyDescent="0.2">
      <c r="A15" s="268" t="s">
        <v>221</v>
      </c>
      <c r="B15" s="144"/>
      <c r="C15" s="144"/>
      <c r="D15" s="144"/>
      <c r="E15" s="144">
        <v>2</v>
      </c>
      <c r="F15" s="144"/>
      <c r="G15" s="144"/>
      <c r="H15" s="144"/>
      <c r="I15" s="144">
        <v>2</v>
      </c>
    </row>
    <row r="16" spans="1:10" x14ac:dyDescent="0.2">
      <c r="A16" s="143" t="s">
        <v>219</v>
      </c>
      <c r="B16" s="144"/>
      <c r="C16" s="144"/>
      <c r="D16" s="144"/>
      <c r="E16" s="144"/>
      <c r="F16" s="144"/>
      <c r="G16" s="144"/>
      <c r="H16" s="144">
        <v>2823</v>
      </c>
      <c r="I16" s="144">
        <v>2823</v>
      </c>
      <c r="J16">
        <f>I16</f>
        <v>2823</v>
      </c>
    </row>
    <row r="17" spans="1:10" x14ac:dyDescent="0.2">
      <c r="A17" s="268" t="s">
        <v>215</v>
      </c>
      <c r="B17" s="144"/>
      <c r="C17" s="144"/>
      <c r="D17" s="144"/>
      <c r="E17" s="144"/>
      <c r="F17" s="144"/>
      <c r="G17" s="144"/>
      <c r="H17" s="144">
        <v>2807</v>
      </c>
      <c r="I17" s="144">
        <v>2807</v>
      </c>
    </row>
    <row r="18" spans="1:10" x14ac:dyDescent="0.2">
      <c r="A18" s="268" t="s">
        <v>220</v>
      </c>
      <c r="B18" s="144"/>
      <c r="C18" s="144"/>
      <c r="D18" s="144"/>
      <c r="E18" s="144"/>
      <c r="F18" s="144"/>
      <c r="G18" s="144"/>
      <c r="H18" s="144">
        <v>16</v>
      </c>
      <c r="I18" s="144">
        <v>16</v>
      </c>
    </row>
    <row r="19" spans="1:10" x14ac:dyDescent="0.2">
      <c r="A19" s="143" t="s">
        <v>232</v>
      </c>
      <c r="B19" s="144"/>
      <c r="C19" s="144"/>
      <c r="D19" s="144"/>
      <c r="E19" s="144"/>
      <c r="F19" s="144"/>
      <c r="G19" s="144"/>
      <c r="H19" s="144">
        <v>231</v>
      </c>
      <c r="I19" s="144">
        <v>231</v>
      </c>
      <c r="J19">
        <f>I19</f>
        <v>231</v>
      </c>
    </row>
    <row r="20" spans="1:10" x14ac:dyDescent="0.2">
      <c r="A20" s="268" t="s">
        <v>215</v>
      </c>
      <c r="B20" s="144"/>
      <c r="C20" s="144"/>
      <c r="D20" s="144"/>
      <c r="E20" s="144"/>
      <c r="F20" s="144"/>
      <c r="G20" s="144"/>
      <c r="H20" s="144">
        <v>226</v>
      </c>
      <c r="I20" s="144">
        <v>226</v>
      </c>
    </row>
    <row r="21" spans="1:10" x14ac:dyDescent="0.2">
      <c r="A21" s="268" t="s">
        <v>220</v>
      </c>
      <c r="B21" s="144"/>
      <c r="C21" s="144"/>
      <c r="D21" s="144"/>
      <c r="E21" s="144"/>
      <c r="F21" s="144"/>
      <c r="G21" s="144"/>
      <c r="H21" s="144">
        <v>5</v>
      </c>
      <c r="I21" s="144">
        <v>5</v>
      </c>
    </row>
    <row r="22" spans="1:10" x14ac:dyDescent="0.2">
      <c r="A22" s="143" t="s">
        <v>233</v>
      </c>
      <c r="B22" s="144">
        <v>133</v>
      </c>
      <c r="C22" s="144"/>
      <c r="D22" s="144"/>
      <c r="E22" s="144"/>
      <c r="F22" s="144"/>
      <c r="G22" s="144"/>
      <c r="H22" s="144">
        <v>119</v>
      </c>
      <c r="I22" s="144">
        <v>252</v>
      </c>
      <c r="J22">
        <f>I22-I25</f>
        <v>237</v>
      </c>
    </row>
    <row r="23" spans="1:10" x14ac:dyDescent="0.2">
      <c r="A23" s="268" t="s">
        <v>215</v>
      </c>
      <c r="B23" s="144">
        <v>19</v>
      </c>
      <c r="C23" s="144"/>
      <c r="D23" s="144"/>
      <c r="E23" s="144"/>
      <c r="F23" s="144"/>
      <c r="G23" s="144"/>
      <c r="H23" s="144">
        <v>10</v>
      </c>
      <c r="I23" s="144">
        <v>29</v>
      </c>
    </row>
    <row r="24" spans="1:10" x14ac:dyDescent="0.2">
      <c r="A24" s="268" t="s">
        <v>220</v>
      </c>
      <c r="B24" s="144">
        <v>108</v>
      </c>
      <c r="C24" s="144"/>
      <c r="D24" s="144"/>
      <c r="E24" s="144"/>
      <c r="F24" s="144"/>
      <c r="G24" s="144"/>
      <c r="H24" s="144">
        <v>100</v>
      </c>
      <c r="I24" s="144">
        <v>208</v>
      </c>
    </row>
    <row r="25" spans="1:10" x14ac:dyDescent="0.2">
      <c r="A25" s="268" t="s">
        <v>221</v>
      </c>
      <c r="B25" s="144">
        <v>6</v>
      </c>
      <c r="C25" s="144"/>
      <c r="D25" s="144"/>
      <c r="E25" s="144"/>
      <c r="F25" s="144"/>
      <c r="G25" s="144"/>
      <c r="H25" s="144">
        <v>9</v>
      </c>
      <c r="I25" s="144">
        <v>15</v>
      </c>
    </row>
    <row r="26" spans="1:10" x14ac:dyDescent="0.2">
      <c r="A26" s="143" t="s">
        <v>234</v>
      </c>
      <c r="B26" s="144"/>
      <c r="C26" s="144"/>
      <c r="D26" s="144"/>
      <c r="E26" s="144"/>
      <c r="F26" s="144"/>
      <c r="G26" s="144"/>
      <c r="H26" s="144">
        <v>247</v>
      </c>
      <c r="I26" s="144">
        <v>247</v>
      </c>
      <c r="J26">
        <f>I26</f>
        <v>247</v>
      </c>
    </row>
    <row r="27" spans="1:10" x14ac:dyDescent="0.2">
      <c r="A27" s="268" t="s">
        <v>215</v>
      </c>
      <c r="B27" s="144"/>
      <c r="C27" s="144"/>
      <c r="D27" s="144"/>
      <c r="E27" s="144"/>
      <c r="F27" s="144"/>
      <c r="G27" s="144"/>
      <c r="H27" s="144">
        <v>240</v>
      </c>
      <c r="I27" s="144">
        <v>240</v>
      </c>
    </row>
    <row r="28" spans="1:10" x14ac:dyDescent="0.2">
      <c r="A28" s="268" t="s">
        <v>220</v>
      </c>
      <c r="B28" s="144"/>
      <c r="C28" s="144"/>
      <c r="D28" s="144"/>
      <c r="E28" s="144"/>
      <c r="F28" s="144"/>
      <c r="G28" s="144"/>
      <c r="H28" s="144">
        <v>7</v>
      </c>
      <c r="I28" s="144">
        <v>7</v>
      </c>
    </row>
    <row r="29" spans="1:10" x14ac:dyDescent="0.2">
      <c r="A29" s="143" t="s">
        <v>235</v>
      </c>
      <c r="B29" s="144"/>
      <c r="C29" s="144">
        <v>43</v>
      </c>
      <c r="D29" s="144"/>
      <c r="E29" s="144"/>
      <c r="F29" s="144"/>
      <c r="G29" s="144"/>
      <c r="H29" s="144"/>
      <c r="I29" s="144">
        <v>43</v>
      </c>
      <c r="J29">
        <f>I29</f>
        <v>43</v>
      </c>
    </row>
    <row r="30" spans="1:10" x14ac:dyDescent="0.2">
      <c r="A30" s="268" t="s">
        <v>215</v>
      </c>
      <c r="B30" s="144"/>
      <c r="C30" s="144">
        <v>8</v>
      </c>
      <c r="D30" s="144"/>
      <c r="E30" s="144"/>
      <c r="F30" s="144"/>
      <c r="G30" s="144"/>
      <c r="H30" s="144"/>
      <c r="I30" s="144">
        <v>8</v>
      </c>
    </row>
    <row r="31" spans="1:10" x14ac:dyDescent="0.2">
      <c r="A31" s="268" t="s">
        <v>220</v>
      </c>
      <c r="B31" s="144"/>
      <c r="C31" s="144">
        <v>35</v>
      </c>
      <c r="D31" s="144"/>
      <c r="E31" s="144"/>
      <c r="F31" s="144"/>
      <c r="G31" s="144"/>
      <c r="H31" s="144"/>
      <c r="I31" s="144">
        <v>35</v>
      </c>
    </row>
    <row r="32" spans="1:10" x14ac:dyDescent="0.2">
      <c r="A32" s="143" t="s">
        <v>149</v>
      </c>
      <c r="B32" s="144">
        <v>238</v>
      </c>
      <c r="C32" s="144">
        <v>897</v>
      </c>
      <c r="D32" s="144">
        <v>301</v>
      </c>
      <c r="E32" s="144">
        <v>1213</v>
      </c>
      <c r="F32" s="144">
        <v>1463</v>
      </c>
      <c r="G32" s="144">
        <v>88</v>
      </c>
      <c r="H32" s="144">
        <v>3696</v>
      </c>
      <c r="I32" s="144">
        <v>7896</v>
      </c>
      <c r="J32">
        <f>SUM(J4:J30)</f>
        <v>7267</v>
      </c>
    </row>
    <row r="35" spans="1:6" ht="51" x14ac:dyDescent="0.2">
      <c r="A35" s="281" t="s">
        <v>223</v>
      </c>
      <c r="B35" s="281" t="s">
        <v>278</v>
      </c>
      <c r="D35" s="342" t="s">
        <v>277</v>
      </c>
      <c r="E35" s="342" t="s">
        <v>276</v>
      </c>
      <c r="F35" s="342" t="s">
        <v>275</v>
      </c>
    </row>
    <row r="36" spans="1:6" x14ac:dyDescent="0.2">
      <c r="A36" s="72" t="s">
        <v>75</v>
      </c>
      <c r="B36" s="206">
        <f>GETPIVOTDATA("COUNT_WW",$A$2,"MODEL_SEGM","Hatchett Creek")-C7</f>
        <v>743</v>
      </c>
      <c r="D36" s="72" t="s">
        <v>75</v>
      </c>
      <c r="E36" s="341">
        <f>C7</f>
        <v>154</v>
      </c>
      <c r="F36" s="121">
        <f>C7/C32</f>
        <v>0.17168338907469341</v>
      </c>
    </row>
    <row r="37" spans="1:6" x14ac:dyDescent="0.2">
      <c r="A37" s="72" t="s">
        <v>49</v>
      </c>
      <c r="B37" s="206">
        <f>GETPIVOTDATA("COUNT_WW",$A$2,"MODEL_SEGM","Little Hatchett Creek")-D7-D11</f>
        <v>274</v>
      </c>
      <c r="D37" s="72" t="s">
        <v>49</v>
      </c>
      <c r="E37" s="341">
        <f>D7+D11</f>
        <v>27</v>
      </c>
      <c r="F37" s="121">
        <f>(D7+D11)/D32</f>
        <v>8.9700996677740868E-2</v>
      </c>
    </row>
    <row r="38" spans="1:6" x14ac:dyDescent="0.2">
      <c r="A38" s="72" t="s">
        <v>65</v>
      </c>
      <c r="B38" s="206">
        <f>GETPIVOTDATA("COUNT_WW",$A$2,"MODEL_SEGM","Newnans Lake")-F7-F11</f>
        <v>1246</v>
      </c>
      <c r="D38" s="72" t="s">
        <v>65</v>
      </c>
      <c r="E38" s="341">
        <f>F7</f>
        <v>211</v>
      </c>
      <c r="F38" s="121">
        <f>F7/F32</f>
        <v>0.14422419685577581</v>
      </c>
    </row>
    <row r="39" spans="1:6" x14ac:dyDescent="0.2">
      <c r="A39" s="72" t="s">
        <v>212</v>
      </c>
      <c r="B39" s="206">
        <f>GETPIVOTDATA("COUNT_WW",$A$2,"MODEL_SEGM","Camps Canal and River Styx")-B7-B25</f>
        <v>224</v>
      </c>
      <c r="D39" s="72" t="s">
        <v>212</v>
      </c>
      <c r="E39" s="341">
        <f>B7+B25</f>
        <v>14</v>
      </c>
      <c r="F39" s="121">
        <f>(B7+B25)/B32</f>
        <v>5.8823529411764705E-2</v>
      </c>
    </row>
    <row r="40" spans="1:6" x14ac:dyDescent="0.2">
      <c r="A40" s="72" t="s">
        <v>95</v>
      </c>
      <c r="B40" s="206">
        <f>GETPIVOTDATA("COUNT_WW",$A$2,"MODEL_SEGM","Orange Lake")-H7-H25</f>
        <v>3653</v>
      </c>
      <c r="D40" s="72" t="s">
        <v>95</v>
      </c>
      <c r="E40" s="341">
        <f>H7+H25</f>
        <v>43</v>
      </c>
      <c r="F40" s="121">
        <f>(H7+H25)/H32</f>
        <v>1.1634199134199134E-2</v>
      </c>
    </row>
    <row r="41" spans="1:6" x14ac:dyDescent="0.2">
      <c r="A41" s="72" t="s">
        <v>213</v>
      </c>
      <c r="B41" s="206">
        <f>GETPIVOTDATA("COUNT_WW",$A$2,"MODEL_SEGM","Lochloosa Lake")-E7-E15</f>
        <v>1046</v>
      </c>
      <c r="D41" s="72" t="s">
        <v>213</v>
      </c>
      <c r="E41" s="341">
        <f>E7+E15</f>
        <v>167</v>
      </c>
      <c r="F41" s="121">
        <f>(E7+E15)/E32</f>
        <v>0.13767518549051938</v>
      </c>
    </row>
    <row r="44" spans="1:6" x14ac:dyDescent="0.2">
      <c r="A44" s="270" t="s">
        <v>225</v>
      </c>
    </row>
    <row r="45" spans="1:6" ht="25.5" x14ac:dyDescent="0.2">
      <c r="A45" s="280" t="s">
        <v>222</v>
      </c>
      <c r="B45" s="281" t="s">
        <v>223</v>
      </c>
      <c r="C45" s="281" t="s">
        <v>224</v>
      </c>
      <c r="D45" s="281" t="s">
        <v>226</v>
      </c>
    </row>
    <row r="46" spans="1:6" x14ac:dyDescent="0.2">
      <c r="A46" s="271" t="s">
        <v>62</v>
      </c>
      <c r="B46" s="159" t="s">
        <v>212</v>
      </c>
      <c r="C46" s="147">
        <f>GETPIVOTDATA("COUNT_WW",$A$2,"MODEL_SEGM","Camps Canal and River Styx","NAMELSAD10","ALACHUA")-B7</f>
        <v>97</v>
      </c>
      <c r="D46" s="205">
        <f>C46/B39</f>
        <v>0.4330357142857143</v>
      </c>
    </row>
    <row r="47" spans="1:6" x14ac:dyDescent="0.2">
      <c r="A47" s="271" t="s">
        <v>62</v>
      </c>
      <c r="B47" s="159" t="s">
        <v>75</v>
      </c>
      <c r="C47" s="147">
        <f>GETPIVOTDATA("COUNT_WW",$A$2,"MODEL_SEGM","Hatchett Creek","NAMELSAD10","ALACHUA")-C7</f>
        <v>685</v>
      </c>
      <c r="D47" s="205">
        <f>C47/B36</f>
        <v>0.92193808882907136</v>
      </c>
    </row>
    <row r="48" spans="1:6" x14ac:dyDescent="0.2">
      <c r="A48" s="271" t="s">
        <v>62</v>
      </c>
      <c r="B48" s="159" t="s">
        <v>49</v>
      </c>
      <c r="C48" s="147">
        <f>GETPIVOTDATA("COUNT_WW",$A$2,"MODEL_SEGM","Little Hatchett Creek","NAMELSAD10","ALACHUA")-D7</f>
        <v>127</v>
      </c>
      <c r="D48" s="205">
        <f>C48/B37</f>
        <v>0.46350364963503649</v>
      </c>
    </row>
    <row r="49" spans="1:4" x14ac:dyDescent="0.2">
      <c r="A49" s="271" t="s">
        <v>62</v>
      </c>
      <c r="B49" s="159" t="s">
        <v>213</v>
      </c>
      <c r="C49" s="147">
        <f>GETPIVOTDATA("COUNT_WW",$A$2,"MODEL_SEGM","Lochloosa Lake","NAMELSAD10","ALACHUA")-E7</f>
        <v>940</v>
      </c>
      <c r="D49" s="205">
        <f>C49/B41</f>
        <v>0.89866156787762907</v>
      </c>
    </row>
    <row r="50" spans="1:4" x14ac:dyDescent="0.2">
      <c r="A50" s="271" t="s">
        <v>62</v>
      </c>
      <c r="B50" s="159" t="s">
        <v>65</v>
      </c>
      <c r="C50" s="147">
        <f>GETPIVOTDATA("COUNT_WW",$A$2,"MODEL_SEGM","Newnans Lake","NAMELSAD10","ALACHUA")-F7</f>
        <v>1151</v>
      </c>
      <c r="D50" s="205">
        <f>C50/B38</f>
        <v>0.9237560192616372</v>
      </c>
    </row>
    <row r="51" spans="1:4" x14ac:dyDescent="0.2">
      <c r="A51" s="271" t="s">
        <v>62</v>
      </c>
      <c r="B51" s="159" t="s">
        <v>95</v>
      </c>
      <c r="C51" s="147">
        <f>GETPIVOTDATA("COUNT_WW",$A$2,"MODEL_SEGM","Orange Lake","NAMELSAD10","ALACHUA")-H7</f>
        <v>242</v>
      </c>
      <c r="D51" s="205">
        <f>C51/B40</f>
        <v>6.6246920339447027E-2</v>
      </c>
    </row>
    <row r="52" spans="1:4" x14ac:dyDescent="0.2">
      <c r="A52" s="271" t="s">
        <v>217</v>
      </c>
      <c r="B52" s="159" t="s">
        <v>75</v>
      </c>
      <c r="C52" s="147">
        <f>GETPIVOTDATA("COUNT_WW",$A$2,"MODEL_SEGM","Hatchett Creek","NAMELSAD10","City of Gainesville")</f>
        <v>15</v>
      </c>
      <c r="D52" s="205">
        <f>C52/B36</f>
        <v>2.0188425302826378E-2</v>
      </c>
    </row>
    <row r="53" spans="1:4" x14ac:dyDescent="0.2">
      <c r="A53" s="271" t="s">
        <v>217</v>
      </c>
      <c r="B53" s="159" t="s">
        <v>49</v>
      </c>
      <c r="C53" s="147">
        <f>GETPIVOTDATA("COUNT_WW",$A$2,"MODEL_SEGM","Little Hatchett Creek","NAMELSAD10","City of Gainesville")-D11</f>
        <v>147</v>
      </c>
      <c r="D53" s="205">
        <f>C53/B37</f>
        <v>0.53649635036496346</v>
      </c>
    </row>
    <row r="54" spans="1:4" x14ac:dyDescent="0.2">
      <c r="A54" s="271" t="s">
        <v>217</v>
      </c>
      <c r="B54" s="159" t="s">
        <v>65</v>
      </c>
      <c r="C54" s="147">
        <f>GETPIVOTDATA("COUNT_WW",$A$2,"MODEL_SEGM","Newnans Lake","NAMELSAD10","City of Gainesville")-GETPIVOTDATA("COUNT_WW",$A$2,"MODEL_SEGM","Newnans Lake","NAMELSAD10","City of Gainesville","WW","SWLSeptic")</f>
        <v>95</v>
      </c>
      <c r="D54" s="205">
        <f>C54/B38</f>
        <v>7.6243980738362763E-2</v>
      </c>
    </row>
    <row r="55" spans="1:4" x14ac:dyDescent="0.2">
      <c r="A55" s="271" t="s">
        <v>218</v>
      </c>
      <c r="B55" s="159" t="s">
        <v>213</v>
      </c>
      <c r="C55" s="147">
        <f>GETPIVOTDATA("COUNT_WW",$A$2,"MODEL_SEGM","Lochloosa Lake","NAMELSAD10","Hawthorne city")-E15</f>
        <v>106</v>
      </c>
      <c r="D55" s="205">
        <f>C55/B41</f>
        <v>0.10133843212237094</v>
      </c>
    </row>
    <row r="56" spans="1:4" x14ac:dyDescent="0.2">
      <c r="A56" s="271" t="s">
        <v>140</v>
      </c>
      <c r="B56" s="159" t="s">
        <v>95</v>
      </c>
      <c r="C56" s="147">
        <f>GETPIVOTDATA("COUNT_WW",$A$2,"MODEL_SEGM","Orange Lake","NAMELSAD10","MARION")</f>
        <v>2823</v>
      </c>
      <c r="D56" s="205">
        <f>C56/B40</f>
        <v>0.77278948809197923</v>
      </c>
    </row>
    <row r="57" spans="1:4" x14ac:dyDescent="0.2">
      <c r="A57" s="271" t="s">
        <v>142</v>
      </c>
      <c r="B57" s="159" t="s">
        <v>95</v>
      </c>
      <c r="C57" s="147">
        <f>GETPIVOTDATA("COUNT_WW",$A$2,"MODEL_SEGM","Orange Lake","NAMELSAD10","McIntosh town")</f>
        <v>231</v>
      </c>
      <c r="D57" s="205">
        <f>C57/B40</f>
        <v>6.3235696687653983E-2</v>
      </c>
    </row>
    <row r="58" spans="1:4" x14ac:dyDescent="0.2">
      <c r="A58" s="271" t="s">
        <v>143</v>
      </c>
      <c r="B58" s="159" t="s">
        <v>212</v>
      </c>
      <c r="C58" s="147">
        <f>GETPIVOTDATA("COUNT_WW",$A$2,"MODEL_SEGM","Camps Canal and River Styx","NAMELSAD10","Micanopy town")-B25</f>
        <v>127</v>
      </c>
      <c r="D58" s="205">
        <f>C58/B39</f>
        <v>0.5669642857142857</v>
      </c>
    </row>
    <row r="59" spans="1:4" x14ac:dyDescent="0.2">
      <c r="A59" s="271" t="s">
        <v>143</v>
      </c>
      <c r="B59" s="159" t="s">
        <v>95</v>
      </c>
      <c r="C59" s="147">
        <f>GETPIVOTDATA("COUNT_WW",$A$2,"MODEL_SEGM","Orange Lake","NAMELSAD10","Micanopy town")-H25</f>
        <v>110</v>
      </c>
      <c r="D59" s="205">
        <f>C59/B40</f>
        <v>3.0112236517930466E-2</v>
      </c>
    </row>
    <row r="60" spans="1:4" x14ac:dyDescent="0.2">
      <c r="A60" s="271" t="s">
        <v>141</v>
      </c>
      <c r="B60" s="159" t="s">
        <v>95</v>
      </c>
      <c r="C60" s="147">
        <f>GETPIVOTDATA("COUNT_WW",$A$2,"MODEL_SEGM","Orange Lake","NAMELSAD10","Reddick town")</f>
        <v>247</v>
      </c>
      <c r="D60" s="205">
        <f>C60/B40</f>
        <v>6.7615658362989328E-2</v>
      </c>
    </row>
    <row r="61" spans="1:4" x14ac:dyDescent="0.2">
      <c r="A61" s="271" t="s">
        <v>67</v>
      </c>
      <c r="B61" s="159" t="s">
        <v>75</v>
      </c>
      <c r="C61" s="147">
        <f>GETPIVOTDATA("COUNT_WW",$A$2,"MODEL_SEGM","Hatchett Creek","NAMELSAD10","Waldo city")</f>
        <v>43</v>
      </c>
      <c r="D61" s="205">
        <f>C61/B36</f>
        <v>5.7873485868102287E-2</v>
      </c>
    </row>
    <row r="63" spans="1:4" x14ac:dyDescent="0.2">
      <c r="A63" s="279" t="s">
        <v>212</v>
      </c>
      <c r="B63" s="3">
        <f>D46+D58</f>
        <v>1</v>
      </c>
    </row>
    <row r="64" spans="1:4" x14ac:dyDescent="0.2">
      <c r="A64" s="279" t="s">
        <v>75</v>
      </c>
      <c r="B64" s="3">
        <f>D47+D52+D61</f>
        <v>1</v>
      </c>
    </row>
    <row r="65" spans="1:2" x14ac:dyDescent="0.2">
      <c r="A65" s="279" t="s">
        <v>49</v>
      </c>
      <c r="B65" s="3">
        <f>D48+D53</f>
        <v>1</v>
      </c>
    </row>
    <row r="66" spans="1:2" x14ac:dyDescent="0.2">
      <c r="A66" s="279" t="s">
        <v>65</v>
      </c>
      <c r="B66" s="3">
        <f>D50+D54</f>
        <v>1</v>
      </c>
    </row>
    <row r="67" spans="1:2" x14ac:dyDescent="0.2">
      <c r="A67" s="279" t="s">
        <v>95</v>
      </c>
      <c r="B67" s="3">
        <f>D51+D56+D59+D60+D57</f>
        <v>1</v>
      </c>
    </row>
    <row r="68" spans="1:2" x14ac:dyDescent="0.2">
      <c r="A68" s="279" t="s">
        <v>236</v>
      </c>
      <c r="B68" s="3">
        <f>D49+D55</f>
        <v>1</v>
      </c>
    </row>
  </sheetData>
  <pageMargins left="0.7" right="0.7" top="0.75" bottom="0.75" header="0.3" footer="0.3"/>
  <pageSetup orientation="portrait" r:id="rId2"/>
  <ignoredErrors>
    <ignoredError sqref="D55" 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4"/>
  <sheetViews>
    <sheetView topLeftCell="A7" workbookViewId="0">
      <selection activeCell="D36" sqref="D36"/>
    </sheetView>
  </sheetViews>
  <sheetFormatPr defaultRowHeight="12.75" x14ac:dyDescent="0.2"/>
  <cols>
    <col min="1" max="1" width="19.85546875" customWidth="1"/>
    <col min="2" max="2" width="21.7109375" customWidth="1"/>
    <col min="3" max="3" width="23.28515625" customWidth="1"/>
    <col min="4" max="4" width="18.140625" customWidth="1"/>
  </cols>
  <sheetData>
    <row r="1" spans="1:4" x14ac:dyDescent="0.2">
      <c r="A1" s="173" t="s">
        <v>379</v>
      </c>
    </row>
    <row r="2" spans="1:4" x14ac:dyDescent="0.2">
      <c r="A2" s="344" t="s">
        <v>279</v>
      </c>
      <c r="B2" s="344" t="s">
        <v>388</v>
      </c>
      <c r="C2" s="344" t="s">
        <v>122</v>
      </c>
      <c r="D2" s="344" t="s">
        <v>387</v>
      </c>
    </row>
    <row r="3" spans="1:4" x14ac:dyDescent="0.2">
      <c r="A3" s="343" t="s">
        <v>213</v>
      </c>
      <c r="B3" s="343" t="s">
        <v>280</v>
      </c>
      <c r="C3" s="343" t="s">
        <v>216</v>
      </c>
      <c r="D3" s="343">
        <v>21</v>
      </c>
    </row>
    <row r="4" spans="1:4" x14ac:dyDescent="0.2">
      <c r="A4" s="343" t="s">
        <v>213</v>
      </c>
      <c r="B4" s="343" t="s">
        <v>281</v>
      </c>
      <c r="C4" s="343" t="s">
        <v>216</v>
      </c>
      <c r="D4" s="343">
        <v>57</v>
      </c>
    </row>
    <row r="5" spans="1:4" x14ac:dyDescent="0.2">
      <c r="A5" s="343" t="s">
        <v>213</v>
      </c>
      <c r="B5" s="343" t="s">
        <v>282</v>
      </c>
      <c r="C5" s="343" t="s">
        <v>216</v>
      </c>
      <c r="D5" s="343">
        <v>35</v>
      </c>
    </row>
    <row r="6" spans="1:4" x14ac:dyDescent="0.2">
      <c r="A6" s="343" t="s">
        <v>213</v>
      </c>
      <c r="B6" s="343" t="s">
        <v>283</v>
      </c>
      <c r="C6" s="343" t="s">
        <v>216</v>
      </c>
      <c r="D6" s="343">
        <v>27</v>
      </c>
    </row>
    <row r="7" spans="1:4" x14ac:dyDescent="0.2">
      <c r="A7" s="343" t="s">
        <v>213</v>
      </c>
      <c r="B7" s="343" t="s">
        <v>284</v>
      </c>
      <c r="C7" s="343" t="s">
        <v>216</v>
      </c>
      <c r="D7" s="343">
        <v>26</v>
      </c>
    </row>
    <row r="8" spans="1:4" x14ac:dyDescent="0.2">
      <c r="A8" s="343" t="s">
        <v>213</v>
      </c>
      <c r="B8" s="343" t="s">
        <v>285</v>
      </c>
      <c r="C8" s="343" t="s">
        <v>216</v>
      </c>
      <c r="D8" s="343">
        <v>30</v>
      </c>
    </row>
    <row r="9" spans="1:4" x14ac:dyDescent="0.2">
      <c r="A9" s="343" t="s">
        <v>213</v>
      </c>
      <c r="B9" s="343" t="s">
        <v>286</v>
      </c>
      <c r="C9" s="343" t="s">
        <v>216</v>
      </c>
      <c r="D9" s="343">
        <v>14</v>
      </c>
    </row>
    <row r="10" spans="1:4" x14ac:dyDescent="0.2">
      <c r="A10" s="343" t="s">
        <v>213</v>
      </c>
      <c r="B10" s="343" t="s">
        <v>286</v>
      </c>
      <c r="C10" s="343" t="s">
        <v>231</v>
      </c>
      <c r="D10" s="343">
        <v>20</v>
      </c>
    </row>
    <row r="11" spans="1:4" x14ac:dyDescent="0.2">
      <c r="A11" s="343" t="s">
        <v>213</v>
      </c>
      <c r="B11" s="343" t="s">
        <v>287</v>
      </c>
      <c r="C11" s="343" t="s">
        <v>216</v>
      </c>
      <c r="D11" s="343">
        <v>10</v>
      </c>
    </row>
    <row r="12" spans="1:4" x14ac:dyDescent="0.2">
      <c r="A12" s="343" t="s">
        <v>213</v>
      </c>
      <c r="B12" s="343" t="s">
        <v>288</v>
      </c>
      <c r="C12" s="343" t="s">
        <v>216</v>
      </c>
      <c r="D12" s="343">
        <v>6</v>
      </c>
    </row>
    <row r="13" spans="1:4" x14ac:dyDescent="0.2">
      <c r="A13" s="343" t="s">
        <v>213</v>
      </c>
      <c r="B13" s="343" t="s">
        <v>289</v>
      </c>
      <c r="C13" s="343" t="s">
        <v>216</v>
      </c>
      <c r="D13" s="343">
        <v>108</v>
      </c>
    </row>
    <row r="14" spans="1:4" x14ac:dyDescent="0.2">
      <c r="A14" s="343" t="s">
        <v>213</v>
      </c>
      <c r="B14" s="343" t="s">
        <v>290</v>
      </c>
      <c r="C14" s="343" t="s">
        <v>216</v>
      </c>
      <c r="D14" s="343">
        <v>69</v>
      </c>
    </row>
    <row r="15" spans="1:4" x14ac:dyDescent="0.2">
      <c r="A15" s="343" t="s">
        <v>65</v>
      </c>
      <c r="B15" s="343" t="s">
        <v>291</v>
      </c>
      <c r="C15" s="343" t="s">
        <v>216</v>
      </c>
      <c r="D15" s="343">
        <v>15</v>
      </c>
    </row>
    <row r="16" spans="1:4" x14ac:dyDescent="0.2">
      <c r="A16" s="343" t="s">
        <v>65</v>
      </c>
      <c r="B16" s="343" t="s">
        <v>292</v>
      </c>
      <c r="C16" s="343" t="s">
        <v>216</v>
      </c>
      <c r="D16" s="343">
        <v>6</v>
      </c>
    </row>
    <row r="17" spans="1:4" x14ac:dyDescent="0.2">
      <c r="A17" s="343" t="s">
        <v>65</v>
      </c>
      <c r="B17" s="343" t="s">
        <v>292</v>
      </c>
      <c r="C17" s="343" t="s">
        <v>217</v>
      </c>
      <c r="D17" s="343">
        <v>2</v>
      </c>
    </row>
    <row r="18" spans="1:4" x14ac:dyDescent="0.2">
      <c r="A18" s="343" t="s">
        <v>65</v>
      </c>
      <c r="B18" s="343" t="s">
        <v>65</v>
      </c>
      <c r="C18" s="343" t="s">
        <v>216</v>
      </c>
      <c r="D18" s="343">
        <v>288</v>
      </c>
    </row>
    <row r="19" spans="1:4" x14ac:dyDescent="0.2">
      <c r="A19" s="343" t="s">
        <v>65</v>
      </c>
      <c r="B19" s="343" t="s">
        <v>65</v>
      </c>
      <c r="C19" s="343" t="s">
        <v>217</v>
      </c>
      <c r="D19" s="343">
        <v>24</v>
      </c>
    </row>
    <row r="20" spans="1:4" x14ac:dyDescent="0.2">
      <c r="A20" s="343" t="s">
        <v>65</v>
      </c>
      <c r="B20" s="343" t="s">
        <v>293</v>
      </c>
      <c r="C20" s="343" t="s">
        <v>216</v>
      </c>
      <c r="D20" s="343">
        <v>122</v>
      </c>
    </row>
    <row r="21" spans="1:4" x14ac:dyDescent="0.2">
      <c r="A21" s="343" t="s">
        <v>65</v>
      </c>
      <c r="B21" s="343" t="s">
        <v>293</v>
      </c>
      <c r="C21" s="343" t="s">
        <v>217</v>
      </c>
      <c r="D21" s="343">
        <v>9</v>
      </c>
    </row>
    <row r="22" spans="1:4" x14ac:dyDescent="0.2">
      <c r="A22" s="343" t="s">
        <v>65</v>
      </c>
      <c r="B22" s="343" t="s">
        <v>294</v>
      </c>
      <c r="C22" s="343" t="s">
        <v>216</v>
      </c>
      <c r="D22" s="343">
        <v>1</v>
      </c>
    </row>
    <row r="23" spans="1:4" x14ac:dyDescent="0.2">
      <c r="A23" s="343" t="s">
        <v>65</v>
      </c>
      <c r="B23" s="343" t="s">
        <v>294</v>
      </c>
      <c r="C23" s="343" t="s">
        <v>217</v>
      </c>
      <c r="D23" s="343">
        <v>41</v>
      </c>
    </row>
    <row r="24" spans="1:4" x14ac:dyDescent="0.2">
      <c r="A24" s="343" t="s">
        <v>95</v>
      </c>
      <c r="B24" s="343" t="s">
        <v>295</v>
      </c>
      <c r="C24" s="343" t="s">
        <v>216</v>
      </c>
      <c r="D24" s="343">
        <v>9</v>
      </c>
    </row>
    <row r="25" spans="1:4" x14ac:dyDescent="0.2">
      <c r="A25" s="343" t="s">
        <v>95</v>
      </c>
      <c r="B25" s="343" t="s">
        <v>214</v>
      </c>
      <c r="C25" s="343" t="s">
        <v>216</v>
      </c>
      <c r="D25" s="343">
        <v>30</v>
      </c>
    </row>
    <row r="26" spans="1:4" x14ac:dyDescent="0.2">
      <c r="A26" s="343" t="s">
        <v>95</v>
      </c>
      <c r="B26" s="343" t="s">
        <v>95</v>
      </c>
      <c r="C26" s="343" t="s">
        <v>216</v>
      </c>
      <c r="D26" s="343">
        <v>54</v>
      </c>
    </row>
    <row r="27" spans="1:4" x14ac:dyDescent="0.2">
      <c r="A27" s="343" t="s">
        <v>95</v>
      </c>
      <c r="B27" s="343" t="s">
        <v>95</v>
      </c>
      <c r="C27" s="343" t="s">
        <v>219</v>
      </c>
      <c r="D27" s="343">
        <v>114</v>
      </c>
    </row>
    <row r="28" spans="1:4" x14ac:dyDescent="0.2">
      <c r="A28" s="343" t="s">
        <v>95</v>
      </c>
      <c r="B28" s="343" t="s">
        <v>95</v>
      </c>
      <c r="C28" s="343" t="s">
        <v>232</v>
      </c>
      <c r="D28" s="343">
        <v>41</v>
      </c>
    </row>
    <row r="29" spans="1:4" x14ac:dyDescent="0.2">
      <c r="A29" s="345" t="s">
        <v>68</v>
      </c>
      <c r="B29" s="330"/>
      <c r="C29" s="330"/>
      <c r="D29" s="349">
        <f>SUM(D3:D28)</f>
        <v>1179</v>
      </c>
    </row>
    <row r="32" spans="1:4" ht="39" customHeight="1" x14ac:dyDescent="0.2">
      <c r="A32" s="675" t="s">
        <v>223</v>
      </c>
      <c r="B32" s="675" t="s">
        <v>278</v>
      </c>
      <c r="C32" s="676" t="s">
        <v>756</v>
      </c>
      <c r="D32" s="677" t="s">
        <v>224</v>
      </c>
    </row>
    <row r="33" spans="1:4" x14ac:dyDescent="0.2">
      <c r="A33" s="72" t="s">
        <v>75</v>
      </c>
      <c r="B33" s="343">
        <f>D15+D20+D21</f>
        <v>146</v>
      </c>
      <c r="C33" t="s">
        <v>753</v>
      </c>
      <c r="D33" s="21">
        <f>B33+B34+B35</f>
        <v>508</v>
      </c>
    </row>
    <row r="34" spans="1:4" x14ac:dyDescent="0.2">
      <c r="A34" s="72" t="s">
        <v>49</v>
      </c>
      <c r="B34" s="343">
        <f>D16+D17+D22+D23</f>
        <v>50</v>
      </c>
      <c r="C34" t="s">
        <v>754</v>
      </c>
      <c r="D34" s="21">
        <f>B36+B37</f>
        <v>218</v>
      </c>
    </row>
    <row r="35" spans="1:4" x14ac:dyDescent="0.2">
      <c r="A35" s="72" t="s">
        <v>65</v>
      </c>
      <c r="B35" s="343">
        <f>D18+D19</f>
        <v>312</v>
      </c>
      <c r="C35" t="s">
        <v>755</v>
      </c>
      <c r="D35" s="21">
        <f>B38</f>
        <v>423</v>
      </c>
    </row>
    <row r="36" spans="1:4" x14ac:dyDescent="0.2">
      <c r="A36" s="72" t="s">
        <v>212</v>
      </c>
      <c r="B36" s="343">
        <f>D24</f>
        <v>9</v>
      </c>
    </row>
    <row r="37" spans="1:4" x14ac:dyDescent="0.2">
      <c r="A37" s="72" t="s">
        <v>95</v>
      </c>
      <c r="B37" s="343">
        <f>D26+D27+D28</f>
        <v>209</v>
      </c>
    </row>
    <row r="38" spans="1:4" x14ac:dyDescent="0.2">
      <c r="A38" s="72" t="s">
        <v>213</v>
      </c>
      <c r="B38" s="343">
        <f>D3+D4+D5+D6+D7+D8+D9+D10+D11+D12+D13+D14</f>
        <v>423</v>
      </c>
    </row>
    <row r="41" spans="1:4" x14ac:dyDescent="0.2">
      <c r="A41" s="270" t="s">
        <v>225</v>
      </c>
    </row>
    <row r="42" spans="1:4" ht="25.5" x14ac:dyDescent="0.2">
      <c r="A42" s="280" t="s">
        <v>222</v>
      </c>
      <c r="B42" s="281" t="s">
        <v>223</v>
      </c>
      <c r="C42" s="281" t="s">
        <v>224</v>
      </c>
      <c r="D42" s="281" t="s">
        <v>226</v>
      </c>
    </row>
    <row r="43" spans="1:4" x14ac:dyDescent="0.2">
      <c r="A43" s="271" t="s">
        <v>62</v>
      </c>
      <c r="B43" s="159" t="s">
        <v>212</v>
      </c>
      <c r="C43" s="147">
        <f>D24</f>
        <v>9</v>
      </c>
      <c r="D43" s="205">
        <v>1</v>
      </c>
    </row>
    <row r="44" spans="1:4" x14ac:dyDescent="0.2">
      <c r="A44" s="271" t="s">
        <v>62</v>
      </c>
      <c r="B44" s="159" t="s">
        <v>75</v>
      </c>
      <c r="C44" s="147">
        <f>D15+D20</f>
        <v>137</v>
      </c>
      <c r="D44" s="205">
        <f>C44/B33</f>
        <v>0.93835616438356162</v>
      </c>
    </row>
    <row r="45" spans="1:4" x14ac:dyDescent="0.2">
      <c r="A45" s="271" t="s">
        <v>62</v>
      </c>
      <c r="B45" s="159" t="s">
        <v>49</v>
      </c>
      <c r="C45" s="147">
        <f>D16+D22</f>
        <v>7</v>
      </c>
      <c r="D45" s="205">
        <f>C45/B34</f>
        <v>0.14000000000000001</v>
      </c>
    </row>
    <row r="46" spans="1:4" x14ac:dyDescent="0.2">
      <c r="A46" s="271" t="s">
        <v>62</v>
      </c>
      <c r="B46" s="159" t="s">
        <v>213</v>
      </c>
      <c r="C46" s="147">
        <f>D3+D4+D5+D6+D7+D8+D9+D11+D12+D13+D14</f>
        <v>403</v>
      </c>
      <c r="D46" s="205">
        <f>C46/B38</f>
        <v>0.95271867612293148</v>
      </c>
    </row>
    <row r="47" spans="1:4" x14ac:dyDescent="0.2">
      <c r="A47" s="271" t="s">
        <v>62</v>
      </c>
      <c r="B47" s="159" t="s">
        <v>65</v>
      </c>
      <c r="C47" s="147">
        <f>D18</f>
        <v>288</v>
      </c>
      <c r="D47" s="205">
        <f>C47/B35</f>
        <v>0.92307692307692313</v>
      </c>
    </row>
    <row r="48" spans="1:4" x14ac:dyDescent="0.2">
      <c r="A48" s="271" t="s">
        <v>62</v>
      </c>
      <c r="B48" s="159" t="s">
        <v>95</v>
      </c>
      <c r="C48" s="147">
        <f>D26</f>
        <v>54</v>
      </c>
      <c r="D48" s="205">
        <f>C48/B37</f>
        <v>0.25837320574162681</v>
      </c>
    </row>
    <row r="49" spans="1:4" x14ac:dyDescent="0.2">
      <c r="A49" s="271" t="s">
        <v>217</v>
      </c>
      <c r="B49" s="159" t="s">
        <v>75</v>
      </c>
      <c r="C49" s="147">
        <f>D21</f>
        <v>9</v>
      </c>
      <c r="D49" s="205">
        <f>C49/B33</f>
        <v>6.1643835616438353E-2</v>
      </c>
    </row>
    <row r="50" spans="1:4" x14ac:dyDescent="0.2">
      <c r="A50" s="271" t="s">
        <v>217</v>
      </c>
      <c r="B50" s="159" t="s">
        <v>49</v>
      </c>
      <c r="C50" s="147">
        <f>D17+D23</f>
        <v>43</v>
      </c>
      <c r="D50" s="205">
        <f>C50/B34</f>
        <v>0.86</v>
      </c>
    </row>
    <row r="51" spans="1:4" x14ac:dyDescent="0.2">
      <c r="A51" s="271" t="s">
        <v>217</v>
      </c>
      <c r="B51" s="159" t="s">
        <v>65</v>
      </c>
      <c r="C51" s="147">
        <f>D19</f>
        <v>24</v>
      </c>
      <c r="D51" s="205">
        <f>C51/B35</f>
        <v>7.6923076923076927E-2</v>
      </c>
    </row>
    <row r="52" spans="1:4" x14ac:dyDescent="0.2">
      <c r="A52" s="271" t="s">
        <v>218</v>
      </c>
      <c r="B52" s="159" t="s">
        <v>213</v>
      </c>
      <c r="C52" s="147">
        <f>D10</f>
        <v>20</v>
      </c>
      <c r="D52" s="205">
        <f>C52/B38</f>
        <v>4.7281323877068557E-2</v>
      </c>
    </row>
    <row r="53" spans="1:4" x14ac:dyDescent="0.2">
      <c r="A53" s="271" t="s">
        <v>140</v>
      </c>
      <c r="B53" s="159" t="s">
        <v>95</v>
      </c>
      <c r="C53" s="147">
        <f>D27</f>
        <v>114</v>
      </c>
      <c r="D53" s="205">
        <f>C53/B37</f>
        <v>0.54545454545454541</v>
      </c>
    </row>
    <row r="54" spans="1:4" x14ac:dyDescent="0.2">
      <c r="A54" s="271" t="s">
        <v>142</v>
      </c>
      <c r="B54" s="159" t="s">
        <v>95</v>
      </c>
      <c r="C54" s="147">
        <f>D28</f>
        <v>41</v>
      </c>
      <c r="D54" s="205">
        <f>C54/B37</f>
        <v>0.19617224880382775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226"/>
  <sheetViews>
    <sheetView topLeftCell="A198" workbookViewId="0">
      <selection activeCell="F19" sqref="F19"/>
    </sheetView>
  </sheetViews>
  <sheetFormatPr defaultRowHeight="12.75" x14ac:dyDescent="0.2"/>
  <cols>
    <col min="1" max="1" width="52.28515625" customWidth="1"/>
    <col min="2" max="2" width="15" customWidth="1"/>
    <col min="3" max="3" width="14.28515625" customWidth="1"/>
    <col min="4" max="4" width="15.5703125" customWidth="1"/>
    <col min="5" max="5" width="15.140625" customWidth="1"/>
    <col min="6" max="6" width="15.28515625" customWidth="1"/>
    <col min="7" max="7" width="16.140625" customWidth="1"/>
    <col min="8" max="8" width="15.7109375" customWidth="1"/>
    <col min="9" max="9" width="13.42578125" customWidth="1"/>
    <col min="10" max="10" width="14.5703125" customWidth="1"/>
    <col min="11" max="11" width="15" customWidth="1"/>
    <col min="12" max="12" width="12.5703125" customWidth="1"/>
    <col min="13" max="13" width="15.140625" customWidth="1"/>
    <col min="14" max="14" width="15.28515625" customWidth="1"/>
    <col min="15" max="15" width="14" customWidth="1"/>
    <col min="16" max="16" width="16.7109375" customWidth="1"/>
    <col min="17" max="17" width="15.5703125" customWidth="1"/>
    <col min="18" max="19" width="15.28515625" customWidth="1"/>
    <col min="20" max="20" width="14" customWidth="1"/>
    <col min="21" max="21" width="12.7109375" customWidth="1"/>
  </cols>
  <sheetData>
    <row r="2" spans="1:10" ht="16.5" thickBot="1" x14ac:dyDescent="0.3">
      <c r="A2" s="513" t="s">
        <v>574</v>
      </c>
    </row>
    <row r="3" spans="1:10" ht="51" x14ac:dyDescent="0.2">
      <c r="A3" s="488" t="s">
        <v>16</v>
      </c>
      <c r="B3" s="49" t="s">
        <v>487</v>
      </c>
      <c r="C3" s="50" t="s">
        <v>31</v>
      </c>
      <c r="D3" s="489" t="s">
        <v>196</v>
      </c>
      <c r="E3" s="51" t="s">
        <v>21</v>
      </c>
      <c r="F3" s="52" t="s">
        <v>23</v>
      </c>
      <c r="G3" s="51" t="s">
        <v>24</v>
      </c>
      <c r="H3" s="49" t="s">
        <v>18</v>
      </c>
      <c r="I3" s="490" t="s">
        <v>19</v>
      </c>
      <c r="J3" s="491" t="s">
        <v>20</v>
      </c>
    </row>
    <row r="4" spans="1:10" ht="15.6" customHeight="1" x14ac:dyDescent="0.2">
      <c r="A4" s="494" t="s">
        <v>441</v>
      </c>
      <c r="B4" s="151">
        <f>'[1]TP aggregated'!$H$3</f>
        <v>18.074101379959465</v>
      </c>
      <c r="C4" s="368">
        <f>B4/B$139</f>
        <v>1.0789246800470653E-3</v>
      </c>
      <c r="D4" s="151"/>
      <c r="E4" s="72"/>
      <c r="F4" s="72"/>
      <c r="G4" s="72"/>
      <c r="H4" s="72"/>
      <c r="I4" s="495"/>
      <c r="J4" s="496"/>
    </row>
    <row r="5" spans="1:10" x14ac:dyDescent="0.2">
      <c r="A5" s="180" t="s">
        <v>442</v>
      </c>
      <c r="B5" s="151">
        <f>B6+B7</f>
        <v>10.479807855476773</v>
      </c>
      <c r="C5" s="368">
        <f>B5/B$139</f>
        <v>6.2558702641571417E-4</v>
      </c>
      <c r="D5" s="151">
        <f>B5</f>
        <v>10.479807855476773</v>
      </c>
      <c r="E5" s="72"/>
      <c r="F5" s="72"/>
      <c r="G5" s="72"/>
      <c r="H5" s="72"/>
      <c r="I5" s="151">
        <f>D5</f>
        <v>10.479807855476773</v>
      </c>
      <c r="J5" s="496"/>
    </row>
    <row r="6" spans="1:10" x14ac:dyDescent="0.2">
      <c r="A6" s="30" t="s">
        <v>5</v>
      </c>
      <c r="B6" s="151">
        <f>'[1]TP aggregated'!$H$5</f>
        <v>1.0291264597369482E-2</v>
      </c>
      <c r="C6" s="368">
        <f t="shared" ref="C6:C37" si="0">B6/B$139</f>
        <v>6.1433202844087728E-7</v>
      </c>
      <c r="D6" s="151">
        <f t="shared" ref="D6:D12" si="1">B6</f>
        <v>1.0291264597369482E-2</v>
      </c>
      <c r="E6" s="72"/>
      <c r="F6" s="72"/>
      <c r="G6" s="72"/>
      <c r="H6" s="72"/>
      <c r="I6" s="151">
        <f t="shared" ref="I6:I69" si="2">D6</f>
        <v>1.0291264597369482E-2</v>
      </c>
      <c r="J6" s="496"/>
    </row>
    <row r="7" spans="1:10" x14ac:dyDescent="0.2">
      <c r="A7" s="30" t="s">
        <v>6</v>
      </c>
      <c r="B7" s="151">
        <f>'[1]TP aggregated'!$H$4</f>
        <v>10.469516590879403</v>
      </c>
      <c r="C7" s="368">
        <f t="shared" si="0"/>
        <v>6.2497269438727327E-4</v>
      </c>
      <c r="D7" s="151">
        <f t="shared" si="1"/>
        <v>10.469516590879403</v>
      </c>
      <c r="E7" s="72"/>
      <c r="F7" s="72"/>
      <c r="G7" s="72"/>
      <c r="H7" s="72"/>
      <c r="I7" s="151">
        <f t="shared" si="2"/>
        <v>10.469516590879403</v>
      </c>
      <c r="J7" s="496"/>
    </row>
    <row r="8" spans="1:10" x14ac:dyDescent="0.2">
      <c r="A8" s="181" t="s">
        <v>443</v>
      </c>
      <c r="B8" s="151">
        <f>B9</f>
        <v>44.081717939540226</v>
      </c>
      <c r="C8" s="368">
        <f t="shared" si="0"/>
        <v>2.6314366852328722E-3</v>
      </c>
      <c r="D8" s="151">
        <f t="shared" si="1"/>
        <v>44.081717939540226</v>
      </c>
      <c r="E8" s="151">
        <f>D8</f>
        <v>44.081717939540226</v>
      </c>
      <c r="F8" s="368">
        <f>E8/(D$139-D$136-D$123-D$124-D$115-D$116-D$106-D$107-D$96-D$97-D$81-D$82-D$78-D$66-D$67-D$53-D$54-D$39-D$40-D$27-D$28-D$15-D$16-D$6-D$7)</f>
        <v>4.5902802191450705E-3</v>
      </c>
      <c r="G8" s="151">
        <f>F8*D$141</f>
        <v>23.511260132157023</v>
      </c>
      <c r="H8" s="72"/>
      <c r="I8" s="151">
        <f t="shared" si="2"/>
        <v>44.081717939540226</v>
      </c>
      <c r="J8" s="496"/>
    </row>
    <row r="9" spans="1:10" x14ac:dyDescent="0.2">
      <c r="A9" s="30" t="s">
        <v>8</v>
      </c>
      <c r="B9" s="151">
        <f>'[1]TP aggregated'!$H$6</f>
        <v>44.081717939540226</v>
      </c>
      <c r="C9" s="368">
        <f t="shared" si="0"/>
        <v>2.6314366852328722E-3</v>
      </c>
      <c r="D9" s="151">
        <f t="shared" si="1"/>
        <v>44.081717939540226</v>
      </c>
      <c r="E9" s="151">
        <f>D9</f>
        <v>44.081717939540226</v>
      </c>
      <c r="F9" s="368">
        <f>E9/(D$139-D$136-D$123-D$124-D$115-D$116-D$106-D$107-D$96-D$97-D$81-D$82-D$78-D$66-D$67-D$53-D$54-D$39-D$40-D$27-D$28-D$15-D$16-D$6-D$7)</f>
        <v>4.5902802191450705E-3</v>
      </c>
      <c r="G9" s="151">
        <f>F9*D$141</f>
        <v>23.511260132157023</v>
      </c>
      <c r="H9" s="72"/>
      <c r="I9" s="151">
        <f t="shared" si="2"/>
        <v>44.081717939540226</v>
      </c>
      <c r="J9" s="496"/>
    </row>
    <row r="10" spans="1:10" x14ac:dyDescent="0.2">
      <c r="A10" s="32" t="s">
        <v>444</v>
      </c>
      <c r="B10" s="151">
        <f>B11+B12</f>
        <v>8</v>
      </c>
      <c r="C10" s="368">
        <f t="shared" si="0"/>
        <v>4.7755610411408901E-4</v>
      </c>
      <c r="D10" s="151">
        <f t="shared" si="1"/>
        <v>8</v>
      </c>
      <c r="E10" s="151">
        <f>D10</f>
        <v>8</v>
      </c>
      <c r="F10" s="368">
        <f>E10/(D$139-D$136-D$123-D$124-D$115-D$116-D$106-D$107-D$96-D$97-D$81-D$82-D$78-D$66-D$67-D$53-D$54-D$39-D$40-D$27-D$28-D$15-D$16-D$6-D$7)</f>
        <v>8.3304924285225294E-4</v>
      </c>
      <c r="G10" s="151">
        <f>F10*D$141</f>
        <v>4.2668500650366887</v>
      </c>
      <c r="H10" s="72"/>
      <c r="I10" s="151">
        <f t="shared" si="2"/>
        <v>8</v>
      </c>
      <c r="J10" s="496"/>
    </row>
    <row r="11" spans="1:10" x14ac:dyDescent="0.2">
      <c r="A11" s="34" t="s">
        <v>685</v>
      </c>
      <c r="B11" s="151">
        <f>[2]TPcorrected!$U$5</f>
        <v>6.4</v>
      </c>
      <c r="C11" s="368">
        <f t="shared" si="0"/>
        <v>3.8204488329127124E-4</v>
      </c>
      <c r="D11" s="151">
        <f t="shared" si="1"/>
        <v>6.4</v>
      </c>
      <c r="E11" s="151">
        <f t="shared" ref="E11:E12" si="3">D11</f>
        <v>6.4</v>
      </c>
      <c r="F11" s="368">
        <f>E11/(D$139-D$136-D$123-D$124-D$115-D$116-D$106-D$107-D$96-D$97-D$81-D$82-D$78-D$66-D$67-D$53-D$54-D$39-D$40-D$27-D$28-D$15-D$16-D$6-D$7)</f>
        <v>6.6643939428180242E-4</v>
      </c>
      <c r="G11" s="151">
        <f>F11*D$141</f>
        <v>3.4134800520293509</v>
      </c>
      <c r="H11" s="72"/>
      <c r="I11" s="151">
        <f t="shared" si="2"/>
        <v>6.4</v>
      </c>
      <c r="J11" s="496"/>
    </row>
    <row r="12" spans="1:10" x14ac:dyDescent="0.2">
      <c r="A12" s="34" t="s">
        <v>684</v>
      </c>
      <c r="B12" s="151">
        <f>[2]TPcorrected!$U$6</f>
        <v>1.6</v>
      </c>
      <c r="C12" s="368">
        <f t="shared" si="0"/>
        <v>9.5511220822817809E-5</v>
      </c>
      <c r="D12" s="151">
        <f t="shared" si="1"/>
        <v>1.6</v>
      </c>
      <c r="E12" s="151">
        <f t="shared" si="3"/>
        <v>1.6</v>
      </c>
      <c r="F12" s="368">
        <f>E12/(D$139-D$136-D$123-D$124-D$115-D$116-D$106-D$107-D$96-D$97-D$81-D$82-D$78-D$66-D$67-D$53-D$54-D$39-D$40-D$27-D$28-D$15-D$16-D$6-D$7)</f>
        <v>1.666098485704506E-4</v>
      </c>
      <c r="G12" s="151">
        <f>F12*D$141</f>
        <v>0.85337001300733772</v>
      </c>
      <c r="H12" s="72"/>
      <c r="I12" s="151">
        <f t="shared" si="2"/>
        <v>1.6</v>
      </c>
      <c r="J12" s="496"/>
    </row>
    <row r="13" spans="1:10" ht="18.600000000000001" customHeight="1" x14ac:dyDescent="0.2">
      <c r="A13" s="494" t="s">
        <v>445</v>
      </c>
      <c r="B13" s="151">
        <f>'[1]TP aggregated'!$H$8</f>
        <v>60.463947176073745</v>
      </c>
      <c r="C13" s="368">
        <f t="shared" si="0"/>
        <v>3.6093658815957315E-3</v>
      </c>
      <c r="D13" s="151"/>
      <c r="E13" s="151"/>
      <c r="F13" s="72"/>
      <c r="G13" s="151"/>
      <c r="H13" s="72"/>
      <c r="I13" s="151"/>
      <c r="J13" s="496"/>
    </row>
    <row r="14" spans="1:10" x14ac:dyDescent="0.2">
      <c r="A14" s="180" t="s">
        <v>446</v>
      </c>
      <c r="B14" s="151">
        <f>B15+B16</f>
        <v>52.480658852316239</v>
      </c>
      <c r="C14" s="368">
        <f t="shared" si="0"/>
        <v>3.1328073728565903E-3</v>
      </c>
      <c r="D14" s="151">
        <f t="shared" ref="D14:D24" si="4">B14</f>
        <v>52.480658852316239</v>
      </c>
      <c r="E14" s="151"/>
      <c r="F14" s="72"/>
      <c r="G14" s="151"/>
      <c r="H14" s="72"/>
      <c r="I14" s="151">
        <f t="shared" si="2"/>
        <v>52.480658852316239</v>
      </c>
      <c r="J14" s="496"/>
    </row>
    <row r="15" spans="1:10" x14ac:dyDescent="0.2">
      <c r="A15" s="30" t="s">
        <v>5</v>
      </c>
      <c r="B15" s="151">
        <f>'[1]TP aggregated'!$H$10</f>
        <v>12.842157123012999</v>
      </c>
      <c r="C15" s="368">
        <f t="shared" si="0"/>
        <v>7.6660631551088573E-4</v>
      </c>
      <c r="D15" s="151">
        <f t="shared" si="4"/>
        <v>12.842157123012999</v>
      </c>
      <c r="E15" s="151"/>
      <c r="F15" s="72"/>
      <c r="G15" s="151"/>
      <c r="H15" s="72"/>
      <c r="I15" s="151">
        <f t="shared" si="2"/>
        <v>12.842157123012999</v>
      </c>
      <c r="J15" s="496"/>
    </row>
    <row r="16" spans="1:10" x14ac:dyDescent="0.2">
      <c r="A16" s="30" t="s">
        <v>6</v>
      </c>
      <c r="B16" s="151">
        <f>'[1]TP aggregated'!$H$9</f>
        <v>39.638501729303243</v>
      </c>
      <c r="C16" s="368">
        <f t="shared" si="0"/>
        <v>2.3662010573457046E-3</v>
      </c>
      <c r="D16" s="151">
        <f t="shared" si="4"/>
        <v>39.638501729303243</v>
      </c>
      <c r="E16" s="151"/>
      <c r="F16" s="72"/>
      <c r="G16" s="151"/>
      <c r="H16" s="72"/>
      <c r="I16" s="151">
        <f t="shared" si="2"/>
        <v>39.638501729303243</v>
      </c>
      <c r="J16" s="496"/>
    </row>
    <row r="17" spans="1:10" x14ac:dyDescent="0.2">
      <c r="A17" s="181" t="s">
        <v>447</v>
      </c>
      <c r="B17" s="151">
        <f>B18+B19+B20</f>
        <v>34.964469703166422</v>
      </c>
      <c r="C17" s="368">
        <f t="shared" si="0"/>
        <v>2.0871869917324067E-3</v>
      </c>
      <c r="D17" s="151">
        <f t="shared" si="4"/>
        <v>34.964469703166422</v>
      </c>
      <c r="E17" s="151">
        <f>D17</f>
        <v>34.964469703166422</v>
      </c>
      <c r="F17" s="368">
        <f t="shared" ref="F17:F24" si="5">E17/(D$139-D$136-D$123-D$124-D$115-D$116-D$106-D$107-D$96-D$97-D$81-D$82-D$78-D$66-D$67-D$53-D$54-D$39-D$40-D$27-D$28-D$15-D$16-D$6-D$7)</f>
        <v>3.6408906266191658E-3</v>
      </c>
      <c r="G17" s="151">
        <f t="shared" ref="G17:G24" si="6">F17*D$141</f>
        <v>18.64851872836612</v>
      </c>
      <c r="H17" s="72"/>
      <c r="I17" s="151">
        <f t="shared" si="2"/>
        <v>34.964469703166422</v>
      </c>
      <c r="J17" s="496"/>
    </row>
    <row r="18" spans="1:10" x14ac:dyDescent="0.2">
      <c r="A18" s="34" t="s">
        <v>434</v>
      </c>
      <c r="B18" s="151">
        <f>'[1]TP aggregated'!$H$13</f>
        <v>9.7011311128935268E-2</v>
      </c>
      <c r="C18" s="368">
        <f t="shared" si="0"/>
        <v>5.7910429747167613E-6</v>
      </c>
      <c r="D18" s="151">
        <f t="shared" si="4"/>
        <v>9.7011311128935268E-2</v>
      </c>
      <c r="E18" s="151">
        <f t="shared" ref="E18:E21" si="7">D18</f>
        <v>9.7011311128935268E-2</v>
      </c>
      <c r="F18" s="368">
        <f t="shared" si="5"/>
        <v>1.0101899910507983E-5</v>
      </c>
      <c r="G18" s="151">
        <f t="shared" si="6"/>
        <v>5.1741589899973982E-2</v>
      </c>
      <c r="H18" s="72"/>
      <c r="I18" s="151">
        <f t="shared" si="2"/>
        <v>9.7011311128935268E-2</v>
      </c>
      <c r="J18" s="496"/>
    </row>
    <row r="19" spans="1:10" x14ac:dyDescent="0.2">
      <c r="A19" s="30" t="s">
        <v>8</v>
      </c>
      <c r="B19" s="151">
        <f>'[1]TP aggregated'!$H$11</f>
        <v>20.337269628479621</v>
      </c>
      <c r="C19" s="368">
        <f t="shared" si="0"/>
        <v>1.2140234065118143E-3</v>
      </c>
      <c r="D19" s="151">
        <f t="shared" si="4"/>
        <v>20.337269628479621</v>
      </c>
      <c r="E19" s="151">
        <f t="shared" si="7"/>
        <v>20.337269628479621</v>
      </c>
      <c r="F19" s="368">
        <f t="shared" si="5"/>
        <v>2.1177433832108837E-3</v>
      </c>
      <c r="G19" s="151">
        <f t="shared" si="6"/>
        <v>10.847010029618369</v>
      </c>
      <c r="H19" s="72"/>
      <c r="I19" s="151">
        <f t="shared" si="2"/>
        <v>20.337269628479621</v>
      </c>
      <c r="J19" s="496"/>
    </row>
    <row r="20" spans="1:10" x14ac:dyDescent="0.2">
      <c r="A20" s="34" t="s">
        <v>680</v>
      </c>
      <c r="B20" s="151">
        <f>'[1]TP aggregated'!$H$12</f>
        <v>14.530188763557865</v>
      </c>
      <c r="C20" s="368">
        <f t="shared" si="0"/>
        <v>8.6737254224587574E-4</v>
      </c>
      <c r="D20" s="151">
        <f t="shared" si="4"/>
        <v>14.530188763557865</v>
      </c>
      <c r="E20" s="151">
        <f t="shared" si="7"/>
        <v>14.530188763557865</v>
      </c>
      <c r="F20" s="368">
        <f t="shared" si="5"/>
        <v>1.513045343497774E-3</v>
      </c>
      <c r="G20" s="151">
        <f t="shared" si="6"/>
        <v>7.7497671088477791</v>
      </c>
      <c r="H20" s="72"/>
      <c r="I20" s="151">
        <f t="shared" si="2"/>
        <v>14.530188763557865</v>
      </c>
      <c r="J20" s="496"/>
    </row>
    <row r="21" spans="1:10" x14ac:dyDescent="0.2">
      <c r="A21" s="32" t="s">
        <v>448</v>
      </c>
      <c r="B21" s="151">
        <f>B22+B23+B24</f>
        <v>243.8</v>
      </c>
      <c r="C21" s="368">
        <f t="shared" si="0"/>
        <v>1.4553522272876863E-2</v>
      </c>
      <c r="D21" s="151">
        <f t="shared" si="4"/>
        <v>243.8</v>
      </c>
      <c r="E21" s="151">
        <f t="shared" si="7"/>
        <v>243.8</v>
      </c>
      <c r="F21" s="368">
        <f t="shared" si="5"/>
        <v>2.538717567592241E-2</v>
      </c>
      <c r="G21" s="151">
        <f t="shared" si="6"/>
        <v>130.03225573199308</v>
      </c>
      <c r="H21" s="72"/>
      <c r="I21" s="151">
        <f t="shared" si="2"/>
        <v>243.8</v>
      </c>
      <c r="J21" s="496"/>
    </row>
    <row r="22" spans="1:10" x14ac:dyDescent="0.2">
      <c r="A22" s="34" t="s">
        <v>677</v>
      </c>
      <c r="B22" s="151">
        <f>[2]TPcorrected!$U$17</f>
        <v>45</v>
      </c>
      <c r="C22" s="368">
        <f t="shared" si="0"/>
        <v>2.6862530856417506E-3</v>
      </c>
      <c r="D22" s="151">
        <f t="shared" si="4"/>
        <v>45</v>
      </c>
      <c r="E22" s="151">
        <f t="shared" ref="E22:E24" si="8">D22</f>
        <v>45</v>
      </c>
      <c r="F22" s="368">
        <f t="shared" si="5"/>
        <v>4.6859019910439233E-3</v>
      </c>
      <c r="G22" s="151">
        <f t="shared" si="6"/>
        <v>24.001031615831376</v>
      </c>
      <c r="H22" s="72"/>
      <c r="I22" s="151">
        <f t="shared" si="2"/>
        <v>45</v>
      </c>
      <c r="J22" s="496"/>
    </row>
    <row r="23" spans="1:10" x14ac:dyDescent="0.2">
      <c r="A23" s="34" t="s">
        <v>678</v>
      </c>
      <c r="B23" s="151">
        <f>[2]TPcorrected!$U$16</f>
        <v>151.6</v>
      </c>
      <c r="C23" s="368">
        <f t="shared" si="0"/>
        <v>9.0496881729619869E-3</v>
      </c>
      <c r="D23" s="151">
        <f t="shared" si="4"/>
        <v>151.6</v>
      </c>
      <c r="E23" s="151">
        <f t="shared" si="8"/>
        <v>151.6</v>
      </c>
      <c r="F23" s="368">
        <f t="shared" si="5"/>
        <v>1.5786283152050194E-2</v>
      </c>
      <c r="G23" s="151">
        <f t="shared" si="6"/>
        <v>80.856808732445245</v>
      </c>
      <c r="H23" s="72"/>
      <c r="I23" s="151">
        <f t="shared" si="2"/>
        <v>151.6</v>
      </c>
      <c r="J23" s="496"/>
    </row>
    <row r="24" spans="1:10" x14ac:dyDescent="0.2">
      <c r="A24" s="34" t="s">
        <v>679</v>
      </c>
      <c r="B24" s="151">
        <f>[2]TPcorrected!$U$18</f>
        <v>47.2</v>
      </c>
      <c r="C24" s="368">
        <f t="shared" si="0"/>
        <v>2.8175810142731252E-3</v>
      </c>
      <c r="D24" s="151">
        <f t="shared" si="4"/>
        <v>47.2</v>
      </c>
      <c r="E24" s="151">
        <f t="shared" si="8"/>
        <v>47.2</v>
      </c>
      <c r="F24" s="368">
        <f t="shared" si="5"/>
        <v>4.9149905328282929E-3</v>
      </c>
      <c r="G24" s="151">
        <f t="shared" si="6"/>
        <v>25.174415383716465</v>
      </c>
      <c r="H24" s="72"/>
      <c r="I24" s="151">
        <f t="shared" si="2"/>
        <v>47.2</v>
      </c>
      <c r="J24" s="496"/>
    </row>
    <row r="25" spans="1:10" ht="16.149999999999999" customHeight="1" x14ac:dyDescent="0.2">
      <c r="A25" s="494" t="s">
        <v>449</v>
      </c>
      <c r="B25" s="151">
        <f>'[1]TP aggregated'!$H$15</f>
        <v>135.15123023079235</v>
      </c>
      <c r="C25" s="368">
        <f t="shared" si="0"/>
        <v>8.0677868719054354E-3</v>
      </c>
      <c r="D25" s="151"/>
      <c r="E25" s="151"/>
      <c r="F25" s="72"/>
      <c r="G25" s="151"/>
      <c r="H25" s="72"/>
      <c r="I25" s="151"/>
      <c r="J25" s="496"/>
    </row>
    <row r="26" spans="1:10" x14ac:dyDescent="0.2">
      <c r="A26" s="180" t="s">
        <v>450</v>
      </c>
      <c r="B26" s="151">
        <f>B27+B28</f>
        <v>104.70966373265789</v>
      </c>
      <c r="C26" s="368">
        <f t="shared" si="0"/>
        <v>6.2505923844080524E-3</v>
      </c>
      <c r="D26" s="151">
        <f t="shared" ref="D26:D36" si="9">B26</f>
        <v>104.70966373265789</v>
      </c>
      <c r="E26" s="151"/>
      <c r="F26" s="72"/>
      <c r="G26" s="151"/>
      <c r="H26" s="72"/>
      <c r="I26" s="151">
        <f t="shared" si="2"/>
        <v>104.70966373265789</v>
      </c>
      <c r="J26" s="496"/>
    </row>
    <row r="27" spans="1:10" x14ac:dyDescent="0.2">
      <c r="A27" s="30" t="s">
        <v>5</v>
      </c>
      <c r="B27" s="151">
        <f>'[1]TP aggregated'!$H$17</f>
        <v>6.6344943616895682</v>
      </c>
      <c r="C27" s="368">
        <f t="shared" si="0"/>
        <v>3.9604291001691999E-4</v>
      </c>
      <c r="D27" s="151">
        <f t="shared" si="9"/>
        <v>6.6344943616895682</v>
      </c>
      <c r="E27" s="151"/>
      <c r="F27" s="72"/>
      <c r="G27" s="151"/>
      <c r="H27" s="72"/>
      <c r="I27" s="151">
        <f t="shared" si="2"/>
        <v>6.6344943616895682</v>
      </c>
      <c r="J27" s="496"/>
    </row>
    <row r="28" spans="1:10" x14ac:dyDescent="0.2">
      <c r="A28" s="30" t="s">
        <v>6</v>
      </c>
      <c r="B28" s="151">
        <f>'[1]TP aggregated'!$H$16</f>
        <v>98.075169370968325</v>
      </c>
      <c r="C28" s="368">
        <f t="shared" si="0"/>
        <v>5.8545494743911328E-3</v>
      </c>
      <c r="D28" s="151">
        <f t="shared" si="9"/>
        <v>98.075169370968325</v>
      </c>
      <c r="E28" s="151"/>
      <c r="F28" s="72"/>
      <c r="G28" s="151"/>
      <c r="H28" s="72"/>
      <c r="I28" s="151">
        <f t="shared" si="2"/>
        <v>98.075169370968325</v>
      </c>
      <c r="J28" s="496"/>
    </row>
    <row r="29" spans="1:10" x14ac:dyDescent="0.2">
      <c r="A29" s="181" t="s">
        <v>451</v>
      </c>
      <c r="B29" s="151">
        <f>B30+B31+B32</f>
        <v>108.20232250734136</v>
      </c>
      <c r="C29" s="368">
        <f t="shared" si="0"/>
        <v>6.4590849490877688E-3</v>
      </c>
      <c r="D29" s="151">
        <f t="shared" si="9"/>
        <v>108.20232250734136</v>
      </c>
      <c r="E29" s="151">
        <f>D29</f>
        <v>108.20232250734136</v>
      </c>
      <c r="F29" s="368">
        <f t="shared" ref="F29:F36" si="10">E29/(D$139-D$136-D$123-D$124-D$115-D$116-D$106-D$107-D$96-D$97-D$81-D$82-D$78-D$66-D$67-D$53-D$54-D$39-D$40-D$27-D$28-D$15-D$16-D$6-D$7)</f>
        <v>1.1267232854949502E-2</v>
      </c>
      <c r="G29" s="151">
        <f t="shared" ref="G29:G36" si="11">F29*D$141</f>
        <v>57.710385853446283</v>
      </c>
      <c r="H29" s="72"/>
      <c r="I29" s="151">
        <f t="shared" si="2"/>
        <v>108.20232250734136</v>
      </c>
      <c r="J29" s="496"/>
    </row>
    <row r="30" spans="1:10" x14ac:dyDescent="0.2">
      <c r="A30" s="30" t="s">
        <v>8</v>
      </c>
      <c r="B30" s="151">
        <f>'[1]TP aggregated'!$H$18</f>
        <v>44.90232250734136</v>
      </c>
      <c r="C30" s="368">
        <f t="shared" si="0"/>
        <v>2.6804222752850391E-3</v>
      </c>
      <c r="D30" s="151">
        <f t="shared" si="9"/>
        <v>44.90232250734136</v>
      </c>
      <c r="E30" s="151">
        <f t="shared" ref="E30:E33" si="12">D30</f>
        <v>44.90232250734136</v>
      </c>
      <c r="F30" s="368">
        <f t="shared" si="10"/>
        <v>4.6757307208810496E-3</v>
      </c>
      <c r="G30" s="151">
        <f t="shared" si="11"/>
        <v>23.948934713843482</v>
      </c>
      <c r="H30" s="72"/>
      <c r="I30" s="151">
        <f t="shared" si="2"/>
        <v>44.90232250734136</v>
      </c>
      <c r="J30" s="496"/>
    </row>
    <row r="31" spans="1:10" x14ac:dyDescent="0.2">
      <c r="A31" s="34" t="s">
        <v>435</v>
      </c>
      <c r="B31" s="151">
        <f>[2]TPcorrected!$U$27</f>
        <v>8.6999999999999993</v>
      </c>
      <c r="C31" s="368">
        <f t="shared" si="0"/>
        <v>5.1934226322407177E-4</v>
      </c>
      <c r="D31" s="151">
        <f t="shared" si="9"/>
        <v>8.6999999999999993</v>
      </c>
      <c r="E31" s="151">
        <f t="shared" si="12"/>
        <v>8.6999999999999993</v>
      </c>
      <c r="F31" s="368">
        <f t="shared" si="10"/>
        <v>9.0594105160182498E-4</v>
      </c>
      <c r="G31" s="151">
        <f t="shared" si="11"/>
        <v>4.6401994457273981</v>
      </c>
      <c r="H31" s="72"/>
      <c r="I31" s="151">
        <f t="shared" si="2"/>
        <v>8.6999999999999993</v>
      </c>
      <c r="J31" s="496"/>
    </row>
    <row r="32" spans="1:10" x14ac:dyDescent="0.2">
      <c r="A32" s="34" t="s">
        <v>680</v>
      </c>
      <c r="B32" s="151">
        <f>[2]TPcorrected!$U$28</f>
        <v>54.6</v>
      </c>
      <c r="C32" s="368">
        <f t="shared" si="0"/>
        <v>3.2593204105786575E-3</v>
      </c>
      <c r="D32" s="151">
        <f t="shared" si="9"/>
        <v>54.6</v>
      </c>
      <c r="E32" s="151">
        <f t="shared" ref="E32" si="13">D32</f>
        <v>54.6</v>
      </c>
      <c r="F32" s="368">
        <f t="shared" si="10"/>
        <v>5.6855610824666268E-3</v>
      </c>
      <c r="G32" s="151">
        <f t="shared" si="11"/>
        <v>29.121251693875401</v>
      </c>
      <c r="H32" s="72"/>
      <c r="I32" s="151">
        <f t="shared" si="2"/>
        <v>54.6</v>
      </c>
      <c r="J32" s="496"/>
    </row>
    <row r="33" spans="1:10" x14ac:dyDescent="0.2">
      <c r="A33" s="32" t="s">
        <v>452</v>
      </c>
      <c r="B33" s="151">
        <f>B34+B35+B36</f>
        <v>413.40000000000003</v>
      </c>
      <c r="C33" s="368">
        <f t="shared" si="0"/>
        <v>2.4677711680095551E-2</v>
      </c>
      <c r="D33" s="151">
        <f t="shared" si="9"/>
        <v>413.40000000000003</v>
      </c>
      <c r="E33" s="151">
        <f t="shared" si="12"/>
        <v>413.40000000000003</v>
      </c>
      <c r="F33" s="368">
        <f t="shared" si="10"/>
        <v>4.3047819624390173E-2</v>
      </c>
      <c r="G33" s="151">
        <f t="shared" si="11"/>
        <v>220.48947711077088</v>
      </c>
      <c r="H33" s="72"/>
      <c r="I33" s="151">
        <f t="shared" si="2"/>
        <v>413.40000000000003</v>
      </c>
      <c r="J33" s="496"/>
    </row>
    <row r="34" spans="1:10" x14ac:dyDescent="0.2">
      <c r="A34" s="34" t="s">
        <v>683</v>
      </c>
      <c r="B34" s="151">
        <f>[2]TPcorrected!$U$30</f>
        <v>98.5</v>
      </c>
      <c r="C34" s="368">
        <f t="shared" si="0"/>
        <v>5.8799095319047208E-3</v>
      </c>
      <c r="D34" s="151">
        <f t="shared" si="9"/>
        <v>98.5</v>
      </c>
      <c r="E34" s="151">
        <f t="shared" ref="E34:E36" si="14">D34</f>
        <v>98.5</v>
      </c>
      <c r="F34" s="368">
        <f t="shared" si="10"/>
        <v>1.0256918802618364E-2</v>
      </c>
      <c r="G34" s="151">
        <f t="shared" si="11"/>
        <v>52.535591425764224</v>
      </c>
      <c r="H34" s="72"/>
      <c r="I34" s="151">
        <f t="shared" si="2"/>
        <v>98.5</v>
      </c>
      <c r="J34" s="496"/>
    </row>
    <row r="35" spans="1:10" x14ac:dyDescent="0.2">
      <c r="A35" s="34" t="s">
        <v>685</v>
      </c>
      <c r="B35" s="151">
        <f>[2]TPcorrected!$U$29</f>
        <v>262.60000000000002</v>
      </c>
      <c r="C35" s="368">
        <f t="shared" si="0"/>
        <v>1.5675779117544975E-2</v>
      </c>
      <c r="D35" s="151">
        <f t="shared" si="9"/>
        <v>262.60000000000002</v>
      </c>
      <c r="E35" s="151">
        <f t="shared" si="14"/>
        <v>262.60000000000002</v>
      </c>
      <c r="F35" s="368">
        <f t="shared" si="10"/>
        <v>2.7344841396625207E-2</v>
      </c>
      <c r="G35" s="151">
        <f t="shared" si="11"/>
        <v>140.05935338482931</v>
      </c>
      <c r="H35" s="72"/>
      <c r="I35" s="151">
        <f t="shared" si="2"/>
        <v>262.60000000000002</v>
      </c>
      <c r="J35" s="496"/>
    </row>
    <row r="36" spans="1:10" x14ac:dyDescent="0.2">
      <c r="A36" s="34" t="s">
        <v>684</v>
      </c>
      <c r="B36" s="151">
        <f>[2]TPcorrected!$U$31</f>
        <v>52.3</v>
      </c>
      <c r="C36" s="368">
        <f t="shared" si="0"/>
        <v>3.1220230306458568E-3</v>
      </c>
      <c r="D36" s="151">
        <f t="shared" si="9"/>
        <v>52.3</v>
      </c>
      <c r="E36" s="151">
        <f t="shared" si="14"/>
        <v>52.3</v>
      </c>
      <c r="F36" s="368">
        <f t="shared" si="10"/>
        <v>5.4460594251466033E-3</v>
      </c>
      <c r="G36" s="151">
        <f t="shared" si="11"/>
        <v>27.89453230017735</v>
      </c>
      <c r="H36" s="72"/>
      <c r="I36" s="151">
        <f t="shared" si="2"/>
        <v>52.3</v>
      </c>
      <c r="J36" s="496"/>
    </row>
    <row r="37" spans="1:10" ht="16.899999999999999" customHeight="1" x14ac:dyDescent="0.2">
      <c r="A37" s="494" t="s">
        <v>453</v>
      </c>
      <c r="B37" s="151">
        <f>'[1]TP aggregated'!$H$21</f>
        <v>362.65036561097384</v>
      </c>
      <c r="C37" s="368">
        <f t="shared" si="0"/>
        <v>2.1648236969590832E-2</v>
      </c>
      <c r="D37" s="151"/>
      <c r="E37" s="151"/>
      <c r="F37" s="72"/>
      <c r="G37" s="151"/>
      <c r="H37" s="72"/>
      <c r="I37" s="151"/>
      <c r="J37" s="496"/>
    </row>
    <row r="38" spans="1:10" x14ac:dyDescent="0.2">
      <c r="A38" s="180" t="s">
        <v>454</v>
      </c>
      <c r="B38" s="151">
        <f>B39+B40</f>
        <v>274.70526442152953</v>
      </c>
      <c r="C38" s="368">
        <f t="shared" ref="C38:C69" si="15">B38/B$139</f>
        <v>1.6398396982097038E-2</v>
      </c>
      <c r="D38" s="151">
        <f t="shared" ref="D38:D50" si="16">B38</f>
        <v>274.70526442152953</v>
      </c>
      <c r="E38" s="151"/>
      <c r="F38" s="72"/>
      <c r="G38" s="151"/>
      <c r="H38" s="72"/>
      <c r="I38" s="151">
        <f t="shared" si="2"/>
        <v>274.70526442152953</v>
      </c>
      <c r="J38" s="496"/>
    </row>
    <row r="39" spans="1:10" x14ac:dyDescent="0.2">
      <c r="A39" s="30" t="s">
        <v>5</v>
      </c>
      <c r="B39" s="151">
        <f>'[1]TP aggregated'!$H$23</f>
        <v>12.916367981235513</v>
      </c>
      <c r="C39" s="368">
        <f t="shared" si="15"/>
        <v>7.7103629655284902E-4</v>
      </c>
      <c r="D39" s="151">
        <f t="shared" si="16"/>
        <v>12.916367981235513</v>
      </c>
      <c r="E39" s="151"/>
      <c r="F39" s="72"/>
      <c r="G39" s="151"/>
      <c r="H39" s="72"/>
      <c r="I39" s="151">
        <f t="shared" si="2"/>
        <v>12.916367981235513</v>
      </c>
      <c r="J39" s="496"/>
    </row>
    <row r="40" spans="1:10" x14ac:dyDescent="0.2">
      <c r="A40" s="30" t="s">
        <v>6</v>
      </c>
      <c r="B40" s="151">
        <f>'[1]TP aggregated'!$H$22</f>
        <v>261.78889644029402</v>
      </c>
      <c r="C40" s="368">
        <f t="shared" si="15"/>
        <v>1.5627360685544191E-2</v>
      </c>
      <c r="D40" s="151">
        <f t="shared" si="16"/>
        <v>261.78889644029402</v>
      </c>
      <c r="E40" s="151"/>
      <c r="F40" s="72"/>
      <c r="G40" s="151"/>
      <c r="H40" s="72"/>
      <c r="I40" s="151">
        <f t="shared" si="2"/>
        <v>261.78889644029402</v>
      </c>
      <c r="J40" s="496"/>
    </row>
    <row r="41" spans="1:10" x14ac:dyDescent="0.2">
      <c r="A41" s="181" t="s">
        <v>455</v>
      </c>
      <c r="B41" s="151">
        <f>B42+B43+B44+B45+B46</f>
        <v>174.77124580733397</v>
      </c>
      <c r="C41" s="368">
        <f t="shared" si="15"/>
        <v>1.0432884407364527E-2</v>
      </c>
      <c r="D41" s="151">
        <f t="shared" si="16"/>
        <v>174.77124580733397</v>
      </c>
      <c r="E41" s="151">
        <f>D41</f>
        <v>174.77124580733397</v>
      </c>
      <c r="F41" s="368">
        <f t="shared" ref="F41:F50" si="17">E41/(D$139-D$136-D$123-D$124-D$115-D$116-D$106-D$107-D$96-D$97-D$81-D$82-D$78-D$66-D$67-D$53-D$54-D$39-D$40-D$27-D$28-D$15-D$16-D$6-D$7)</f>
        <v>1.819913174901807E-2</v>
      </c>
      <c r="G41" s="151">
        <f t="shared" ref="G41" si="18">F41*D$141</f>
        <v>93.215337692445758</v>
      </c>
      <c r="H41" s="72"/>
      <c r="I41" s="151">
        <f t="shared" si="2"/>
        <v>174.77124580733397</v>
      </c>
      <c r="J41" s="496"/>
    </row>
    <row r="42" spans="1:10" x14ac:dyDescent="0.2">
      <c r="A42" s="34" t="s">
        <v>434</v>
      </c>
      <c r="B42" s="151">
        <f>'[1]TP aggregated'!$H$27</f>
        <v>2.0274580631944965</v>
      </c>
      <c r="C42" s="368">
        <f t="shared" si="15"/>
        <v>1.2102812173923253E-4</v>
      </c>
      <c r="D42" s="151">
        <f t="shared" si="16"/>
        <v>2.0274580631944965</v>
      </c>
      <c r="E42" s="151">
        <f t="shared" ref="E42:E47" si="19">D42</f>
        <v>2.0274580631944965</v>
      </c>
      <c r="F42" s="368">
        <f t="shared" si="17"/>
        <v>2.1112155055735883E-4</v>
      </c>
      <c r="G42" s="151">
        <f t="shared" ref="G42:G50" si="20">F42*D$141</f>
        <v>1.0813574461000746</v>
      </c>
      <c r="H42" s="72"/>
      <c r="I42" s="151">
        <f t="shared" si="2"/>
        <v>2.0274580631944965</v>
      </c>
      <c r="J42" s="496"/>
    </row>
    <row r="43" spans="1:10" x14ac:dyDescent="0.2">
      <c r="A43" s="30" t="s">
        <v>8</v>
      </c>
      <c r="B43" s="151">
        <f>'[1]TP aggregated'!$H$24</f>
        <v>25.40525364019107</v>
      </c>
      <c r="C43" s="368">
        <f t="shared" si="15"/>
        <v>1.5165542440549907E-3</v>
      </c>
      <c r="D43" s="151">
        <f t="shared" si="16"/>
        <v>25.40525364019107</v>
      </c>
      <c r="E43" s="151">
        <f t="shared" si="19"/>
        <v>25.40525364019107</v>
      </c>
      <c r="F43" s="368">
        <f t="shared" si="17"/>
        <v>2.6454784136788266E-3</v>
      </c>
      <c r="G43" s="151">
        <f t="shared" si="20"/>
        <v>13.550051018365354</v>
      </c>
      <c r="H43" s="72"/>
      <c r="I43" s="151">
        <f t="shared" si="2"/>
        <v>25.40525364019107</v>
      </c>
      <c r="J43" s="496"/>
    </row>
    <row r="44" spans="1:10" x14ac:dyDescent="0.2">
      <c r="A44" s="34" t="s">
        <v>435</v>
      </c>
      <c r="B44" s="151">
        <f>[2]TPcorrected!$U$41</f>
        <v>34.5</v>
      </c>
      <c r="C44" s="368">
        <f t="shared" si="15"/>
        <v>2.0594606989920087E-3</v>
      </c>
      <c r="D44" s="151">
        <f t="shared" si="16"/>
        <v>34.5</v>
      </c>
      <c r="E44" s="151">
        <f t="shared" si="19"/>
        <v>34.5</v>
      </c>
      <c r="F44" s="368">
        <f t="shared" si="17"/>
        <v>3.5925248598003409E-3</v>
      </c>
      <c r="G44" s="151">
        <f t="shared" si="20"/>
        <v>18.400790905470718</v>
      </c>
      <c r="H44" s="72"/>
      <c r="I44" s="151">
        <f t="shared" si="2"/>
        <v>34.5</v>
      </c>
      <c r="J44" s="496"/>
    </row>
    <row r="45" spans="1:10" x14ac:dyDescent="0.2">
      <c r="A45" s="34" t="s">
        <v>437</v>
      </c>
      <c r="B45" s="151">
        <f>'[1]TP aggregated'!$H$26</f>
        <v>1.7385341039484001</v>
      </c>
      <c r="C45" s="368">
        <f t="shared" si="15"/>
        <v>1.0378094669388458E-4</v>
      </c>
      <c r="D45" s="151">
        <f t="shared" si="16"/>
        <v>1.7385341039484001</v>
      </c>
      <c r="E45" s="151">
        <f t="shared" si="19"/>
        <v>1.7385341039484001</v>
      </c>
      <c r="F45" s="368">
        <f t="shared" si="17"/>
        <v>1.8103556487087934E-4</v>
      </c>
      <c r="G45" s="151">
        <f t="shared" si="20"/>
        <v>0.92725804431259151</v>
      </c>
      <c r="H45" s="72"/>
      <c r="I45" s="151">
        <f t="shared" si="2"/>
        <v>1.7385341039484001</v>
      </c>
      <c r="J45" s="496"/>
    </row>
    <row r="46" spans="1:10" x14ac:dyDescent="0.2">
      <c r="A46" s="34" t="s">
        <v>680</v>
      </c>
      <c r="B46" s="151">
        <f>[2]TPcorrected!$U$42</f>
        <v>111.1</v>
      </c>
      <c r="C46" s="368">
        <f t="shared" si="15"/>
        <v>6.6320603958844107E-3</v>
      </c>
      <c r="D46" s="151">
        <f t="shared" si="16"/>
        <v>111.1</v>
      </c>
      <c r="E46" s="151">
        <f t="shared" ref="E46" si="21">D46</f>
        <v>111.1</v>
      </c>
      <c r="F46" s="368">
        <f t="shared" si="17"/>
        <v>1.1568971360110663E-2</v>
      </c>
      <c r="G46" s="151">
        <f t="shared" si="20"/>
        <v>59.255880278197012</v>
      </c>
      <c r="H46" s="72"/>
      <c r="I46" s="151">
        <f t="shared" si="2"/>
        <v>111.1</v>
      </c>
      <c r="J46" s="496"/>
    </row>
    <row r="47" spans="1:10" x14ac:dyDescent="0.2">
      <c r="A47" s="32" t="s">
        <v>456</v>
      </c>
      <c r="B47" s="151">
        <f>B48+B49+B50</f>
        <v>521.1</v>
      </c>
      <c r="C47" s="368">
        <f t="shared" si="15"/>
        <v>3.1106810731731473E-2</v>
      </c>
      <c r="D47" s="151">
        <f t="shared" si="16"/>
        <v>521.1</v>
      </c>
      <c r="E47" s="151">
        <f t="shared" si="19"/>
        <v>521.1</v>
      </c>
      <c r="F47" s="368">
        <f t="shared" si="17"/>
        <v>5.4262745056288628E-2</v>
      </c>
      <c r="G47" s="151">
        <f t="shared" si="20"/>
        <v>277.93194611132731</v>
      </c>
      <c r="H47" s="72"/>
      <c r="I47" s="151">
        <f t="shared" si="2"/>
        <v>521.1</v>
      </c>
      <c r="J47" s="496"/>
    </row>
    <row r="48" spans="1:10" x14ac:dyDescent="0.2">
      <c r="A48" s="34" t="s">
        <v>677</v>
      </c>
      <c r="B48" s="151">
        <f>[2]TPcorrected!$U$45</f>
        <v>99.7</v>
      </c>
      <c r="C48" s="368">
        <f t="shared" si="15"/>
        <v>5.9515429475218342E-3</v>
      </c>
      <c r="D48" s="151">
        <f t="shared" si="16"/>
        <v>99.7</v>
      </c>
      <c r="E48" s="151">
        <f t="shared" ref="E48:E50" si="22">D48</f>
        <v>99.7</v>
      </c>
      <c r="F48" s="368">
        <f t="shared" si="17"/>
        <v>1.0381876189046202E-2</v>
      </c>
      <c r="G48" s="151">
        <f t="shared" si="20"/>
        <v>53.175618935519729</v>
      </c>
      <c r="H48" s="72"/>
      <c r="I48" s="151">
        <f t="shared" si="2"/>
        <v>99.7</v>
      </c>
      <c r="J48" s="496"/>
    </row>
    <row r="49" spans="1:10" x14ac:dyDescent="0.2">
      <c r="A49" s="34" t="s">
        <v>678</v>
      </c>
      <c r="B49" s="151">
        <f>[2]TPcorrected!$U$44</f>
        <v>283</v>
      </c>
      <c r="C49" s="368">
        <f t="shared" si="15"/>
        <v>1.6893547183035897E-2</v>
      </c>
      <c r="D49" s="151">
        <f t="shared" si="16"/>
        <v>283</v>
      </c>
      <c r="E49" s="151">
        <f t="shared" si="22"/>
        <v>283</v>
      </c>
      <c r="F49" s="368">
        <f t="shared" si="17"/>
        <v>2.9469116965898448E-2</v>
      </c>
      <c r="G49" s="151">
        <f t="shared" si="20"/>
        <v>150.93982105067286</v>
      </c>
      <c r="H49" s="72"/>
      <c r="I49" s="151">
        <f t="shared" si="2"/>
        <v>283</v>
      </c>
      <c r="J49" s="496"/>
    </row>
    <row r="50" spans="1:10" x14ac:dyDescent="0.2">
      <c r="A50" s="34" t="s">
        <v>679</v>
      </c>
      <c r="B50" s="151">
        <f>[2]TPcorrected!$U$46</f>
        <v>138.4</v>
      </c>
      <c r="C50" s="368">
        <f t="shared" si="15"/>
        <v>8.2617206011737394E-3</v>
      </c>
      <c r="D50" s="151">
        <f t="shared" si="16"/>
        <v>138.4</v>
      </c>
      <c r="E50" s="151">
        <f t="shared" si="22"/>
        <v>138.4</v>
      </c>
      <c r="F50" s="368">
        <f t="shared" si="17"/>
        <v>1.4411751901343977E-2</v>
      </c>
      <c r="G50" s="151">
        <f t="shared" si="20"/>
        <v>73.816506125134723</v>
      </c>
      <c r="H50" s="72"/>
      <c r="I50" s="151">
        <f t="shared" si="2"/>
        <v>138.4</v>
      </c>
      <c r="J50" s="496"/>
    </row>
    <row r="51" spans="1:10" ht="16.899999999999999" customHeight="1" x14ac:dyDescent="0.2">
      <c r="A51" s="494" t="s">
        <v>457</v>
      </c>
      <c r="B51" s="151">
        <f>'[1]TP aggregated'!$H$29</f>
        <v>42.65615563019432</v>
      </c>
      <c r="C51" s="368">
        <f t="shared" si="15"/>
        <v>2.5463384374049829E-3</v>
      </c>
      <c r="D51" s="151"/>
      <c r="E51" s="151"/>
      <c r="F51" s="72"/>
      <c r="G51" s="151"/>
      <c r="H51" s="72"/>
      <c r="I51" s="151"/>
      <c r="J51" s="496"/>
    </row>
    <row r="52" spans="1:10" x14ac:dyDescent="0.2">
      <c r="A52" s="180" t="s">
        <v>458</v>
      </c>
      <c r="B52" s="151">
        <f>B53+B54</f>
        <v>44.817902040866343</v>
      </c>
      <c r="C52" s="368">
        <f t="shared" si="15"/>
        <v>2.6753828366503762E-3</v>
      </c>
      <c r="D52" s="151">
        <f t="shared" ref="D52:D63" si="23">B52</f>
        <v>44.817902040866343</v>
      </c>
      <c r="E52" s="151"/>
      <c r="F52" s="72"/>
      <c r="G52" s="151"/>
      <c r="H52" s="72"/>
      <c r="I52" s="151">
        <f t="shared" si="2"/>
        <v>44.817902040866343</v>
      </c>
      <c r="J52" s="496"/>
    </row>
    <row r="53" spans="1:10" x14ac:dyDescent="0.2">
      <c r="A53" s="30" t="s">
        <v>5</v>
      </c>
      <c r="B53" s="151">
        <f>'[1]TP aggregated'!$H$31</f>
        <v>1.8099590864011237</v>
      </c>
      <c r="C53" s="368">
        <f t="shared" si="15"/>
        <v>1.0804462623845206E-4</v>
      </c>
      <c r="D53" s="151">
        <f t="shared" si="23"/>
        <v>1.8099590864011237</v>
      </c>
      <c r="E53" s="151"/>
      <c r="F53" s="72"/>
      <c r="G53" s="151"/>
      <c r="H53" s="72"/>
      <c r="I53" s="151">
        <f t="shared" si="2"/>
        <v>1.8099590864011237</v>
      </c>
      <c r="J53" s="496"/>
    </row>
    <row r="54" spans="1:10" x14ac:dyDescent="0.2">
      <c r="A54" s="30" t="s">
        <v>6</v>
      </c>
      <c r="B54" s="151">
        <f>'[1]TP aggregated'!$H$30</f>
        <v>43.007942954465221</v>
      </c>
      <c r="C54" s="368">
        <f t="shared" si="15"/>
        <v>2.5673382104119242E-3</v>
      </c>
      <c r="D54" s="151">
        <f t="shared" si="23"/>
        <v>43.007942954465221</v>
      </c>
      <c r="E54" s="151"/>
      <c r="F54" s="72"/>
      <c r="G54" s="151"/>
      <c r="H54" s="72"/>
      <c r="I54" s="151">
        <f t="shared" si="2"/>
        <v>43.007942954465221</v>
      </c>
      <c r="J54" s="496"/>
    </row>
    <row r="55" spans="1:10" x14ac:dyDescent="0.2">
      <c r="A55" s="181" t="s">
        <v>459</v>
      </c>
      <c r="B55" s="151">
        <f>B56+B57+B58+B59</f>
        <v>50.569227014965989</v>
      </c>
      <c r="C55" s="368">
        <f t="shared" si="15"/>
        <v>3.0187053801660124E-3</v>
      </c>
      <c r="D55" s="151">
        <f t="shared" si="23"/>
        <v>50.569227014965989</v>
      </c>
      <c r="E55" s="151">
        <f>D55</f>
        <v>50.569227014965989</v>
      </c>
      <c r="F55" s="368">
        <f t="shared" ref="F55" si="24">E55/(D$139-D$136-D$123-D$124-D$115-D$116-D$106-D$107-D$96-D$97-D$81-D$82-D$78-D$66-D$67-D$53-D$54-D$39-D$40-D$27-D$28-D$15-D$16-D$6-D$7)</f>
        <v>5.2658320345551389E-3</v>
      </c>
      <c r="G55" s="151">
        <f t="shared" ref="G55" si="25">F55*D$141</f>
        <v>26.971413697207836</v>
      </c>
      <c r="H55" s="72"/>
      <c r="I55" s="151">
        <f t="shared" si="2"/>
        <v>50.569227014965989</v>
      </c>
      <c r="J55" s="496"/>
    </row>
    <row r="56" spans="1:10" x14ac:dyDescent="0.2">
      <c r="A56" s="34" t="s">
        <v>434</v>
      </c>
      <c r="B56" s="151">
        <f>'[1]TP aggregated'!$H$35</f>
        <v>1.9351108502917518</v>
      </c>
      <c r="C56" s="368">
        <f t="shared" si="15"/>
        <v>1.1551549983677889E-4</v>
      </c>
      <c r="D56" s="151">
        <f t="shared" si="23"/>
        <v>1.9351108502917518</v>
      </c>
      <c r="E56" s="151">
        <f t="shared" ref="E56:E60" si="26">D56</f>
        <v>1.9351108502917518</v>
      </c>
      <c r="F56" s="368">
        <f t="shared" ref="F56:F63" si="27">E56/(D$139-D$136-D$123-D$124-D$115-D$116-D$106-D$107-D$96-D$97-D$81-D$82-D$78-D$66-D$67-D$53-D$54-D$39-D$40-D$27-D$28-D$15-D$16-D$6-D$7)</f>
        <v>2.0150532858384041E-4</v>
      </c>
      <c r="G56" s="151">
        <f t="shared" ref="G56:G63" si="28">F56*D$141</f>
        <v>1.0321034821775703</v>
      </c>
      <c r="H56" s="72"/>
      <c r="I56" s="151">
        <f t="shared" si="2"/>
        <v>1.9351108502917518</v>
      </c>
      <c r="J56" s="496"/>
    </row>
    <row r="57" spans="1:10" x14ac:dyDescent="0.2">
      <c r="A57" s="30" t="s">
        <v>8</v>
      </c>
      <c r="B57" s="151">
        <f>'[1]TP aggregated'!$H$32</f>
        <v>15.93411616467424</v>
      </c>
      <c r="C57" s="368">
        <f t="shared" si="15"/>
        <v>9.5117930476289496E-4</v>
      </c>
      <c r="D57" s="151">
        <f t="shared" si="23"/>
        <v>15.93411616467424</v>
      </c>
      <c r="E57" s="151">
        <f t="shared" si="26"/>
        <v>15.93411616467424</v>
      </c>
      <c r="F57" s="368">
        <f t="shared" si="27"/>
        <v>1.6592379258127152E-3</v>
      </c>
      <c r="G57" s="151">
        <f t="shared" si="28"/>
        <v>8.4985605741928048</v>
      </c>
      <c r="H57" s="72"/>
      <c r="I57" s="151">
        <f t="shared" si="2"/>
        <v>15.93411616467424</v>
      </c>
      <c r="J57" s="496"/>
    </row>
    <row r="58" spans="1:10" x14ac:dyDescent="0.2">
      <c r="A58" s="34" t="s">
        <v>435</v>
      </c>
      <c r="B58" s="151">
        <f>[2]TPcorrected!$U$55</f>
        <v>3.3</v>
      </c>
      <c r="C58" s="368">
        <f t="shared" si="15"/>
        <v>1.9699189294706171E-4</v>
      </c>
      <c r="D58" s="151">
        <f t="shared" si="23"/>
        <v>3.3</v>
      </c>
      <c r="E58" s="151">
        <f t="shared" si="26"/>
        <v>3.3</v>
      </c>
      <c r="F58" s="368">
        <f t="shared" si="27"/>
        <v>3.4363281267655433E-4</v>
      </c>
      <c r="G58" s="151">
        <f t="shared" si="28"/>
        <v>1.7600756518276339</v>
      </c>
      <c r="H58" s="72"/>
      <c r="I58" s="151">
        <f t="shared" si="2"/>
        <v>3.3</v>
      </c>
      <c r="J58" s="496"/>
    </row>
    <row r="59" spans="1:10" x14ac:dyDescent="0.2">
      <c r="A59" s="34" t="s">
        <v>680</v>
      </c>
      <c r="B59" s="151">
        <f>[2]TPcorrected!$U$56</f>
        <v>29.4</v>
      </c>
      <c r="C59" s="368">
        <f t="shared" si="15"/>
        <v>1.755018682619277E-3</v>
      </c>
      <c r="D59" s="151">
        <f t="shared" si="23"/>
        <v>29.4</v>
      </c>
      <c r="E59" s="151">
        <f t="shared" ref="E59" si="29">D59</f>
        <v>29.4</v>
      </c>
      <c r="F59" s="368">
        <f t="shared" si="27"/>
        <v>3.0614559674820296E-3</v>
      </c>
      <c r="G59" s="151">
        <f t="shared" si="28"/>
        <v>15.680673989009831</v>
      </c>
      <c r="H59" s="72"/>
      <c r="I59" s="151">
        <f t="shared" si="2"/>
        <v>29.4</v>
      </c>
      <c r="J59" s="496"/>
    </row>
    <row r="60" spans="1:10" x14ac:dyDescent="0.2">
      <c r="A60" s="32" t="s">
        <v>460</v>
      </c>
      <c r="B60" s="151">
        <f>B61+B62+B63</f>
        <v>106.39999999999999</v>
      </c>
      <c r="C60" s="368">
        <f t="shared" si="15"/>
        <v>6.3514961847173836E-3</v>
      </c>
      <c r="D60" s="151">
        <f t="shared" si="23"/>
        <v>106.39999999999999</v>
      </c>
      <c r="E60" s="151">
        <f t="shared" si="26"/>
        <v>106.39999999999999</v>
      </c>
      <c r="F60" s="368">
        <f t="shared" si="27"/>
        <v>1.1079554929934964E-2</v>
      </c>
      <c r="G60" s="151">
        <f t="shared" si="28"/>
        <v>56.749105864987961</v>
      </c>
      <c r="H60" s="72"/>
      <c r="I60" s="151">
        <f t="shared" si="2"/>
        <v>106.39999999999999</v>
      </c>
      <c r="J60" s="496"/>
    </row>
    <row r="61" spans="1:10" x14ac:dyDescent="0.2">
      <c r="A61" s="34" t="s">
        <v>677</v>
      </c>
      <c r="B61" s="151">
        <f>[2]TPcorrected!$U$59</f>
        <v>24.8</v>
      </c>
      <c r="C61" s="368">
        <f t="shared" si="15"/>
        <v>1.480423922753676E-3</v>
      </c>
      <c r="D61" s="151">
        <f t="shared" si="23"/>
        <v>24.8</v>
      </c>
      <c r="E61" s="151">
        <f t="shared" ref="E61:E63" si="30">D61</f>
        <v>24.8</v>
      </c>
      <c r="F61" s="368">
        <f t="shared" si="27"/>
        <v>2.5824526528419843E-3</v>
      </c>
      <c r="G61" s="151">
        <f t="shared" si="28"/>
        <v>13.227235201613736</v>
      </c>
      <c r="H61" s="72"/>
      <c r="I61" s="151">
        <f t="shared" si="2"/>
        <v>24.8</v>
      </c>
      <c r="J61" s="496"/>
    </row>
    <row r="62" spans="1:10" x14ac:dyDescent="0.2">
      <c r="A62" s="34" t="s">
        <v>678</v>
      </c>
      <c r="B62" s="151">
        <f>[2]TPcorrected!$U$58</f>
        <v>79.8</v>
      </c>
      <c r="C62" s="368">
        <f t="shared" si="15"/>
        <v>4.7636221385380373E-3</v>
      </c>
      <c r="D62" s="151">
        <f t="shared" si="23"/>
        <v>79.8</v>
      </c>
      <c r="E62" s="151">
        <f t="shared" si="30"/>
        <v>79.8</v>
      </c>
      <c r="F62" s="368">
        <f t="shared" si="27"/>
        <v>8.3096661974512223E-3</v>
      </c>
      <c r="G62" s="151">
        <f t="shared" si="28"/>
        <v>42.561829398740961</v>
      </c>
      <c r="H62" s="72"/>
      <c r="I62" s="151">
        <f t="shared" si="2"/>
        <v>79.8</v>
      </c>
      <c r="J62" s="496"/>
    </row>
    <row r="63" spans="1:10" x14ac:dyDescent="0.2">
      <c r="A63" s="34" t="s">
        <v>679</v>
      </c>
      <c r="B63" s="151">
        <f>[2]TPcorrected!$U$60</f>
        <v>1.8</v>
      </c>
      <c r="C63" s="368">
        <f t="shared" si="15"/>
        <v>1.0745012342567003E-4</v>
      </c>
      <c r="D63" s="151">
        <f t="shared" si="23"/>
        <v>1.8</v>
      </c>
      <c r="E63" s="151">
        <f t="shared" si="30"/>
        <v>1.8</v>
      </c>
      <c r="F63" s="368">
        <f t="shared" si="27"/>
        <v>1.8743607964175692E-4</v>
      </c>
      <c r="G63" s="151">
        <f t="shared" si="28"/>
        <v>0.9600412646332549</v>
      </c>
      <c r="H63" s="72"/>
      <c r="I63" s="151">
        <f t="shared" si="2"/>
        <v>1.8</v>
      </c>
      <c r="J63" s="496"/>
    </row>
    <row r="64" spans="1:10" x14ac:dyDescent="0.2">
      <c r="A64" s="498" t="s">
        <v>461</v>
      </c>
      <c r="B64" s="151">
        <f>'[1]TP aggregated'!$H$37</f>
        <v>185.50440545328021</v>
      </c>
      <c r="C64" s="368">
        <f t="shared" si="15"/>
        <v>1.1073595145533608E-2</v>
      </c>
      <c r="D64" s="151"/>
      <c r="E64" s="151"/>
      <c r="F64" s="72"/>
      <c r="G64" s="151"/>
      <c r="H64" s="72"/>
      <c r="I64" s="151"/>
      <c r="J64" s="496"/>
    </row>
    <row r="65" spans="1:10" x14ac:dyDescent="0.2">
      <c r="A65" s="32" t="s">
        <v>462</v>
      </c>
      <c r="B65" s="151">
        <f>ROUND(B66+B67,0)</f>
        <v>210</v>
      </c>
      <c r="C65" s="368">
        <f t="shared" si="15"/>
        <v>1.2535847732994836E-2</v>
      </c>
      <c r="D65" s="151">
        <f t="shared" ref="D65:D75" si="31">B65</f>
        <v>210</v>
      </c>
      <c r="E65" s="151"/>
      <c r="F65" s="72"/>
      <c r="G65" s="151"/>
      <c r="H65" s="72"/>
      <c r="I65" s="151">
        <f t="shared" si="2"/>
        <v>210</v>
      </c>
      <c r="J65" s="496"/>
    </row>
    <row r="66" spans="1:10" x14ac:dyDescent="0.2">
      <c r="A66" s="34" t="s">
        <v>5</v>
      </c>
      <c r="B66" s="151">
        <f>'[1]TP aggregated'!$H$39</f>
        <v>48.572723996521525</v>
      </c>
      <c r="C66" s="368">
        <f t="shared" si="15"/>
        <v>2.8995251047484677E-3</v>
      </c>
      <c r="D66" s="151">
        <f t="shared" si="31"/>
        <v>48.572723996521525</v>
      </c>
      <c r="E66" s="151"/>
      <c r="F66" s="72"/>
      <c r="G66" s="151"/>
      <c r="H66" s="72"/>
      <c r="I66" s="151">
        <f t="shared" si="2"/>
        <v>48.572723996521525</v>
      </c>
      <c r="J66" s="496"/>
    </row>
    <row r="67" spans="1:10" x14ac:dyDescent="0.2">
      <c r="A67" s="34" t="s">
        <v>6</v>
      </c>
      <c r="B67" s="151">
        <f>'[1]TP aggregated'!$H$38</f>
        <v>161.4728388579137</v>
      </c>
      <c r="C67" s="368">
        <f t="shared" si="15"/>
        <v>9.6390424806534186E-3</v>
      </c>
      <c r="D67" s="151">
        <f t="shared" si="31"/>
        <v>161.4728388579137</v>
      </c>
      <c r="E67" s="151"/>
      <c r="F67" s="72"/>
      <c r="G67" s="151"/>
      <c r="H67" s="72"/>
      <c r="I67" s="151">
        <f t="shared" si="2"/>
        <v>161.4728388579137</v>
      </c>
      <c r="J67" s="496"/>
    </row>
    <row r="68" spans="1:10" x14ac:dyDescent="0.2">
      <c r="A68" s="32" t="s">
        <v>463</v>
      </c>
      <c r="B68" s="151">
        <f>B69+B70+B71+B72</f>
        <v>145.64339612917067</v>
      </c>
      <c r="C68" s="368">
        <f t="shared" si="15"/>
        <v>8.6941116056739667E-3</v>
      </c>
      <c r="D68" s="151">
        <f t="shared" si="31"/>
        <v>145.64339612917067</v>
      </c>
      <c r="E68" s="151">
        <f>D68</f>
        <v>145.64339612917067</v>
      </c>
      <c r="F68" s="368">
        <f t="shared" ref="F68" si="32">E68/(D$139-D$136-D$123-D$124-D$115-D$116-D$106-D$107-D$96-D$97-D$81-D$82-D$78-D$66-D$67-D$53-D$54-D$39-D$40-D$27-D$28-D$15-D$16-D$6-D$7)</f>
        <v>1.5166015108979547E-2</v>
      </c>
      <c r="G68" s="151">
        <f t="shared" ref="G68:G75" si="33">F68*D$141</f>
        <v>77.679816780739515</v>
      </c>
      <c r="H68" s="72"/>
      <c r="I68" s="151">
        <f t="shared" si="2"/>
        <v>145.64339612917067</v>
      </c>
      <c r="J68" s="496"/>
    </row>
    <row r="69" spans="1:10" x14ac:dyDescent="0.2">
      <c r="A69" s="34" t="s">
        <v>434</v>
      </c>
      <c r="B69" s="151">
        <f>'[1]TP aggregated'!$H$43</f>
        <v>1.33672257607653</v>
      </c>
      <c r="C69" s="368">
        <f t="shared" si="15"/>
        <v>7.9795003214057077E-5</v>
      </c>
      <c r="D69" s="151">
        <f t="shared" si="31"/>
        <v>1.33672257607653</v>
      </c>
      <c r="E69" s="151">
        <f t="shared" ref="E69:E73" si="34">D69</f>
        <v>1.33672257607653</v>
      </c>
      <c r="F69" s="368">
        <f t="shared" ref="F69:F75" si="35">E69/(D$139-D$136-D$123-D$124-D$115-D$116-D$106-D$107-D$96-D$97-D$81-D$82-D$78-D$66-D$67-D$53-D$54-D$39-D$40-D$27-D$28-D$15-D$16-D$6-D$7)</f>
        <v>1.3919446623800831E-4</v>
      </c>
      <c r="G69" s="151">
        <f t="shared" si="33"/>
        <v>0.712949351333519</v>
      </c>
      <c r="H69" s="72"/>
      <c r="I69" s="151">
        <f t="shared" si="2"/>
        <v>1.33672257607653</v>
      </c>
      <c r="J69" s="496"/>
    </row>
    <row r="70" spans="1:10" x14ac:dyDescent="0.2">
      <c r="A70" s="34" t="s">
        <v>8</v>
      </c>
      <c r="B70" s="151">
        <f>'[1]TP aggregated'!$H$40</f>
        <v>68.026316286513719</v>
      </c>
      <c r="C70" s="368">
        <f t="shared" ref="C70:C101" si="36">B70/B$139</f>
        <v>4.0607978228775366E-3</v>
      </c>
      <c r="D70" s="151">
        <f t="shared" si="31"/>
        <v>68.026316286513719</v>
      </c>
      <c r="E70" s="151">
        <f t="shared" si="34"/>
        <v>68.026316286513719</v>
      </c>
      <c r="F70" s="368">
        <f t="shared" si="35"/>
        <v>7.083658909563517E-3</v>
      </c>
      <c r="G70" s="151">
        <f t="shared" si="33"/>
        <v>36.282261508914672</v>
      </c>
      <c r="H70" s="72"/>
      <c r="I70" s="151">
        <f t="shared" ref="I70:I133" si="37">D70</f>
        <v>68.026316286513719</v>
      </c>
      <c r="J70" s="496"/>
    </row>
    <row r="71" spans="1:10" x14ac:dyDescent="0.2">
      <c r="A71" s="34" t="s">
        <v>680</v>
      </c>
      <c r="B71" s="151">
        <f>'[1]TP aggregated'!$H$41</f>
        <v>75.217840558128984</v>
      </c>
      <c r="C71" s="368">
        <f t="shared" si="36"/>
        <v>4.4900923621018487E-3</v>
      </c>
      <c r="D71" s="151">
        <f t="shared" si="31"/>
        <v>75.217840558128984</v>
      </c>
      <c r="E71" s="151">
        <f t="shared" si="34"/>
        <v>75.217840558128984</v>
      </c>
      <c r="F71" s="368">
        <f t="shared" si="35"/>
        <v>7.8325206407413549E-3</v>
      </c>
      <c r="G71" s="151">
        <f t="shared" si="33"/>
        <v>40.117905984671495</v>
      </c>
      <c r="H71" s="72"/>
      <c r="I71" s="151">
        <f t="shared" si="37"/>
        <v>75.217840558128984</v>
      </c>
      <c r="J71" s="496"/>
    </row>
    <row r="72" spans="1:10" x14ac:dyDescent="0.2">
      <c r="A72" s="34" t="s">
        <v>436</v>
      </c>
      <c r="B72" s="151">
        <f>'[1]TP aggregated'!$H$42</f>
        <v>1.0625167084514637</v>
      </c>
      <c r="C72" s="368">
        <f t="shared" si="36"/>
        <v>6.3426417480525802E-5</v>
      </c>
      <c r="D72" s="151">
        <f t="shared" si="31"/>
        <v>1.0625167084514637</v>
      </c>
      <c r="E72" s="151">
        <f t="shared" si="34"/>
        <v>1.0625167084514637</v>
      </c>
      <c r="F72" s="368">
        <f t="shared" si="35"/>
        <v>1.1064109243666999E-4</v>
      </c>
      <c r="G72" s="151">
        <f t="shared" si="33"/>
        <v>0.56669993581983702</v>
      </c>
      <c r="H72" s="72"/>
      <c r="I72" s="151">
        <f t="shared" si="37"/>
        <v>1.0625167084514637</v>
      </c>
      <c r="J72" s="496"/>
    </row>
    <row r="73" spans="1:10" x14ac:dyDescent="0.2">
      <c r="A73" s="32" t="s">
        <v>464</v>
      </c>
      <c r="B73" s="151">
        <f>B74+B75</f>
        <v>432.2</v>
      </c>
      <c r="C73" s="368">
        <f t="shared" si="36"/>
        <v>2.5799968524763659E-2</v>
      </c>
      <c r="D73" s="151">
        <f t="shared" si="31"/>
        <v>432.2</v>
      </c>
      <c r="E73" s="151">
        <f t="shared" si="34"/>
        <v>432.2</v>
      </c>
      <c r="F73" s="368">
        <f t="shared" si="35"/>
        <v>4.5005485345092966E-2</v>
      </c>
      <c r="G73" s="151">
        <f t="shared" si="33"/>
        <v>230.51657476360711</v>
      </c>
      <c r="H73" s="72"/>
      <c r="I73" s="151">
        <f t="shared" si="37"/>
        <v>432.2</v>
      </c>
      <c r="J73" s="496"/>
    </row>
    <row r="74" spans="1:10" x14ac:dyDescent="0.2">
      <c r="A74" s="34" t="s">
        <v>677</v>
      </c>
      <c r="B74" s="151">
        <f>[2]TPcorrected!$U$72</f>
        <v>5.7</v>
      </c>
      <c r="C74" s="368">
        <f t="shared" si="36"/>
        <v>3.4025872418128842E-4</v>
      </c>
      <c r="D74" s="151">
        <f t="shared" si="31"/>
        <v>5.7</v>
      </c>
      <c r="E74" s="151">
        <f t="shared" ref="E74:E75" si="38">D74</f>
        <v>5.7</v>
      </c>
      <c r="F74" s="368">
        <f t="shared" si="35"/>
        <v>5.9354758553223027E-4</v>
      </c>
      <c r="G74" s="151">
        <f t="shared" si="33"/>
        <v>3.0401306713386407</v>
      </c>
      <c r="H74" s="72"/>
      <c r="I74" s="151">
        <f t="shared" si="37"/>
        <v>5.7</v>
      </c>
      <c r="J74" s="496"/>
    </row>
    <row r="75" spans="1:10" x14ac:dyDescent="0.2">
      <c r="A75" s="34" t="s">
        <v>678</v>
      </c>
      <c r="B75" s="151">
        <f>[2]TPcorrected!$U$71</f>
        <v>426.5</v>
      </c>
      <c r="C75" s="368">
        <f t="shared" si="36"/>
        <v>2.5459709800582372E-2</v>
      </c>
      <c r="D75" s="151">
        <f t="shared" si="31"/>
        <v>426.5</v>
      </c>
      <c r="E75" s="151">
        <f t="shared" si="38"/>
        <v>426.5</v>
      </c>
      <c r="F75" s="368">
        <f t="shared" si="35"/>
        <v>4.4411937759560739E-2</v>
      </c>
      <c r="G75" s="151">
        <f t="shared" si="33"/>
        <v>227.47644409226848</v>
      </c>
      <c r="H75" s="72"/>
      <c r="I75" s="151">
        <f t="shared" si="37"/>
        <v>426.5</v>
      </c>
      <c r="J75" s="496"/>
    </row>
    <row r="76" spans="1:10" x14ac:dyDescent="0.2">
      <c r="A76" s="498" t="s">
        <v>465</v>
      </c>
      <c r="B76" s="151">
        <f>'[1]TP aggregated'!$H$44</f>
        <v>77.861286981039655</v>
      </c>
      <c r="C76" s="368">
        <f t="shared" si="36"/>
        <v>4.6478916089967917E-3</v>
      </c>
      <c r="D76" s="151"/>
      <c r="E76" s="151"/>
      <c r="F76" s="72"/>
      <c r="G76" s="151"/>
      <c r="H76" s="72"/>
      <c r="I76" s="151"/>
      <c r="J76" s="496"/>
    </row>
    <row r="77" spans="1:10" x14ac:dyDescent="0.2">
      <c r="A77" s="32" t="s">
        <v>466</v>
      </c>
      <c r="B77" s="151">
        <f>B78</f>
        <v>45.976748274098995</v>
      </c>
      <c r="C77" s="368">
        <f t="shared" si="36"/>
        <v>2.7445595982016104E-3</v>
      </c>
      <c r="D77" s="151">
        <f t="shared" ref="D77:D78" si="39">B77</f>
        <v>45.976748274098995</v>
      </c>
      <c r="E77" s="151"/>
      <c r="F77" s="72"/>
      <c r="G77" s="151"/>
      <c r="H77" s="72"/>
      <c r="I77" s="151">
        <f t="shared" si="37"/>
        <v>45.976748274098995</v>
      </c>
      <c r="J77" s="496"/>
    </row>
    <row r="78" spans="1:10" x14ac:dyDescent="0.2">
      <c r="A78" s="34" t="s">
        <v>6</v>
      </c>
      <c r="B78" s="151">
        <f>'[1]TP aggregated'!$H$45</f>
        <v>45.976748274098995</v>
      </c>
      <c r="C78" s="368">
        <f t="shared" si="36"/>
        <v>2.7445595982016104E-3</v>
      </c>
      <c r="D78" s="151">
        <f t="shared" si="39"/>
        <v>45.976748274098995</v>
      </c>
      <c r="E78" s="151"/>
      <c r="F78" s="72"/>
      <c r="G78" s="151"/>
      <c r="H78" s="72"/>
      <c r="I78" s="151">
        <f t="shared" si="37"/>
        <v>45.976748274098995</v>
      </c>
      <c r="J78" s="496"/>
    </row>
    <row r="79" spans="1:10" x14ac:dyDescent="0.2">
      <c r="A79" s="498" t="s">
        <v>467</v>
      </c>
      <c r="B79" s="151">
        <f>'[1]TP aggregated'!$H$47</f>
        <v>203.649366217725</v>
      </c>
      <c r="C79" s="368">
        <f t="shared" si="36"/>
        <v>1.2156749742030015E-2</v>
      </c>
      <c r="D79" s="151"/>
      <c r="E79" s="151"/>
      <c r="F79" s="72"/>
      <c r="G79" s="151"/>
      <c r="H79" s="72"/>
      <c r="I79" s="151">
        <f t="shared" si="37"/>
        <v>0</v>
      </c>
      <c r="J79" s="496"/>
    </row>
    <row r="80" spans="1:10" x14ac:dyDescent="0.2">
      <c r="A80" s="32" t="s">
        <v>468</v>
      </c>
      <c r="B80" s="151">
        <f>B81+B82</f>
        <v>103.15224809146473</v>
      </c>
      <c r="C80" s="368">
        <f t="shared" si="36"/>
        <v>6.1576232161462338E-3</v>
      </c>
      <c r="D80" s="151">
        <f t="shared" ref="D80:D93" si="40">B80</f>
        <v>103.15224809146473</v>
      </c>
      <c r="E80" s="151"/>
      <c r="F80" s="72"/>
      <c r="G80" s="151"/>
      <c r="H80" s="72"/>
      <c r="I80" s="151">
        <f t="shared" si="37"/>
        <v>103.15224809146473</v>
      </c>
      <c r="J80" s="496"/>
    </row>
    <row r="81" spans="1:10" x14ac:dyDescent="0.2">
      <c r="A81" s="34" t="s">
        <v>5</v>
      </c>
      <c r="B81" s="151">
        <f>'[1]TP aggregated'!$H$49</f>
        <v>7.2087548478546095</v>
      </c>
      <c r="C81" s="368">
        <f t="shared" si="36"/>
        <v>4.3032311008187496E-4</v>
      </c>
      <c r="D81" s="151">
        <f t="shared" si="40"/>
        <v>7.2087548478546095</v>
      </c>
      <c r="E81" s="151"/>
      <c r="F81" s="72"/>
      <c r="G81" s="151"/>
      <c r="H81" s="72"/>
      <c r="I81" s="151">
        <f t="shared" si="37"/>
        <v>7.2087548478546095</v>
      </c>
      <c r="J81" s="496"/>
    </row>
    <row r="82" spans="1:10" x14ac:dyDescent="0.2">
      <c r="A82" s="34" t="s">
        <v>6</v>
      </c>
      <c r="B82" s="151">
        <f>'[1]TP aggregated'!$H$48</f>
        <v>95.943493243610121</v>
      </c>
      <c r="C82" s="368">
        <f t="shared" si="36"/>
        <v>5.727300106064359E-3</v>
      </c>
      <c r="D82" s="151">
        <f t="shared" si="40"/>
        <v>95.943493243610121</v>
      </c>
      <c r="E82" s="151"/>
      <c r="F82" s="72"/>
      <c r="G82" s="151"/>
      <c r="H82" s="72"/>
      <c r="I82" s="151">
        <f t="shared" si="37"/>
        <v>95.943493243610121</v>
      </c>
      <c r="J82" s="496"/>
    </row>
    <row r="83" spans="1:10" x14ac:dyDescent="0.2">
      <c r="A83" s="32" t="s">
        <v>469</v>
      </c>
      <c r="B83" s="151">
        <f>B84+B85+B86+B87+B89+B88</f>
        <v>410.86356904664291</v>
      </c>
      <c r="C83" s="368">
        <f t="shared" si="36"/>
        <v>2.4526300669540601E-2</v>
      </c>
      <c r="D83" s="151">
        <f t="shared" si="40"/>
        <v>410.86356904664291</v>
      </c>
      <c r="E83" s="151">
        <f>D83</f>
        <v>410.86356904664291</v>
      </c>
      <c r="F83" s="368">
        <f t="shared" ref="F83" si="41">E83/(D$139-D$136-D$123-D$124-D$115-D$116-D$106-D$107-D$96-D$97-D$81-D$82-D$78-D$66-D$67-D$53-D$54-D$39-D$40-D$27-D$28-D$15-D$16-D$6-D$7)</f>
        <v>4.2783698138735025E-2</v>
      </c>
      <c r="G83" s="151">
        <f t="shared" ref="G83:G93" si="42">F83*D$141</f>
        <v>219.13665578848426</v>
      </c>
      <c r="H83" s="72"/>
      <c r="I83" s="151">
        <f t="shared" si="37"/>
        <v>410.86356904664291</v>
      </c>
      <c r="J83" s="496"/>
    </row>
    <row r="84" spans="1:10" x14ac:dyDescent="0.2">
      <c r="A84" s="34" t="s">
        <v>434</v>
      </c>
      <c r="B84" s="151">
        <f>'[1]TP aggregated'!$H$53</f>
        <v>4.6700159087623732</v>
      </c>
      <c r="C84" s="368">
        <f t="shared" si="36"/>
        <v>2.7877432544242201E-4</v>
      </c>
      <c r="D84" s="151">
        <f t="shared" si="40"/>
        <v>4.6700159087623732</v>
      </c>
      <c r="E84" s="151">
        <f t="shared" ref="E84:E90" si="43">D84</f>
        <v>4.6700159087623732</v>
      </c>
      <c r="F84" s="368">
        <f t="shared" ref="F84:F93" si="44">E84/(D$139-D$136-D$123-D$124-D$115-D$116-D$106-D$107-D$96-D$97-D$81-D$82-D$78-D$66-D$67-D$53-D$54-D$39-D$40-D$27-D$28-D$15-D$16-D$6-D$7)</f>
        <v>4.8629415211280886E-4</v>
      </c>
      <c r="G84" s="151">
        <f t="shared" si="42"/>
        <v>2.4907822105031379</v>
      </c>
      <c r="H84" s="72"/>
      <c r="I84" s="151">
        <f t="shared" si="37"/>
        <v>4.6700159087623732</v>
      </c>
      <c r="J84" s="496"/>
    </row>
    <row r="85" spans="1:10" x14ac:dyDescent="0.2">
      <c r="A85" s="34" t="s">
        <v>8</v>
      </c>
      <c r="B85" s="151">
        <f>'[1]TP aggregated'!$H$50</f>
        <v>59.705527337725179</v>
      </c>
      <c r="C85" s="368">
        <f t="shared" si="36"/>
        <v>3.5640923786851592E-3</v>
      </c>
      <c r="D85" s="151">
        <f t="shared" si="40"/>
        <v>59.705527337725179</v>
      </c>
      <c r="E85" s="151">
        <f t="shared" si="43"/>
        <v>59.705527337725179</v>
      </c>
      <c r="F85" s="368">
        <f t="shared" si="44"/>
        <v>6.2172055428483062E-3</v>
      </c>
      <c r="G85" s="151">
        <f t="shared" si="42"/>
        <v>31.844316650502808</v>
      </c>
      <c r="H85" s="72"/>
      <c r="I85" s="151">
        <f t="shared" si="37"/>
        <v>59.705527337725179</v>
      </c>
      <c r="J85" s="496"/>
    </row>
    <row r="86" spans="1:10" x14ac:dyDescent="0.2">
      <c r="A86" s="34" t="s">
        <v>435</v>
      </c>
      <c r="B86" s="151">
        <f>[2]TPcorrected!$U$87</f>
        <v>192.1</v>
      </c>
      <c r="C86" s="368">
        <f t="shared" si="36"/>
        <v>1.1467315950039561E-2</v>
      </c>
      <c r="D86" s="151">
        <f t="shared" si="40"/>
        <v>192.1</v>
      </c>
      <c r="E86" s="151">
        <f t="shared" si="43"/>
        <v>192.1</v>
      </c>
      <c r="F86" s="368">
        <f t="shared" si="44"/>
        <v>2.0003594943989723E-2</v>
      </c>
      <c r="G86" s="151">
        <f t="shared" si="42"/>
        <v>102.45773718669348</v>
      </c>
      <c r="H86" s="72"/>
      <c r="I86" s="151">
        <f t="shared" si="37"/>
        <v>192.1</v>
      </c>
      <c r="J86" s="496"/>
    </row>
    <row r="87" spans="1:10" x14ac:dyDescent="0.2">
      <c r="A87" s="34" t="s">
        <v>680</v>
      </c>
      <c r="B87" s="151">
        <f>[2]TPcorrected!$U$88</f>
        <v>83.9</v>
      </c>
      <c r="C87" s="368">
        <f t="shared" si="36"/>
        <v>5.0083696418965085E-3</v>
      </c>
      <c r="D87" s="151">
        <f t="shared" si="40"/>
        <v>83.9</v>
      </c>
      <c r="E87" s="151">
        <f t="shared" ref="E87" si="45">D87</f>
        <v>83.9</v>
      </c>
      <c r="F87" s="368">
        <f t="shared" si="44"/>
        <v>8.7366039344130043E-3</v>
      </c>
      <c r="G87" s="151">
        <f t="shared" si="42"/>
        <v>44.748590057072278</v>
      </c>
      <c r="H87" s="72"/>
      <c r="I87" s="151">
        <f t="shared" si="37"/>
        <v>83.9</v>
      </c>
      <c r="J87" s="496"/>
    </row>
    <row r="88" spans="1:10" x14ac:dyDescent="0.2">
      <c r="A88" s="34" t="s">
        <v>437</v>
      </c>
      <c r="B88" s="151">
        <f>'[1]TP aggregated'!$H$54</f>
        <v>48.394659394281852</v>
      </c>
      <c r="C88" s="368">
        <f t="shared" si="36"/>
        <v>2.8888956250326925E-3</v>
      </c>
      <c r="D88" s="151">
        <f t="shared" si="40"/>
        <v>48.394659394281852</v>
      </c>
      <c r="E88" s="151">
        <f t="shared" si="43"/>
        <v>48.394659394281852</v>
      </c>
      <c r="F88" s="368">
        <f t="shared" si="44"/>
        <v>5.0393917958123959E-3</v>
      </c>
      <c r="G88" s="151">
        <f t="shared" si="42"/>
        <v>25.811594447989989</v>
      </c>
      <c r="H88" s="72"/>
      <c r="I88" s="151">
        <f t="shared" si="37"/>
        <v>48.394659394281852</v>
      </c>
      <c r="J88" s="496"/>
    </row>
    <row r="89" spans="1:10" x14ac:dyDescent="0.2">
      <c r="A89" s="34" t="s">
        <v>438</v>
      </c>
      <c r="B89" s="151">
        <f>'[1]TP aggregated'!$H$55</f>
        <v>22.093366405873578</v>
      </c>
      <c r="C89" s="368">
        <f t="shared" si="36"/>
        <v>1.3188527484442598E-3</v>
      </c>
      <c r="D89" s="151">
        <f t="shared" si="40"/>
        <v>22.093366405873578</v>
      </c>
      <c r="E89" s="151">
        <f t="shared" si="43"/>
        <v>22.093366405873578</v>
      </c>
      <c r="F89" s="368">
        <f t="shared" si="44"/>
        <v>2.3006077695587983E-3</v>
      </c>
      <c r="G89" s="151">
        <f t="shared" si="42"/>
        <v>11.783635235722635</v>
      </c>
      <c r="H89" s="72"/>
      <c r="I89" s="151">
        <f t="shared" si="37"/>
        <v>22.093366405873578</v>
      </c>
      <c r="J89" s="496"/>
    </row>
    <row r="90" spans="1:10" x14ac:dyDescent="0.2">
      <c r="A90" s="180" t="s">
        <v>470</v>
      </c>
      <c r="B90" s="151">
        <f>B91+B92+B93</f>
        <v>197.29999999999998</v>
      </c>
      <c r="C90" s="368">
        <f t="shared" si="36"/>
        <v>1.177772741771372E-2</v>
      </c>
      <c r="D90" s="151">
        <f t="shared" si="40"/>
        <v>197.29999999999998</v>
      </c>
      <c r="E90" s="151">
        <f t="shared" si="43"/>
        <v>197.29999999999998</v>
      </c>
      <c r="F90" s="368">
        <f t="shared" si="44"/>
        <v>2.0545076951843686E-2</v>
      </c>
      <c r="G90" s="151">
        <f t="shared" si="42"/>
        <v>105.23118972896732</v>
      </c>
      <c r="H90" s="72"/>
      <c r="I90" s="151">
        <f t="shared" si="37"/>
        <v>197.29999999999998</v>
      </c>
      <c r="J90" s="496"/>
    </row>
    <row r="91" spans="1:10" x14ac:dyDescent="0.2">
      <c r="A91" s="610" t="s">
        <v>677</v>
      </c>
      <c r="B91" s="151">
        <f>[2]TPcorrected!$U$91</f>
        <v>138.1</v>
      </c>
      <c r="C91" s="368">
        <f t="shared" si="36"/>
        <v>8.2438122472694615E-3</v>
      </c>
      <c r="D91" s="151">
        <f t="shared" si="40"/>
        <v>138.1</v>
      </c>
      <c r="E91" s="151">
        <f t="shared" ref="E91:E93" si="46">D91</f>
        <v>138.1</v>
      </c>
      <c r="F91" s="368">
        <f t="shared" si="44"/>
        <v>1.4380512554737017E-2</v>
      </c>
      <c r="G91" s="151">
        <f t="shared" si="42"/>
        <v>73.656499247695834</v>
      </c>
      <c r="H91" s="72"/>
      <c r="I91" s="151">
        <f t="shared" si="37"/>
        <v>138.1</v>
      </c>
      <c r="J91" s="496"/>
    </row>
    <row r="92" spans="1:10" x14ac:dyDescent="0.2">
      <c r="A92" s="610" t="s">
        <v>678</v>
      </c>
      <c r="B92" s="151">
        <f>[2]TPcorrected!$U$90</f>
        <v>59.1</v>
      </c>
      <c r="C92" s="368">
        <f t="shared" si="36"/>
        <v>3.5279457191428327E-3</v>
      </c>
      <c r="D92" s="151">
        <f t="shared" si="40"/>
        <v>59.1</v>
      </c>
      <c r="E92" s="151">
        <f t="shared" si="46"/>
        <v>59.1</v>
      </c>
      <c r="F92" s="368">
        <f t="shared" si="44"/>
        <v>6.1541512815710192E-3</v>
      </c>
      <c r="G92" s="151">
        <f t="shared" si="42"/>
        <v>31.52135485545854</v>
      </c>
      <c r="H92" s="72"/>
      <c r="I92" s="151">
        <f t="shared" si="37"/>
        <v>59.1</v>
      </c>
      <c r="J92" s="496"/>
    </row>
    <row r="93" spans="1:10" x14ac:dyDescent="0.2">
      <c r="A93" s="610" t="s">
        <v>679</v>
      </c>
      <c r="B93" s="151">
        <f>[2]TPcorrected!$U$92</f>
        <v>0.1</v>
      </c>
      <c r="C93" s="368">
        <f t="shared" si="36"/>
        <v>5.9694513014261131E-6</v>
      </c>
      <c r="D93" s="151">
        <f t="shared" si="40"/>
        <v>0.1</v>
      </c>
      <c r="E93" s="151">
        <f t="shared" si="46"/>
        <v>0.1</v>
      </c>
      <c r="F93" s="368">
        <f t="shared" si="44"/>
        <v>1.0413115535653163E-5</v>
      </c>
      <c r="G93" s="151">
        <f t="shared" si="42"/>
        <v>5.3335625812958608E-2</v>
      </c>
      <c r="H93" s="72"/>
      <c r="I93" s="151">
        <f t="shared" si="37"/>
        <v>0.1</v>
      </c>
      <c r="J93" s="496"/>
    </row>
    <row r="94" spans="1:10" x14ac:dyDescent="0.2">
      <c r="A94" s="499" t="s">
        <v>471</v>
      </c>
      <c r="B94" s="151">
        <f>'[1]TP aggregated'!$H$57</f>
        <v>64.614419202982887</v>
      </c>
      <c r="C94" s="368">
        <f t="shared" si="36"/>
        <v>3.857126288021386E-3</v>
      </c>
      <c r="D94" s="151"/>
      <c r="E94" s="151"/>
      <c r="F94" s="608"/>
      <c r="G94" s="151"/>
      <c r="H94" s="72"/>
      <c r="I94" s="151"/>
      <c r="J94" s="496"/>
    </row>
    <row r="95" spans="1:10" x14ac:dyDescent="0.2">
      <c r="A95" s="180" t="s">
        <v>472</v>
      </c>
      <c r="B95" s="151">
        <f>B96+B97</f>
        <v>66.869609309287981</v>
      </c>
      <c r="C95" s="368">
        <f t="shared" si="36"/>
        <v>3.9917487631718485E-3</v>
      </c>
      <c r="D95" s="151">
        <f t="shared" ref="D95:D103" si="47">B95</f>
        <v>66.869609309287981</v>
      </c>
      <c r="E95" s="151"/>
      <c r="F95" s="608"/>
      <c r="G95" s="151"/>
      <c r="H95" s="72"/>
      <c r="I95" s="151">
        <f t="shared" si="37"/>
        <v>66.869609309287981</v>
      </c>
      <c r="J95" s="496"/>
    </row>
    <row r="96" spans="1:10" x14ac:dyDescent="0.2">
      <c r="A96" s="30" t="s">
        <v>5</v>
      </c>
      <c r="B96" s="151">
        <f>'[1]TP aggregated'!$H$59</f>
        <v>1.1313830142234891</v>
      </c>
      <c r="C96" s="368">
        <f t="shared" si="36"/>
        <v>6.7537358066678047E-5</v>
      </c>
      <c r="D96" s="151">
        <f t="shared" si="47"/>
        <v>1.1313830142234891</v>
      </c>
      <c r="E96" s="151"/>
      <c r="F96" s="72"/>
      <c r="G96" s="151"/>
      <c r="H96" s="72"/>
      <c r="I96" s="151">
        <f t="shared" si="37"/>
        <v>1.1313830142234891</v>
      </c>
      <c r="J96" s="496"/>
    </row>
    <row r="97" spans="1:10" x14ac:dyDescent="0.2">
      <c r="A97" s="30" t="s">
        <v>6</v>
      </c>
      <c r="B97" s="151">
        <f>'[1]TP aggregated'!$H$58</f>
        <v>65.738226295064493</v>
      </c>
      <c r="C97" s="368">
        <f t="shared" si="36"/>
        <v>3.9242114051051703E-3</v>
      </c>
      <c r="D97" s="151">
        <f t="shared" si="47"/>
        <v>65.738226295064493</v>
      </c>
      <c r="E97" s="151"/>
      <c r="F97" s="72"/>
      <c r="G97" s="151"/>
      <c r="H97" s="72"/>
      <c r="I97" s="151">
        <f t="shared" si="37"/>
        <v>65.738226295064493</v>
      </c>
      <c r="J97" s="496"/>
    </row>
    <row r="98" spans="1:10" x14ac:dyDescent="0.2">
      <c r="A98" s="181" t="s">
        <v>473</v>
      </c>
      <c r="B98" s="151">
        <f>B99+B100</f>
        <v>291.19160739073317</v>
      </c>
      <c r="C98" s="368">
        <f t="shared" si="36"/>
        <v>1.7382541197029738E-2</v>
      </c>
      <c r="D98" s="151">
        <f t="shared" si="47"/>
        <v>291.19160739073317</v>
      </c>
      <c r="E98" s="151">
        <f>D98</f>
        <v>291.19160739073317</v>
      </c>
      <c r="F98" s="368">
        <f t="shared" ref="F98" si="48">E98/(D$139-D$136-D$123-D$124-D$115-D$116-D$106-D$107-D$96-D$97-D$81-D$82-D$78-D$66-D$67-D$53-D$54-D$39-D$40-D$27-D$28-D$15-D$16-D$6-D$7)</f>
        <v>3.0322118507722595E-2</v>
      </c>
      <c r="G98" s="151">
        <f t="shared" ref="G98:G103" si="49">F98*D$141</f>
        <v>155.30886611666097</v>
      </c>
      <c r="H98" s="72"/>
      <c r="I98" s="151">
        <f t="shared" si="37"/>
        <v>291.19160739073317</v>
      </c>
      <c r="J98" s="496"/>
    </row>
    <row r="99" spans="1:10" x14ac:dyDescent="0.2">
      <c r="A99" s="30" t="s">
        <v>8</v>
      </c>
      <c r="B99" s="151">
        <f>'[1]TP aggregated'!$H$60</f>
        <v>240.95505422807068</v>
      </c>
      <c r="C99" s="368">
        <f t="shared" si="36"/>
        <v>1.438369462046956E-2</v>
      </c>
      <c r="D99" s="151">
        <f t="shared" si="47"/>
        <v>240.95505422807068</v>
      </c>
      <c r="E99" s="151">
        <f t="shared" ref="E99:E101" si="50">D99</f>
        <v>240.95505422807068</v>
      </c>
      <c r="F99" s="368">
        <f>E99/(D$139-D$136-D$123-D$124-D$115-D$116-D$106-D$107-D$96-D$97-D$81-D$82-D$78-D$66-D$67-D$53-D$54-D$39-D$40-D$27-D$28-D$15-D$16-D$6-D$7)</f>
        <v>2.5090928185764728E-2</v>
      </c>
      <c r="G99" s="151">
        <f t="shared" si="49"/>
        <v>128.51488610049526</v>
      </c>
      <c r="H99" s="72"/>
      <c r="I99" s="151">
        <f t="shared" si="37"/>
        <v>240.95505422807068</v>
      </c>
      <c r="J99" s="496"/>
    </row>
    <row r="100" spans="1:10" x14ac:dyDescent="0.2">
      <c r="A100" s="34" t="s">
        <v>680</v>
      </c>
      <c r="B100" s="151">
        <f>'[1]TP aggregated'!$H$61</f>
        <v>50.236553162662496</v>
      </c>
      <c r="C100" s="368">
        <f t="shared" si="36"/>
        <v>2.9988465765601771E-3</v>
      </c>
      <c r="D100" s="151">
        <f t="shared" si="47"/>
        <v>50.236553162662496</v>
      </c>
      <c r="E100" s="151">
        <f t="shared" si="50"/>
        <v>50.236553162662496</v>
      </c>
      <c r="F100" s="368">
        <f>E100/(D$139-D$136-D$123-D$124-D$115-D$116-D$106-D$107-D$96-D$97-D$81-D$82-D$78-D$66-D$67-D$53-D$54-D$39-D$40-D$27-D$28-D$15-D$16-D$6-D$7)</f>
        <v>5.2311903219578685E-3</v>
      </c>
      <c r="G100" s="151">
        <f t="shared" si="49"/>
        <v>26.793980016165694</v>
      </c>
      <c r="H100" s="72"/>
      <c r="I100" s="151">
        <f t="shared" si="37"/>
        <v>50.236553162662496</v>
      </c>
      <c r="J100" s="496"/>
    </row>
    <row r="101" spans="1:10" x14ac:dyDescent="0.2">
      <c r="A101" s="32" t="s">
        <v>474</v>
      </c>
      <c r="B101" s="151">
        <f>B102+B103</f>
        <v>103.7</v>
      </c>
      <c r="C101" s="368">
        <f t="shared" si="36"/>
        <v>6.1903209995788789E-3</v>
      </c>
      <c r="D101" s="151">
        <f t="shared" si="47"/>
        <v>103.7</v>
      </c>
      <c r="E101" s="151">
        <f t="shared" si="50"/>
        <v>103.7</v>
      </c>
      <c r="F101" s="368">
        <f>E101/(D$139-D$136-D$123-D$124-D$115-D$116-D$106-D$107-D$96-D$97-D$81-D$82-D$78-D$66-D$67-D$53-D$54-D$39-D$40-D$27-D$28-D$15-D$16-D$6-D$7)</f>
        <v>1.079840081047233E-2</v>
      </c>
      <c r="G101" s="151">
        <f t="shared" si="49"/>
        <v>55.309043968038075</v>
      </c>
      <c r="H101" s="72"/>
      <c r="I101" s="151">
        <f t="shared" si="37"/>
        <v>103.7</v>
      </c>
      <c r="J101" s="496"/>
    </row>
    <row r="102" spans="1:10" x14ac:dyDescent="0.2">
      <c r="A102" s="170" t="s">
        <v>677</v>
      </c>
      <c r="B102" s="655">
        <f>[2]TPcorrected!$U$102</f>
        <v>5</v>
      </c>
      <c r="C102" s="368">
        <f t="shared" ref="C102:C131" si="51">B102/B$139</f>
        <v>2.9847256507130565E-4</v>
      </c>
      <c r="D102" s="151">
        <f t="shared" si="47"/>
        <v>5</v>
      </c>
      <c r="E102" s="151">
        <f t="shared" ref="E102:E103" si="52">D102</f>
        <v>5</v>
      </c>
      <c r="F102" s="368">
        <f>E102/(D$139-D$136-D$123-D$124-D$115-D$116-D$106-D$107-D$96-D$97-D$81-D$82-D$78-D$66-D$67-D$53-D$54-D$39-D$40-D$27-D$28-D$15-D$16-D$6-D$7)</f>
        <v>5.2065577678265813E-4</v>
      </c>
      <c r="G102" s="151">
        <f t="shared" si="49"/>
        <v>2.6667812906479305</v>
      </c>
      <c r="H102" s="146"/>
      <c r="I102" s="151">
        <f t="shared" si="37"/>
        <v>5</v>
      </c>
      <c r="J102" s="146"/>
    </row>
    <row r="103" spans="1:10" x14ac:dyDescent="0.2">
      <c r="A103" s="170" t="s">
        <v>678</v>
      </c>
      <c r="B103" s="655">
        <f>[2]TPcorrected!$U$101</f>
        <v>98.7</v>
      </c>
      <c r="C103" s="368">
        <f t="shared" si="51"/>
        <v>5.891848434507573E-3</v>
      </c>
      <c r="D103" s="151">
        <f t="shared" si="47"/>
        <v>98.7</v>
      </c>
      <c r="E103" s="151">
        <f t="shared" si="52"/>
        <v>98.7</v>
      </c>
      <c r="F103" s="368">
        <f>E103/(D$139-D$136-D$123-D$124-D$115-D$116-D$106-D$107-D$96-D$97-D$81-D$82-D$78-D$66-D$67-D$53-D$54-D$39-D$40-D$27-D$28-D$15-D$16-D$6-D$7)</f>
        <v>1.027774503368967E-2</v>
      </c>
      <c r="G103" s="151">
        <f t="shared" si="49"/>
        <v>52.642262677390143</v>
      </c>
      <c r="H103" s="146"/>
      <c r="I103" s="151">
        <f t="shared" si="37"/>
        <v>98.7</v>
      </c>
      <c r="J103" s="146"/>
    </row>
    <row r="104" spans="1:10" x14ac:dyDescent="0.2">
      <c r="A104" s="173" t="s">
        <v>475</v>
      </c>
      <c r="B104" s="71">
        <f>'[1]TP aggregated'!$H$63</f>
        <v>41.905419896756641</v>
      </c>
      <c r="C104" s="368">
        <f t="shared" si="51"/>
        <v>2.5015236333950164E-3</v>
      </c>
      <c r="D104" s="151"/>
      <c r="E104" s="71"/>
      <c r="G104" s="71"/>
      <c r="I104" s="151"/>
    </row>
    <row r="105" spans="1:10" x14ac:dyDescent="0.2">
      <c r="A105" s="27" t="s">
        <v>476</v>
      </c>
      <c r="B105" s="151">
        <f>B106+B107</f>
        <v>43.45665472231444</v>
      </c>
      <c r="C105" s="368">
        <f t="shared" si="51"/>
        <v>2.5941238408774517E-3</v>
      </c>
      <c r="D105" s="151">
        <f t="shared" ref="D105:D112" si="53">B105</f>
        <v>43.45665472231444</v>
      </c>
      <c r="E105" s="151"/>
      <c r="F105" s="72"/>
      <c r="G105" s="151"/>
      <c r="H105" s="72"/>
      <c r="I105" s="151">
        <f t="shared" si="37"/>
        <v>43.45665472231444</v>
      </c>
      <c r="J105" s="496"/>
    </row>
    <row r="106" spans="1:10" x14ac:dyDescent="0.2">
      <c r="A106" s="29" t="s">
        <v>5</v>
      </c>
      <c r="B106" s="151">
        <f>'[1]TP aggregated'!$H$65</f>
        <v>8.771308675015251E-4</v>
      </c>
      <c r="C106" s="368">
        <f t="shared" si="51"/>
        <v>5.2359899985279939E-8</v>
      </c>
      <c r="D106" s="151">
        <f t="shared" si="53"/>
        <v>8.771308675015251E-4</v>
      </c>
      <c r="E106" s="151"/>
      <c r="F106" s="72"/>
      <c r="G106" s="151"/>
      <c r="H106" s="72"/>
      <c r="I106" s="151">
        <f t="shared" si="37"/>
        <v>8.771308675015251E-4</v>
      </c>
      <c r="J106" s="496"/>
    </row>
    <row r="107" spans="1:10" x14ac:dyDescent="0.2">
      <c r="A107" s="29" t="s">
        <v>6</v>
      </c>
      <c r="B107" s="151">
        <f>'[1]TP aggregated'!$H$64</f>
        <v>43.455777591446939</v>
      </c>
      <c r="C107" s="368">
        <f t="shared" si="51"/>
        <v>2.5940714809774661E-3</v>
      </c>
      <c r="D107" s="151">
        <f t="shared" si="53"/>
        <v>43.455777591446939</v>
      </c>
      <c r="E107" s="151"/>
      <c r="F107" s="72"/>
      <c r="G107" s="151"/>
      <c r="H107" s="72"/>
      <c r="I107" s="151">
        <f t="shared" si="37"/>
        <v>43.455777591446939</v>
      </c>
      <c r="J107" s="496"/>
    </row>
    <row r="108" spans="1:10" x14ac:dyDescent="0.2">
      <c r="A108" s="27" t="s">
        <v>477</v>
      </c>
      <c r="B108" s="151">
        <f>B109+B110</f>
        <v>32.190836112899589</v>
      </c>
      <c r="C108" s="368">
        <f t="shared" si="51"/>
        <v>1.9216162852814316E-3</v>
      </c>
      <c r="D108" s="151">
        <f t="shared" si="53"/>
        <v>32.190836112899589</v>
      </c>
      <c r="E108" s="151">
        <f>D108</f>
        <v>32.190836112899589</v>
      </c>
      <c r="F108" s="368">
        <f t="shared" ref="F108" si="54">E108/(D$139-D$136-D$123-D$124-D$115-D$116-D$106-D$107-D$96-D$97-D$81-D$82-D$78-D$66-D$67-D$53-D$54-D$39-D$40-D$27-D$28-D$15-D$16-D$6-D$7)</f>
        <v>3.3520689563289957E-3</v>
      </c>
      <c r="G108" s="151">
        <f>F108*D$141</f>
        <v>17.169183895238874</v>
      </c>
      <c r="H108" s="72"/>
      <c r="I108" s="151">
        <f t="shared" si="37"/>
        <v>32.190836112899589</v>
      </c>
      <c r="J108" s="496"/>
    </row>
    <row r="109" spans="1:10" x14ac:dyDescent="0.2">
      <c r="A109" s="29" t="s">
        <v>8</v>
      </c>
      <c r="B109" s="151">
        <f>'[1]TP aggregated'!$H$66</f>
        <v>7.1066827032246236</v>
      </c>
      <c r="C109" s="368">
        <f t="shared" si="51"/>
        <v>4.2422996311586672E-4</v>
      </c>
      <c r="D109" s="151">
        <f t="shared" si="53"/>
        <v>7.1066827032246236</v>
      </c>
      <c r="E109" s="151">
        <f t="shared" ref="E109:E111" si="55">D109</f>
        <v>7.1066827032246236</v>
      </c>
      <c r="F109" s="368">
        <f>E109/(D$139-D$136-D$123-D$124-D$115-D$116-D$106-D$107-D$96-D$97-D$81-D$82-D$78-D$66-D$67-D$53-D$54-D$39-D$40-D$27-D$28-D$15-D$16-D$6-D$7)</f>
        <v>7.4002708063905932E-4</v>
      </c>
      <c r="G109" s="151">
        <f>F109*D$141</f>
        <v>3.7903936943061365</v>
      </c>
      <c r="H109" s="72"/>
      <c r="I109" s="151">
        <f t="shared" si="37"/>
        <v>7.1066827032246236</v>
      </c>
      <c r="J109" s="496"/>
    </row>
    <row r="110" spans="1:10" x14ac:dyDescent="0.2">
      <c r="A110" s="29" t="s">
        <v>680</v>
      </c>
      <c r="B110" s="151">
        <f>'[1]TP aggregated'!$H$67</f>
        <v>25.084153409674968</v>
      </c>
      <c r="C110" s="368">
        <f t="shared" si="51"/>
        <v>1.4973863221655649E-3</v>
      </c>
      <c r="D110" s="151">
        <f t="shared" si="53"/>
        <v>25.084153409674968</v>
      </c>
      <c r="E110" s="151">
        <f t="shared" si="55"/>
        <v>25.084153409674968</v>
      </c>
      <c r="F110" s="368">
        <f>E110/(D$139-D$136-D$123-D$124-D$115-D$116-D$106-D$107-D$96-D$97-D$81-D$82-D$78-D$66-D$67-D$53-D$54-D$39-D$40-D$27-D$28-D$15-D$16-D$6-D$7)</f>
        <v>2.6120418756899366E-3</v>
      </c>
      <c r="G110" s="151">
        <f>F110*D$141</f>
        <v>13.378790200932739</v>
      </c>
      <c r="H110" s="72"/>
      <c r="I110" s="151">
        <f t="shared" si="37"/>
        <v>25.084153409674968</v>
      </c>
      <c r="J110" s="496"/>
    </row>
    <row r="111" spans="1:10" x14ac:dyDescent="0.2">
      <c r="A111" s="27" t="s">
        <v>478</v>
      </c>
      <c r="B111" s="151">
        <f>B112</f>
        <v>44.9</v>
      </c>
      <c r="C111" s="368">
        <f t="shared" si="51"/>
        <v>2.6802836343403245E-3</v>
      </c>
      <c r="D111" s="151">
        <f t="shared" si="53"/>
        <v>44.9</v>
      </c>
      <c r="E111" s="151">
        <f t="shared" si="55"/>
        <v>44.9</v>
      </c>
      <c r="F111" s="368">
        <f>E111/(D$139-D$136-D$123-D$124-D$115-D$116-D$106-D$107-D$96-D$97-D$81-D$82-D$78-D$66-D$67-D$53-D$54-D$39-D$40-D$27-D$28-D$15-D$16-D$6-D$7)</f>
        <v>4.6754888755082694E-3</v>
      </c>
      <c r="G111" s="151">
        <f>F111*D$141</f>
        <v>23.947695990018413</v>
      </c>
      <c r="H111" s="72"/>
      <c r="I111" s="151">
        <f t="shared" si="37"/>
        <v>44.9</v>
      </c>
      <c r="J111" s="496"/>
    </row>
    <row r="112" spans="1:10" x14ac:dyDescent="0.2">
      <c r="A112" s="27" t="s">
        <v>678</v>
      </c>
      <c r="B112" s="151">
        <f>[2]TPcorrected!$U$111</f>
        <v>44.9</v>
      </c>
      <c r="C112" s="368">
        <f t="shared" si="51"/>
        <v>2.6802836343403245E-3</v>
      </c>
      <c r="D112" s="151">
        <f t="shared" si="53"/>
        <v>44.9</v>
      </c>
      <c r="E112" s="151">
        <f t="shared" ref="E112" si="56">D112</f>
        <v>44.9</v>
      </c>
      <c r="F112" s="368">
        <f>E112/(D$139-D$136-D$123-D$124-D$115-D$116-D$106-D$107-D$96-D$97-D$81-D$82-D$78-D$66-D$67-D$53-D$54-D$39-D$40-D$27-D$28-D$15-D$16-D$6-D$7)</f>
        <v>4.6754888755082694E-3</v>
      </c>
      <c r="G112" s="151">
        <f>F112*D$141</f>
        <v>23.947695990018413</v>
      </c>
      <c r="H112" s="72"/>
      <c r="I112" s="151">
        <f t="shared" si="37"/>
        <v>44.9</v>
      </c>
      <c r="J112" s="496"/>
    </row>
    <row r="113" spans="1:10" x14ac:dyDescent="0.2">
      <c r="A113" s="500" t="s">
        <v>479</v>
      </c>
      <c r="B113" s="151">
        <f>'[1]TP aggregated'!$H$69</f>
        <v>114.61625315432434</v>
      </c>
      <c r="C113" s="368">
        <f t="shared" si="51"/>
        <v>6.8419614155666624E-3</v>
      </c>
      <c r="D113" s="151"/>
      <c r="E113" s="151"/>
      <c r="F113" s="72"/>
      <c r="G113" s="151"/>
      <c r="H113" s="72"/>
      <c r="I113" s="151"/>
      <c r="J113" s="496"/>
    </row>
    <row r="114" spans="1:10" x14ac:dyDescent="0.2">
      <c r="A114" s="27" t="s">
        <v>480</v>
      </c>
      <c r="B114" s="151">
        <f>B115+B116</f>
        <v>74.722591598505815</v>
      </c>
      <c r="C114" s="368">
        <f t="shared" si="51"/>
        <v>4.4605287166363241E-3</v>
      </c>
      <c r="D114" s="151">
        <f t="shared" ref="D114:D120" si="57">B114</f>
        <v>74.722591598505815</v>
      </c>
      <c r="E114" s="151"/>
      <c r="F114" s="72"/>
      <c r="G114" s="151"/>
      <c r="H114" s="72"/>
      <c r="I114" s="151">
        <f t="shared" si="37"/>
        <v>74.722591598505815</v>
      </c>
      <c r="J114" s="496"/>
    </row>
    <row r="115" spans="1:10" x14ac:dyDescent="0.2">
      <c r="A115" s="29" t="s">
        <v>5</v>
      </c>
      <c r="B115" s="151">
        <f>'[1]TP aggregated'!$H$71</f>
        <v>2.8842761113565873</v>
      </c>
      <c r="C115" s="368">
        <f t="shared" si="51"/>
        <v>1.7217545786609828E-4</v>
      </c>
      <c r="D115" s="151">
        <f t="shared" si="57"/>
        <v>2.8842761113565873</v>
      </c>
      <c r="E115" s="151"/>
      <c r="F115" s="72"/>
      <c r="G115" s="151"/>
      <c r="H115" s="72"/>
      <c r="I115" s="151">
        <f t="shared" si="37"/>
        <v>2.8842761113565873</v>
      </c>
      <c r="J115" s="496"/>
    </row>
    <row r="116" spans="1:10" x14ac:dyDescent="0.2">
      <c r="A116" s="29" t="s">
        <v>6</v>
      </c>
      <c r="B116" s="151">
        <f>'[1]TP aggregated'!$H$70</f>
        <v>71.838315487149231</v>
      </c>
      <c r="C116" s="368">
        <f t="shared" si="51"/>
        <v>4.2883532587702266E-3</v>
      </c>
      <c r="D116" s="151">
        <f t="shared" si="57"/>
        <v>71.838315487149231</v>
      </c>
      <c r="E116" s="151"/>
      <c r="F116" s="72"/>
      <c r="G116" s="151"/>
      <c r="H116" s="72"/>
      <c r="I116" s="151">
        <f t="shared" si="37"/>
        <v>71.838315487149231</v>
      </c>
      <c r="J116" s="496"/>
    </row>
    <row r="117" spans="1:10" x14ac:dyDescent="0.2">
      <c r="A117" s="27" t="s">
        <v>481</v>
      </c>
      <c r="B117" s="151">
        <f>B118</f>
        <v>0.48032717085365845</v>
      </c>
      <c r="C117" s="368">
        <f t="shared" si="51"/>
        <v>2.8672896551626941E-5</v>
      </c>
      <c r="D117" s="151">
        <f t="shared" si="57"/>
        <v>0.48032717085365845</v>
      </c>
      <c r="E117" s="151">
        <f>D117</f>
        <v>0.48032717085365845</v>
      </c>
      <c r="F117" s="368">
        <f t="shared" ref="F117" si="58">E117/(D$139-D$136-D$123-D$124-D$115-D$116-D$106-D$107-D$96-D$97-D$81-D$82-D$78-D$66-D$67-D$53-D$54-D$39-D$40-D$27-D$28-D$15-D$16-D$6-D$7)</f>
        <v>5.0017023250125613E-5</v>
      </c>
      <c r="G117" s="151">
        <f>F117*D$141</f>
        <v>0.25618550252447764</v>
      </c>
      <c r="H117" s="72"/>
      <c r="I117" s="151">
        <f t="shared" si="37"/>
        <v>0.48032717085365845</v>
      </c>
      <c r="J117" s="496"/>
    </row>
    <row r="118" spans="1:10" x14ac:dyDescent="0.2">
      <c r="A118" s="29" t="s">
        <v>8</v>
      </c>
      <c r="B118" s="151">
        <f>'[1]TP aggregated'!$H$72</f>
        <v>0.48032717085365845</v>
      </c>
      <c r="C118" s="368">
        <f t="shared" si="51"/>
        <v>2.8672896551626941E-5</v>
      </c>
      <c r="D118" s="151">
        <f t="shared" si="57"/>
        <v>0.48032717085365845</v>
      </c>
      <c r="E118" s="151">
        <f t="shared" ref="E118:E119" si="59">D118</f>
        <v>0.48032717085365845</v>
      </c>
      <c r="F118" s="368">
        <f>E118/(D$139-D$136-D$123-D$124-D$115-D$116-D$106-D$107-D$96-D$97-D$81-D$82-D$78-D$66-D$67-D$53-D$54-D$39-D$40-D$27-D$28-D$15-D$16-D$6-D$7)</f>
        <v>5.0017023250125613E-5</v>
      </c>
      <c r="G118" s="151">
        <f>F118*D$141</f>
        <v>0.25618550252447764</v>
      </c>
      <c r="H118" s="72"/>
      <c r="I118" s="151">
        <f t="shared" si="37"/>
        <v>0.48032717085365845</v>
      </c>
      <c r="J118" s="496"/>
    </row>
    <row r="119" spans="1:10" x14ac:dyDescent="0.2">
      <c r="A119" s="27" t="s">
        <v>482</v>
      </c>
      <c r="B119" s="151">
        <f>B120</f>
        <v>34.200000000000003</v>
      </c>
      <c r="C119" s="368">
        <f t="shared" si="51"/>
        <v>2.0415523450877308E-3</v>
      </c>
      <c r="D119" s="151">
        <f t="shared" si="57"/>
        <v>34.200000000000003</v>
      </c>
      <c r="E119" s="151">
        <f t="shared" si="59"/>
        <v>34.200000000000003</v>
      </c>
      <c r="F119" s="368">
        <f>E119/(D$139-D$136-D$123-D$124-D$115-D$116-D$106-D$107-D$96-D$97-D$81-D$82-D$78-D$66-D$67-D$53-D$54-D$39-D$40-D$27-D$28-D$15-D$16-D$6-D$7)</f>
        <v>3.5612855131933819E-3</v>
      </c>
      <c r="G119" s="151">
        <f>F119*D$141</f>
        <v>18.240784028031847</v>
      </c>
      <c r="H119" s="72"/>
      <c r="I119" s="151">
        <f t="shared" si="37"/>
        <v>34.200000000000003</v>
      </c>
      <c r="J119" s="496"/>
    </row>
    <row r="120" spans="1:10" x14ac:dyDescent="0.2">
      <c r="A120" s="29" t="s">
        <v>678</v>
      </c>
      <c r="B120" s="151">
        <f>[2]TPcorrected!$U$118</f>
        <v>34.200000000000003</v>
      </c>
      <c r="C120" s="368">
        <f t="shared" si="51"/>
        <v>2.0415523450877308E-3</v>
      </c>
      <c r="D120" s="151">
        <f t="shared" si="57"/>
        <v>34.200000000000003</v>
      </c>
      <c r="E120" s="151">
        <f t="shared" ref="E120" si="60">D120</f>
        <v>34.200000000000003</v>
      </c>
      <c r="F120" s="368">
        <f>E120/(D$139-D$136-D$123-D$124-D$115-D$116-D$106-D$107-D$96-D$97-D$81-D$82-D$78-D$66-D$67-D$53-D$54-D$39-D$40-D$27-D$28-D$15-D$16-D$6-D$7)</f>
        <v>3.5612855131933819E-3</v>
      </c>
      <c r="G120" s="151">
        <f>F120*D$141</f>
        <v>18.240784028031847</v>
      </c>
      <c r="H120" s="72"/>
      <c r="I120" s="151">
        <f t="shared" si="37"/>
        <v>34.200000000000003</v>
      </c>
      <c r="J120" s="496"/>
    </row>
    <row r="121" spans="1:10" x14ac:dyDescent="0.2">
      <c r="A121" s="500" t="s">
        <v>483</v>
      </c>
      <c r="B121" s="151">
        <f>'[1]TP aggregated'!$H$74</f>
        <v>390.89083305557142</v>
      </c>
      <c r="C121" s="368">
        <f t="shared" si="51"/>
        <v>2.3334037920991181E-2</v>
      </c>
      <c r="D121" s="151"/>
      <c r="E121" s="151"/>
      <c r="F121" s="72"/>
      <c r="G121" s="151"/>
      <c r="H121" s="72"/>
      <c r="I121" s="151"/>
      <c r="J121" s="496"/>
    </row>
    <row r="122" spans="1:10" x14ac:dyDescent="0.2">
      <c r="A122" s="27" t="s">
        <v>484</v>
      </c>
      <c r="B122" s="151">
        <f>B123+B124</f>
        <v>171.27565007971427</v>
      </c>
      <c r="C122" s="368">
        <f t="shared" si="51"/>
        <v>1.0224216522709538E-2</v>
      </c>
      <c r="D122" s="151">
        <f t="shared" ref="D122:D134" si="61">B122</f>
        <v>171.27565007971427</v>
      </c>
      <c r="E122" s="151"/>
      <c r="F122" s="72"/>
      <c r="G122" s="151"/>
      <c r="H122" s="72"/>
      <c r="I122" s="151">
        <f t="shared" si="37"/>
        <v>171.27565007971427</v>
      </c>
      <c r="J122" s="496"/>
    </row>
    <row r="123" spans="1:10" x14ac:dyDescent="0.2">
      <c r="A123" s="29" t="s">
        <v>5</v>
      </c>
      <c r="B123" s="151">
        <f>'[1]TP aggregated'!$H$76</f>
        <v>4.1417939511428576</v>
      </c>
      <c r="C123" s="368">
        <f t="shared" si="51"/>
        <v>2.4724237291888534E-4</v>
      </c>
      <c r="D123" s="151">
        <f t="shared" si="61"/>
        <v>4.1417939511428576</v>
      </c>
      <c r="E123" s="151"/>
      <c r="F123" s="72"/>
      <c r="G123" s="151"/>
      <c r="H123" s="72"/>
      <c r="I123" s="151">
        <f t="shared" si="37"/>
        <v>4.1417939511428576</v>
      </c>
      <c r="J123" s="496"/>
    </row>
    <row r="124" spans="1:10" x14ac:dyDescent="0.2">
      <c r="A124" s="29" t="s">
        <v>6</v>
      </c>
      <c r="B124" s="151">
        <f>'[1]TP aggregated'!$H$75</f>
        <v>167.13385612857141</v>
      </c>
      <c r="C124" s="368">
        <f t="shared" si="51"/>
        <v>9.9769741497906534E-3</v>
      </c>
      <c r="D124" s="151">
        <f t="shared" si="61"/>
        <v>167.13385612857141</v>
      </c>
      <c r="E124" s="151"/>
      <c r="F124" s="72"/>
      <c r="G124" s="151"/>
      <c r="H124" s="72"/>
      <c r="I124" s="151">
        <f t="shared" si="37"/>
        <v>167.13385612857141</v>
      </c>
      <c r="J124" s="496"/>
    </row>
    <row r="125" spans="1:10" x14ac:dyDescent="0.2">
      <c r="A125" s="27" t="s">
        <v>485</v>
      </c>
      <c r="B125" s="151">
        <f>B126+B127+B128+B129+B130</f>
        <v>373.91511959900004</v>
      </c>
      <c r="C125" s="368">
        <f t="shared" si="51"/>
        <v>2.2320680973131512E-2</v>
      </c>
      <c r="D125" s="151">
        <f t="shared" si="61"/>
        <v>373.91511959900004</v>
      </c>
      <c r="E125" s="151">
        <f>D125</f>
        <v>373.91511959900004</v>
      </c>
      <c r="F125" s="368">
        <f t="shared" ref="F125" si="62">E125/(D$139-D$136-D$123-D$124-D$115-D$116-D$106-D$107-D$96-D$97-D$81-D$82-D$78-D$66-D$67-D$53-D$54-D$39-D$40-D$27-D$28-D$15-D$16-D$6-D$7)</f>
        <v>3.8936213409119576E-2</v>
      </c>
      <c r="G125" s="151">
        <f t="shared" ref="G125:G131" si="63">F125*D$141</f>
        <v>199.42996904739931</v>
      </c>
      <c r="H125" s="72"/>
      <c r="I125" s="151">
        <f t="shared" si="37"/>
        <v>373.91511959900004</v>
      </c>
      <c r="J125" s="496"/>
    </row>
    <row r="126" spans="1:10" x14ac:dyDescent="0.2">
      <c r="A126" s="29" t="s">
        <v>434</v>
      </c>
      <c r="B126" s="151">
        <f>'[1]TP aggregated'!$H$80</f>
        <v>0.53829029042857146</v>
      </c>
      <c r="C126" s="368">
        <f t="shared" si="51"/>
        <v>3.2132976747438759E-5</v>
      </c>
      <c r="D126" s="151">
        <f t="shared" si="61"/>
        <v>0.53829029042857146</v>
      </c>
      <c r="E126" s="151">
        <f t="shared" ref="E126:E131" si="64">D126</f>
        <v>0.53829029042857146</v>
      </c>
      <c r="F126" s="368">
        <f t="shared" ref="F126:F131" si="65">E126/(D$139-D$136-D$123-D$124-D$115-D$116-D$106-D$107-D$96-D$97-D$81-D$82-D$78-D$66-D$67-D$53-D$54-D$39-D$40-D$27-D$28-D$15-D$16-D$6-D$7)</f>
        <v>5.6052789859530101E-5</v>
      </c>
      <c r="G126" s="151">
        <f t="shared" si="63"/>
        <v>0.28710049509047103</v>
      </c>
      <c r="H126" s="495"/>
      <c r="I126" s="151">
        <f t="shared" si="37"/>
        <v>0.53829029042857146</v>
      </c>
      <c r="J126" s="496"/>
    </row>
    <row r="127" spans="1:10" x14ac:dyDescent="0.2">
      <c r="A127" s="29" t="s">
        <v>8</v>
      </c>
      <c r="B127" s="151">
        <f>'[1]TP aggregated'!$H$77</f>
        <v>114.90565136285714</v>
      </c>
      <c r="C127" s="368">
        <f t="shared" si="51"/>
        <v>6.8592369006922277E-3</v>
      </c>
      <c r="D127" s="151">
        <f t="shared" si="61"/>
        <v>114.90565136285714</v>
      </c>
      <c r="E127" s="151">
        <f t="shared" si="64"/>
        <v>114.90565136285714</v>
      </c>
      <c r="F127" s="368">
        <f t="shared" si="65"/>
        <v>1.1965258233409137E-2</v>
      </c>
      <c r="G127" s="151">
        <f t="shared" si="63"/>
        <v>61.28564824883626</v>
      </c>
      <c r="H127" s="72"/>
      <c r="I127" s="151">
        <f t="shared" si="37"/>
        <v>114.90565136285714</v>
      </c>
      <c r="J127" s="496"/>
    </row>
    <row r="128" spans="1:10" x14ac:dyDescent="0.2">
      <c r="A128" s="29" t="s">
        <v>435</v>
      </c>
      <c r="B128" s="151">
        <f>[2]TPcorrected!$U$127</f>
        <v>35.4</v>
      </c>
      <c r="C128" s="368">
        <f t="shared" si="51"/>
        <v>2.1131857607048438E-3</v>
      </c>
      <c r="D128" s="151">
        <f t="shared" si="61"/>
        <v>35.4</v>
      </c>
      <c r="E128" s="151">
        <f t="shared" si="64"/>
        <v>35.4</v>
      </c>
      <c r="F128" s="368">
        <f t="shared" si="65"/>
        <v>3.6862428996212193E-3</v>
      </c>
      <c r="G128" s="151">
        <f t="shared" si="63"/>
        <v>18.880811537787345</v>
      </c>
      <c r="H128" s="72"/>
      <c r="I128" s="151">
        <f t="shared" si="37"/>
        <v>35.4</v>
      </c>
      <c r="J128" s="496"/>
    </row>
    <row r="129" spans="1:10" x14ac:dyDescent="0.2">
      <c r="A129" s="29" t="s">
        <v>680</v>
      </c>
      <c r="B129" s="151">
        <f>[2]TPcorrected!$U$128</f>
        <v>158.6</v>
      </c>
      <c r="C129" s="368">
        <f t="shared" si="51"/>
        <v>9.4675497640618143E-3</v>
      </c>
      <c r="D129" s="151">
        <f t="shared" si="61"/>
        <v>158.6</v>
      </c>
      <c r="E129" s="151">
        <f t="shared" ref="E129" si="66">D129</f>
        <v>158.6</v>
      </c>
      <c r="F129" s="368">
        <f t="shared" si="65"/>
        <v>1.6515201239545915E-2</v>
      </c>
      <c r="G129" s="151">
        <f t="shared" si="63"/>
        <v>84.590302539352351</v>
      </c>
      <c r="H129" s="72"/>
      <c r="I129" s="151">
        <f t="shared" si="37"/>
        <v>158.6</v>
      </c>
      <c r="J129" s="496"/>
    </row>
    <row r="130" spans="1:10" x14ac:dyDescent="0.2">
      <c r="A130" s="29" t="s">
        <v>437</v>
      </c>
      <c r="B130" s="151">
        <f>'[1]TP aggregated'!$H$78</f>
        <v>64.471177945714288</v>
      </c>
      <c r="C130" s="368">
        <f t="shared" si="51"/>
        <v>3.8485755709251864E-3</v>
      </c>
      <c r="D130" s="151">
        <f t="shared" si="61"/>
        <v>64.471177945714288</v>
      </c>
      <c r="E130" s="151">
        <f t="shared" si="64"/>
        <v>64.471177945714288</v>
      </c>
      <c r="F130" s="368">
        <f t="shared" si="65"/>
        <v>6.71345824668377E-3</v>
      </c>
      <c r="G130" s="151">
        <f t="shared" si="63"/>
        <v>34.386106226332871</v>
      </c>
      <c r="H130" s="72"/>
      <c r="I130" s="151">
        <f t="shared" si="37"/>
        <v>64.471177945714288</v>
      </c>
      <c r="J130" s="496"/>
    </row>
    <row r="131" spans="1:10" x14ac:dyDescent="0.2">
      <c r="A131" s="32" t="s">
        <v>486</v>
      </c>
      <c r="B131" s="151">
        <f>B132+B133+B134</f>
        <v>405.4</v>
      </c>
      <c r="C131" s="368">
        <f t="shared" si="51"/>
        <v>2.4200155575981458E-2</v>
      </c>
      <c r="D131" s="151">
        <f t="shared" si="61"/>
        <v>405.4</v>
      </c>
      <c r="E131" s="151">
        <f t="shared" si="64"/>
        <v>405.4</v>
      </c>
      <c r="F131" s="368">
        <f t="shared" si="65"/>
        <v>4.2214770381537918E-2</v>
      </c>
      <c r="G131" s="151">
        <f t="shared" si="63"/>
        <v>216.22262704573419</v>
      </c>
      <c r="H131" s="72"/>
      <c r="I131" s="151">
        <f t="shared" si="37"/>
        <v>405.4</v>
      </c>
      <c r="J131" s="496"/>
    </row>
    <row r="132" spans="1:10" x14ac:dyDescent="0.2">
      <c r="A132" s="34" t="s">
        <v>677</v>
      </c>
      <c r="B132" s="151">
        <f>[2]TPcorrected!$U$131</f>
        <v>8.6999999999999993</v>
      </c>
      <c r="C132" s="368">
        <f t="shared" ref="C132:C134" si="67">B132/B$139</f>
        <v>5.1934226322407177E-4</v>
      </c>
      <c r="D132" s="151">
        <f t="shared" si="61"/>
        <v>8.6999999999999993</v>
      </c>
      <c r="E132" s="151">
        <f t="shared" ref="E132:E134" si="68">D132</f>
        <v>8.6999999999999993</v>
      </c>
      <c r="F132" s="368">
        <f t="shared" ref="F132:F134" si="69">E132/(D$139-D$136-D$123-D$124-D$115-D$116-D$106-D$107-D$96-D$97-D$81-D$82-D$78-D$66-D$67-D$53-D$54-D$39-D$40-D$27-D$28-D$15-D$16-D$6-D$7)</f>
        <v>9.0594105160182498E-4</v>
      </c>
      <c r="G132" s="151">
        <f t="shared" ref="G132:G134" si="70">F132*D$141</f>
        <v>4.6401994457273981</v>
      </c>
      <c r="H132" s="72"/>
      <c r="I132" s="151">
        <f t="shared" si="37"/>
        <v>8.6999999999999993</v>
      </c>
      <c r="J132" s="496"/>
    </row>
    <row r="133" spans="1:10" x14ac:dyDescent="0.2">
      <c r="A133" s="34" t="s">
        <v>678</v>
      </c>
      <c r="B133" s="151">
        <f>[2]TPcorrected!$U$130</f>
        <v>396.5</v>
      </c>
      <c r="C133" s="368">
        <f t="shared" si="67"/>
        <v>2.3668874410154535E-2</v>
      </c>
      <c r="D133" s="151">
        <f t="shared" si="61"/>
        <v>396.5</v>
      </c>
      <c r="E133" s="151">
        <f t="shared" si="68"/>
        <v>396.5</v>
      </c>
      <c r="F133" s="368">
        <f t="shared" si="69"/>
        <v>4.1288003098864788E-2</v>
      </c>
      <c r="G133" s="151">
        <f t="shared" si="70"/>
        <v>211.47575634838088</v>
      </c>
      <c r="H133" s="72"/>
      <c r="I133" s="151">
        <f t="shared" si="37"/>
        <v>396.5</v>
      </c>
      <c r="J133" s="496"/>
    </row>
    <row r="134" spans="1:10" x14ac:dyDescent="0.2">
      <c r="A134" s="34" t="s">
        <v>679</v>
      </c>
      <c r="B134" s="151">
        <f>[2]TPcorrected!$U$132</f>
        <v>0.2</v>
      </c>
      <c r="C134" s="368">
        <f t="shared" si="67"/>
        <v>1.1938902602852226E-5</v>
      </c>
      <c r="D134" s="151">
        <f t="shared" si="61"/>
        <v>0.2</v>
      </c>
      <c r="E134" s="151">
        <f t="shared" si="68"/>
        <v>0.2</v>
      </c>
      <c r="F134" s="368">
        <f t="shared" si="69"/>
        <v>2.0826231071306326E-5</v>
      </c>
      <c r="G134" s="151">
        <f t="shared" si="70"/>
        <v>0.10667125162591722</v>
      </c>
      <c r="H134" s="72"/>
      <c r="I134" s="151">
        <f t="shared" ref="I134:I137" si="71">D134</f>
        <v>0.2</v>
      </c>
      <c r="J134" s="496"/>
    </row>
    <row r="135" spans="1:10" x14ac:dyDescent="0.2">
      <c r="A135" s="501" t="s">
        <v>389</v>
      </c>
      <c r="B135" s="492"/>
      <c r="C135" s="611"/>
      <c r="D135" s="151"/>
      <c r="E135" s="669"/>
      <c r="F135" s="63"/>
      <c r="G135" s="668"/>
      <c r="H135" s="60"/>
      <c r="I135" s="151"/>
      <c r="J135" s="65"/>
    </row>
    <row r="136" spans="1:10" x14ac:dyDescent="0.2">
      <c r="A136" s="32" t="s">
        <v>439</v>
      </c>
      <c r="B136" s="272">
        <v>4248</v>
      </c>
      <c r="C136" s="368">
        <f>B136/B$139</f>
        <v>0.25358229128458126</v>
      </c>
      <c r="D136" s="151">
        <f t="shared" ref="D136:D137" si="72">B136</f>
        <v>4248</v>
      </c>
      <c r="E136" s="151"/>
      <c r="F136" s="368">
        <f>E136/(D$139-D$123-D$124-D$115-D$116-D$106-D$107-D$96-D$97-D$81-D$82-D$78-D$66-D$67-D$53-D$54-D$39-D$40-D$27-D$28-D$15-D$16-D$6-D$7)</f>
        <v>0</v>
      </c>
      <c r="G136" s="151">
        <f>F136*D$141</f>
        <v>0</v>
      </c>
      <c r="H136" s="72"/>
      <c r="I136" s="151">
        <f t="shared" si="71"/>
        <v>4248</v>
      </c>
      <c r="J136" s="496"/>
    </row>
    <row r="137" spans="1:10" x14ac:dyDescent="0.2">
      <c r="A137" s="32" t="s">
        <v>440</v>
      </c>
      <c r="B137" s="272">
        <v>5426</v>
      </c>
      <c r="C137" s="368">
        <f>B137/B$139</f>
        <v>0.32390242761538085</v>
      </c>
      <c r="D137" s="151">
        <f t="shared" si="72"/>
        <v>5426</v>
      </c>
      <c r="E137" s="151">
        <f t="shared" ref="E137" si="73">D137</f>
        <v>5426</v>
      </c>
      <c r="F137" s="368">
        <f>E137/(D$139-D$136-D$123-D$124-D$115-D$116-D$106-D$107-D$96-D$97-D$81-D$82-D$78-D$66-D$67-D$53-D$54-D$39-D$40-D$27-D$28-D$15-D$16-D$6-D$7)</f>
        <v>0.5650156489645406</v>
      </c>
      <c r="G137" s="151">
        <f>F137*D$141</f>
        <v>2893.9910566111344</v>
      </c>
      <c r="H137" s="72"/>
      <c r="I137" s="151">
        <f t="shared" si="71"/>
        <v>5426</v>
      </c>
      <c r="J137" s="496"/>
    </row>
    <row r="138" spans="1:10" x14ac:dyDescent="0.2">
      <c r="A138" s="35" t="s">
        <v>4</v>
      </c>
      <c r="B138" s="72"/>
      <c r="C138" s="72"/>
      <c r="D138" s="72"/>
      <c r="E138" s="72"/>
      <c r="F138" s="72"/>
      <c r="G138" s="72"/>
      <c r="H138" s="72"/>
      <c r="I138" s="72"/>
      <c r="J138" s="496"/>
    </row>
    <row r="139" spans="1:10" x14ac:dyDescent="0.2">
      <c r="A139" s="36" t="s">
        <v>22</v>
      </c>
      <c r="B139" s="492">
        <f>B4+B5+B8+B10+B13+B14+B17+B21+B25+B26+B29+B33+B37+B38+B41+B47+B51+B52+B55+B60+B64+B65+B68+B73+B76+B77+B79+B80+B83+B90+B94+B95+B98+B101+B104+B105+B108+B111+B113+B114+B117+B119+B121+B122+B125+B131+B136+B137</f>
        <v>16751.958421389554</v>
      </c>
      <c r="C139" s="153">
        <f>C4+C5+C8+C10+C13+C14+C17+C21+C25+C26+C29+C33+C37+C38+C41+C47+C51+C52+C55+C60+C64+C65+C68+C73+C76+C77+C79+C80+C83+C90+C94+C95+C98+C101+C104+C105+C108+C113+C111+C114+C117+C119+C121+C122+C125+C131+C136+C137</f>
        <v>0.99999999999999978</v>
      </c>
      <c r="D139" s="492">
        <f>D6+D7+D9+D11+D12+D15+D16+D18+D19+D20+D22+D23+D24+D27+D28+D30+D31+D32+D136+D137+D34+D35+D36+D39+D40+D42+D43+D44+D45+D46+D48+D49+D50+D53+D54+D56+D57+D58+D59+D61+D62+D63+D66+D67+D69+D70+D71+D72+D74+D75+D78+D81+D82+D84+D85+D86+D87+D88+D89+D91+D92+D93+D96+D97+D99+D100+D102+D103+D106+D107+D109+D110+D112+D115+D116+D118+D120+D123+D124+D126+D127+D128+D129+D130+D132+D133+D134</f>
        <v>15053.966200254315</v>
      </c>
      <c r="E139" s="492">
        <f>E6+E7+E9+E11+E12+E15+E16+E18+E19+E20+E22+E23+E24+E27+E28+E30+E31+E32+E136+E137+E34+E35+E36+E39+E40+E42+E43+E44+E45+E46+E48+E49+E50+E53+E54+E56+E57+E58+E59+E61+E62+E63+E66+E67+E69+E70+E71+E72+E74+E75+E78+E81+E82+E84+E85+E86+E87+E88+E89+E91+E92+E93+E96+E97+E99+E100+E102+E103+E106+E107+E109+E110+E112+E115+E116+E118+E120+E123+E124+E126+E127+E128+E129+E130+E132+E133+E134</f>
        <v>9603.2738384216518</v>
      </c>
      <c r="F139" s="153">
        <f>F4+F5+F8+F10+F13+F14+F17+F21+F25+F26+F29+F33+F37+F38+F41+F47+F51+F52+F55+F60+F64+F65+F68+F73+F76+F77+F79+F80+F83+F90+F94+F95+F98+F101+F104+F105+F108+F113+F111+F114+F117+F119+F121+F122+F125+F131+F136+F137</f>
        <v>1.0000000000000004</v>
      </c>
      <c r="G139" s="492">
        <f>G6+G7+G9+G11+G12+G15+G16+G18+G19+G20+G22+G23+G24+G27+G28+G30+G31+G32+G136+G137+G34+G35+G36+G39+G40+G42+G43+G44+G45+G46+G48+G49+G50+G53+G54+G56+G57+G58+G59+G61+G62+G63+G66+G67+G69+G70+G71+G72+G74+G75+G78+G81+G82+G84+G85+G86+G87+G88+G89+G91+G92+G93+G96+G97+G99+G100+G102+G103+G106+G107+G109+G110+G112+G115+G116+G118+G120+G123+G124+G126+G127+G128+G129+G130+G132+G133+G134</f>
        <v>5121.9662002543164</v>
      </c>
      <c r="H139" s="72"/>
      <c r="I139" s="492">
        <f>I6+I7+I9+I11+I12+I15+I16+I18+I19+I20+I22+I23+I24+I27+I28+I30+I31+I32+I136+I137+I34+I35+I36+I39+I40+I42+I43+I44+I45+I46+I48+I49+I50+I53+I54+I56+I57+I58+I59+I61+I62+I63+I66+I67+I69+I70+I71+I72+I74+I75+I78+I81+I82+I84+I85+I86+I87+I88+I89+I91+I92+I93+I96+I97+I99+I100+I102+I103+I106+I107+I109+I110+I112+I115+I116+I118+I120+I123+I124+I126+I127+I128+I129+I130+I132+I133+I134</f>
        <v>15053.966200254315</v>
      </c>
      <c r="J139" s="496"/>
    </row>
    <row r="140" spans="1:10" x14ac:dyDescent="0.2">
      <c r="A140" s="38" t="s">
        <v>14</v>
      </c>
      <c r="B140" s="272">
        <v>9932</v>
      </c>
      <c r="C140" s="72"/>
      <c r="D140" s="272">
        <f>B140</f>
        <v>9932</v>
      </c>
      <c r="E140" s="72"/>
      <c r="F140" s="72"/>
      <c r="G140" s="272"/>
      <c r="H140" s="72"/>
      <c r="I140" s="272">
        <f>D140</f>
        <v>9932</v>
      </c>
      <c r="J140" s="496"/>
    </row>
    <row r="141" spans="1:10" x14ac:dyDescent="0.2">
      <c r="A141" s="36" t="s">
        <v>15</v>
      </c>
      <c r="B141" s="272">
        <f>B139-B140</f>
        <v>6819.9584213895541</v>
      </c>
      <c r="C141" s="72"/>
      <c r="D141" s="272">
        <f>D139-D140</f>
        <v>5121.9662002543155</v>
      </c>
      <c r="E141" s="72"/>
      <c r="F141" s="72"/>
      <c r="G141" s="272"/>
      <c r="H141" s="72"/>
      <c r="I141" s="272">
        <f>I139-I140</f>
        <v>5121.9662002543155</v>
      </c>
      <c r="J141" s="496"/>
    </row>
    <row r="142" spans="1:10" x14ac:dyDescent="0.2">
      <c r="A142" s="497"/>
      <c r="B142" s="272"/>
      <c r="C142" s="72"/>
      <c r="D142" s="492"/>
      <c r="E142" s="72"/>
      <c r="F142" s="72"/>
      <c r="G142" s="72"/>
      <c r="H142" s="72"/>
      <c r="I142" s="72"/>
      <c r="J142" s="496"/>
    </row>
    <row r="143" spans="1:10" x14ac:dyDescent="0.2">
      <c r="A143" s="30"/>
      <c r="B143" s="72"/>
      <c r="C143" s="72"/>
      <c r="D143" s="72"/>
      <c r="E143" s="72"/>
      <c r="F143" s="72"/>
      <c r="G143" s="72"/>
      <c r="H143" s="72"/>
      <c r="I143" s="72"/>
      <c r="J143" s="496"/>
    </row>
    <row r="144" spans="1:10" x14ac:dyDescent="0.2">
      <c r="A144" s="34" t="s">
        <v>568</v>
      </c>
      <c r="B144" s="343">
        <f>3207*2.2046</f>
        <v>7070.1522000000004</v>
      </c>
      <c r="C144" s="159" t="s">
        <v>566</v>
      </c>
      <c r="D144" s="72"/>
      <c r="E144" s="72"/>
      <c r="F144" s="72"/>
      <c r="G144" s="72"/>
      <c r="H144" s="72"/>
      <c r="I144" s="72"/>
      <c r="J144" s="496"/>
    </row>
    <row r="145" spans="1:15" x14ac:dyDescent="0.2">
      <c r="A145" s="34" t="s">
        <v>569</v>
      </c>
      <c r="B145" s="343"/>
      <c r="C145" s="159" t="s">
        <v>567</v>
      </c>
      <c r="D145" s="72"/>
      <c r="E145" s="72"/>
      <c r="F145" s="72"/>
      <c r="G145" s="72"/>
      <c r="H145" s="72"/>
      <c r="I145" s="72"/>
      <c r="J145" s="496"/>
    </row>
    <row r="146" spans="1:15" ht="20.25" x14ac:dyDescent="0.3">
      <c r="A146" s="512" t="s">
        <v>565</v>
      </c>
      <c r="B146" s="79"/>
      <c r="D146" s="79"/>
      <c r="G146" s="2"/>
    </row>
    <row r="147" spans="1:15" x14ac:dyDescent="0.2">
      <c r="B147" s="79"/>
    </row>
    <row r="148" spans="1:15" x14ac:dyDescent="0.2">
      <c r="A148" s="551" t="s">
        <v>645</v>
      </c>
    </row>
    <row r="149" spans="1:15" x14ac:dyDescent="0.2">
      <c r="A149" s="552" t="s">
        <v>646</v>
      </c>
      <c r="B149" s="553" t="s">
        <v>489</v>
      </c>
      <c r="C149" s="554" t="s">
        <v>563</v>
      </c>
      <c r="D149" s="554" t="s">
        <v>564</v>
      </c>
      <c r="E149" s="554" t="s">
        <v>490</v>
      </c>
      <c r="F149" s="554" t="s">
        <v>491</v>
      </c>
      <c r="G149" s="554" t="s">
        <v>492</v>
      </c>
      <c r="H149" s="554" t="s">
        <v>493</v>
      </c>
      <c r="I149" s="554" t="s">
        <v>494</v>
      </c>
      <c r="J149" s="554" t="s">
        <v>497</v>
      </c>
      <c r="K149" s="554" t="s">
        <v>498</v>
      </c>
      <c r="L149" s="554" t="s">
        <v>495</v>
      </c>
      <c r="M149" s="554" t="s">
        <v>496</v>
      </c>
      <c r="N149" s="554" t="s">
        <v>68</v>
      </c>
    </row>
    <row r="150" spans="1:15" x14ac:dyDescent="0.2">
      <c r="A150" s="555" t="s">
        <v>649</v>
      </c>
      <c r="B150" s="556">
        <f>B4</f>
        <v>18.074101379959465</v>
      </c>
      <c r="C150" s="556">
        <f>B13</f>
        <v>60.463947176073745</v>
      </c>
      <c r="D150" s="556">
        <f>B25</f>
        <v>135.15123023079235</v>
      </c>
      <c r="E150" s="556">
        <f>B37</f>
        <v>362.65036561097384</v>
      </c>
      <c r="F150" s="556">
        <f>B51</f>
        <v>42.65615563019432</v>
      </c>
      <c r="G150" s="556">
        <f>B64</f>
        <v>185.50440545328021</v>
      </c>
      <c r="H150" s="557">
        <f>B76</f>
        <v>77.861286981039655</v>
      </c>
      <c r="I150" s="556">
        <f>B79</f>
        <v>203.649366217725</v>
      </c>
      <c r="J150" s="556">
        <f>B94</f>
        <v>64.614419202982887</v>
      </c>
      <c r="K150" s="556">
        <f>B104</f>
        <v>41.905419896756641</v>
      </c>
      <c r="L150" s="556">
        <f>B113</f>
        <v>114.61625315432434</v>
      </c>
      <c r="M150" s="556">
        <f>B121</f>
        <v>390.89083305557142</v>
      </c>
      <c r="N150" s="557">
        <f>SUM(B150:M150)</f>
        <v>1698.0377839896739</v>
      </c>
    </row>
    <row r="151" spans="1:15" x14ac:dyDescent="0.2">
      <c r="A151" s="159" t="s">
        <v>647</v>
      </c>
      <c r="B151" s="495">
        <f>D6+D7</f>
        <v>10.479807855476773</v>
      </c>
      <c r="C151" s="151">
        <f>D15+D16</f>
        <v>52.480658852316239</v>
      </c>
      <c r="D151" s="495">
        <f>D27+D28</f>
        <v>104.70966373265789</v>
      </c>
      <c r="E151" s="495">
        <f>D39+D40</f>
        <v>274.70526442152953</v>
      </c>
      <c r="F151" s="495">
        <f>D53+D54</f>
        <v>44.817902040866343</v>
      </c>
      <c r="G151" s="495">
        <f>D66+D67</f>
        <v>210.04556285443522</v>
      </c>
      <c r="H151" s="495">
        <f>D78</f>
        <v>45.976748274098995</v>
      </c>
      <c r="I151" s="495">
        <f>D81+D82</f>
        <v>103.15224809146473</v>
      </c>
      <c r="J151" s="495">
        <f>D96+D97</f>
        <v>66.869609309287981</v>
      </c>
      <c r="K151" s="495">
        <f>D106+D107</f>
        <v>43.45665472231444</v>
      </c>
      <c r="L151" s="495">
        <f>D115+D116</f>
        <v>74.722591598505815</v>
      </c>
      <c r="M151" s="495">
        <f>D123+D124</f>
        <v>171.27565007971427</v>
      </c>
      <c r="N151" s="495">
        <f>SUM(B151:M151)</f>
        <v>1202.6923618326682</v>
      </c>
    </row>
    <row r="152" spans="1:15" x14ac:dyDescent="0.2">
      <c r="A152" s="159" t="s">
        <v>648</v>
      </c>
      <c r="B152" s="495">
        <f>D9</f>
        <v>44.081717939540226</v>
      </c>
      <c r="C152" s="495">
        <f>D18+D19+D20</f>
        <v>34.964469703166422</v>
      </c>
      <c r="D152" s="495">
        <f>D30+D31+D32</f>
        <v>108.20232250734136</v>
      </c>
      <c r="E152" s="495">
        <f>D42+D43+D44+D45+D46</f>
        <v>174.77124580733397</v>
      </c>
      <c r="F152" s="495">
        <f>D56+D57+D58+D59</f>
        <v>50.569227014965989</v>
      </c>
      <c r="G152" s="495">
        <f>D69+D70+D71+D72</f>
        <v>145.64339612917067</v>
      </c>
      <c r="H152" s="72"/>
      <c r="I152" s="495">
        <f>D84+D85+D86+D88+D89+D87</f>
        <v>410.86356904664297</v>
      </c>
      <c r="J152" s="495">
        <f>D99+D100</f>
        <v>291.19160739073317</v>
      </c>
      <c r="K152" s="495">
        <f>D109+D110</f>
        <v>32.190836112899589</v>
      </c>
      <c r="L152" s="495">
        <f>D118</f>
        <v>0.48032717085365845</v>
      </c>
      <c r="M152" s="495">
        <f>D126+D127+D128+D130+D129</f>
        <v>373.91511959900004</v>
      </c>
      <c r="N152" s="495">
        <f>SUM(B152:M152)</f>
        <v>1666.8738384216481</v>
      </c>
      <c r="O152" s="79">
        <f>N152+N153</f>
        <v>4177.2738384216482</v>
      </c>
    </row>
    <row r="153" spans="1:15" x14ac:dyDescent="0.2">
      <c r="A153" s="558" t="s">
        <v>27</v>
      </c>
      <c r="B153" s="495">
        <f>D11+D12</f>
        <v>8</v>
      </c>
      <c r="C153" s="495">
        <f>D22+D23+D24</f>
        <v>243.8</v>
      </c>
      <c r="D153" s="495">
        <f>D34+D35+D36</f>
        <v>413.40000000000003</v>
      </c>
      <c r="E153" s="495">
        <f>D48+D49+D50</f>
        <v>521.1</v>
      </c>
      <c r="F153" s="495">
        <f>D61+D62+D63</f>
        <v>106.39999999999999</v>
      </c>
      <c r="G153" s="495">
        <f>D74+D75</f>
        <v>432.2</v>
      </c>
      <c r="H153" s="72"/>
      <c r="I153" s="495">
        <f>D91+D92+D93</f>
        <v>197.29999999999998</v>
      </c>
      <c r="J153" s="495">
        <f>D102+D103</f>
        <v>103.7</v>
      </c>
      <c r="K153" s="495">
        <f>D112</f>
        <v>44.9</v>
      </c>
      <c r="L153" s="495">
        <f>D120</f>
        <v>34.200000000000003</v>
      </c>
      <c r="M153" s="495">
        <f>D132+D133+D134</f>
        <v>405.4</v>
      </c>
      <c r="N153" s="495">
        <f>SUM(B153:M153)</f>
        <v>2510.4</v>
      </c>
      <c r="O153" s="79">
        <f>SUM(B156:M156)</f>
        <v>2510.4</v>
      </c>
    </row>
    <row r="154" spans="1:15" x14ac:dyDescent="0.2">
      <c r="A154" s="642" t="s">
        <v>647</v>
      </c>
      <c r="B154" s="502">
        <f>B5+B14+B26+B38+B52+B65+B77+B80+B95+B105+B114+B122</f>
        <v>1202.6467989782329</v>
      </c>
      <c r="C154" s="502"/>
      <c r="D154" s="502"/>
      <c r="E154" s="502"/>
      <c r="F154" s="502"/>
      <c r="G154" s="502"/>
      <c r="H154" s="146"/>
      <c r="I154" s="502"/>
      <c r="J154" s="502"/>
      <c r="K154" s="502"/>
      <c r="L154" s="502"/>
      <c r="M154" s="502"/>
      <c r="N154" s="502"/>
    </row>
    <row r="155" spans="1:15" x14ac:dyDescent="0.2">
      <c r="A155" s="642" t="s">
        <v>648</v>
      </c>
      <c r="B155" s="502">
        <f>B8</f>
        <v>44.081717939540226</v>
      </c>
      <c r="C155" s="502">
        <f>B17</f>
        <v>34.964469703166422</v>
      </c>
      <c r="D155" s="502">
        <f>B29</f>
        <v>108.20232250734136</v>
      </c>
      <c r="E155" s="502">
        <f>B41</f>
        <v>174.77124580733397</v>
      </c>
      <c r="F155" s="502">
        <f>B55</f>
        <v>50.569227014965989</v>
      </c>
      <c r="G155" s="502">
        <f>B68</f>
        <v>145.64339612917067</v>
      </c>
      <c r="H155" s="655"/>
      <c r="I155" s="502">
        <f>B83</f>
        <v>410.86356904664291</v>
      </c>
      <c r="J155" s="502">
        <f>B98</f>
        <v>291.19160739073317</v>
      </c>
      <c r="K155" s="502">
        <f>B108</f>
        <v>32.190836112899589</v>
      </c>
      <c r="L155" s="502">
        <f>B117</f>
        <v>0.48032717085365845</v>
      </c>
      <c r="M155" s="502">
        <f>B125</f>
        <v>373.91511959900004</v>
      </c>
      <c r="N155" s="502">
        <f>SUM(B155:M155)</f>
        <v>1666.8738384216481</v>
      </c>
    </row>
    <row r="156" spans="1:15" x14ac:dyDescent="0.2">
      <c r="A156" s="642" t="s">
        <v>27</v>
      </c>
      <c r="B156" s="79">
        <f>B10</f>
        <v>8</v>
      </c>
      <c r="C156" s="71">
        <f>B21</f>
        <v>243.8</v>
      </c>
      <c r="D156" s="71">
        <f>B33</f>
        <v>413.40000000000003</v>
      </c>
      <c r="E156" s="71">
        <f>B47</f>
        <v>521.1</v>
      </c>
      <c r="F156" s="71">
        <f>B60</f>
        <v>106.39999999999999</v>
      </c>
      <c r="G156" s="71">
        <f>B73</f>
        <v>432.2</v>
      </c>
      <c r="I156" s="71">
        <f>B90</f>
        <v>197.29999999999998</v>
      </c>
      <c r="J156" s="71">
        <f>B101</f>
        <v>103.7</v>
      </c>
      <c r="K156" s="71">
        <f>B111</f>
        <v>44.9</v>
      </c>
      <c r="L156" s="71">
        <f>B119</f>
        <v>34.200000000000003</v>
      </c>
      <c r="M156" s="71">
        <f>B131</f>
        <v>405.4</v>
      </c>
      <c r="N156" s="79">
        <f>SUM(N150:N153)+B136+B137</f>
        <v>16752.003984243987</v>
      </c>
    </row>
    <row r="158" spans="1:15" ht="19.149999999999999" customHeight="1" x14ac:dyDescent="0.2">
      <c r="A158" s="510" t="s">
        <v>488</v>
      </c>
      <c r="B158" s="511" t="s">
        <v>489</v>
      </c>
      <c r="C158" s="511" t="s">
        <v>563</v>
      </c>
      <c r="D158" s="511" t="s">
        <v>564</v>
      </c>
      <c r="E158" s="511" t="s">
        <v>490</v>
      </c>
      <c r="F158" s="511" t="s">
        <v>491</v>
      </c>
      <c r="G158" s="511" t="s">
        <v>492</v>
      </c>
      <c r="H158" s="511" t="s">
        <v>493</v>
      </c>
      <c r="I158" s="511" t="s">
        <v>494</v>
      </c>
      <c r="J158" s="511" t="s">
        <v>497</v>
      </c>
      <c r="K158" s="511" t="s">
        <v>498</v>
      </c>
      <c r="L158" s="511" t="s">
        <v>495</v>
      </c>
      <c r="M158" s="511" t="s">
        <v>496</v>
      </c>
      <c r="N158" s="511" t="s">
        <v>68</v>
      </c>
    </row>
    <row r="159" spans="1:15" x14ac:dyDescent="0.2">
      <c r="A159" s="72" t="s">
        <v>27</v>
      </c>
      <c r="B159" s="495">
        <f>G11+G12</f>
        <v>4.2668500650366887</v>
      </c>
      <c r="C159" s="495">
        <f>G21+G22+G23+G24</f>
        <v>260.06451146398615</v>
      </c>
      <c r="D159" s="495">
        <f>G34+G35+G36</f>
        <v>220.48947711077088</v>
      </c>
      <c r="E159" s="495">
        <f>G48+G49+G50</f>
        <v>277.93194611132731</v>
      </c>
      <c r="F159" s="495">
        <f>G61+G62+G63</f>
        <v>56.749105864987953</v>
      </c>
      <c r="G159" s="495">
        <f>G74+G75</f>
        <v>230.51657476360711</v>
      </c>
      <c r="H159" s="495"/>
      <c r="I159" s="495">
        <f>G91+G92+G93</f>
        <v>105.23118972896734</v>
      </c>
      <c r="J159" s="495">
        <f>G102+G103</f>
        <v>55.309043968038075</v>
      </c>
      <c r="K159" s="495">
        <f>G112</f>
        <v>23.947695990018413</v>
      </c>
      <c r="L159" s="495">
        <f>G120</f>
        <v>18.240784028031847</v>
      </c>
      <c r="M159" s="495">
        <f>G132+G133+G134</f>
        <v>216.22262704573421</v>
      </c>
      <c r="N159" s="495">
        <f>SUM(B159:M159)</f>
        <v>1468.9698061405063</v>
      </c>
    </row>
    <row r="160" spans="1:15" x14ac:dyDescent="0.2">
      <c r="A160" s="159" t="s">
        <v>562</v>
      </c>
      <c r="B160" s="495">
        <f>F163</f>
        <v>23.511260132157023</v>
      </c>
      <c r="C160" s="495">
        <f>L168</f>
        <v>18.64851872836612</v>
      </c>
      <c r="D160" s="495">
        <f>L173</f>
        <v>57.710385853446283</v>
      </c>
      <c r="E160" s="495">
        <f>R178</f>
        <v>93.215337692445758</v>
      </c>
      <c r="F160" s="495">
        <f>O183</f>
        <v>26.971411810500108</v>
      </c>
      <c r="G160" s="495">
        <f>O188</f>
        <v>77.679816780739515</v>
      </c>
      <c r="H160" s="495"/>
      <c r="I160" s="495">
        <f>U193</f>
        <v>219.13644286117932</v>
      </c>
      <c r="J160" s="495">
        <f>I198</f>
        <v>155.30886611666097</v>
      </c>
      <c r="K160" s="495">
        <f>I203</f>
        <v>17.169183895238877</v>
      </c>
      <c r="L160" s="495">
        <f>F208</f>
        <v>0.25618550252447764</v>
      </c>
      <c r="M160" s="495">
        <f>R213</f>
        <v>199.42996904739931</v>
      </c>
      <c r="N160" s="495">
        <f>SUM(B160:M160)</f>
        <v>889.03737842065789</v>
      </c>
    </row>
    <row r="161" spans="1:14" x14ac:dyDescent="0.2">
      <c r="A161" s="170"/>
      <c r="B161" s="502"/>
      <c r="C161" s="502"/>
      <c r="D161" s="502"/>
      <c r="E161" s="502"/>
      <c r="F161" s="502"/>
      <c r="G161" s="502"/>
      <c r="H161" s="502"/>
      <c r="I161" s="502"/>
      <c r="J161" s="502"/>
      <c r="K161" s="502"/>
      <c r="L161" s="502"/>
      <c r="M161" s="502"/>
      <c r="N161" s="502">
        <f>SUM(N159:N160)</f>
        <v>2358.0071845611642</v>
      </c>
    </row>
    <row r="162" spans="1:14" ht="51" x14ac:dyDescent="0.2">
      <c r="A162" s="515" t="s">
        <v>570</v>
      </c>
      <c r="B162" s="515" t="s">
        <v>502</v>
      </c>
      <c r="C162" s="515" t="s">
        <v>500</v>
      </c>
      <c r="D162" s="515" t="s">
        <v>501</v>
      </c>
      <c r="E162" s="515" t="s">
        <v>687</v>
      </c>
      <c r="F162" s="517" t="s">
        <v>576</v>
      </c>
      <c r="N162" s="21"/>
    </row>
    <row r="163" spans="1:14" x14ac:dyDescent="0.2">
      <c r="A163" s="159" t="s">
        <v>62</v>
      </c>
      <c r="B163" s="495">
        <f>G9</f>
        <v>23.511260132157023</v>
      </c>
      <c r="C163" s="153">
        <v>1</v>
      </c>
      <c r="D163" s="495">
        <f>B163*C163</f>
        <v>23.511260132157023</v>
      </c>
      <c r="E163" s="495">
        <f>D163</f>
        <v>23.511260132157023</v>
      </c>
      <c r="F163" s="495">
        <f>D163</f>
        <v>23.511260132157023</v>
      </c>
    </row>
    <row r="164" spans="1:14" x14ac:dyDescent="0.2">
      <c r="A164" s="159" t="s">
        <v>119</v>
      </c>
      <c r="B164" s="72"/>
      <c r="C164" s="72"/>
      <c r="D164" s="72"/>
      <c r="E164" s="72"/>
      <c r="F164" s="72"/>
    </row>
    <row r="165" spans="1:14" x14ac:dyDescent="0.2">
      <c r="A165" s="159" t="s">
        <v>218</v>
      </c>
      <c r="B165" s="72"/>
      <c r="C165" s="72"/>
      <c r="D165" s="72"/>
      <c r="E165" s="72"/>
      <c r="F165" s="72"/>
    </row>
    <row r="167" spans="1:14" ht="63.75" x14ac:dyDescent="0.2">
      <c r="A167" s="515" t="s">
        <v>571</v>
      </c>
      <c r="B167" s="515" t="s">
        <v>503</v>
      </c>
      <c r="C167" s="515" t="s">
        <v>500</v>
      </c>
      <c r="D167" s="515" t="s">
        <v>507</v>
      </c>
      <c r="E167" s="515" t="s">
        <v>686</v>
      </c>
      <c r="F167" s="515" t="s">
        <v>505</v>
      </c>
      <c r="G167" s="515" t="s">
        <v>686</v>
      </c>
      <c r="H167" s="515" t="s">
        <v>508</v>
      </c>
      <c r="I167" s="515" t="s">
        <v>509</v>
      </c>
      <c r="J167" s="515" t="s">
        <v>510</v>
      </c>
      <c r="K167" s="515" t="s">
        <v>687</v>
      </c>
      <c r="L167" s="517" t="s">
        <v>576</v>
      </c>
    </row>
    <row r="168" spans="1:14" x14ac:dyDescent="0.2">
      <c r="A168" s="159" t="s">
        <v>62</v>
      </c>
      <c r="B168" s="495">
        <f>G19</f>
        <v>10.847010029618369</v>
      </c>
      <c r="C168" s="153">
        <v>1</v>
      </c>
      <c r="D168" s="495">
        <f>B168*C168</f>
        <v>10.847010029618369</v>
      </c>
      <c r="E168" s="72"/>
      <c r="F168" s="72"/>
      <c r="G168" s="72"/>
      <c r="H168" s="495">
        <f>G18</f>
        <v>5.1741589899973982E-2</v>
      </c>
      <c r="I168" s="514">
        <v>1</v>
      </c>
      <c r="J168" s="495">
        <f>H168*I168</f>
        <v>5.1741589899973982E-2</v>
      </c>
      <c r="K168" s="495">
        <f>J168+D168</f>
        <v>10.898751619518343</v>
      </c>
      <c r="L168" s="495">
        <f>J168+D168+G169</f>
        <v>18.64851872836612</v>
      </c>
    </row>
    <row r="169" spans="1:14" x14ac:dyDescent="0.2">
      <c r="A169" s="159" t="s">
        <v>119</v>
      </c>
      <c r="B169" s="495">
        <v>10.846874889927507</v>
      </c>
      <c r="C169" s="72"/>
      <c r="D169" s="72"/>
      <c r="E169" s="495">
        <f>G20</f>
        <v>7.7497671088477791</v>
      </c>
      <c r="F169" s="153">
        <v>1</v>
      </c>
      <c r="G169" s="495">
        <f>E169*F169</f>
        <v>7.7497671088477791</v>
      </c>
      <c r="H169" s="72"/>
      <c r="I169" s="72"/>
      <c r="J169" s="72"/>
      <c r="K169" s="495">
        <f>D169+G169</f>
        <v>7.7497671088477791</v>
      </c>
      <c r="L169" s="495"/>
    </row>
    <row r="170" spans="1:14" x14ac:dyDescent="0.2">
      <c r="A170" s="159" t="s">
        <v>218</v>
      </c>
      <c r="B170" s="495">
        <v>10.846874889927507</v>
      </c>
      <c r="C170" s="72"/>
      <c r="D170" s="72"/>
      <c r="E170" s="72"/>
      <c r="F170" s="72"/>
      <c r="G170" s="72"/>
      <c r="H170" s="72"/>
      <c r="I170" s="72"/>
      <c r="J170" s="72"/>
      <c r="K170" s="72"/>
      <c r="L170" s="72"/>
    </row>
    <row r="171" spans="1:14" x14ac:dyDescent="0.2">
      <c r="A171" s="170"/>
      <c r="B171" s="502"/>
      <c r="C171" s="146"/>
      <c r="D171" s="146"/>
      <c r="E171" s="146"/>
      <c r="F171" s="146"/>
      <c r="G171" s="146"/>
      <c r="H171" s="146"/>
      <c r="I171" s="146"/>
      <c r="J171" s="146"/>
      <c r="K171" s="146"/>
    </row>
    <row r="172" spans="1:14" ht="63.75" x14ac:dyDescent="0.2">
      <c r="A172" s="515" t="s">
        <v>572</v>
      </c>
      <c r="B172" s="515" t="s">
        <v>511</v>
      </c>
      <c r="C172" s="515" t="s">
        <v>500</v>
      </c>
      <c r="D172" s="515" t="s">
        <v>512</v>
      </c>
      <c r="E172" s="515" t="s">
        <v>688</v>
      </c>
      <c r="F172" s="623" t="s">
        <v>509</v>
      </c>
      <c r="G172" s="623" t="s">
        <v>689</v>
      </c>
      <c r="H172" s="623" t="s">
        <v>515</v>
      </c>
      <c r="I172" s="515" t="s">
        <v>514</v>
      </c>
      <c r="J172" s="515" t="s">
        <v>515</v>
      </c>
      <c r="K172" s="515" t="s">
        <v>687</v>
      </c>
      <c r="L172" s="517" t="s">
        <v>576</v>
      </c>
    </row>
    <row r="173" spans="1:14" x14ac:dyDescent="0.2">
      <c r="A173" s="159" t="s">
        <v>62</v>
      </c>
      <c r="B173" s="495">
        <f>G30</f>
        <v>23.948934713843482</v>
      </c>
      <c r="C173" s="153">
        <v>1</v>
      </c>
      <c r="D173" s="495">
        <f>B173*C173</f>
        <v>23.948934713843482</v>
      </c>
      <c r="E173" s="495"/>
      <c r="H173" s="79">
        <f>G31</f>
        <v>4.6401994457273981</v>
      </c>
      <c r="I173" s="153">
        <v>1</v>
      </c>
      <c r="J173" s="495">
        <f>H173*I173</f>
        <v>4.6401994457273981</v>
      </c>
      <c r="K173" s="495">
        <f>D173+J173</f>
        <v>28.589134159570879</v>
      </c>
      <c r="L173" s="495">
        <f>J173+G174+D173</f>
        <v>57.710385853446283</v>
      </c>
    </row>
    <row r="174" spans="1:14" x14ac:dyDescent="0.2">
      <c r="A174" s="159" t="s">
        <v>119</v>
      </c>
      <c r="B174" s="72"/>
      <c r="C174" s="72"/>
      <c r="D174" s="72"/>
      <c r="E174" s="495">
        <f>G32</f>
        <v>29.121251693875401</v>
      </c>
      <c r="F174" s="624">
        <v>1</v>
      </c>
      <c r="G174" s="79">
        <f>E174*F174</f>
        <v>29.121251693875401</v>
      </c>
      <c r="I174" s="153"/>
      <c r="J174" s="495">
        <f>I174*E174</f>
        <v>0</v>
      </c>
      <c r="K174" s="495">
        <f>G174</f>
        <v>29.121251693875401</v>
      </c>
      <c r="L174" s="495"/>
    </row>
    <row r="175" spans="1:14" x14ac:dyDescent="0.2">
      <c r="A175" s="159" t="s">
        <v>218</v>
      </c>
      <c r="B175" s="72"/>
      <c r="C175" s="72"/>
      <c r="D175" s="72"/>
      <c r="E175" s="72"/>
      <c r="H175" s="79"/>
      <c r="I175" s="72"/>
      <c r="J175" s="72"/>
      <c r="K175" s="72"/>
      <c r="L175" s="72"/>
    </row>
    <row r="176" spans="1:14" x14ac:dyDescent="0.2">
      <c r="A176" s="170"/>
      <c r="B176" s="146"/>
      <c r="C176" s="146"/>
      <c r="D176" s="146"/>
      <c r="E176" s="146"/>
      <c r="F176" s="146"/>
      <c r="G176" s="146"/>
      <c r="H176" s="146"/>
    </row>
    <row r="177" spans="1:21" ht="63.75" x14ac:dyDescent="0.2">
      <c r="A177" s="515" t="s">
        <v>573</v>
      </c>
      <c r="B177" s="515" t="s">
        <v>516</v>
      </c>
      <c r="C177" s="515" t="s">
        <v>500</v>
      </c>
      <c r="D177" s="515" t="s">
        <v>517</v>
      </c>
      <c r="E177" s="515" t="s">
        <v>518</v>
      </c>
      <c r="F177" s="515" t="s">
        <v>514</v>
      </c>
      <c r="G177" s="515" t="s">
        <v>519</v>
      </c>
      <c r="H177" s="515" t="s">
        <v>522</v>
      </c>
      <c r="I177" s="515" t="s">
        <v>514</v>
      </c>
      <c r="J177" s="515" t="s">
        <v>523</v>
      </c>
      <c r="K177" s="515" t="s">
        <v>520</v>
      </c>
      <c r="L177" s="515" t="s">
        <v>509</v>
      </c>
      <c r="M177" s="515" t="s">
        <v>521</v>
      </c>
      <c r="N177" s="515" t="s">
        <v>690</v>
      </c>
      <c r="O177" s="515" t="s">
        <v>514</v>
      </c>
      <c r="P177" s="515" t="s">
        <v>691</v>
      </c>
      <c r="Q177" s="515" t="s">
        <v>687</v>
      </c>
      <c r="R177" s="517" t="s">
        <v>576</v>
      </c>
    </row>
    <row r="178" spans="1:21" x14ac:dyDescent="0.2">
      <c r="A178" s="159" t="s">
        <v>62</v>
      </c>
      <c r="B178" s="495">
        <f>G43</f>
        <v>13.550051018365354</v>
      </c>
      <c r="C178" s="153">
        <v>1</v>
      </c>
      <c r="D178" s="495">
        <f>B178*C178</f>
        <v>13.550051018365354</v>
      </c>
      <c r="E178" s="495">
        <f>G44</f>
        <v>18.400790905470718</v>
      </c>
      <c r="F178" s="153">
        <v>1</v>
      </c>
      <c r="G178" s="495">
        <f>E178*F178</f>
        <v>18.400790905470718</v>
      </c>
      <c r="H178" s="495">
        <f>G45</f>
        <v>0.92725804431259151</v>
      </c>
      <c r="I178" s="153">
        <v>1</v>
      </c>
      <c r="J178" s="495">
        <f>H178*I178</f>
        <v>0.92725804431259151</v>
      </c>
      <c r="K178" s="495">
        <f>G42</f>
        <v>1.0813574461000746</v>
      </c>
      <c r="L178" s="153">
        <v>1</v>
      </c>
      <c r="M178" s="495">
        <f>K178*L178</f>
        <v>1.0813574461000746</v>
      </c>
      <c r="N178" s="72"/>
      <c r="O178" s="72"/>
      <c r="P178" s="72"/>
      <c r="Q178" s="495">
        <f>M178+J178+E178+D178</f>
        <v>33.959457414248739</v>
      </c>
      <c r="R178" s="495">
        <f>M178+J178+G178+G179+D178+P179</f>
        <v>93.215337692445758</v>
      </c>
    </row>
    <row r="179" spans="1:21" x14ac:dyDescent="0.2">
      <c r="A179" s="159" t="s">
        <v>119</v>
      </c>
      <c r="B179" s="72"/>
      <c r="C179" s="72"/>
      <c r="D179" s="495"/>
      <c r="E179" s="495"/>
      <c r="F179" s="153"/>
      <c r="G179" s="495">
        <f>E179*F179</f>
        <v>0</v>
      </c>
      <c r="H179" s="72"/>
      <c r="I179" s="72"/>
      <c r="J179" s="72"/>
      <c r="K179" s="72"/>
      <c r="L179" s="72"/>
      <c r="M179" s="72"/>
      <c r="N179" s="495">
        <f>G46</f>
        <v>59.255880278197012</v>
      </c>
      <c r="O179" s="368">
        <v>1</v>
      </c>
      <c r="P179" s="495">
        <f>N179*O179</f>
        <v>59.255880278197012</v>
      </c>
      <c r="Q179" s="495">
        <f>P179</f>
        <v>59.255880278197012</v>
      </c>
      <c r="R179" s="72"/>
    </row>
    <row r="180" spans="1:21" x14ac:dyDescent="0.2">
      <c r="A180" s="159" t="s">
        <v>218</v>
      </c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</row>
    <row r="181" spans="1:21" x14ac:dyDescent="0.2">
      <c r="A181" s="170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21" ht="63.75" x14ac:dyDescent="0.2">
      <c r="A182" s="515" t="s">
        <v>575</v>
      </c>
      <c r="B182" s="515" t="s">
        <v>524</v>
      </c>
      <c r="C182" s="515" t="s">
        <v>500</v>
      </c>
      <c r="D182" s="515" t="s">
        <v>525</v>
      </c>
      <c r="E182" s="515" t="s">
        <v>526</v>
      </c>
      <c r="F182" s="515" t="s">
        <v>514</v>
      </c>
      <c r="G182" s="515" t="s">
        <v>527</v>
      </c>
      <c r="H182" s="515" t="s">
        <v>528</v>
      </c>
      <c r="I182" s="515" t="s">
        <v>509</v>
      </c>
      <c r="J182" s="515" t="s">
        <v>529</v>
      </c>
      <c r="K182" s="515" t="s">
        <v>692</v>
      </c>
      <c r="L182" s="515" t="s">
        <v>514</v>
      </c>
      <c r="M182" s="515" t="s">
        <v>693</v>
      </c>
      <c r="N182" s="515" t="s">
        <v>687</v>
      </c>
      <c r="O182" s="517" t="s">
        <v>576</v>
      </c>
    </row>
    <row r="183" spans="1:21" x14ac:dyDescent="0.2">
      <c r="A183" s="159" t="s">
        <v>62</v>
      </c>
      <c r="B183" s="495">
        <f>G57</f>
        <v>8.4985605741928048</v>
      </c>
      <c r="C183" s="153">
        <v>0.98398804468169387</v>
      </c>
      <c r="D183" s="495">
        <f>B183*C183</f>
        <v>8.3624820020089121</v>
      </c>
      <c r="E183" s="495">
        <f>G58</f>
        <v>1.7600756518276339</v>
      </c>
      <c r="F183" s="153">
        <f>[3]loch_road_allstateroad!$E$52</f>
        <v>0.4878779837035685</v>
      </c>
      <c r="G183" s="495">
        <f>E183*F183</f>
        <v>0.85870216017941003</v>
      </c>
      <c r="H183" s="495">
        <f>G56</f>
        <v>1.0321034821775703</v>
      </c>
      <c r="I183" s="153">
        <f>[1]jurisdiction!$F$45</f>
        <v>0.98511937818180828</v>
      </c>
      <c r="J183" s="495">
        <f>H183*I183</f>
        <v>1.0167451405820471</v>
      </c>
      <c r="K183" s="72"/>
      <c r="L183" s="72"/>
      <c r="M183" s="72"/>
      <c r="N183" s="495">
        <f>D183+G183+J183</f>
        <v>10.23792930277037</v>
      </c>
      <c r="O183" s="495">
        <f>N183+N184+N185</f>
        <v>26.971411810500108</v>
      </c>
    </row>
    <row r="184" spans="1:21" x14ac:dyDescent="0.2">
      <c r="A184" s="159" t="s">
        <v>119</v>
      </c>
      <c r="B184" s="495"/>
      <c r="C184" s="153"/>
      <c r="D184" s="495"/>
      <c r="E184" s="495"/>
      <c r="F184" s="153"/>
      <c r="G184" s="495">
        <f>E184*F184</f>
        <v>0</v>
      </c>
      <c r="H184" s="495"/>
      <c r="I184" s="153"/>
      <c r="J184" s="495"/>
      <c r="K184" s="495">
        <f>G59</f>
        <v>15.680673989009831</v>
      </c>
      <c r="L184" s="368">
        <v>1</v>
      </c>
      <c r="M184" s="495">
        <f>K184*L184</f>
        <v>15.680673989009831</v>
      </c>
      <c r="N184" s="495">
        <f>M184</f>
        <v>15.680673989009831</v>
      </c>
      <c r="O184" s="495"/>
    </row>
    <row r="185" spans="1:21" x14ac:dyDescent="0.2">
      <c r="A185" s="159" t="s">
        <v>218</v>
      </c>
      <c r="B185" s="495">
        <v>8.4984546931393492</v>
      </c>
      <c r="C185" s="153">
        <v>1.6011955318306154E-2</v>
      </c>
      <c r="D185" s="495">
        <f>B185*C185</f>
        <v>0.13607687682119649</v>
      </c>
      <c r="E185" s="495">
        <f>G58</f>
        <v>1.7600756518276339</v>
      </c>
      <c r="F185" s="153">
        <f>[3]loch_road_allstateroad!$E$53</f>
        <v>0.5121220162964315</v>
      </c>
      <c r="G185" s="495">
        <f>E185*F185</f>
        <v>0.90137349164822389</v>
      </c>
      <c r="H185" s="495">
        <v>1.0320906235054443</v>
      </c>
      <c r="I185" s="153">
        <f>[1]jurisdiction!$F$46</f>
        <v>1.4880621818191806E-2</v>
      </c>
      <c r="J185" s="495">
        <f>H185*I185</f>
        <v>1.5358150250486299E-2</v>
      </c>
      <c r="K185" s="72"/>
      <c r="L185" s="72"/>
      <c r="M185" s="72"/>
      <c r="N185" s="495">
        <f>D185+G185+J185</f>
        <v>1.0528085187199065</v>
      </c>
      <c r="O185" s="495"/>
    </row>
    <row r="186" spans="1:21" x14ac:dyDescent="0.2">
      <c r="A186" s="170"/>
      <c r="B186" s="502"/>
      <c r="C186" s="285"/>
      <c r="D186" s="502"/>
      <c r="E186" s="502"/>
      <c r="F186" s="285"/>
      <c r="G186" s="502"/>
      <c r="H186" s="502"/>
      <c r="I186" s="285"/>
      <c r="J186" s="502"/>
      <c r="K186" s="502"/>
    </row>
    <row r="187" spans="1:21" ht="61.15" customHeight="1" x14ac:dyDescent="0.2">
      <c r="A187" s="515" t="s">
        <v>499</v>
      </c>
      <c r="B187" s="515" t="s">
        <v>530</v>
      </c>
      <c r="C187" s="515" t="s">
        <v>500</v>
      </c>
      <c r="D187" s="515" t="s">
        <v>531</v>
      </c>
      <c r="E187" s="515" t="s">
        <v>694</v>
      </c>
      <c r="F187" s="515" t="s">
        <v>514</v>
      </c>
      <c r="G187" s="515" t="s">
        <v>694</v>
      </c>
      <c r="H187" s="515" t="s">
        <v>534</v>
      </c>
      <c r="I187" s="515" t="s">
        <v>514</v>
      </c>
      <c r="J187" s="515" t="s">
        <v>535</v>
      </c>
      <c r="K187" s="515" t="s">
        <v>532</v>
      </c>
      <c r="L187" s="515" t="s">
        <v>509</v>
      </c>
      <c r="M187" s="515" t="s">
        <v>533</v>
      </c>
      <c r="N187" s="515" t="s">
        <v>687</v>
      </c>
      <c r="O187" s="517" t="s">
        <v>576</v>
      </c>
    </row>
    <row r="188" spans="1:21" x14ac:dyDescent="0.2">
      <c r="A188" s="159" t="s">
        <v>62</v>
      </c>
      <c r="B188" s="495">
        <f>G70</f>
        <v>36.282261508914672</v>
      </c>
      <c r="C188" s="153">
        <v>1</v>
      </c>
      <c r="D188" s="495">
        <f>B188*C188</f>
        <v>36.282261508914672</v>
      </c>
      <c r="E188" s="72"/>
      <c r="F188" s="72"/>
      <c r="G188" s="72"/>
      <c r="H188" s="495">
        <f>G72</f>
        <v>0.56669993581983702</v>
      </c>
      <c r="I188" s="153">
        <v>1</v>
      </c>
      <c r="J188" s="495">
        <f>H188*I188</f>
        <v>0.56669993581983702</v>
      </c>
      <c r="K188" s="495">
        <f>G69</f>
        <v>0.712949351333519</v>
      </c>
      <c r="L188" s="153">
        <v>1</v>
      </c>
      <c r="M188" s="495">
        <f>K188*L188</f>
        <v>0.712949351333519</v>
      </c>
      <c r="N188" s="495">
        <f>D188+J188+M188</f>
        <v>37.561910796068027</v>
      </c>
      <c r="O188" s="495">
        <f>M188+J188+G189+D188</f>
        <v>77.679816780739515</v>
      </c>
    </row>
    <row r="189" spans="1:21" x14ac:dyDescent="0.2">
      <c r="A189" s="159" t="s">
        <v>119</v>
      </c>
      <c r="B189" s="72"/>
      <c r="C189" s="72"/>
      <c r="D189" s="72"/>
      <c r="E189" s="495">
        <f>G71</f>
        <v>40.117905984671495</v>
      </c>
      <c r="F189" s="153">
        <v>1</v>
      </c>
      <c r="G189" s="516">
        <f>E189*F189</f>
        <v>40.117905984671495</v>
      </c>
      <c r="H189" s="72"/>
      <c r="I189" s="72"/>
      <c r="J189" s="72"/>
      <c r="K189" s="72"/>
      <c r="L189" s="72"/>
      <c r="M189" s="72"/>
      <c r="N189" s="516">
        <f>G189</f>
        <v>40.117905984671495</v>
      </c>
      <c r="O189" s="72"/>
    </row>
    <row r="190" spans="1:21" x14ac:dyDescent="0.2">
      <c r="A190" s="159" t="s">
        <v>218</v>
      </c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</row>
    <row r="191" spans="1:21" x14ac:dyDescent="0.2">
      <c r="A191" s="19"/>
    </row>
    <row r="192" spans="1:21" ht="64.5" customHeight="1" x14ac:dyDescent="0.2">
      <c r="A192" s="515" t="s">
        <v>499</v>
      </c>
      <c r="B192" s="515" t="s">
        <v>536</v>
      </c>
      <c r="C192" s="515" t="s">
        <v>500</v>
      </c>
      <c r="D192" s="515" t="s">
        <v>537</v>
      </c>
      <c r="E192" s="515" t="s">
        <v>538</v>
      </c>
      <c r="F192" s="515" t="s">
        <v>514</v>
      </c>
      <c r="G192" s="515" t="s">
        <v>539</v>
      </c>
      <c r="H192" s="515" t="s">
        <v>540</v>
      </c>
      <c r="I192" s="515" t="s">
        <v>514</v>
      </c>
      <c r="J192" s="515" t="s">
        <v>540</v>
      </c>
      <c r="K192" s="515" t="s">
        <v>541</v>
      </c>
      <c r="L192" s="515" t="s">
        <v>509</v>
      </c>
      <c r="M192" s="515" t="s">
        <v>542</v>
      </c>
      <c r="N192" s="515" t="s">
        <v>543</v>
      </c>
      <c r="O192" s="515" t="s">
        <v>509</v>
      </c>
      <c r="P192" s="515" t="s">
        <v>544</v>
      </c>
      <c r="Q192" s="515" t="s">
        <v>695</v>
      </c>
      <c r="R192" s="515" t="s">
        <v>514</v>
      </c>
      <c r="S192" s="515" t="s">
        <v>696</v>
      </c>
      <c r="T192" s="515" t="s">
        <v>687</v>
      </c>
      <c r="U192" s="517" t="s">
        <v>576</v>
      </c>
    </row>
    <row r="193" spans="1:21" x14ac:dyDescent="0.2">
      <c r="A193" s="159" t="s">
        <v>62</v>
      </c>
      <c r="B193" s="495">
        <f>G85</f>
        <v>31.844316650502808</v>
      </c>
      <c r="C193" s="153">
        <v>0.54025618380562346</v>
      </c>
      <c r="D193" s="495">
        <f>B193*C193</f>
        <v>17.204088989498519</v>
      </c>
      <c r="E193" s="495">
        <f>G86</f>
        <v>102.45773718669348</v>
      </c>
      <c r="F193" s="3">
        <f>[3]loch_road_allstateroad!$E$88</f>
        <v>3.6216619327275934E-2</v>
      </c>
      <c r="G193" s="495">
        <f>E193*F193</f>
        <v>3.710672864824561</v>
      </c>
      <c r="H193" s="72"/>
      <c r="I193" s="72"/>
      <c r="J193" s="72"/>
      <c r="K193" s="495">
        <f>G84</f>
        <v>2.4907822105031379</v>
      </c>
      <c r="L193" s="153">
        <v>1.6205311171023914E-2</v>
      </c>
      <c r="M193" s="495">
        <f>K193*L193</f>
        <v>4.036390078045414E-2</v>
      </c>
      <c r="N193" s="72"/>
      <c r="O193" s="72"/>
      <c r="P193" s="495"/>
      <c r="Q193" s="72"/>
      <c r="R193" s="72"/>
      <c r="S193" s="72"/>
      <c r="T193" s="495">
        <f>D193+G193+M193</f>
        <v>20.955125755103538</v>
      </c>
      <c r="U193" s="495">
        <f>T193+T194+T195</f>
        <v>219.13644286117932</v>
      </c>
    </row>
    <row r="194" spans="1:21" x14ac:dyDescent="0.2">
      <c r="A194" s="159" t="s">
        <v>119</v>
      </c>
      <c r="B194" s="495"/>
      <c r="C194" s="153"/>
      <c r="D194" s="495"/>
      <c r="E194" s="495"/>
      <c r="F194" s="153"/>
      <c r="G194" s="495">
        <f>E194*F194</f>
        <v>0</v>
      </c>
      <c r="H194" s="72"/>
      <c r="I194" s="72"/>
      <c r="J194" s="72"/>
      <c r="K194" s="72"/>
      <c r="L194" s="153"/>
      <c r="M194" s="495"/>
      <c r="N194" s="72"/>
      <c r="O194" s="72"/>
      <c r="P194" s="495"/>
      <c r="Q194" s="495">
        <f>G87</f>
        <v>44.748590057072278</v>
      </c>
      <c r="R194" s="368">
        <v>1</v>
      </c>
      <c r="S194" s="495">
        <f>Q194*R194</f>
        <v>44.748590057072278</v>
      </c>
      <c r="T194" s="495">
        <f>S194</f>
        <v>44.748590057072278</v>
      </c>
      <c r="U194" s="495"/>
    </row>
    <row r="195" spans="1:21" x14ac:dyDescent="0.2">
      <c r="A195" s="159" t="s">
        <v>218</v>
      </c>
      <c r="B195" s="495">
        <v>31.843919911576958</v>
      </c>
      <c r="C195" s="153">
        <v>0.4597438161943766</v>
      </c>
      <c r="D195" s="495">
        <f>B195*C195</f>
        <v>14.640045262736486</v>
      </c>
      <c r="E195" s="495">
        <f>G86</f>
        <v>102.45773718669348</v>
      </c>
      <c r="F195" s="153">
        <f>[3]loch_road_allstateroad!$E$89</f>
        <v>0.96378338067272418</v>
      </c>
      <c r="G195" s="495">
        <f>E195*F195</f>
        <v>98.747064321868933</v>
      </c>
      <c r="H195" s="495">
        <f>G88</f>
        <v>25.811594447989989</v>
      </c>
      <c r="I195" s="153">
        <v>1</v>
      </c>
      <c r="J195" s="495">
        <f>H195*I195</f>
        <v>25.811594447989989</v>
      </c>
      <c r="K195" s="495">
        <v>2.4907511785840182</v>
      </c>
      <c r="L195" s="153">
        <f>[1]jurisdiction!$F$77</f>
        <v>0.98379468882897614</v>
      </c>
      <c r="M195" s="495">
        <f>K195*L195</f>
        <v>2.4503877806854697</v>
      </c>
      <c r="N195" s="495">
        <f>G89</f>
        <v>11.783635235722635</v>
      </c>
      <c r="O195" s="153">
        <v>1</v>
      </c>
      <c r="P195" s="495">
        <f>N195*O195</f>
        <v>11.783635235722635</v>
      </c>
      <c r="Q195" s="72"/>
      <c r="R195" s="72"/>
      <c r="S195" s="72"/>
      <c r="T195" s="495">
        <f>D195+G195+P195 +M195+J195</f>
        <v>153.43272704900352</v>
      </c>
      <c r="U195" s="495"/>
    </row>
    <row r="196" spans="1:21" x14ac:dyDescent="0.2">
      <c r="A196" s="170"/>
      <c r="B196" s="146"/>
      <c r="C196" s="146"/>
      <c r="D196" s="146"/>
      <c r="E196" s="146"/>
      <c r="F196" s="146"/>
      <c r="G196" s="146"/>
      <c r="H196" s="522"/>
      <c r="I196" s="146"/>
      <c r="J196" s="146"/>
      <c r="K196" s="146"/>
      <c r="L196" s="146"/>
      <c r="M196" s="146"/>
      <c r="N196" s="502"/>
      <c r="O196" s="146"/>
      <c r="P196" s="146"/>
      <c r="Q196" s="146"/>
    </row>
    <row r="197" spans="1:21" ht="63.75" x14ac:dyDescent="0.2">
      <c r="A197" s="515" t="s">
        <v>499</v>
      </c>
      <c r="B197" s="515" t="s">
        <v>545</v>
      </c>
      <c r="C197" s="515" t="s">
        <v>500</v>
      </c>
      <c r="D197" s="515" t="s">
        <v>546</v>
      </c>
      <c r="E197" s="515" t="s">
        <v>697</v>
      </c>
      <c r="F197" s="515" t="s">
        <v>514</v>
      </c>
      <c r="G197" s="515" t="s">
        <v>698</v>
      </c>
      <c r="H197" s="515" t="s">
        <v>687</v>
      </c>
      <c r="I197" s="517" t="s">
        <v>576</v>
      </c>
    </row>
    <row r="198" spans="1:21" x14ac:dyDescent="0.2">
      <c r="A198" s="159" t="s">
        <v>62</v>
      </c>
      <c r="B198" s="495">
        <f>G99</f>
        <v>128.51488610049526</v>
      </c>
      <c r="C198" s="153">
        <f>[1]jurisdiction!$F$88</f>
        <v>0.98754164297816283</v>
      </c>
      <c r="D198" s="495">
        <f>B198*C198</f>
        <v>126.91380176683455</v>
      </c>
      <c r="E198" s="72"/>
      <c r="F198" s="72"/>
      <c r="G198" s="495"/>
      <c r="H198" s="495">
        <f>D198</f>
        <v>126.91380176683455</v>
      </c>
      <c r="I198" s="495">
        <f>H198+H199+H200</f>
        <v>155.30886611666097</v>
      </c>
    </row>
    <row r="199" spans="1:21" x14ac:dyDescent="0.2">
      <c r="A199" s="159" t="s">
        <v>119</v>
      </c>
      <c r="B199" s="495"/>
      <c r="C199" s="153"/>
      <c r="D199" s="495"/>
      <c r="E199" s="495">
        <f>G100</f>
        <v>26.793980016165694</v>
      </c>
      <c r="F199" s="153">
        <v>1</v>
      </c>
      <c r="G199" s="495">
        <f>E199*F199</f>
        <v>26.793980016165694</v>
      </c>
      <c r="H199" s="495">
        <f>G199</f>
        <v>26.793980016165694</v>
      </c>
      <c r="I199" s="495"/>
    </row>
    <row r="200" spans="1:21" x14ac:dyDescent="0.2">
      <c r="A200" s="159" t="s">
        <v>218</v>
      </c>
      <c r="B200" s="495">
        <f>G99</f>
        <v>128.51488610049526</v>
      </c>
      <c r="C200" s="153">
        <f>[1]jurisdiction!$F$89</f>
        <v>1.2458357021837186E-2</v>
      </c>
      <c r="D200" s="495">
        <f>B200*C200</f>
        <v>1.6010843336607115</v>
      </c>
      <c r="E200" s="72"/>
      <c r="F200" s="72"/>
      <c r="G200" s="72"/>
      <c r="H200" s="495">
        <f>D200</f>
        <v>1.6010843336607115</v>
      </c>
      <c r="I200" s="72"/>
    </row>
    <row r="201" spans="1:21" x14ac:dyDescent="0.2">
      <c r="A201" s="170"/>
      <c r="B201" s="146"/>
      <c r="C201" s="146"/>
      <c r="D201" s="146"/>
      <c r="E201" s="146"/>
      <c r="F201" s="146"/>
      <c r="G201" s="146"/>
      <c r="H201" s="523"/>
    </row>
    <row r="202" spans="1:21" ht="51" x14ac:dyDescent="0.2">
      <c r="A202" s="515" t="s">
        <v>499</v>
      </c>
      <c r="B202" s="515" t="s">
        <v>547</v>
      </c>
      <c r="C202" s="515" t="s">
        <v>500</v>
      </c>
      <c r="D202" s="515" t="s">
        <v>548</v>
      </c>
      <c r="E202" s="515" t="s">
        <v>699</v>
      </c>
      <c r="F202" s="515" t="s">
        <v>514</v>
      </c>
      <c r="G202" s="515" t="s">
        <v>699</v>
      </c>
      <c r="H202" s="515" t="s">
        <v>687</v>
      </c>
      <c r="I202" s="517" t="s">
        <v>576</v>
      </c>
      <c r="J202" s="509"/>
    </row>
    <row r="203" spans="1:21" x14ac:dyDescent="0.2">
      <c r="A203" s="159" t="s">
        <v>62</v>
      </c>
      <c r="B203" s="495">
        <f>G109</f>
        <v>3.7903936943061365</v>
      </c>
      <c r="C203" s="153">
        <v>1</v>
      </c>
      <c r="D203" s="495">
        <f>B203*C203</f>
        <v>3.7903936943061365</v>
      </c>
      <c r="E203" s="72"/>
      <c r="F203" s="72"/>
      <c r="G203" s="495"/>
      <c r="H203" s="495">
        <f>D203</f>
        <v>3.7903936943061365</v>
      </c>
      <c r="I203" s="495">
        <f>G204+D203</f>
        <v>17.169183895238877</v>
      </c>
    </row>
    <row r="204" spans="1:21" x14ac:dyDescent="0.2">
      <c r="A204" s="159" t="s">
        <v>119</v>
      </c>
      <c r="B204" s="72"/>
      <c r="C204" s="72"/>
      <c r="D204" s="72"/>
      <c r="E204" s="495">
        <f>G110</f>
        <v>13.378790200932739</v>
      </c>
      <c r="F204" s="153">
        <v>1</v>
      </c>
      <c r="G204" s="495">
        <f>E204*F204</f>
        <v>13.378790200932739</v>
      </c>
      <c r="H204" s="495">
        <f>G204</f>
        <v>13.378790200932739</v>
      </c>
      <c r="I204" s="495"/>
    </row>
    <row r="205" spans="1:21" x14ac:dyDescent="0.2">
      <c r="A205" s="159" t="s">
        <v>218</v>
      </c>
      <c r="B205" s="72"/>
      <c r="C205" s="72"/>
      <c r="D205" s="72"/>
      <c r="E205" s="72"/>
      <c r="F205" s="72"/>
      <c r="G205" s="72"/>
      <c r="H205" s="72"/>
      <c r="I205" s="72"/>
    </row>
    <row r="206" spans="1:21" x14ac:dyDescent="0.2">
      <c r="A206" s="170"/>
      <c r="B206" s="146"/>
      <c r="C206" s="146"/>
      <c r="D206" s="146"/>
      <c r="E206" s="523"/>
      <c r="F206" s="146"/>
      <c r="G206" s="146"/>
      <c r="H206" s="146"/>
    </row>
    <row r="207" spans="1:21" ht="51" x14ac:dyDescent="0.2">
      <c r="A207" s="515" t="s">
        <v>499</v>
      </c>
      <c r="B207" s="515" t="s">
        <v>549</v>
      </c>
      <c r="C207" s="515" t="s">
        <v>500</v>
      </c>
      <c r="D207" s="515" t="s">
        <v>550</v>
      </c>
      <c r="E207" s="515" t="s">
        <v>687</v>
      </c>
      <c r="F207" s="517" t="s">
        <v>576</v>
      </c>
    </row>
    <row r="208" spans="1:21" x14ac:dyDescent="0.2">
      <c r="A208" s="159" t="s">
        <v>62</v>
      </c>
      <c r="B208" s="495">
        <f>G118</f>
        <v>0.25618550252447764</v>
      </c>
      <c r="C208" s="153">
        <v>1</v>
      </c>
      <c r="D208" s="495">
        <f>B208*C208</f>
        <v>0.25618550252447764</v>
      </c>
      <c r="E208" s="495">
        <f>D208</f>
        <v>0.25618550252447764</v>
      </c>
      <c r="F208" s="495">
        <f>D208</f>
        <v>0.25618550252447764</v>
      </c>
    </row>
    <row r="209" spans="1:18" x14ac:dyDescent="0.2">
      <c r="A209" s="159" t="s">
        <v>119</v>
      </c>
      <c r="B209" s="72"/>
      <c r="C209" s="72"/>
      <c r="D209" s="72"/>
      <c r="E209" s="72"/>
      <c r="F209" s="72"/>
    </row>
    <row r="210" spans="1:18" x14ac:dyDescent="0.2">
      <c r="A210" s="159" t="s">
        <v>218</v>
      </c>
      <c r="B210" s="72"/>
      <c r="C210" s="72"/>
      <c r="D210" s="72"/>
      <c r="E210" s="72"/>
      <c r="F210" s="72"/>
    </row>
    <row r="211" spans="1:18" x14ac:dyDescent="0.2">
      <c r="A211" s="19"/>
    </row>
    <row r="212" spans="1:18" ht="63.75" x14ac:dyDescent="0.2">
      <c r="A212" s="515" t="s">
        <v>499</v>
      </c>
      <c r="B212" s="515" t="s">
        <v>551</v>
      </c>
      <c r="C212" s="515" t="s">
        <v>500</v>
      </c>
      <c r="D212" s="515" t="s">
        <v>552</v>
      </c>
      <c r="E212" s="515" t="s">
        <v>553</v>
      </c>
      <c r="F212" s="515" t="s">
        <v>514</v>
      </c>
      <c r="G212" s="515" t="s">
        <v>554</v>
      </c>
      <c r="H212" s="515" t="s">
        <v>555</v>
      </c>
      <c r="I212" s="515" t="s">
        <v>514</v>
      </c>
      <c r="J212" s="515" t="s">
        <v>555</v>
      </c>
      <c r="K212" s="515" t="s">
        <v>556</v>
      </c>
      <c r="L212" s="515" t="s">
        <v>509</v>
      </c>
      <c r="M212" s="515" t="s">
        <v>557</v>
      </c>
      <c r="N212" s="515" t="s">
        <v>700</v>
      </c>
      <c r="O212" s="515" t="s">
        <v>509</v>
      </c>
      <c r="P212" s="515" t="s">
        <v>701</v>
      </c>
      <c r="Q212" s="515" t="s">
        <v>687</v>
      </c>
      <c r="R212" s="517" t="s">
        <v>576</v>
      </c>
    </row>
    <row r="213" spans="1:18" x14ac:dyDescent="0.2">
      <c r="A213" s="159" t="s">
        <v>62</v>
      </c>
      <c r="B213" s="495">
        <f>G127</f>
        <v>61.28564824883626</v>
      </c>
      <c r="C213" s="153">
        <v>1</v>
      </c>
      <c r="D213" s="495">
        <f>B213*C213</f>
        <v>61.28564824883626</v>
      </c>
      <c r="E213" s="495">
        <f>G128</f>
        <v>18.880811537787345</v>
      </c>
      <c r="F213" s="153">
        <v>1</v>
      </c>
      <c r="G213" s="495">
        <f>E213*F213</f>
        <v>18.880811537787345</v>
      </c>
      <c r="H213" s="495">
        <f>G130</f>
        <v>34.386106226332871</v>
      </c>
      <c r="I213" s="153">
        <v>1</v>
      </c>
      <c r="J213" s="495">
        <f>H213*I213</f>
        <v>34.386106226332871</v>
      </c>
      <c r="K213" s="495">
        <f>G126</f>
        <v>0.28710049509047103</v>
      </c>
      <c r="L213" s="153">
        <v>1</v>
      </c>
      <c r="M213" s="495">
        <f>K213*L213</f>
        <v>0.28710049509047103</v>
      </c>
      <c r="N213" s="72"/>
      <c r="O213" s="72"/>
      <c r="P213" s="72"/>
      <c r="Q213" s="495">
        <f>D213+G213+J213+M213</f>
        <v>114.83966650804695</v>
      </c>
      <c r="R213" s="495">
        <f>Q213+Q214</f>
        <v>199.42996904739931</v>
      </c>
    </row>
    <row r="214" spans="1:18" x14ac:dyDescent="0.2">
      <c r="A214" s="159" t="s">
        <v>119</v>
      </c>
      <c r="B214" s="72"/>
      <c r="C214" s="72"/>
      <c r="D214" s="495"/>
      <c r="E214" s="495"/>
      <c r="F214" s="153"/>
      <c r="G214" s="495">
        <f>E214*F214</f>
        <v>0</v>
      </c>
      <c r="H214" s="495"/>
      <c r="I214" s="72"/>
      <c r="J214" s="72"/>
      <c r="K214" s="72"/>
      <c r="L214" s="72"/>
      <c r="M214" s="72"/>
      <c r="N214" s="495">
        <f>G129</f>
        <v>84.590302539352351</v>
      </c>
      <c r="O214" s="368">
        <v>1</v>
      </c>
      <c r="P214" s="495">
        <f>N214*O214</f>
        <v>84.590302539352351</v>
      </c>
      <c r="Q214" s="495">
        <f>P214</f>
        <v>84.590302539352351</v>
      </c>
      <c r="R214" s="72"/>
    </row>
    <row r="215" spans="1:18" x14ac:dyDescent="0.2">
      <c r="A215" s="159" t="s">
        <v>218</v>
      </c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495"/>
      <c r="R215" s="72"/>
    </row>
    <row r="216" spans="1:18" ht="13.5" thickBot="1" x14ac:dyDescent="0.25"/>
    <row r="217" spans="1:18" ht="38.25" x14ac:dyDescent="0.2">
      <c r="A217" s="519" t="s">
        <v>558</v>
      </c>
      <c r="B217" s="520" t="s">
        <v>34</v>
      </c>
      <c r="C217" s="520" t="s">
        <v>559</v>
      </c>
      <c r="D217" s="476" t="s">
        <v>42</v>
      </c>
      <c r="E217" s="520" t="s">
        <v>35</v>
      </c>
      <c r="F217" s="520" t="s">
        <v>36</v>
      </c>
      <c r="G217" s="520" t="s">
        <v>577</v>
      </c>
      <c r="H217" s="521" t="s">
        <v>561</v>
      </c>
    </row>
    <row r="218" spans="1:18" x14ac:dyDescent="0.2">
      <c r="A218" s="30" t="s">
        <v>62</v>
      </c>
      <c r="B218" s="244">
        <f>ROUND((D163+D168+D173+D178+D183+D188+D193+D198+D203+D208+D213),0)</f>
        <v>326</v>
      </c>
      <c r="C218" s="244">
        <f>J173+G178+G183+G193+G213</f>
        <v>46.491176913989428</v>
      </c>
      <c r="D218" s="343"/>
      <c r="E218" s="244">
        <f>J178+J213</f>
        <v>35.313364270645465</v>
      </c>
      <c r="F218" s="244"/>
      <c r="G218" s="244">
        <f>J168+M178+J183+M188+M193+M213</f>
        <v>3.1902579237865392</v>
      </c>
      <c r="H218" s="128">
        <f>J188</f>
        <v>0.56669993581983702</v>
      </c>
    </row>
    <row r="219" spans="1:18" x14ac:dyDescent="0.2">
      <c r="A219" s="30" t="s">
        <v>119</v>
      </c>
      <c r="B219" s="244"/>
      <c r="C219" s="244" t="s">
        <v>702</v>
      </c>
      <c r="D219" s="343">
        <f>G169+G174+P179+M184+G189+S194+G199+G204+P214</f>
        <v>321.43714186812457</v>
      </c>
      <c r="E219" s="244"/>
      <c r="F219" s="244"/>
      <c r="G219" s="244"/>
      <c r="H219" s="128"/>
    </row>
    <row r="220" spans="1:18" x14ac:dyDescent="0.2">
      <c r="A220" s="30" t="s">
        <v>218</v>
      </c>
      <c r="B220" s="244">
        <f>ROUND((D185+D195+D200),0)</f>
        <v>16</v>
      </c>
      <c r="C220" s="244">
        <f>G185+G195</f>
        <v>99.648437813517162</v>
      </c>
      <c r="D220" s="343"/>
      <c r="E220" s="244">
        <f>J195</f>
        <v>25.811594447989989</v>
      </c>
      <c r="F220" s="244">
        <f>P195</f>
        <v>11.783635235722635</v>
      </c>
      <c r="G220" s="244">
        <f>J185+M195</f>
        <v>2.465745930935956</v>
      </c>
      <c r="H220" s="128"/>
      <c r="I220" s="21">
        <f>SUM(B220:H220)</f>
        <v>155.70941342816573</v>
      </c>
    </row>
    <row r="221" spans="1:18" ht="13.5" thickBot="1" x14ac:dyDescent="0.25">
      <c r="A221" s="518" t="s">
        <v>68</v>
      </c>
      <c r="B221" s="587">
        <f t="shared" ref="B221:C221" si="74">SUM(B218:B220)</f>
        <v>342</v>
      </c>
      <c r="C221" s="587">
        <f t="shared" si="74"/>
        <v>146.1396147275066</v>
      </c>
      <c r="D221" s="588">
        <f>SUM(D218:D220)</f>
        <v>321.43714186812457</v>
      </c>
      <c r="E221" s="587">
        <f>SUM(E218:E220)</f>
        <v>61.124958718635455</v>
      </c>
      <c r="F221" s="587">
        <f>SUM(F218:F220)</f>
        <v>11.783635235722635</v>
      </c>
      <c r="G221" s="587">
        <f>SUM(G218:G220)</f>
        <v>5.6560038547224956</v>
      </c>
      <c r="H221" s="643">
        <f>SUM(H218:H220)</f>
        <v>0.56669993581983702</v>
      </c>
    </row>
    <row r="223" spans="1:18" x14ac:dyDescent="0.2">
      <c r="A223" t="s">
        <v>727</v>
      </c>
      <c r="B223" s="79">
        <f>B6+B7+B15+B16+B27+B28+B39+B40+B53+B54+B66+B67+B78+B96+B97+B106+B107+B115+B116+B123+B124+B81+B82</f>
        <v>1202.6923618326682</v>
      </c>
    </row>
    <row r="224" spans="1:18" x14ac:dyDescent="0.2">
      <c r="A224" t="s">
        <v>728</v>
      </c>
      <c r="B224" s="79">
        <f>B9+B18+B19+B20+B30+B31+B32+B42+B43+B44+B45+B46+B56+B57+B58+B59+B69+B70+B71+B72+B84+B85+B86+B87+B88+B89+B99+B100+B109+B110+B118+B126+B127+B128+B129+B130</f>
        <v>1666.8738384216476</v>
      </c>
    </row>
    <row r="225" spans="1:2" x14ac:dyDescent="0.2">
      <c r="A225" t="s">
        <v>729</v>
      </c>
      <c r="B225" s="79">
        <f>B22+B34+B48+B61+B74+B91+B102+B132</f>
        <v>425.49999999999994</v>
      </c>
    </row>
    <row r="226" spans="1:2" x14ac:dyDescent="0.2">
      <c r="A226" t="s">
        <v>730</v>
      </c>
      <c r="B226" s="79">
        <f>B11+B23+B35+B49+B62+B75+B92+B103+B112+B120+B133</f>
        <v>1843.3000000000002</v>
      </c>
    </row>
  </sheetData>
  <printOptions gridLines="1"/>
  <pageMargins left="0.45" right="0.45" top="0.75" bottom="0.75" header="0.3" footer="0.3"/>
  <pageSetup paperSize="3" scale="85" orientation="landscape" r:id="rId1"/>
  <headerFooter>
    <oddHeader>&amp;CDRAFT Total Phosphorus Budget for Lochloosa Lake</oddHeader>
    <oddFooter>&amp;LDRAFT&amp;CMay 23, 2017&amp;RPrepared by DEP, Water Quality Restoration Program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L29"/>
  <sheetViews>
    <sheetView topLeftCell="B1" workbookViewId="0">
      <selection activeCell="E17" sqref="E17"/>
    </sheetView>
  </sheetViews>
  <sheetFormatPr defaultRowHeight="12.75" x14ac:dyDescent="0.2"/>
  <cols>
    <col min="1" max="1" width="35" customWidth="1"/>
    <col min="2" max="2" width="18.42578125" customWidth="1"/>
    <col min="3" max="3" width="15.7109375" customWidth="1"/>
    <col min="4" max="4" width="16" customWidth="1"/>
    <col min="5" max="5" width="15.28515625" customWidth="1"/>
    <col min="6" max="6" width="16.7109375" customWidth="1"/>
    <col min="7" max="7" width="15.85546875" customWidth="1"/>
    <col min="8" max="9" width="16.140625" customWidth="1"/>
    <col min="10" max="10" width="17.42578125" customWidth="1"/>
    <col min="11" max="11" width="13.28515625" customWidth="1"/>
    <col min="12" max="12" width="13.140625" customWidth="1"/>
  </cols>
  <sheetData>
    <row r="1" spans="1:12" ht="51" x14ac:dyDescent="0.2">
      <c r="A1" s="519" t="s">
        <v>622</v>
      </c>
      <c r="B1" s="520" t="s">
        <v>623</v>
      </c>
      <c r="C1" s="520" t="s">
        <v>624</v>
      </c>
      <c r="D1" s="520" t="s">
        <v>625</v>
      </c>
      <c r="E1" s="520" t="s">
        <v>626</v>
      </c>
      <c r="F1" s="520" t="s">
        <v>748</v>
      </c>
      <c r="G1" s="520" t="s">
        <v>627</v>
      </c>
      <c r="H1" s="520" t="s">
        <v>667</v>
      </c>
      <c r="I1" s="476" t="s">
        <v>42</v>
      </c>
      <c r="J1" s="521" t="s">
        <v>668</v>
      </c>
    </row>
    <row r="2" spans="1:12" x14ac:dyDescent="0.2">
      <c r="A2" s="30" t="s">
        <v>62</v>
      </c>
      <c r="B2" s="244">
        <f>ROUND('Lochloosa Lake TP Budget'!B218,0)</f>
        <v>326</v>
      </c>
      <c r="C2" s="244">
        <f>ROUND('Lochloosa Lake TP Budget'!C218,0)</f>
        <v>46</v>
      </c>
      <c r="D2" s="244">
        <f>(ROUND('Lochloosa Lake TP Budget'!E218,0))</f>
        <v>35</v>
      </c>
      <c r="E2" s="244"/>
      <c r="F2" s="244">
        <f>ROUND('Lochloosa Lake TP Budget'!G218,0)</f>
        <v>3</v>
      </c>
      <c r="G2" s="244">
        <f>ROUND('Lochloosa Lake TP Budget'!H218,0)</f>
        <v>1</v>
      </c>
      <c r="H2" s="148"/>
      <c r="I2" s="148"/>
      <c r="J2" s="397">
        <f>ROUND(SUM(B2:I2),0)</f>
        <v>411</v>
      </c>
    </row>
    <row r="3" spans="1:12" x14ac:dyDescent="0.2">
      <c r="A3" s="30" t="s">
        <v>119</v>
      </c>
      <c r="B3" s="244"/>
      <c r="C3" s="244"/>
      <c r="D3" s="244"/>
      <c r="E3" s="244"/>
      <c r="F3" s="244"/>
      <c r="G3" s="244"/>
      <c r="H3" s="148"/>
      <c r="I3" s="148">
        <f>ROUND('Lochloosa Lake TP Budget'!D221,0)</f>
        <v>321</v>
      </c>
      <c r="J3" s="397">
        <f>ROUND(SUM(B3:I3),0)</f>
        <v>321</v>
      </c>
    </row>
    <row r="4" spans="1:12" x14ac:dyDescent="0.2">
      <c r="A4" s="30" t="s">
        <v>218</v>
      </c>
      <c r="B4" s="244">
        <f>ROUND('Lochloosa Lake TP Budget'!B220,0)</f>
        <v>16</v>
      </c>
      <c r="C4" s="244">
        <f>ROUND('Lochloosa Lake TP Budget'!C220,0)</f>
        <v>100</v>
      </c>
      <c r="D4" s="244">
        <f>ROUND('Lochloosa Lake TP Budget'!E220,0)</f>
        <v>26</v>
      </c>
      <c r="E4" s="244">
        <f>ROUND('Lochloosa Lake TP Budget'!F220,0)</f>
        <v>12</v>
      </c>
      <c r="F4" s="244">
        <f>'Lochloosa Lake TP Budget'!G220</f>
        <v>2.465745930935956</v>
      </c>
      <c r="G4" s="244"/>
      <c r="H4" s="148"/>
      <c r="I4" s="148"/>
      <c r="J4" s="397">
        <f>ROUND(SUM(B4:I4),0)</f>
        <v>156</v>
      </c>
    </row>
    <row r="5" spans="1:12" x14ac:dyDescent="0.2">
      <c r="A5" s="30" t="s">
        <v>27</v>
      </c>
      <c r="B5" s="244"/>
      <c r="C5" s="244"/>
      <c r="D5" s="244"/>
      <c r="E5" s="244"/>
      <c r="F5" s="244"/>
      <c r="G5" s="244"/>
      <c r="H5" s="148">
        <f>ROUND('Lochloosa Lake TP Budget'!N159,0)</f>
        <v>1469</v>
      </c>
      <c r="I5" s="148"/>
      <c r="J5" s="397"/>
      <c r="K5" s="21"/>
    </row>
    <row r="6" spans="1:12" ht="13.5" thickBot="1" x14ac:dyDescent="0.25">
      <c r="A6" s="518" t="s">
        <v>68</v>
      </c>
      <c r="B6" s="587">
        <f>SUM(B2:B5)</f>
        <v>342</v>
      </c>
      <c r="C6" s="587">
        <f>SUM(C2:C5)</f>
        <v>146</v>
      </c>
      <c r="D6" s="587">
        <f t="shared" ref="D6:G6" si="0">SUM(D2:D5)</f>
        <v>61</v>
      </c>
      <c r="E6" s="587">
        <f t="shared" si="0"/>
        <v>12</v>
      </c>
      <c r="F6" s="587">
        <f t="shared" si="0"/>
        <v>5.465745930935956</v>
      </c>
      <c r="G6" s="587">
        <f t="shared" si="0"/>
        <v>1</v>
      </c>
      <c r="H6" s="626">
        <f>SUM(H2:H5)</f>
        <v>1469</v>
      </c>
      <c r="I6" s="625">
        <f>SUM(I2:I5)</f>
        <v>321</v>
      </c>
      <c r="J6" s="627">
        <f>SUM(J2:J4)</f>
        <v>888</v>
      </c>
    </row>
    <row r="9" spans="1:12" x14ac:dyDescent="0.2">
      <c r="A9" s="70" t="s">
        <v>297</v>
      </c>
    </row>
    <row r="10" spans="1:12" ht="63.75" x14ac:dyDescent="0.2">
      <c r="A10" s="525" t="s">
        <v>578</v>
      </c>
      <c r="B10" s="476" t="s">
        <v>310</v>
      </c>
      <c r="C10" s="476" t="s">
        <v>579</v>
      </c>
      <c r="D10" s="476" t="s">
        <v>313</v>
      </c>
      <c r="E10" s="476" t="s">
        <v>305</v>
      </c>
      <c r="F10" s="476" t="s">
        <v>580</v>
      </c>
      <c r="G10" s="476" t="s">
        <v>581</v>
      </c>
      <c r="H10" s="476" t="s">
        <v>712</v>
      </c>
      <c r="I10" s="476" t="s">
        <v>317</v>
      </c>
      <c r="J10" s="476" t="s">
        <v>319</v>
      </c>
      <c r="K10" s="476" t="s">
        <v>320</v>
      </c>
      <c r="L10" s="509"/>
    </row>
    <row r="11" spans="1:12" x14ac:dyDescent="0.2">
      <c r="A11" s="235" t="s">
        <v>62</v>
      </c>
      <c r="B11" s="120">
        <f>'Lochloosa TP education'!D2+'Lochloosa TP education'!D7+'Lochloosa TP education'!D12+'Lochloosa TP education'!D17+'Lochloosa TP education'!D22+'Lochloosa TP education'!D27+'Lochloosa TP education'!D32+'Lochloosa TP education'!D37+'Lochloosa TP education'!D42+'Lochloosa TP education'!D47+'Lochloosa TP education'!D52</f>
        <v>611.1339515354731</v>
      </c>
      <c r="C11" s="120">
        <f>'Lochloosa TP education'!G12+'Lochloosa TP education'!G17+'Lochloosa TP education'!G22+'Lochloosa TP education'!G32+'Lochloosa TP education'!G52</f>
        <v>87.167209918991489</v>
      </c>
      <c r="D11" s="120">
        <f>'Lochloosa TP education'!J17+'Lochloosa TP education'!J52</f>
        <v>66.209712049662684</v>
      </c>
      <c r="E11" s="120"/>
      <c r="F11" s="120">
        <f>'Lochloosa TP education'!J7+'Lochloosa TP education'!M17+'Lochloosa TP education'!J22+'Lochloosa TP education'!M27+'Lochloosa TP education'!M32+'Lochloosa TP education'!M52</f>
        <v>5.9814764993559404</v>
      </c>
      <c r="G11" s="120">
        <f>'Lochloosa TP education'!J27</f>
        <v>1.0625167084514637</v>
      </c>
      <c r="H11" s="72"/>
      <c r="I11" s="120">
        <f>+B11+C11+D11+E11+F11+G11</f>
        <v>771.55486671193466</v>
      </c>
      <c r="J11" s="528">
        <v>0.06</v>
      </c>
      <c r="K11" s="244">
        <f>I11*J11</f>
        <v>46.293292002716079</v>
      </c>
    </row>
    <row r="12" spans="1:12" x14ac:dyDescent="0.2">
      <c r="A12" s="235" t="s">
        <v>119</v>
      </c>
      <c r="B12" s="120"/>
      <c r="C12" s="120"/>
      <c r="D12" s="120"/>
      <c r="E12" s="120"/>
      <c r="F12" s="120"/>
      <c r="G12" s="120"/>
      <c r="H12" s="204">
        <f>'Lochloosa TP education'!G8+'Lochloosa TP education'!J13+'Lochloosa TP education'!M23+'Lochloosa TP education'!G28+'Lochloosa TP education'!S33+'Lochloosa TP education'!G38+'Lochloosa TP education'!G43+'Lochloosa TP education'!P53</f>
        <v>491.56873589402437</v>
      </c>
      <c r="I12" s="120">
        <f>+B12+C12+D12+E12+F12+G12+H12</f>
        <v>491.56873589402437</v>
      </c>
      <c r="J12" s="528">
        <v>0.04</v>
      </c>
      <c r="K12" s="244">
        <f t="shared" ref="K12:K13" si="1">I12*J12</f>
        <v>19.662749435760976</v>
      </c>
    </row>
    <row r="13" spans="1:12" x14ac:dyDescent="0.2">
      <c r="A13" s="235" t="s">
        <v>218</v>
      </c>
      <c r="B13" s="120">
        <f>'Lochloosa TP education'!D24+'Lochloosa TP education'!D34+'Lochloosa TP education'!D39</f>
        <v>30.706287433998362</v>
      </c>
      <c r="C13" s="120">
        <f>'Lochloosa TP education'!G24+'Lochloosa TP education'!G34</f>
        <v>186.83279008100854</v>
      </c>
      <c r="D13" s="120">
        <f>'Lochloosa TP education'!H34</f>
        <v>48.394659394281852</v>
      </c>
      <c r="E13" s="120">
        <f>'Lochloosa TP education'!P34</f>
        <v>22.093366405873578</v>
      </c>
      <c r="F13" s="120">
        <f>'Lochloosa TP education'!J24+'Lochloosa TP education'!M34</f>
        <v>4.6231325005267179</v>
      </c>
      <c r="G13" s="120"/>
      <c r="H13" s="72"/>
      <c r="I13" s="120">
        <f>+B13+C13+D13+E13+F13+G13</f>
        <v>292.65023581568903</v>
      </c>
      <c r="J13" s="528">
        <v>0.04</v>
      </c>
      <c r="K13" s="244">
        <f t="shared" si="1"/>
        <v>11.706009432627562</v>
      </c>
    </row>
    <row r="14" spans="1:12" x14ac:dyDescent="0.2">
      <c r="H14" t="s">
        <v>752</v>
      </c>
      <c r="I14" s="71">
        <f>ROUND(SUM(I11:I13),0)</f>
        <v>1556</v>
      </c>
      <c r="J14" s="528">
        <v>0.06</v>
      </c>
      <c r="K14">
        <f>ROUND((I14*J14),0)</f>
        <v>93</v>
      </c>
    </row>
    <row r="15" spans="1:12" ht="13.5" thickBot="1" x14ac:dyDescent="0.25">
      <c r="A15" t="s">
        <v>380</v>
      </c>
    </row>
    <row r="16" spans="1:12" ht="93.75" customHeight="1" x14ac:dyDescent="0.2">
      <c r="A16" s="524" t="s">
        <v>582</v>
      </c>
      <c r="B16" s="526" t="s">
        <v>772</v>
      </c>
      <c r="C16" s="526" t="s">
        <v>763</v>
      </c>
      <c r="D16" s="526" t="s">
        <v>320</v>
      </c>
      <c r="E16" s="526" t="s">
        <v>779</v>
      </c>
      <c r="F16" s="526" t="s">
        <v>766</v>
      </c>
      <c r="G16" s="526" t="s">
        <v>764</v>
      </c>
      <c r="H16" s="527" t="s">
        <v>385</v>
      </c>
      <c r="I16" s="527" t="s">
        <v>362</v>
      </c>
      <c r="J16" s="722" t="s">
        <v>781</v>
      </c>
    </row>
    <row r="17" spans="1:10" x14ac:dyDescent="0.2">
      <c r="A17" s="235" t="s">
        <v>62</v>
      </c>
      <c r="B17" s="244">
        <f>J2</f>
        <v>411</v>
      </c>
      <c r="C17" s="244">
        <f>ROUND((0.5*B17),0)</f>
        <v>206</v>
      </c>
      <c r="D17" s="244">
        <f>K11</f>
        <v>46.293292002716079</v>
      </c>
      <c r="E17" s="244"/>
      <c r="F17" s="244">
        <f>C17-D17-E17</f>
        <v>159.70670799728393</v>
      </c>
      <c r="G17" s="244">
        <f>ROUNDDOWN((B17-C17),0)</f>
        <v>205</v>
      </c>
      <c r="H17" s="244"/>
      <c r="I17" s="244"/>
      <c r="J17" s="244">
        <f>ROUND((F17+G17-(H17+I17)),0)</f>
        <v>365</v>
      </c>
    </row>
    <row r="18" spans="1:10" x14ac:dyDescent="0.2">
      <c r="A18" s="235" t="s">
        <v>119</v>
      </c>
      <c r="B18" s="244">
        <f>J3</f>
        <v>321</v>
      </c>
      <c r="C18" s="244">
        <f>ROUND((0.5*B18),0)</f>
        <v>161</v>
      </c>
      <c r="D18" s="244">
        <f>K12</f>
        <v>19.662749435760976</v>
      </c>
      <c r="E18" s="244">
        <v>802.2</v>
      </c>
      <c r="F18" s="244">
        <f t="shared" ref="F18:F19" si="2">C18-D18-E18</f>
        <v>-660.86274943576109</v>
      </c>
      <c r="G18" s="244">
        <f>ROUNDDOWN((B18-C18),0)</f>
        <v>160</v>
      </c>
      <c r="H18" s="244"/>
      <c r="I18" s="244"/>
      <c r="J18" s="244">
        <v>0</v>
      </c>
    </row>
    <row r="19" spans="1:10" x14ac:dyDescent="0.2">
      <c r="A19" s="235" t="s">
        <v>218</v>
      </c>
      <c r="B19" s="244">
        <f>J4</f>
        <v>156</v>
      </c>
      <c r="C19" s="244">
        <f>0.5*B19</f>
        <v>78</v>
      </c>
      <c r="D19" s="244">
        <f>K13</f>
        <v>11.706009432627562</v>
      </c>
      <c r="E19" s="244"/>
      <c r="F19" s="244">
        <f t="shared" si="2"/>
        <v>66.293990567372433</v>
      </c>
      <c r="G19" s="244">
        <v>78</v>
      </c>
      <c r="H19" s="244"/>
      <c r="I19" s="244"/>
      <c r="J19" s="244">
        <f>ROUND((F19+G19-(H19+I19)),0)</f>
        <v>144</v>
      </c>
    </row>
    <row r="20" spans="1:10" x14ac:dyDescent="0.2">
      <c r="A20" s="72" t="s">
        <v>132</v>
      </c>
      <c r="B20" s="244">
        <f t="shared" ref="B20:G20" si="3">SUM(B17:B19)</f>
        <v>888</v>
      </c>
      <c r="C20" s="244">
        <f>ROUND(SUM(C17:C19),0)</f>
        <v>445</v>
      </c>
      <c r="D20" s="244">
        <f t="shared" si="3"/>
        <v>77.662050871104626</v>
      </c>
      <c r="E20" s="244">
        <f t="shared" si="3"/>
        <v>802.2</v>
      </c>
      <c r="F20" s="244">
        <f t="shared" si="3"/>
        <v>-434.86205087110471</v>
      </c>
      <c r="G20" s="244">
        <f t="shared" si="3"/>
        <v>443</v>
      </c>
      <c r="H20" s="244"/>
      <c r="I20" s="244"/>
      <c r="J20" s="244">
        <f>J17+J19</f>
        <v>509</v>
      </c>
    </row>
    <row r="21" spans="1:10" x14ac:dyDescent="0.2">
      <c r="A21" s="72" t="s">
        <v>363</v>
      </c>
      <c r="B21" s="72"/>
      <c r="C21" s="72"/>
      <c r="D21" s="72"/>
      <c r="E21" s="72"/>
      <c r="F21" s="72"/>
      <c r="G21" s="72"/>
      <c r="H21" s="72"/>
      <c r="I21" s="72"/>
      <c r="J21" s="72"/>
    </row>
    <row r="23" spans="1:10" x14ac:dyDescent="0.2">
      <c r="A23" s="628"/>
      <c r="B23" s="509"/>
      <c r="C23" s="509"/>
    </row>
    <row r="24" spans="1:10" x14ac:dyDescent="0.2">
      <c r="A24" s="606"/>
      <c r="B24" s="79"/>
      <c r="C24" s="79"/>
    </row>
    <row r="25" spans="1:10" x14ac:dyDescent="0.2">
      <c r="A25" s="606"/>
      <c r="B25" s="79"/>
      <c r="C25" s="79"/>
    </row>
    <row r="26" spans="1:10" x14ac:dyDescent="0.2">
      <c r="A26" s="606"/>
      <c r="B26" s="79"/>
      <c r="C26" s="79"/>
    </row>
    <row r="27" spans="1:10" x14ac:dyDescent="0.2">
      <c r="A27" s="286"/>
      <c r="B27" s="79"/>
      <c r="C27" s="79"/>
    </row>
    <row r="28" spans="1:10" x14ac:dyDescent="0.2">
      <c r="A28" s="286"/>
    </row>
    <row r="29" spans="1:10" x14ac:dyDescent="0.2">
      <c r="A29" s="286"/>
      <c r="B29" s="21"/>
      <c r="C29" s="3"/>
    </row>
  </sheetData>
  <printOptions gridLines="1"/>
  <pageMargins left="0.7" right="0.7" top="0.75" bottom="0.75" header="0.3" footer="0.3"/>
  <pageSetup paperSize="5" scale="90" pageOrder="overThenDown" orientation="landscape" r:id="rId1"/>
  <headerFooter>
    <oddHeader>&amp;CDRAFR Lochloosa Lake TP Loading Reductions</oddHeader>
    <oddFooter>&amp;LDRAFT&amp;CTP Reduction information for Lochloosa Lake&amp;RDEP, May 23, 2017</oddFooter>
  </headerFooter>
  <ignoredErrors>
    <ignoredError sqref="I1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4"/>
  <sheetViews>
    <sheetView topLeftCell="A32" workbookViewId="0">
      <selection activeCell="E56" sqref="E56"/>
    </sheetView>
  </sheetViews>
  <sheetFormatPr defaultRowHeight="12.75" x14ac:dyDescent="0.2"/>
  <cols>
    <col min="1" max="1" width="21.28515625" customWidth="1"/>
    <col min="2" max="2" width="15" customWidth="1"/>
    <col min="3" max="3" width="14.28515625" customWidth="1"/>
    <col min="4" max="4" width="15.42578125" customWidth="1"/>
    <col min="5" max="5" width="15.7109375" customWidth="1"/>
    <col min="6" max="6" width="15.140625" customWidth="1"/>
    <col min="7" max="7" width="15.28515625" customWidth="1"/>
    <col min="8" max="8" width="15.42578125" customWidth="1"/>
    <col min="9" max="9" width="12.85546875" customWidth="1"/>
    <col min="10" max="10" width="13.28515625" customWidth="1"/>
    <col min="11" max="11" width="12.5703125" customWidth="1"/>
    <col min="13" max="13" width="13.28515625" customWidth="1"/>
    <col min="14" max="15" width="12.5703125" customWidth="1"/>
    <col min="16" max="16" width="15" customWidth="1"/>
    <col min="17" max="17" width="15.28515625" customWidth="1"/>
    <col min="18" max="18" width="14.140625" customWidth="1"/>
    <col min="19" max="19" width="15.42578125" customWidth="1"/>
    <col min="20" max="20" width="13.28515625" customWidth="1"/>
  </cols>
  <sheetData>
    <row r="1" spans="1:17" ht="64.900000000000006" customHeight="1" x14ac:dyDescent="0.2">
      <c r="A1" s="515" t="s">
        <v>583</v>
      </c>
      <c r="B1" s="515" t="s">
        <v>502</v>
      </c>
      <c r="C1" s="515" t="s">
        <v>500</v>
      </c>
      <c r="D1" s="515" t="s">
        <v>593</v>
      </c>
      <c r="E1" s="517" t="s">
        <v>576</v>
      </c>
      <c r="N1" s="21"/>
    </row>
    <row r="2" spans="1:17" x14ac:dyDescent="0.2">
      <c r="A2" s="159" t="s">
        <v>62</v>
      </c>
      <c r="B2" s="495">
        <f>'Lochloosa Lake TP Budget'!E9</f>
        <v>44.081717939540226</v>
      </c>
      <c r="C2" s="153">
        <v>1</v>
      </c>
      <c r="D2" s="495">
        <f>B2*C2</f>
        <v>44.081717939540226</v>
      </c>
      <c r="E2" s="495">
        <f>D2</f>
        <v>44.081717939540226</v>
      </c>
    </row>
    <row r="3" spans="1:17" x14ac:dyDescent="0.2">
      <c r="A3" s="159" t="s">
        <v>119</v>
      </c>
      <c r="B3" s="72"/>
      <c r="C3" s="72"/>
      <c r="D3" s="72"/>
      <c r="E3" s="72"/>
    </row>
    <row r="4" spans="1:17" x14ac:dyDescent="0.2">
      <c r="A4" s="159" t="s">
        <v>218</v>
      </c>
      <c r="B4" s="72"/>
      <c r="C4" s="72"/>
      <c r="D4" s="72"/>
      <c r="E4" s="72"/>
    </row>
    <row r="6" spans="1:17" ht="70.150000000000006" customHeight="1" x14ac:dyDescent="0.2">
      <c r="A6" s="515" t="s">
        <v>584</v>
      </c>
      <c r="B6" s="515" t="s">
        <v>503</v>
      </c>
      <c r="C6" s="515" t="s">
        <v>500</v>
      </c>
      <c r="D6" s="515" t="s">
        <v>594</v>
      </c>
      <c r="E6" s="515" t="s">
        <v>703</v>
      </c>
      <c r="F6" s="515" t="s">
        <v>505</v>
      </c>
      <c r="G6" s="515" t="s">
        <v>604</v>
      </c>
      <c r="H6" s="515" t="s">
        <v>508</v>
      </c>
      <c r="I6" s="515" t="s">
        <v>509</v>
      </c>
      <c r="J6" s="515" t="s">
        <v>592</v>
      </c>
      <c r="K6" s="517" t="s">
        <v>576</v>
      </c>
    </row>
    <row r="7" spans="1:17" x14ac:dyDescent="0.2">
      <c r="A7" s="159" t="s">
        <v>62</v>
      </c>
      <c r="B7" s="495">
        <f>'Lochloosa Lake TP Budget'!E19</f>
        <v>20.337269628479621</v>
      </c>
      <c r="C7" s="153">
        <v>1</v>
      </c>
      <c r="D7" s="495">
        <f>B7*C7</f>
        <v>20.337269628479621</v>
      </c>
      <c r="E7" s="72"/>
      <c r="F7" s="72"/>
      <c r="G7" s="72"/>
      <c r="H7" s="495">
        <f>'Lochloosa Lake TP Budget'!E18</f>
        <v>9.7011311128935268E-2</v>
      </c>
      <c r="I7" s="514">
        <v>1</v>
      </c>
      <c r="J7" s="495">
        <f>H7*I7</f>
        <v>9.7011311128935268E-2</v>
      </c>
      <c r="K7" s="495">
        <f>D7+J7</f>
        <v>20.434280939608556</v>
      </c>
    </row>
    <row r="8" spans="1:17" x14ac:dyDescent="0.2">
      <c r="A8" s="159" t="s">
        <v>119</v>
      </c>
      <c r="B8" s="495"/>
      <c r="C8" s="72"/>
      <c r="D8" s="72"/>
      <c r="E8" s="495">
        <f>'Lochloosa Lake TP Budget'!E20</f>
        <v>14.530188763557865</v>
      </c>
      <c r="F8" s="153">
        <v>1</v>
      </c>
      <c r="G8" s="495">
        <f>E8*F8</f>
        <v>14.530188763557865</v>
      </c>
      <c r="H8" s="72"/>
      <c r="I8" s="72"/>
      <c r="J8" s="72"/>
      <c r="K8" s="495">
        <f>G8</f>
        <v>14.530188763557865</v>
      </c>
    </row>
    <row r="9" spans="1:17" x14ac:dyDescent="0.2">
      <c r="A9" s="159" t="s">
        <v>218</v>
      </c>
      <c r="B9" s="495"/>
      <c r="C9" s="72"/>
      <c r="D9" s="72"/>
      <c r="E9" s="72"/>
      <c r="F9" s="72"/>
      <c r="G9" s="72"/>
      <c r="H9" s="72"/>
      <c r="I9" s="72"/>
      <c r="J9" s="72"/>
      <c r="K9" s="72"/>
    </row>
    <row r="10" spans="1:17" x14ac:dyDescent="0.2">
      <c r="A10" s="170"/>
      <c r="B10" s="502"/>
      <c r="C10" s="146"/>
      <c r="D10" s="146"/>
      <c r="E10" s="146"/>
      <c r="F10" s="146"/>
      <c r="G10" s="146"/>
      <c r="H10" s="146"/>
      <c r="I10" s="146"/>
      <c r="J10" s="146"/>
      <c r="K10" s="146"/>
    </row>
    <row r="11" spans="1:17" ht="63.6" customHeight="1" x14ac:dyDescent="0.2">
      <c r="A11" s="515" t="s">
        <v>585</v>
      </c>
      <c r="B11" s="515" t="s">
        <v>511</v>
      </c>
      <c r="C11" s="515" t="s">
        <v>500</v>
      </c>
      <c r="D11" s="515" t="s">
        <v>595</v>
      </c>
      <c r="E11" s="515" t="s">
        <v>513</v>
      </c>
      <c r="F11" s="515" t="s">
        <v>514</v>
      </c>
      <c r="G11" s="515" t="s">
        <v>605</v>
      </c>
      <c r="H11" s="515" t="s">
        <v>704</v>
      </c>
      <c r="I11" s="479" t="s">
        <v>514</v>
      </c>
      <c r="J11" s="479" t="s">
        <v>705</v>
      </c>
      <c r="K11" s="517" t="s">
        <v>576</v>
      </c>
    </row>
    <row r="12" spans="1:17" x14ac:dyDescent="0.2">
      <c r="A12" s="159" t="s">
        <v>62</v>
      </c>
      <c r="B12" s="495">
        <f>'Lochloosa Lake TP Budget'!E30</f>
        <v>44.90232250734136</v>
      </c>
      <c r="C12" s="153">
        <v>1</v>
      </c>
      <c r="D12" s="495">
        <f>B12*C12</f>
        <v>44.90232250734136</v>
      </c>
      <c r="E12" s="495">
        <f>'Lochloosa Lake TP Budget'!B31</f>
        <v>8.6999999999999993</v>
      </c>
      <c r="F12" s="153">
        <f>'Lochloosa Lake TP Budget'!I173</f>
        <v>1</v>
      </c>
      <c r="G12" s="495">
        <f>F12*E12</f>
        <v>8.6999999999999993</v>
      </c>
      <c r="H12" s="72"/>
      <c r="I12" s="72"/>
      <c r="J12" s="72"/>
      <c r="K12" s="495">
        <f>D12+G12</f>
        <v>53.602322507341356</v>
      </c>
    </row>
    <row r="13" spans="1:17" x14ac:dyDescent="0.2">
      <c r="A13" s="159" t="s">
        <v>119</v>
      </c>
      <c r="B13" s="72"/>
      <c r="C13" s="72"/>
      <c r="D13" s="72"/>
      <c r="E13" s="495"/>
      <c r="F13" s="153"/>
      <c r="G13" s="495"/>
      <c r="H13" s="495">
        <f>'Lochloosa Lake TP Budget'!B32</f>
        <v>54.6</v>
      </c>
      <c r="I13" s="368">
        <v>1</v>
      </c>
      <c r="J13" s="495">
        <f>H13*I13</f>
        <v>54.6</v>
      </c>
      <c r="K13" s="495">
        <f>J13</f>
        <v>54.6</v>
      </c>
    </row>
    <row r="14" spans="1:17" x14ac:dyDescent="0.2">
      <c r="A14" s="159" t="s">
        <v>218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</row>
    <row r="15" spans="1:17" x14ac:dyDescent="0.2">
      <c r="A15" s="170"/>
      <c r="B15" s="146"/>
      <c r="C15" s="146"/>
      <c r="D15" s="146"/>
      <c r="E15" s="146"/>
      <c r="F15" s="146"/>
      <c r="G15" s="146"/>
      <c r="H15" s="146"/>
    </row>
    <row r="16" spans="1:17" ht="63.75" x14ac:dyDescent="0.2">
      <c r="A16" s="515" t="s">
        <v>573</v>
      </c>
      <c r="B16" s="515" t="s">
        <v>516</v>
      </c>
      <c r="C16" s="515" t="s">
        <v>500</v>
      </c>
      <c r="D16" s="515" t="s">
        <v>596</v>
      </c>
      <c r="E16" s="515" t="s">
        <v>518</v>
      </c>
      <c r="F16" s="515" t="s">
        <v>514</v>
      </c>
      <c r="G16" s="515" t="s">
        <v>606</v>
      </c>
      <c r="H16" s="515" t="s">
        <v>522</v>
      </c>
      <c r="I16" s="515" t="s">
        <v>514</v>
      </c>
      <c r="J16" s="515" t="s">
        <v>607</v>
      </c>
      <c r="K16" s="515" t="s">
        <v>520</v>
      </c>
      <c r="L16" s="515" t="s">
        <v>509</v>
      </c>
      <c r="M16" s="515" t="s">
        <v>591</v>
      </c>
      <c r="N16" s="515" t="s">
        <v>690</v>
      </c>
      <c r="O16" s="515" t="s">
        <v>514</v>
      </c>
      <c r="P16" s="515" t="s">
        <v>706</v>
      </c>
      <c r="Q16" s="517" t="s">
        <v>576</v>
      </c>
    </row>
    <row r="17" spans="1:20" x14ac:dyDescent="0.2">
      <c r="A17" s="159" t="s">
        <v>62</v>
      </c>
      <c r="B17" s="495">
        <f>'Lochloosa Lake TP Budget'!E43</f>
        <v>25.40525364019107</v>
      </c>
      <c r="C17" s="153">
        <v>1</v>
      </c>
      <c r="D17" s="495">
        <f>C17*B17</f>
        <v>25.40525364019107</v>
      </c>
      <c r="E17" s="495">
        <f>'Lochloosa Lake TP Budget'!B44</f>
        <v>34.5</v>
      </c>
      <c r="F17" s="153">
        <f>'Lochloosa Lake TP Budget'!F178</f>
        <v>1</v>
      </c>
      <c r="G17" s="495">
        <f>F17*E17</f>
        <v>34.5</v>
      </c>
      <c r="H17" s="495">
        <f>'Lochloosa Lake TP Budget'!E45</f>
        <v>1.7385341039484001</v>
      </c>
      <c r="I17" s="153">
        <v>1</v>
      </c>
      <c r="J17" s="495">
        <f>I17*H17</f>
        <v>1.7385341039484001</v>
      </c>
      <c r="K17" s="495">
        <f>'Lochloosa Lake TP Budget'!E42</f>
        <v>2.0274580631944965</v>
      </c>
      <c r="L17" s="153">
        <v>1</v>
      </c>
      <c r="M17" s="495">
        <f>L17*K17</f>
        <v>2.0274580631944965</v>
      </c>
      <c r="N17" s="72"/>
      <c r="O17" s="72"/>
      <c r="P17" s="72"/>
      <c r="Q17" s="495">
        <f>D17+G17+J17+M17</f>
        <v>63.671245807333968</v>
      </c>
    </row>
    <row r="18" spans="1:20" x14ac:dyDescent="0.2">
      <c r="A18" s="159" t="s">
        <v>119</v>
      </c>
      <c r="B18" s="72"/>
      <c r="C18" s="72"/>
      <c r="D18" s="495"/>
      <c r="E18" s="495"/>
      <c r="F18" s="153"/>
      <c r="G18" s="495"/>
      <c r="H18" s="72"/>
      <c r="I18" s="72"/>
      <c r="J18" s="72"/>
      <c r="K18" s="72"/>
      <c r="L18" s="72"/>
      <c r="M18" s="72"/>
      <c r="N18" s="495">
        <f>'Lochloosa Lake TP Budget'!B46</f>
        <v>111.1</v>
      </c>
      <c r="O18" s="368">
        <f>'Lochloosa Lake TP Budget'!O179</f>
        <v>1</v>
      </c>
      <c r="P18" s="495">
        <f>N18*O18</f>
        <v>111.1</v>
      </c>
      <c r="Q18" s="495">
        <f>P18</f>
        <v>111.1</v>
      </c>
    </row>
    <row r="19" spans="1:20" x14ac:dyDescent="0.2">
      <c r="A19" s="159" t="s">
        <v>218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</row>
    <row r="20" spans="1:20" x14ac:dyDescent="0.2">
      <c r="A20" s="170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</row>
    <row r="21" spans="1:20" ht="63.75" x14ac:dyDescent="0.2">
      <c r="A21" s="515" t="s">
        <v>575</v>
      </c>
      <c r="B21" s="515" t="s">
        <v>524</v>
      </c>
      <c r="C21" s="515" t="s">
        <v>500</v>
      </c>
      <c r="D21" s="515" t="s">
        <v>597</v>
      </c>
      <c r="E21" s="515" t="s">
        <v>526</v>
      </c>
      <c r="F21" s="515" t="s">
        <v>514</v>
      </c>
      <c r="G21" s="515" t="s">
        <v>608</v>
      </c>
      <c r="H21" s="515" t="s">
        <v>528</v>
      </c>
      <c r="I21" s="515" t="s">
        <v>509</v>
      </c>
      <c r="J21" s="515" t="s">
        <v>590</v>
      </c>
      <c r="K21" s="515" t="s">
        <v>692</v>
      </c>
      <c r="L21" s="515" t="s">
        <v>514</v>
      </c>
      <c r="M21" s="515" t="s">
        <v>707</v>
      </c>
      <c r="N21" s="517" t="s">
        <v>576</v>
      </c>
    </row>
    <row r="22" spans="1:20" x14ac:dyDescent="0.2">
      <c r="A22" s="159" t="s">
        <v>62</v>
      </c>
      <c r="B22" s="495">
        <f>'Lochloosa Lake TP Budget'!E57</f>
        <v>15.93411616467424</v>
      </c>
      <c r="C22" s="153">
        <v>0.98398804468169387</v>
      </c>
      <c r="D22" s="495">
        <f>C22*B22</f>
        <v>15.678979808608776</v>
      </c>
      <c r="E22" s="495">
        <f>'Lochloosa Lake TP Budget'!E58</f>
        <v>3.3</v>
      </c>
      <c r="F22" s="153">
        <f>'Lochloosa Lake TP Budget'!F183</f>
        <v>0.4878779837035685</v>
      </c>
      <c r="G22" s="495">
        <f>F22*E22</f>
        <v>1.609997346221776</v>
      </c>
      <c r="H22" s="495">
        <f>'Lochloosa Lake TP Budget'!E56</f>
        <v>1.9351108502917518</v>
      </c>
      <c r="I22" s="153">
        <v>0.98511937818180828</v>
      </c>
      <c r="J22" s="495">
        <f>I22*H22</f>
        <v>1.9063151975522807</v>
      </c>
      <c r="K22" s="72"/>
      <c r="L22" s="72"/>
      <c r="M22" s="72"/>
      <c r="N22" s="495">
        <f>D22+G22+J22</f>
        <v>19.195292352382832</v>
      </c>
    </row>
    <row r="23" spans="1:20" x14ac:dyDescent="0.2">
      <c r="A23" s="159" t="s">
        <v>119</v>
      </c>
      <c r="B23" s="495"/>
      <c r="C23" s="153"/>
      <c r="D23" s="495"/>
      <c r="E23" s="495"/>
      <c r="F23" s="153"/>
      <c r="G23" s="495"/>
      <c r="H23" s="495"/>
      <c r="I23" s="153"/>
      <c r="J23" s="495"/>
      <c r="K23" s="495">
        <f>'Lochloosa Lake TP Budget'!B59</f>
        <v>29.4</v>
      </c>
      <c r="L23" s="368">
        <f>'Lochloosa Lake TP Budget'!L184</f>
        <v>1</v>
      </c>
      <c r="M23" s="495">
        <f>K23*L23</f>
        <v>29.4</v>
      </c>
      <c r="N23" s="495">
        <f>M23</f>
        <v>29.4</v>
      </c>
    </row>
    <row r="24" spans="1:20" x14ac:dyDescent="0.2">
      <c r="A24" s="159" t="s">
        <v>218</v>
      </c>
      <c r="B24" s="495">
        <v>15.93411616467424</v>
      </c>
      <c r="C24" s="153">
        <v>1.6011955318306154E-2</v>
      </c>
      <c r="D24" s="495">
        <f>C24*B24</f>
        <v>0.25513635606546375</v>
      </c>
      <c r="E24" s="495">
        <f>'Lochloosa Lake TP Budget'!B58</f>
        <v>3.3</v>
      </c>
      <c r="F24" s="153">
        <f>'Lochloosa Lake TP Budget'!F185</f>
        <v>0.5121220162964315</v>
      </c>
      <c r="G24" s="495">
        <f>F24*E24</f>
        <v>1.6900026537782238</v>
      </c>
      <c r="H24" s="495">
        <f>'Lochloosa Lake TP Budget'!B56</f>
        <v>1.9351108502917518</v>
      </c>
      <c r="I24" s="153">
        <v>1.4880621818191806E-2</v>
      </c>
      <c r="J24" s="495">
        <f>I24*H24</f>
        <v>2.8795652739471139E-2</v>
      </c>
      <c r="K24" s="72"/>
      <c r="L24" s="72"/>
      <c r="M24" s="72"/>
      <c r="N24" s="495">
        <f>D24+G24+J24</f>
        <v>1.9739346625831586</v>
      </c>
    </row>
    <row r="25" spans="1:20" x14ac:dyDescent="0.2">
      <c r="A25" s="170"/>
      <c r="B25" s="502"/>
      <c r="C25" s="285"/>
      <c r="D25" s="502"/>
      <c r="E25" s="502"/>
      <c r="F25" s="285"/>
      <c r="G25" s="502"/>
      <c r="H25" s="502"/>
      <c r="I25" s="285"/>
      <c r="J25" s="502"/>
      <c r="K25" s="502"/>
    </row>
    <row r="26" spans="1:20" ht="63.75" x14ac:dyDescent="0.2">
      <c r="A26" s="515" t="s">
        <v>499</v>
      </c>
      <c r="B26" s="515" t="s">
        <v>530</v>
      </c>
      <c r="C26" s="515" t="s">
        <v>500</v>
      </c>
      <c r="D26" s="515" t="s">
        <v>598</v>
      </c>
      <c r="E26" s="515" t="s">
        <v>694</v>
      </c>
      <c r="F26" s="515" t="s">
        <v>514</v>
      </c>
      <c r="G26" s="515" t="s">
        <v>694</v>
      </c>
      <c r="H26" s="515" t="s">
        <v>534</v>
      </c>
      <c r="I26" s="515" t="s">
        <v>514</v>
      </c>
      <c r="J26" s="515" t="s">
        <v>586</v>
      </c>
      <c r="K26" s="515" t="s">
        <v>532</v>
      </c>
      <c r="L26" s="515" t="s">
        <v>509</v>
      </c>
      <c r="M26" s="515" t="s">
        <v>587</v>
      </c>
      <c r="N26" s="517" t="s">
        <v>576</v>
      </c>
    </row>
    <row r="27" spans="1:20" x14ac:dyDescent="0.2">
      <c r="A27" s="159" t="s">
        <v>62</v>
      </c>
      <c r="B27" s="495">
        <f>'Lochloosa Lake TP Budget'!E70</f>
        <v>68.026316286513719</v>
      </c>
      <c r="C27" s="153">
        <v>1</v>
      </c>
      <c r="D27" s="495">
        <f>B27*C27</f>
        <v>68.026316286513719</v>
      </c>
      <c r="E27" s="72"/>
      <c r="F27" s="72"/>
      <c r="G27" s="72"/>
      <c r="H27" s="495">
        <f>'Lochloosa Lake TP Budget'!E72</f>
        <v>1.0625167084514637</v>
      </c>
      <c r="I27" s="153">
        <v>1</v>
      </c>
      <c r="J27" s="495">
        <f>I27*H27</f>
        <v>1.0625167084514637</v>
      </c>
      <c r="K27" s="495">
        <f>'Lochloosa Lake TP Budget'!E69</f>
        <v>1.33672257607653</v>
      </c>
      <c r="L27" s="153">
        <v>1</v>
      </c>
      <c r="M27" s="495">
        <f>K27*L27</f>
        <v>1.33672257607653</v>
      </c>
      <c r="N27" s="495">
        <f>D27+G27+J27+M27</f>
        <v>70.425555571041713</v>
      </c>
    </row>
    <row r="28" spans="1:20" x14ac:dyDescent="0.2">
      <c r="A28" s="159" t="s">
        <v>119</v>
      </c>
      <c r="B28" s="72"/>
      <c r="C28" s="72"/>
      <c r="D28" s="72"/>
      <c r="E28" s="495">
        <f>'Lochloosa Lake TP Budget'!E71</f>
        <v>75.217840558128984</v>
      </c>
      <c r="F28" s="153">
        <v>1</v>
      </c>
      <c r="G28" s="516">
        <f>F28*E28</f>
        <v>75.217840558128984</v>
      </c>
      <c r="H28" s="72"/>
      <c r="I28" s="72"/>
      <c r="J28" s="72"/>
      <c r="K28" s="72"/>
      <c r="L28" s="72"/>
      <c r="M28" s="72"/>
      <c r="N28" s="495">
        <f>D28+G28+J28+M28</f>
        <v>75.217840558128984</v>
      </c>
    </row>
    <row r="29" spans="1:20" x14ac:dyDescent="0.2">
      <c r="A29" s="159" t="s">
        <v>218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spans="1:20" x14ac:dyDescent="0.2">
      <c r="A30" s="19"/>
    </row>
    <row r="31" spans="1:20" ht="63.75" x14ac:dyDescent="0.2">
      <c r="A31" s="515" t="s">
        <v>499</v>
      </c>
      <c r="B31" s="515" t="s">
        <v>536</v>
      </c>
      <c r="C31" s="515" t="s">
        <v>500</v>
      </c>
      <c r="D31" s="515" t="s">
        <v>599</v>
      </c>
      <c r="E31" s="515" t="s">
        <v>538</v>
      </c>
      <c r="F31" s="515" t="s">
        <v>514</v>
      </c>
      <c r="G31" s="515" t="s">
        <v>609</v>
      </c>
      <c r="H31" s="515" t="s">
        <v>540</v>
      </c>
      <c r="I31" s="515" t="s">
        <v>514</v>
      </c>
      <c r="J31" s="515" t="s">
        <v>611</v>
      </c>
      <c r="K31" s="515" t="s">
        <v>541</v>
      </c>
      <c r="L31" s="515" t="s">
        <v>509</v>
      </c>
      <c r="M31" s="515" t="s">
        <v>588</v>
      </c>
      <c r="N31" s="515" t="s">
        <v>543</v>
      </c>
      <c r="O31" s="515" t="s">
        <v>509</v>
      </c>
      <c r="P31" s="515" t="s">
        <v>610</v>
      </c>
      <c r="Q31" s="515" t="s">
        <v>695</v>
      </c>
      <c r="R31" s="515" t="s">
        <v>514</v>
      </c>
      <c r="S31" s="515" t="s">
        <v>708</v>
      </c>
      <c r="T31" s="517" t="s">
        <v>576</v>
      </c>
    </row>
    <row r="32" spans="1:20" x14ac:dyDescent="0.2">
      <c r="A32" s="159" t="s">
        <v>62</v>
      </c>
      <c r="B32" s="495">
        <f>'Lochloosa Lake TP Budget'!E85</f>
        <v>59.705527337725179</v>
      </c>
      <c r="C32" s="153">
        <v>0.54025618380562346</v>
      </c>
      <c r="D32" s="495">
        <f>C32*B32</f>
        <v>32.256280351581729</v>
      </c>
      <c r="E32" s="495">
        <f>'Lochloosa Lake TP Budget'!B86</f>
        <v>192.1</v>
      </c>
      <c r="F32" s="153">
        <f>'Lochloosa Lake TP Budget'!F193</f>
        <v>3.6216619327275934E-2</v>
      </c>
      <c r="G32" s="495">
        <f>F32*E32</f>
        <v>6.9572125727697065</v>
      </c>
      <c r="H32" s="72"/>
      <c r="I32" s="72"/>
      <c r="J32" s="72"/>
      <c r="K32" s="495">
        <f>'Lochloosa Lake TP Budget'!E84</f>
        <v>4.6700159087623732</v>
      </c>
      <c r="L32" s="153">
        <v>1.6205311171023914E-2</v>
      </c>
      <c r="M32" s="495">
        <f>L32*K32</f>
        <v>7.5679060975126278E-2</v>
      </c>
      <c r="N32" s="72"/>
      <c r="O32" s="72"/>
      <c r="P32" s="495"/>
      <c r="Q32" s="72"/>
      <c r="R32" s="72"/>
      <c r="S32" s="72"/>
      <c r="T32" s="495">
        <f>D32+G32+J32+M32+P32</f>
        <v>39.289171985326561</v>
      </c>
    </row>
    <row r="33" spans="1:20" x14ac:dyDescent="0.2">
      <c r="A33" s="159" t="s">
        <v>119</v>
      </c>
      <c r="B33" s="495"/>
      <c r="C33" s="153"/>
      <c r="D33" s="495"/>
      <c r="E33" s="495"/>
      <c r="F33" s="153"/>
      <c r="G33" s="495"/>
      <c r="H33" s="72"/>
      <c r="I33" s="72"/>
      <c r="J33" s="72"/>
      <c r="K33" s="72"/>
      <c r="L33" s="153"/>
      <c r="M33" s="495"/>
      <c r="N33" s="72"/>
      <c r="O33" s="72"/>
      <c r="P33" s="495"/>
      <c r="Q33" s="495">
        <f>'Lochloosa Lake TP Budget'!B87</f>
        <v>83.9</v>
      </c>
      <c r="R33" s="368">
        <f>'Lochloosa Lake TP Budget'!R194</f>
        <v>1</v>
      </c>
      <c r="S33" s="495">
        <f>Q33*R33</f>
        <v>83.9</v>
      </c>
      <c r="T33" s="495">
        <f>S33</f>
        <v>83.9</v>
      </c>
    </row>
    <row r="34" spans="1:20" x14ac:dyDescent="0.2">
      <c r="A34" s="159" t="s">
        <v>218</v>
      </c>
      <c r="B34" s="495">
        <v>59.705527337725179</v>
      </c>
      <c r="C34" s="153">
        <v>0.4597438161943766</v>
      </c>
      <c r="D34" s="495">
        <f>C34*B34</f>
        <v>27.449246986143454</v>
      </c>
      <c r="E34" s="495">
        <f>'Lochloosa Lake TP Budget'!B86</f>
        <v>192.1</v>
      </c>
      <c r="F34" s="153">
        <f>'Lochloosa Lake TP Budget'!F195</f>
        <v>0.96378338067272418</v>
      </c>
      <c r="G34" s="495">
        <f t="shared" ref="G34" si="0">F34*E34</f>
        <v>185.1427874272303</v>
      </c>
      <c r="H34" s="495">
        <f>'Lochloosa Lake TP Budget'!E88</f>
        <v>48.394659394281852</v>
      </c>
      <c r="I34" s="153">
        <v>1</v>
      </c>
      <c r="J34" s="495">
        <f>I34*H34</f>
        <v>48.394659394281852</v>
      </c>
      <c r="K34" s="495">
        <v>4.6700159087623732</v>
      </c>
      <c r="L34" s="153">
        <v>0.98379468882897614</v>
      </c>
      <c r="M34" s="495">
        <f>L34*K34</f>
        <v>4.5943368477872468</v>
      </c>
      <c r="N34" s="495">
        <f>'Lochloosa Lake TP Budget'!E89</f>
        <v>22.093366405873578</v>
      </c>
      <c r="O34" s="153">
        <v>1</v>
      </c>
      <c r="P34" s="495">
        <f>O34*N34</f>
        <v>22.093366405873578</v>
      </c>
      <c r="Q34" s="72"/>
      <c r="R34" s="72"/>
      <c r="S34" s="72"/>
      <c r="T34" s="495">
        <f>D34+G34+J34+M34+P34</f>
        <v>287.67439706131643</v>
      </c>
    </row>
    <row r="35" spans="1:20" x14ac:dyDescent="0.2">
      <c r="A35" s="170"/>
      <c r="B35" s="146"/>
      <c r="C35" s="146"/>
      <c r="D35" s="146"/>
      <c r="E35" s="146"/>
      <c r="F35" s="146"/>
      <c r="G35" s="146"/>
      <c r="H35" s="522"/>
      <c r="I35" s="146"/>
      <c r="J35" s="146"/>
      <c r="K35" s="146"/>
      <c r="L35" s="146"/>
      <c r="M35" s="146"/>
      <c r="N35" s="502"/>
    </row>
    <row r="36" spans="1:20" ht="63.75" x14ac:dyDescent="0.2">
      <c r="A36" s="515" t="s">
        <v>499</v>
      </c>
      <c r="B36" s="515" t="s">
        <v>545</v>
      </c>
      <c r="C36" s="515" t="s">
        <v>500</v>
      </c>
      <c r="D36" s="515" t="s">
        <v>600</v>
      </c>
      <c r="E36" s="515" t="s">
        <v>697</v>
      </c>
      <c r="F36" s="515" t="s">
        <v>514</v>
      </c>
      <c r="G36" s="515" t="s">
        <v>709</v>
      </c>
      <c r="H36" s="517" t="s">
        <v>576</v>
      </c>
    </row>
    <row r="37" spans="1:20" x14ac:dyDescent="0.2">
      <c r="A37" s="159" t="s">
        <v>62</v>
      </c>
      <c r="B37" s="495">
        <f>'Lochloosa Lake TP Budget'!B99</f>
        <v>240.95505422807068</v>
      </c>
      <c r="C37" s="153">
        <v>0.98754164297816283</v>
      </c>
      <c r="D37" s="495">
        <f>B37*C37</f>
        <v>237.95315013628124</v>
      </c>
      <c r="E37" s="72"/>
      <c r="F37" s="72"/>
      <c r="G37" s="495"/>
      <c r="H37" s="495">
        <f>D37</f>
        <v>237.95315013628124</v>
      </c>
    </row>
    <row r="38" spans="1:20" x14ac:dyDescent="0.2">
      <c r="A38" s="159" t="s">
        <v>119</v>
      </c>
      <c r="B38" s="495"/>
      <c r="C38" s="153"/>
      <c r="D38" s="495"/>
      <c r="E38" s="495">
        <f>'Lochloosa Lake TP Budget'!B100</f>
        <v>50.236553162662496</v>
      </c>
      <c r="F38" s="153">
        <v>1</v>
      </c>
      <c r="G38" s="495">
        <f>E38*F38</f>
        <v>50.236553162662496</v>
      </c>
      <c r="H38" s="495">
        <f>G38</f>
        <v>50.236553162662496</v>
      </c>
    </row>
    <row r="39" spans="1:20" x14ac:dyDescent="0.2">
      <c r="A39" s="159" t="s">
        <v>218</v>
      </c>
      <c r="B39" s="495">
        <f>'Lochloosa Lake TP Budget'!B99</f>
        <v>240.95505422807068</v>
      </c>
      <c r="C39" s="153">
        <v>1.2458357021837186E-2</v>
      </c>
      <c r="D39" s="495">
        <f>B39*C39</f>
        <v>3.0019040917894442</v>
      </c>
      <c r="E39" s="72"/>
      <c r="F39" s="72"/>
      <c r="G39" s="72"/>
      <c r="H39" s="495">
        <f>D39</f>
        <v>3.0019040917894442</v>
      </c>
    </row>
    <row r="40" spans="1:20" x14ac:dyDescent="0.2">
      <c r="A40" s="170"/>
      <c r="B40" s="146"/>
      <c r="C40" s="146"/>
      <c r="D40" s="146"/>
      <c r="E40" s="146"/>
      <c r="F40" s="146"/>
      <c r="G40" s="146"/>
      <c r="H40" s="523"/>
    </row>
    <row r="41" spans="1:20" ht="63.75" x14ac:dyDescent="0.2">
      <c r="A41" s="515" t="s">
        <v>499</v>
      </c>
      <c r="B41" s="515" t="s">
        <v>547</v>
      </c>
      <c r="C41" s="515" t="s">
        <v>500</v>
      </c>
      <c r="D41" s="515" t="s">
        <v>601</v>
      </c>
      <c r="E41" s="515" t="s">
        <v>699</v>
      </c>
      <c r="F41" s="515" t="s">
        <v>514</v>
      </c>
      <c r="G41" s="515" t="s">
        <v>710</v>
      </c>
      <c r="H41" s="517" t="s">
        <v>576</v>
      </c>
      <c r="I41" s="509"/>
      <c r="J41" s="509"/>
    </row>
    <row r="42" spans="1:20" x14ac:dyDescent="0.2">
      <c r="A42" s="159" t="s">
        <v>62</v>
      </c>
      <c r="B42" s="495">
        <f>'Lochloosa Lake TP Budget'!E109</f>
        <v>7.1066827032246236</v>
      </c>
      <c r="C42" s="153">
        <v>1</v>
      </c>
      <c r="D42" s="495">
        <f>C42*B42</f>
        <v>7.1066827032246236</v>
      </c>
      <c r="E42" s="72"/>
      <c r="F42" s="72"/>
      <c r="G42" s="495"/>
      <c r="H42" s="495">
        <f>D42+G42</f>
        <v>7.1066827032246236</v>
      </c>
    </row>
    <row r="43" spans="1:20" x14ac:dyDescent="0.2">
      <c r="A43" s="159" t="s">
        <v>119</v>
      </c>
      <c r="B43" s="72"/>
      <c r="C43" s="72"/>
      <c r="D43" s="72"/>
      <c r="E43" s="495">
        <f>'Lochloosa Lake TP Budget'!E110</f>
        <v>25.084153409674968</v>
      </c>
      <c r="F43" s="153">
        <v>1</v>
      </c>
      <c r="G43" s="495">
        <f>F43*E43</f>
        <v>25.084153409674968</v>
      </c>
      <c r="H43" s="495">
        <f t="shared" ref="H43" si="1">D43+G43</f>
        <v>25.084153409674968</v>
      </c>
    </row>
    <row r="44" spans="1:20" x14ac:dyDescent="0.2">
      <c r="A44" s="159" t="s">
        <v>218</v>
      </c>
      <c r="B44" s="72"/>
      <c r="C44" s="72"/>
      <c r="D44" s="72"/>
      <c r="E44" s="72"/>
      <c r="F44" s="72"/>
      <c r="G44" s="72"/>
      <c r="H44" s="495"/>
    </row>
    <row r="45" spans="1:20" x14ac:dyDescent="0.2">
      <c r="A45" s="170"/>
      <c r="B45" s="146"/>
      <c r="C45" s="146"/>
      <c r="D45" s="146"/>
      <c r="E45" s="523"/>
      <c r="F45" s="146"/>
      <c r="G45" s="146"/>
      <c r="H45" s="146"/>
    </row>
    <row r="46" spans="1:20" ht="63.75" x14ac:dyDescent="0.2">
      <c r="A46" s="515" t="s">
        <v>499</v>
      </c>
      <c r="B46" s="515" t="s">
        <v>549</v>
      </c>
      <c r="C46" s="515" t="s">
        <v>500</v>
      </c>
      <c r="D46" s="515" t="s">
        <v>602</v>
      </c>
      <c r="E46" s="517" t="s">
        <v>576</v>
      </c>
    </row>
    <row r="47" spans="1:20" x14ac:dyDescent="0.2">
      <c r="A47" s="159" t="s">
        <v>62</v>
      </c>
      <c r="B47" s="495">
        <f>'Lochloosa Lake TP Budget'!E118</f>
        <v>0.48032717085365845</v>
      </c>
      <c r="C47" s="153">
        <v>1</v>
      </c>
      <c r="D47" s="495">
        <f>C47*B47</f>
        <v>0.48032717085365845</v>
      </c>
      <c r="E47" s="495">
        <f>D47</f>
        <v>0.48032717085365845</v>
      </c>
    </row>
    <row r="48" spans="1:20" x14ac:dyDescent="0.2">
      <c r="A48" s="159" t="s">
        <v>119</v>
      </c>
      <c r="B48" s="72"/>
      <c r="C48" s="72"/>
      <c r="D48" s="72"/>
      <c r="E48" s="72"/>
    </row>
    <row r="49" spans="1:17" x14ac:dyDescent="0.2">
      <c r="A49" s="159" t="s">
        <v>218</v>
      </c>
      <c r="B49" s="72"/>
      <c r="C49" s="72"/>
      <c r="D49" s="72"/>
      <c r="E49" s="72"/>
    </row>
    <row r="50" spans="1:17" x14ac:dyDescent="0.2">
      <c r="A50" s="19"/>
    </row>
    <row r="51" spans="1:17" ht="63.75" x14ac:dyDescent="0.2">
      <c r="A51" s="515" t="s">
        <v>499</v>
      </c>
      <c r="B51" s="515" t="s">
        <v>551</v>
      </c>
      <c r="C51" s="515" t="s">
        <v>500</v>
      </c>
      <c r="D51" s="515" t="s">
        <v>603</v>
      </c>
      <c r="E51" s="515" t="s">
        <v>553</v>
      </c>
      <c r="F51" s="515" t="s">
        <v>514</v>
      </c>
      <c r="G51" s="515" t="s">
        <v>613</v>
      </c>
      <c r="H51" s="515" t="s">
        <v>555</v>
      </c>
      <c r="I51" s="515" t="s">
        <v>514</v>
      </c>
      <c r="J51" s="515" t="s">
        <v>612</v>
      </c>
      <c r="K51" s="515" t="s">
        <v>556</v>
      </c>
      <c r="L51" s="515" t="s">
        <v>509</v>
      </c>
      <c r="M51" s="515" t="s">
        <v>589</v>
      </c>
      <c r="N51" s="515" t="s">
        <v>700</v>
      </c>
      <c r="O51" s="515" t="s">
        <v>514</v>
      </c>
      <c r="P51" s="515" t="s">
        <v>711</v>
      </c>
      <c r="Q51" s="342" t="s">
        <v>576</v>
      </c>
    </row>
    <row r="52" spans="1:17" x14ac:dyDescent="0.2">
      <c r="A52" s="159" t="s">
        <v>62</v>
      </c>
      <c r="B52" s="495">
        <f>'Lochloosa Lake TP Budget'!E127</f>
        <v>114.90565136285714</v>
      </c>
      <c r="C52" s="153">
        <v>1</v>
      </c>
      <c r="D52" s="495">
        <f>C52*B52</f>
        <v>114.90565136285714</v>
      </c>
      <c r="E52" s="495">
        <f>'Lochloosa Lake TP Budget'!B128</f>
        <v>35.4</v>
      </c>
      <c r="F52" s="153">
        <f>'Lochloosa Lake TP Budget'!F213</f>
        <v>1</v>
      </c>
      <c r="G52" s="495">
        <f>F52*E52</f>
        <v>35.4</v>
      </c>
      <c r="H52" s="495">
        <f>'Lochloosa Lake TP Budget'!E130</f>
        <v>64.471177945714288</v>
      </c>
      <c r="I52" s="153">
        <v>1</v>
      </c>
      <c r="J52" s="495">
        <f>I52*H52</f>
        <v>64.471177945714288</v>
      </c>
      <c r="K52" s="495">
        <f>'Lochloosa Lake TP Budget'!E126</f>
        <v>0.53829029042857146</v>
      </c>
      <c r="L52" s="153">
        <v>1</v>
      </c>
      <c r="M52" s="495">
        <f>L52*K52</f>
        <v>0.53829029042857146</v>
      </c>
      <c r="N52" s="72"/>
      <c r="O52" s="72"/>
      <c r="P52" s="72"/>
      <c r="Q52" s="495">
        <f>D52+G52+J52+M52</f>
        <v>215.31511959899998</v>
      </c>
    </row>
    <row r="53" spans="1:17" x14ac:dyDescent="0.2">
      <c r="A53" s="159" t="s">
        <v>119</v>
      </c>
      <c r="B53" s="72"/>
      <c r="C53" s="72"/>
      <c r="D53" s="495"/>
      <c r="E53" s="495"/>
      <c r="F53" s="153"/>
      <c r="G53" s="495"/>
      <c r="H53" s="495"/>
      <c r="I53" s="72"/>
      <c r="J53" s="72"/>
      <c r="K53" s="72"/>
      <c r="L53" s="72"/>
      <c r="M53" s="72"/>
      <c r="N53" s="495">
        <f>'Lochloosa Lake TP Budget'!B129</f>
        <v>158.6</v>
      </c>
      <c r="O53" s="368">
        <f>'Lochloosa Lake TP Budget'!O214</f>
        <v>1</v>
      </c>
      <c r="P53" s="495">
        <f>N53*O53</f>
        <v>158.6</v>
      </c>
      <c r="Q53" s="495">
        <f>P53</f>
        <v>158.6</v>
      </c>
    </row>
    <row r="54" spans="1:17" x14ac:dyDescent="0.2">
      <c r="A54" s="159" t="s">
        <v>218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</row>
  </sheetData>
  <pageMargins left="0.7" right="0.7" top="0.75" bottom="0.75" header="0.3" footer="0.3"/>
  <pageSetup orientation="portrait" horizontalDpi="200" verticalDpi="200" r:id="rId1"/>
  <ignoredErrors>
    <ignoredError sqref="N2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K32"/>
  <sheetViews>
    <sheetView topLeftCell="B3" workbookViewId="0">
      <selection activeCell="E17" sqref="E17"/>
    </sheetView>
  </sheetViews>
  <sheetFormatPr defaultRowHeight="12.75" x14ac:dyDescent="0.2"/>
  <cols>
    <col min="1" max="1" width="38.5703125" customWidth="1"/>
    <col min="2" max="2" width="15.28515625" customWidth="1"/>
    <col min="3" max="3" width="15.7109375" customWidth="1"/>
    <col min="4" max="4" width="14.140625" customWidth="1"/>
    <col min="5" max="5" width="13.7109375" customWidth="1"/>
    <col min="6" max="6" width="15.28515625" customWidth="1"/>
    <col min="7" max="7" width="14.7109375" customWidth="1"/>
    <col min="8" max="8" width="14.85546875" customWidth="1"/>
    <col min="9" max="9" width="16.42578125" customWidth="1"/>
    <col min="10" max="10" width="15.5703125" customWidth="1"/>
    <col min="11" max="11" width="14" customWidth="1"/>
  </cols>
  <sheetData>
    <row r="1" spans="1:11" ht="63.75" x14ac:dyDescent="0.2">
      <c r="A1" s="592" t="s">
        <v>629</v>
      </c>
      <c r="B1" s="593" t="s">
        <v>628</v>
      </c>
      <c r="C1" s="593" t="s">
        <v>630</v>
      </c>
      <c r="D1" s="593" t="s">
        <v>631</v>
      </c>
      <c r="E1" s="593" t="s">
        <v>632</v>
      </c>
      <c r="F1" s="593" t="s">
        <v>633</v>
      </c>
      <c r="G1" s="593" t="s">
        <v>634</v>
      </c>
      <c r="H1" s="593" t="s">
        <v>669</v>
      </c>
      <c r="I1" s="475" t="s">
        <v>717</v>
      </c>
      <c r="J1" s="594" t="s">
        <v>635</v>
      </c>
    </row>
    <row r="2" spans="1:11" x14ac:dyDescent="0.2">
      <c r="A2" s="595" t="s">
        <v>62</v>
      </c>
      <c r="B2" s="131">
        <f>ROUND('Lochloosa Lake TN Budget'!B205,0)</f>
        <v>3089</v>
      </c>
      <c r="C2" s="131">
        <f>ROUND('Lochloosa Lake TN Budget'!C205,0)</f>
        <v>545</v>
      </c>
      <c r="D2" s="131">
        <f>ROUND('Lochloosa Lake TN Budget'!D205,0)</f>
        <v>351</v>
      </c>
      <c r="E2" s="131"/>
      <c r="F2" s="131">
        <f>ROUND('Lochloosa Lake TN Budget'!F205,0)</f>
        <v>64</v>
      </c>
      <c r="G2" s="131">
        <f>ROUND('Lochloosa Lake TN Budget'!G205,0)</f>
        <v>6</v>
      </c>
      <c r="H2" s="272"/>
      <c r="I2" s="72"/>
      <c r="J2" s="590">
        <f>ROUND(SUM(B2:G2),0)</f>
        <v>4055</v>
      </c>
    </row>
    <row r="3" spans="1:11" x14ac:dyDescent="0.2">
      <c r="A3" s="595" t="s">
        <v>119</v>
      </c>
      <c r="B3" s="131"/>
      <c r="C3" s="131">
        <f>'Lochloosa Lake TN Budget'!C206</f>
        <v>0</v>
      </c>
      <c r="D3" s="131"/>
      <c r="E3" s="131"/>
      <c r="F3" s="131"/>
      <c r="G3" s="131"/>
      <c r="H3" s="272"/>
      <c r="I3" s="272">
        <f>ROUND('Lochloosa Lake TN Budget'!H206,0)</f>
        <v>3674</v>
      </c>
      <c r="J3" s="590">
        <f>ROUND(I3,0)</f>
        <v>3674</v>
      </c>
    </row>
    <row r="4" spans="1:11" x14ac:dyDescent="0.2">
      <c r="A4" s="595" t="s">
        <v>218</v>
      </c>
      <c r="B4" s="131">
        <f>ROUND('Lochloosa Lake TN Budget'!B207,0)</f>
        <v>171</v>
      </c>
      <c r="C4" s="131">
        <f>ROUND('Lochloosa Lake TN Budget'!C207,0)</f>
        <v>1142</v>
      </c>
      <c r="D4" s="131">
        <f>ROUND('Lochloosa Lake TN Budget'!D207,0)</f>
        <v>410</v>
      </c>
      <c r="E4" s="131">
        <f>ROUND('Lochloosa Lake TN Budget'!E207,0)</f>
        <v>133</v>
      </c>
      <c r="F4" s="131">
        <f>ROUND('Lochloosa Lake TN Budget'!F207,0)</f>
        <v>46</v>
      </c>
      <c r="G4" s="131"/>
      <c r="H4" s="272"/>
      <c r="I4" s="72"/>
      <c r="J4" s="590">
        <f>ROUND(SUM(B4:G4),0)</f>
        <v>1902</v>
      </c>
    </row>
    <row r="5" spans="1:11" x14ac:dyDescent="0.2">
      <c r="A5" s="596" t="s">
        <v>27</v>
      </c>
      <c r="B5" s="131"/>
      <c r="C5" s="131"/>
      <c r="D5" s="131"/>
      <c r="E5" s="131"/>
      <c r="F5" s="131"/>
      <c r="G5" s="131"/>
      <c r="H5" s="147">
        <f>ROUND('Lochloosa Lake TN Budget'!N156,0)</f>
        <v>16265</v>
      </c>
      <c r="I5" s="72"/>
      <c r="J5" s="590"/>
    </row>
    <row r="6" spans="1:11" ht="13.5" thickBot="1" x14ac:dyDescent="0.25">
      <c r="A6" s="597" t="s">
        <v>68</v>
      </c>
      <c r="B6" s="589">
        <f t="shared" ref="B6:G6" si="0">SUM(B2:B4)</f>
        <v>3260</v>
      </c>
      <c r="C6" s="589">
        <f t="shared" si="0"/>
        <v>1687</v>
      </c>
      <c r="D6" s="589">
        <f t="shared" si="0"/>
        <v>761</v>
      </c>
      <c r="E6" s="589">
        <f t="shared" si="0"/>
        <v>133</v>
      </c>
      <c r="F6" s="589">
        <f t="shared" si="0"/>
        <v>110</v>
      </c>
      <c r="G6" s="589">
        <f t="shared" si="0"/>
        <v>6</v>
      </c>
      <c r="H6" s="589">
        <f>SUM(H2:H5)</f>
        <v>16265</v>
      </c>
      <c r="I6" s="634">
        <f>SUM(I2:I5)</f>
        <v>3674</v>
      </c>
      <c r="J6" s="591">
        <f>SUM(B6:I6)-H6</f>
        <v>9631</v>
      </c>
    </row>
    <row r="7" spans="1:11" x14ac:dyDescent="0.2">
      <c r="J7" s="2">
        <f>SUM(J2:J4)</f>
        <v>9631</v>
      </c>
    </row>
    <row r="9" spans="1:11" x14ac:dyDescent="0.2">
      <c r="A9" s="70" t="s">
        <v>297</v>
      </c>
    </row>
    <row r="10" spans="1:11" ht="76.5" x14ac:dyDescent="0.2">
      <c r="A10" s="525" t="s">
        <v>578</v>
      </c>
      <c r="B10" s="476" t="s">
        <v>358</v>
      </c>
      <c r="C10" s="476" t="s">
        <v>621</v>
      </c>
      <c r="D10" s="476" t="s">
        <v>357</v>
      </c>
      <c r="E10" s="476" t="s">
        <v>356</v>
      </c>
      <c r="F10" s="476" t="s">
        <v>618</v>
      </c>
      <c r="G10" s="476" t="s">
        <v>619</v>
      </c>
      <c r="H10" s="476" t="s">
        <v>718</v>
      </c>
      <c r="I10" s="476" t="s">
        <v>353</v>
      </c>
      <c r="J10" s="476" t="s">
        <v>319</v>
      </c>
      <c r="K10" s="476" t="s">
        <v>620</v>
      </c>
    </row>
    <row r="11" spans="1:11" x14ac:dyDescent="0.2">
      <c r="A11" s="72" t="s">
        <v>62</v>
      </c>
      <c r="B11" s="137">
        <f>'Lochloosa TN Education'!D3+'Lochloosa TN Education'!D8+'Lochloosa TN Education'!D13+'Lochloosa TN Education'!D18+'Lochloosa TN Education'!D23+'Lochloosa TN Education'!D28+'Lochloosa TN Education'!D33+'Lochloosa TN Education'!D38+'Lochloosa TN Education'!D43+'Lochloosa TN Education'!D48+'Lochloosa TN Education'!D53</f>
        <v>4254.4143305567131</v>
      </c>
      <c r="C11" s="137">
        <f>'Lochloosa TN Education'!G13+'Lochloosa TN Education'!G18+'Lochloosa TN Education'!G23+'Lochloosa TN Education'!G33+'Lochloosa TN Education'!G53</f>
        <v>750.74489398103879</v>
      </c>
      <c r="D11" s="137">
        <f>'Lochloosa TN Education'!J18+'Lochloosa TN Education'!J53</f>
        <v>483.22177255787813</v>
      </c>
      <c r="E11" s="137"/>
      <c r="F11" s="137">
        <f>'Lochloosa TN Education'!J8+'Lochloosa TN Education'!M18+'Lochloosa TN Education'!J23+'Lochloosa TN Education'!M28+'Lochloosa TN Education'!M33+'Lochloosa TN Education'!M53</f>
        <v>88.536101236974304</v>
      </c>
      <c r="G11" s="137">
        <f>'Lochloosa TN Education'!J28</f>
        <v>8.403275403063704</v>
      </c>
      <c r="H11" s="72"/>
      <c r="I11" s="137">
        <f>B11+C11+D11+E11+F11+G11</f>
        <v>5585.3203737356689</v>
      </c>
      <c r="J11" s="528">
        <v>0.06</v>
      </c>
      <c r="K11" s="131">
        <f>I11*J11</f>
        <v>335.1192224241401</v>
      </c>
    </row>
    <row r="12" spans="1:11" x14ac:dyDescent="0.2">
      <c r="A12" s="72" t="s">
        <v>119</v>
      </c>
      <c r="B12" s="137"/>
      <c r="C12" s="137"/>
      <c r="D12" s="137"/>
      <c r="E12" s="137"/>
      <c r="F12" s="137"/>
      <c r="G12" s="137"/>
      <c r="H12" s="495">
        <f>'Lochloosa TN Education'!G9+'Lochloosa TN Education'!J14+'Lochloosa TN Education'!P19+'Lochloosa TN Education'!M24+'Lochloosa TN Education'!G29+'Lochloosa TN Education'!S34+'Lochloosa TN Education'!G39+'Lochloosa TN Education'!G44+'Lochloosa TN Education'!P54</f>
        <v>5060.2834443046031</v>
      </c>
      <c r="I12" s="137">
        <f>H12</f>
        <v>5060.2834443046031</v>
      </c>
      <c r="J12" s="528">
        <v>0.04</v>
      </c>
      <c r="K12" s="131">
        <f t="shared" ref="K12:K13" si="1">I12*J12</f>
        <v>202.41133777218414</v>
      </c>
    </row>
    <row r="13" spans="1:11" x14ac:dyDescent="0.2">
      <c r="A13" s="72" t="s">
        <v>218</v>
      </c>
      <c r="B13" s="137">
        <f>'Lochloosa TN Education'!D25+'Lochloosa TN Education'!D35+'Lochloosa TN Education'!D40</f>
        <v>235.2452973923013</v>
      </c>
      <c r="C13" s="137">
        <f>'Lochloosa TN Education'!G25+'Lochloosa TN Education'!G35</f>
        <v>1573.0056081529206</v>
      </c>
      <c r="D13" s="137">
        <f>'Lochloosa TN Education'!J35</f>
        <v>565.39036652844027</v>
      </c>
      <c r="E13" s="137">
        <f>'Lochloosa TN Education'!P35</f>
        <v>182.62263776957207</v>
      </c>
      <c r="F13" s="137">
        <f>'Lochloosa TN Education'!J25+'Lochloosa TN Education'!M35</f>
        <v>63.82009453265384</v>
      </c>
      <c r="G13" s="137"/>
      <c r="H13" s="72"/>
      <c r="I13" s="137">
        <f>B13+C13+D13+E13+F13+G13</f>
        <v>2620.0840043758881</v>
      </c>
      <c r="J13" s="528">
        <v>0.04</v>
      </c>
      <c r="K13" s="131">
        <f t="shared" si="1"/>
        <v>104.80336017503552</v>
      </c>
    </row>
    <row r="14" spans="1:11" x14ac:dyDescent="0.2">
      <c r="H14" t="s">
        <v>752</v>
      </c>
      <c r="I14" s="463">
        <f>ROUNDDOWN((I11+I12+I13),0)</f>
        <v>13265</v>
      </c>
      <c r="J14" s="674">
        <v>0.06</v>
      </c>
      <c r="K14">
        <f>ROUND((I14*J14),0)</f>
        <v>796</v>
      </c>
    </row>
    <row r="15" spans="1:11" ht="13.5" thickBot="1" x14ac:dyDescent="0.25">
      <c r="A15" t="s">
        <v>380</v>
      </c>
    </row>
    <row r="16" spans="1:11" ht="99.75" customHeight="1" x14ac:dyDescent="0.2">
      <c r="A16" s="598" t="s">
        <v>582</v>
      </c>
      <c r="B16" s="599" t="s">
        <v>770</v>
      </c>
      <c r="C16" s="599" t="s">
        <v>769</v>
      </c>
      <c r="D16" s="599" t="s">
        <v>620</v>
      </c>
      <c r="E16" s="599" t="s">
        <v>783</v>
      </c>
      <c r="F16" s="599" t="s">
        <v>771</v>
      </c>
      <c r="G16" s="599" t="s">
        <v>765</v>
      </c>
      <c r="H16" s="527" t="s">
        <v>383</v>
      </c>
      <c r="I16" s="527" t="s">
        <v>384</v>
      </c>
      <c r="J16" s="722" t="s">
        <v>782</v>
      </c>
    </row>
    <row r="17" spans="1:10" x14ac:dyDescent="0.2">
      <c r="A17" s="30" t="s">
        <v>62</v>
      </c>
      <c r="B17" s="131">
        <f>J2</f>
        <v>4055</v>
      </c>
      <c r="C17" s="131">
        <f>ROUNDUP(B17/2,0)</f>
        <v>2028</v>
      </c>
      <c r="D17" s="131">
        <f>K11</f>
        <v>335.1192224241401</v>
      </c>
      <c r="E17" s="131"/>
      <c r="F17" s="131">
        <f>C17-D17-E17</f>
        <v>1692.8807775758598</v>
      </c>
      <c r="G17" s="131">
        <f>B17-C17</f>
        <v>2027</v>
      </c>
      <c r="H17" s="131"/>
      <c r="I17" s="131"/>
      <c r="J17" s="132">
        <f>F17+G17-(H17+I17)</f>
        <v>3719.8807775758596</v>
      </c>
    </row>
    <row r="18" spans="1:10" x14ac:dyDescent="0.2">
      <c r="A18" s="30" t="s">
        <v>119</v>
      </c>
      <c r="B18" s="131">
        <f>J3</f>
        <v>3674</v>
      </c>
      <c r="C18" s="131">
        <f>ROUND(B18/2,0)</f>
        <v>1837</v>
      </c>
      <c r="D18" s="131">
        <f>K12</f>
        <v>202.41133777218414</v>
      </c>
      <c r="E18" s="131">
        <v>4759.2</v>
      </c>
      <c r="F18" s="131">
        <f t="shared" ref="F18:F19" si="2">C18-D18-E18</f>
        <v>-3124.611337772184</v>
      </c>
      <c r="G18" s="131">
        <f t="shared" ref="G18:G19" si="3">B18-C18</f>
        <v>1837</v>
      </c>
      <c r="H18" s="131"/>
      <c r="I18" s="131"/>
      <c r="J18" s="132">
        <v>0</v>
      </c>
    </row>
    <row r="19" spans="1:10" x14ac:dyDescent="0.2">
      <c r="A19" s="30" t="s">
        <v>218</v>
      </c>
      <c r="B19" s="131">
        <f>J4</f>
        <v>1902</v>
      </c>
      <c r="C19" s="131">
        <f>ROUND(B19/2,0)</f>
        <v>951</v>
      </c>
      <c r="D19" s="131">
        <f>K13</f>
        <v>104.80336017503552</v>
      </c>
      <c r="E19" s="131"/>
      <c r="F19" s="131">
        <f t="shared" si="2"/>
        <v>846.19663982496445</v>
      </c>
      <c r="G19" s="131">
        <f t="shared" si="3"/>
        <v>951</v>
      </c>
      <c r="H19" s="131"/>
      <c r="I19" s="131"/>
      <c r="J19" s="132">
        <f t="shared" ref="J19" si="4">F19+G19-(H19+I19)</f>
        <v>1797.1966398249644</v>
      </c>
    </row>
    <row r="20" spans="1:10" x14ac:dyDescent="0.2">
      <c r="A20" s="86" t="s">
        <v>123</v>
      </c>
      <c r="B20" s="544">
        <f t="shared" ref="B20:G20" si="5">SUM(B17:B19)</f>
        <v>9631</v>
      </c>
      <c r="C20" s="544">
        <f t="shared" si="5"/>
        <v>4816</v>
      </c>
      <c r="D20" s="544">
        <f t="shared" si="5"/>
        <v>642.3339203713598</v>
      </c>
      <c r="E20" s="544">
        <f t="shared" si="5"/>
        <v>4759.2</v>
      </c>
      <c r="F20" s="544">
        <f t="shared" si="5"/>
        <v>-585.53392037135973</v>
      </c>
      <c r="G20" s="544">
        <f t="shared" si="5"/>
        <v>4815</v>
      </c>
      <c r="H20" s="544"/>
      <c r="I20" s="544"/>
      <c r="J20" s="600">
        <f>SUM(J17:J19)</f>
        <v>5517.0774174008238</v>
      </c>
    </row>
    <row r="21" spans="1:10" ht="13.5" thickBot="1" x14ac:dyDescent="0.25">
      <c r="A21" s="601" t="s">
        <v>363</v>
      </c>
      <c r="B21" s="602"/>
      <c r="C21" s="602"/>
      <c r="D21" s="602"/>
      <c r="E21" s="602"/>
      <c r="F21" s="602"/>
      <c r="G21" s="602"/>
      <c r="H21" s="602"/>
      <c r="I21" s="602"/>
      <c r="J21" s="603"/>
    </row>
    <row r="24" spans="1:10" x14ac:dyDescent="0.2">
      <c r="A24" s="628"/>
      <c r="B24" s="509"/>
      <c r="C24" s="509"/>
      <c r="D24" s="70"/>
    </row>
    <row r="25" spans="1:10" x14ac:dyDescent="0.2">
      <c r="A25" s="606"/>
      <c r="B25" s="79"/>
      <c r="C25" s="79"/>
    </row>
    <row r="26" spans="1:10" x14ac:dyDescent="0.2">
      <c r="A26" s="606"/>
      <c r="B26" s="79"/>
      <c r="C26" s="79"/>
    </row>
    <row r="27" spans="1:10" x14ac:dyDescent="0.2">
      <c r="A27" s="606"/>
      <c r="B27" s="79"/>
      <c r="C27" s="79"/>
    </row>
    <row r="28" spans="1:10" x14ac:dyDescent="0.2">
      <c r="A28" s="286"/>
      <c r="B28" s="79"/>
      <c r="C28" s="79"/>
    </row>
    <row r="29" spans="1:10" x14ac:dyDescent="0.2">
      <c r="A29" s="286"/>
    </row>
    <row r="30" spans="1:10" x14ac:dyDescent="0.2">
      <c r="A30" s="286"/>
      <c r="B30" s="21"/>
      <c r="C30" s="3"/>
    </row>
    <row r="32" spans="1:10" x14ac:dyDescent="0.2">
      <c r="C32" s="79"/>
    </row>
  </sheetData>
  <pageMargins left="0.7" right="0.7" top="0.75" bottom="0.75" header="0.3" footer="0.3"/>
  <pageSetup orientation="portrait" r:id="rId1"/>
  <ignoredErrors>
    <ignoredError sqref="I12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T208"/>
  <sheetViews>
    <sheetView topLeftCell="A121" workbookViewId="0">
      <selection activeCell="G159" sqref="G159"/>
    </sheetView>
  </sheetViews>
  <sheetFormatPr defaultRowHeight="12.75" x14ac:dyDescent="0.2"/>
  <cols>
    <col min="1" max="1" width="51.42578125" customWidth="1"/>
    <col min="2" max="2" width="13.140625" style="373" customWidth="1"/>
    <col min="3" max="3" width="13.7109375" customWidth="1"/>
    <col min="4" max="4" width="23.5703125" customWidth="1"/>
    <col min="5" max="5" width="15.140625" customWidth="1"/>
    <col min="6" max="6" width="13" customWidth="1"/>
    <col min="7" max="7" width="15.42578125" customWidth="1"/>
    <col min="8" max="8" width="16.7109375" customWidth="1"/>
    <col min="9" max="9" width="12.7109375" customWidth="1"/>
    <col min="10" max="10" width="14.28515625" customWidth="1"/>
    <col min="11" max="11" width="13.85546875" customWidth="1"/>
    <col min="12" max="12" width="12.42578125" customWidth="1"/>
    <col min="13" max="13" width="13.85546875" customWidth="1"/>
    <col min="14" max="14" width="14.42578125" customWidth="1"/>
    <col min="15" max="15" width="14.85546875" customWidth="1"/>
    <col min="16" max="17" width="15.140625" customWidth="1"/>
    <col min="18" max="18" width="12" customWidth="1"/>
    <col min="19" max="19" width="15.28515625" customWidth="1"/>
  </cols>
  <sheetData>
    <row r="3" spans="1:11" ht="63.75" x14ac:dyDescent="0.2">
      <c r="A3" s="488" t="s">
        <v>40</v>
      </c>
      <c r="B3" s="49" t="s">
        <v>487</v>
      </c>
      <c r="C3" s="50" t="s">
        <v>31</v>
      </c>
      <c r="D3" s="489" t="s">
        <v>196</v>
      </c>
      <c r="E3" s="51" t="s">
        <v>21</v>
      </c>
      <c r="F3" s="52" t="s">
        <v>23</v>
      </c>
      <c r="G3" s="51" t="s">
        <v>24</v>
      </c>
      <c r="H3" s="49" t="s">
        <v>18</v>
      </c>
      <c r="I3" s="490" t="s">
        <v>85</v>
      </c>
      <c r="J3" s="491" t="s">
        <v>86</v>
      </c>
    </row>
    <row r="4" spans="1:11" ht="21" customHeight="1" x14ac:dyDescent="0.2">
      <c r="A4" s="494" t="s">
        <v>441</v>
      </c>
      <c r="B4" s="125">
        <f>[1]TNaggregated!$I$3</f>
        <v>307.7667505904102</v>
      </c>
      <c r="C4" s="364">
        <f t="shared" ref="C4:C35" si="0">B4/B$139</f>
        <v>7.3957146981177147E-4</v>
      </c>
      <c r="D4" s="148"/>
      <c r="E4" s="206"/>
      <c r="F4" s="206"/>
      <c r="G4" s="206"/>
      <c r="H4" s="206"/>
      <c r="I4" s="206"/>
      <c r="J4" s="507"/>
    </row>
    <row r="5" spans="1:11" x14ac:dyDescent="0.2">
      <c r="A5" s="180" t="s">
        <v>442</v>
      </c>
      <c r="B5" s="125">
        <f>B6+B7</f>
        <v>219.52529041631962</v>
      </c>
      <c r="C5" s="364">
        <f t="shared" si="0"/>
        <v>5.2752495642429656E-4</v>
      </c>
      <c r="D5" s="125">
        <f>B5</f>
        <v>219.52529041631962</v>
      </c>
      <c r="E5" s="206"/>
      <c r="F5" s="206"/>
      <c r="G5" s="206"/>
      <c r="H5" s="206"/>
      <c r="I5" s="125">
        <f>D5</f>
        <v>219.52529041631962</v>
      </c>
      <c r="J5" s="507"/>
    </row>
    <row r="6" spans="1:11" x14ac:dyDescent="0.2">
      <c r="A6" s="30" t="s">
        <v>5</v>
      </c>
      <c r="B6" s="125">
        <f>[1]TNaggregated!$I$5</f>
        <v>0.18144024095945382</v>
      </c>
      <c r="C6" s="364">
        <f t="shared" si="0"/>
        <v>4.3600559654986479E-7</v>
      </c>
      <c r="D6" s="125">
        <f>B6</f>
        <v>0.18144024095945382</v>
      </c>
      <c r="E6" s="206"/>
      <c r="F6" s="206"/>
      <c r="G6" s="206"/>
      <c r="H6" s="206"/>
      <c r="I6" s="125">
        <f t="shared" ref="I6:I12" si="1">D6</f>
        <v>0.18144024095945382</v>
      </c>
      <c r="J6" s="507"/>
    </row>
    <row r="7" spans="1:11" x14ac:dyDescent="0.2">
      <c r="A7" s="30" t="s">
        <v>6</v>
      </c>
      <c r="B7" s="125">
        <f>[1]TNaggregated!$I$4</f>
        <v>219.34385017536016</v>
      </c>
      <c r="C7" s="364">
        <f t="shared" si="0"/>
        <v>5.2708895082774672E-4</v>
      </c>
      <c r="D7" s="125">
        <f t="shared" ref="D7:D70" si="2">B7</f>
        <v>219.34385017536016</v>
      </c>
      <c r="E7" s="125">
        <f>D7</f>
        <v>219.34385017536016</v>
      </c>
      <c r="F7" s="206"/>
      <c r="G7" s="206"/>
      <c r="H7" s="206"/>
      <c r="I7" s="125">
        <f t="shared" si="1"/>
        <v>219.34385017536016</v>
      </c>
      <c r="J7" s="507"/>
    </row>
    <row r="8" spans="1:11" x14ac:dyDescent="0.2">
      <c r="A8" s="181" t="s">
        <v>443</v>
      </c>
      <c r="B8" s="125">
        <f>B9</f>
        <v>350.89220505736643</v>
      </c>
      <c r="C8" s="364">
        <f t="shared" si="0"/>
        <v>8.432030534225491E-4</v>
      </c>
      <c r="D8" s="125">
        <f t="shared" si="2"/>
        <v>350.89220505736643</v>
      </c>
      <c r="E8" s="125">
        <f>D8</f>
        <v>350.89220505736643</v>
      </c>
      <c r="F8" s="364">
        <f>E8/(D$139-D$135-D$122-D$123-D$114-D$115-D$106-D$96-D$97-D$81-D$82-D$78-D$66-D$67-D$53-D$54-D$39-D$40-D$27-D$28-D$15-D$16-D$6-D$7)</f>
        <v>1.1606517577304124E-3</v>
      </c>
      <c r="G8" s="125">
        <f>F8*D$141</f>
        <v>254.76172630443449</v>
      </c>
      <c r="H8" s="206"/>
      <c r="I8" s="125">
        <f t="shared" si="1"/>
        <v>350.89220505736643</v>
      </c>
      <c r="J8" s="507"/>
      <c r="K8" s="79"/>
    </row>
    <row r="9" spans="1:11" x14ac:dyDescent="0.2">
      <c r="A9" s="30" t="s">
        <v>8</v>
      </c>
      <c r="B9" s="125">
        <f>[1]TNaggregated!$I$6</f>
        <v>350.89220505736643</v>
      </c>
      <c r="C9" s="364">
        <f t="shared" si="0"/>
        <v>8.432030534225491E-4</v>
      </c>
      <c r="D9" s="125">
        <f t="shared" si="2"/>
        <v>350.89220505736643</v>
      </c>
      <c r="E9" s="125">
        <f>D9</f>
        <v>350.89220505736643</v>
      </c>
      <c r="F9" s="364">
        <f>E9/(D$139-D$135-D$122-D$123-D$114-D$115-D$106-D$96-D$97-D$81-D$82-D$78-D$66-D$67-D$53-D$54-D$39-D$40-D$27-D$28-D$15-D$16-D$6-D$7)</f>
        <v>1.1606517577304124E-3</v>
      </c>
      <c r="G9" s="125">
        <f>F9*D$141</f>
        <v>254.76172630443449</v>
      </c>
      <c r="H9" s="206"/>
      <c r="I9" s="125">
        <f t="shared" si="1"/>
        <v>350.89220505736643</v>
      </c>
      <c r="J9" s="507"/>
    </row>
    <row r="10" spans="1:11" x14ac:dyDescent="0.2">
      <c r="A10" s="32" t="s">
        <v>676</v>
      </c>
      <c r="B10" s="125">
        <f>B11+B12</f>
        <v>65.7</v>
      </c>
      <c r="C10" s="364">
        <f t="shared" si="0"/>
        <v>1.5787880098620184E-4</v>
      </c>
      <c r="D10" s="125">
        <f t="shared" si="2"/>
        <v>65.7</v>
      </c>
      <c r="E10" s="125">
        <v>65.7</v>
      </c>
      <c r="F10" s="364">
        <f>E10/(D$139-D$135-D$122-D$123-D$114-D$115-D$106-D$96-D$97-D$81-D$82-D$78-D$66-D$67-D$53-D$54-D$39-D$40-D$27-D$28-D$15-D$16-D$6-D$7)</f>
        <v>2.1731694059838518E-4</v>
      </c>
      <c r="G10" s="125">
        <f>F10*D$141</f>
        <v>47.700818590327245</v>
      </c>
      <c r="H10" s="206"/>
      <c r="I10" s="125">
        <f t="shared" si="1"/>
        <v>65.7</v>
      </c>
      <c r="J10" s="507"/>
    </row>
    <row r="11" spans="1:11" x14ac:dyDescent="0.2">
      <c r="A11" s="34" t="s">
        <v>681</v>
      </c>
      <c r="B11" s="670">
        <v>15.6</v>
      </c>
      <c r="C11" s="364">
        <f t="shared" si="0"/>
        <v>3.7487203887134676E-5</v>
      </c>
      <c r="D11" s="125">
        <f t="shared" si="2"/>
        <v>15.6</v>
      </c>
      <c r="E11" s="125">
        <f>D11</f>
        <v>15.6</v>
      </c>
      <c r="F11" s="364">
        <f>E11/(D$139-D$135-D$122-D$123-D$114-D$115-D$106-D$96-D$97-D$81-D$82-D$78-D$66-D$67-D$53-D$54-D$39-D$40-D$27-D$28-D$15-D$16-D$6-D$7)</f>
        <v>5.160036945715082E-5</v>
      </c>
      <c r="G11" s="125">
        <f>F11*D$141</f>
        <v>11.326221765739803</v>
      </c>
      <c r="H11" s="206"/>
      <c r="I11" s="125">
        <f t="shared" si="1"/>
        <v>15.6</v>
      </c>
      <c r="J11" s="507"/>
    </row>
    <row r="12" spans="1:11" x14ac:dyDescent="0.2">
      <c r="A12" s="34" t="s">
        <v>682</v>
      </c>
      <c r="B12" s="670">
        <v>50.1</v>
      </c>
      <c r="C12" s="364">
        <f t="shared" si="0"/>
        <v>1.2039159709906715E-4</v>
      </c>
      <c r="D12" s="125">
        <f t="shared" si="2"/>
        <v>50.1</v>
      </c>
      <c r="E12" s="125">
        <f>D12</f>
        <v>50.1</v>
      </c>
      <c r="F12" s="364">
        <f>E12/(D$139-D$135-D$122-D$123-D$114-D$115-D$106-D$96-D$97-D$81-D$82-D$78-D$66-D$67-D$53-D$54-D$39-D$40-D$27-D$28-D$15-D$16-D$6-D$7)</f>
        <v>1.6571657114123437E-4</v>
      </c>
      <c r="G12" s="125">
        <f>F12*D$141</f>
        <v>36.374596824587442</v>
      </c>
      <c r="H12" s="206"/>
      <c r="I12" s="125">
        <f t="shared" si="1"/>
        <v>50.1</v>
      </c>
      <c r="J12" s="507"/>
    </row>
    <row r="13" spans="1:11" ht="17.45" customHeight="1" x14ac:dyDescent="0.2">
      <c r="A13" s="494" t="s">
        <v>445</v>
      </c>
      <c r="B13" s="125">
        <f>[1]TNaggregated!$I$8</f>
        <v>1010.6249084085449</v>
      </c>
      <c r="C13" s="364">
        <f t="shared" si="0"/>
        <v>2.4285578201876882E-3</v>
      </c>
      <c r="D13" s="125"/>
      <c r="E13" s="125"/>
      <c r="F13" s="206"/>
      <c r="G13" s="125"/>
      <c r="H13" s="206"/>
      <c r="I13" s="125"/>
      <c r="J13" s="507"/>
    </row>
    <row r="14" spans="1:11" x14ac:dyDescent="0.2">
      <c r="A14" s="180" t="s">
        <v>446</v>
      </c>
      <c r="B14" s="125">
        <f>B15+B16</f>
        <v>861.9</v>
      </c>
      <c r="C14" s="364">
        <f t="shared" si="0"/>
        <v>2.0711680147641911E-3</v>
      </c>
      <c r="D14" s="125">
        <f t="shared" si="2"/>
        <v>861.9</v>
      </c>
      <c r="E14" s="125"/>
      <c r="F14" s="206"/>
      <c r="G14" s="125"/>
      <c r="H14" s="206"/>
      <c r="I14" s="125">
        <f t="shared" ref="I14:I24" si="3">D14</f>
        <v>861.9</v>
      </c>
      <c r="J14" s="507"/>
    </row>
    <row r="15" spans="1:11" x14ac:dyDescent="0.2">
      <c r="A15" s="30" t="s">
        <v>5</v>
      </c>
      <c r="B15" s="125">
        <v>215.5</v>
      </c>
      <c r="C15" s="364">
        <f t="shared" si="0"/>
        <v>5.1785207933830282E-4</v>
      </c>
      <c r="D15" s="125">
        <f t="shared" si="2"/>
        <v>215.5</v>
      </c>
      <c r="E15" s="125"/>
      <c r="F15" s="206"/>
      <c r="G15" s="125"/>
      <c r="H15" s="206"/>
      <c r="I15" s="125">
        <f t="shared" si="3"/>
        <v>215.5</v>
      </c>
      <c r="J15" s="507"/>
    </row>
    <row r="16" spans="1:11" x14ac:dyDescent="0.2">
      <c r="A16" s="30" t="s">
        <v>6</v>
      </c>
      <c r="B16" s="125">
        <v>646.4</v>
      </c>
      <c r="C16" s="364">
        <f t="shared" si="0"/>
        <v>1.5533159354258882E-3</v>
      </c>
      <c r="D16" s="125">
        <f t="shared" si="2"/>
        <v>646.4</v>
      </c>
      <c r="E16" s="125"/>
      <c r="F16" s="206"/>
      <c r="G16" s="125"/>
      <c r="H16" s="206"/>
      <c r="I16" s="125">
        <f t="shared" si="3"/>
        <v>646.4</v>
      </c>
      <c r="J16" s="507"/>
    </row>
    <row r="17" spans="1:11" x14ac:dyDescent="0.2">
      <c r="A17" s="181" t="s">
        <v>447</v>
      </c>
      <c r="B17" s="125">
        <f>B18+B19+B20</f>
        <v>350.67321840815248</v>
      </c>
      <c r="C17" s="364">
        <f t="shared" si="0"/>
        <v>8.4267682283487965E-4</v>
      </c>
      <c r="D17" s="125">
        <f t="shared" si="2"/>
        <v>350.67321840815248</v>
      </c>
      <c r="E17" s="125">
        <f>D17</f>
        <v>350.67321840815248</v>
      </c>
      <c r="F17" s="364">
        <f t="shared" ref="F17:F25" si="4">E17/(D$139-D$135-D$122-D$123-D$114-D$115-D$106-D$96-D$97-D$81-D$82-D$78-D$66-D$67-D$53-D$54-D$39-D$40-D$27-D$28-D$15-D$16-D$6-D$7)</f>
        <v>1.1599274120890264E-3</v>
      </c>
      <c r="G17" s="125">
        <f t="shared" ref="G17:G25" si="5">F17*D$141</f>
        <v>254.60273326900284</v>
      </c>
      <c r="H17" s="206"/>
      <c r="I17" s="125">
        <f t="shared" si="3"/>
        <v>350.67321840815248</v>
      </c>
      <c r="J17" s="507"/>
    </row>
    <row r="18" spans="1:11" x14ac:dyDescent="0.2">
      <c r="A18" s="34" t="s">
        <v>434</v>
      </c>
      <c r="B18" s="125">
        <f>[1]TNaggregated!$I$13</f>
        <v>1.7535477819846736</v>
      </c>
      <c r="C18" s="364">
        <f t="shared" si="0"/>
        <v>4.2138207198136062E-6</v>
      </c>
      <c r="D18" s="125">
        <f t="shared" si="2"/>
        <v>1.7535477819846736</v>
      </c>
      <c r="E18" s="125">
        <f t="shared" ref="E18:E25" si="6">D18</f>
        <v>1.7535477819846736</v>
      </c>
      <c r="F18" s="364">
        <f t="shared" si="4"/>
        <v>5.8002380391779824E-6</v>
      </c>
      <c r="G18" s="125">
        <f t="shared" si="5"/>
        <v>1.2731455804858696</v>
      </c>
      <c r="H18" s="206"/>
      <c r="I18" s="125">
        <f t="shared" si="3"/>
        <v>1.7535477819846736</v>
      </c>
      <c r="J18" s="507"/>
    </row>
    <row r="19" spans="1:11" x14ac:dyDescent="0.2">
      <c r="A19" s="30" t="s">
        <v>8</v>
      </c>
      <c r="B19" s="125">
        <f>[1]TNaggregated!$I$11</f>
        <v>200.65296404214737</v>
      </c>
      <c r="C19" s="364">
        <f t="shared" si="0"/>
        <v>4.8217426753883861E-4</v>
      </c>
      <c r="D19" s="125">
        <f t="shared" si="2"/>
        <v>200.65296404214737</v>
      </c>
      <c r="E19" s="125">
        <f t="shared" si="6"/>
        <v>200.65296404214737</v>
      </c>
      <c r="F19" s="364">
        <f t="shared" si="4"/>
        <v>6.6370301777225662E-4</v>
      </c>
      <c r="G19" s="125">
        <f t="shared" si="5"/>
        <v>145.68204927528049</v>
      </c>
      <c r="H19" s="206"/>
      <c r="I19" s="125">
        <f t="shared" si="3"/>
        <v>200.65296404214737</v>
      </c>
      <c r="J19" s="507"/>
    </row>
    <row r="20" spans="1:11" x14ac:dyDescent="0.2">
      <c r="A20" s="34" t="s">
        <v>680</v>
      </c>
      <c r="B20" s="125">
        <f>[1]TNaggregated!$I$12</f>
        <v>148.2667065840204</v>
      </c>
      <c r="C20" s="364">
        <f t="shared" si="0"/>
        <v>3.5628873457622733E-4</v>
      </c>
      <c r="D20" s="125">
        <f t="shared" si="2"/>
        <v>148.2667065840204</v>
      </c>
      <c r="E20" s="125">
        <f t="shared" si="6"/>
        <v>148.2667065840204</v>
      </c>
      <c r="F20" s="364">
        <f t="shared" si="4"/>
        <v>4.9042415627759161E-4</v>
      </c>
      <c r="G20" s="125">
        <f t="shared" si="5"/>
        <v>107.64753841323646</v>
      </c>
      <c r="H20" s="206"/>
      <c r="I20" s="125">
        <f t="shared" si="3"/>
        <v>148.2667065840204</v>
      </c>
      <c r="J20" s="507"/>
    </row>
    <row r="21" spans="1:11" x14ac:dyDescent="0.2">
      <c r="A21" s="32" t="s">
        <v>448</v>
      </c>
      <c r="B21" s="125">
        <f>SUM(B22:B24)</f>
        <v>2547.2800000000002</v>
      </c>
      <c r="C21" s="364">
        <f t="shared" si="0"/>
        <v>6.1211797895910532E-3</v>
      </c>
      <c r="D21" s="125">
        <f t="shared" si="2"/>
        <v>2547.2800000000002</v>
      </c>
      <c r="E21" s="125">
        <f t="shared" si="6"/>
        <v>2547.2800000000002</v>
      </c>
      <c r="F21" s="364">
        <f t="shared" si="4"/>
        <v>8.4256787891545601E-3</v>
      </c>
      <c r="G21" s="125">
        <f t="shared" si="5"/>
        <v>1849.4268063739542</v>
      </c>
      <c r="H21" s="206"/>
      <c r="I21" s="125">
        <f t="shared" si="3"/>
        <v>2547.2800000000002</v>
      </c>
      <c r="J21" s="507"/>
    </row>
    <row r="22" spans="1:11" x14ac:dyDescent="0.2">
      <c r="A22" s="34" t="s">
        <v>677</v>
      </c>
      <c r="B22" s="125">
        <v>478.81</v>
      </c>
      <c r="C22" s="364">
        <f t="shared" si="0"/>
        <v>1.1505928264871127E-3</v>
      </c>
      <c r="D22" s="125">
        <f t="shared" si="2"/>
        <v>478.81</v>
      </c>
      <c r="E22" s="125">
        <f t="shared" si="6"/>
        <v>478.81</v>
      </c>
      <c r="F22" s="364">
        <f t="shared" si="4"/>
        <v>1.5837674935755375E-3</v>
      </c>
      <c r="G22" s="125">
        <f t="shared" si="5"/>
        <v>347.63514382396636</v>
      </c>
      <c r="H22" s="206"/>
      <c r="I22" s="125">
        <f t="shared" si="3"/>
        <v>478.81</v>
      </c>
      <c r="J22" s="507"/>
    </row>
    <row r="23" spans="1:11" x14ac:dyDescent="0.2">
      <c r="A23" s="34" t="s">
        <v>678</v>
      </c>
      <c r="B23" s="125">
        <v>1569.22</v>
      </c>
      <c r="C23" s="364">
        <f t="shared" si="0"/>
        <v>3.7708762874211206E-3</v>
      </c>
      <c r="D23" s="125">
        <f t="shared" si="2"/>
        <v>1569.22</v>
      </c>
      <c r="E23" s="125">
        <f t="shared" si="6"/>
        <v>1569.22</v>
      </c>
      <c r="F23" s="364">
        <f t="shared" si="4"/>
        <v>5.1905340871506549E-3</v>
      </c>
      <c r="G23" s="125">
        <f t="shared" si="5"/>
        <v>1139.3162640534754</v>
      </c>
      <c r="H23" s="206"/>
      <c r="I23" s="125">
        <f t="shared" si="3"/>
        <v>1569.22</v>
      </c>
      <c r="J23" s="507"/>
    </row>
    <row r="24" spans="1:11" x14ac:dyDescent="0.2">
      <c r="A24" s="34" t="s">
        <v>679</v>
      </c>
      <c r="B24" s="125">
        <v>499.25</v>
      </c>
      <c r="C24" s="364">
        <f t="shared" si="0"/>
        <v>1.1997106756828199E-3</v>
      </c>
      <c r="D24" s="125">
        <f t="shared" si="2"/>
        <v>499.25</v>
      </c>
      <c r="E24" s="125">
        <f t="shared" si="6"/>
        <v>499.25</v>
      </c>
      <c r="F24" s="364">
        <f t="shared" si="4"/>
        <v>1.6513772084283684E-3</v>
      </c>
      <c r="G24" s="125">
        <f t="shared" si="5"/>
        <v>362.47539849651258</v>
      </c>
      <c r="H24" s="206"/>
      <c r="I24" s="125">
        <f t="shared" si="3"/>
        <v>499.25</v>
      </c>
      <c r="J24" s="507"/>
    </row>
    <row r="25" spans="1:11" ht="19.899999999999999" customHeight="1" x14ac:dyDescent="0.2">
      <c r="A25" s="494" t="s">
        <v>449</v>
      </c>
      <c r="B25" s="125">
        <f>[1]TNaggregated!$I$15</f>
        <v>2186.7583674239386</v>
      </c>
      <c r="C25" s="364">
        <f t="shared" si="0"/>
        <v>5.2548369725332663E-3</v>
      </c>
      <c r="D25" s="125"/>
      <c r="E25" s="125">
        <f t="shared" si="6"/>
        <v>0</v>
      </c>
      <c r="F25" s="206">
        <f t="shared" si="4"/>
        <v>0</v>
      </c>
      <c r="G25" s="125">
        <f t="shared" si="5"/>
        <v>0</v>
      </c>
      <c r="H25" s="206"/>
      <c r="I25" s="125">
        <f t="shared" ref="I25" si="7">ROUND(D25,0)</f>
        <v>0</v>
      </c>
      <c r="J25" s="507"/>
      <c r="K25" s="79"/>
    </row>
    <row r="26" spans="1:11" x14ac:dyDescent="0.2">
      <c r="A26" s="180" t="s">
        <v>450</v>
      </c>
      <c r="B26" s="125">
        <f>SUM(B27:B28)</f>
        <v>1676.6476284106673</v>
      </c>
      <c r="C26" s="364">
        <f t="shared" si="0"/>
        <v>4.02902765981484E-3</v>
      </c>
      <c r="D26" s="125">
        <f t="shared" si="2"/>
        <v>1676.6476284106673</v>
      </c>
      <c r="E26" s="125"/>
      <c r="F26" s="206"/>
      <c r="G26" s="125"/>
      <c r="H26" s="206"/>
      <c r="I26" s="125">
        <f t="shared" ref="I26:I36" si="8">D26</f>
        <v>1676.6476284106673</v>
      </c>
      <c r="J26" s="507"/>
    </row>
    <row r="27" spans="1:11" x14ac:dyDescent="0.2">
      <c r="A27" s="30" t="s">
        <v>5</v>
      </c>
      <c r="B27" s="125">
        <f>[1]TNaggregated!$I$17</f>
        <v>109.46877449037099</v>
      </c>
      <c r="C27" s="364">
        <f t="shared" si="0"/>
        <v>2.630562992689298E-4</v>
      </c>
      <c r="D27" s="125">
        <f t="shared" si="2"/>
        <v>109.46877449037099</v>
      </c>
      <c r="E27" s="125"/>
      <c r="F27" s="206"/>
      <c r="G27" s="125"/>
      <c r="H27" s="206"/>
      <c r="I27" s="125">
        <f t="shared" si="8"/>
        <v>109.46877449037099</v>
      </c>
      <c r="J27" s="507"/>
    </row>
    <row r="28" spans="1:11" x14ac:dyDescent="0.2">
      <c r="A28" s="30" t="s">
        <v>6</v>
      </c>
      <c r="B28" s="125">
        <f>[1]TNaggregated!$I$16</f>
        <v>1567.1788539202962</v>
      </c>
      <c r="C28" s="364">
        <f t="shared" si="0"/>
        <v>3.7659713605459103E-3</v>
      </c>
      <c r="D28" s="125">
        <f t="shared" si="2"/>
        <v>1567.1788539202962</v>
      </c>
      <c r="E28" s="125"/>
      <c r="F28" s="206"/>
      <c r="G28" s="125"/>
      <c r="H28" s="206"/>
      <c r="I28" s="125">
        <f t="shared" si="8"/>
        <v>1567.1788539202962</v>
      </c>
      <c r="J28" s="507"/>
    </row>
    <row r="29" spans="1:11" x14ac:dyDescent="0.2">
      <c r="A29" s="181" t="s">
        <v>451</v>
      </c>
      <c r="B29" s="125">
        <f>SUM(B30:B32)</f>
        <v>1074.4631987948019</v>
      </c>
      <c r="C29" s="364">
        <f t="shared" si="0"/>
        <v>2.5819628847720297E-3</v>
      </c>
      <c r="D29" s="125">
        <f t="shared" si="2"/>
        <v>1074.4631987948019</v>
      </c>
      <c r="E29" s="125">
        <f>D29</f>
        <v>1074.4631987948019</v>
      </c>
      <c r="F29" s="364">
        <f t="shared" ref="F29:F36" si="9">E29/(D$139-D$135-D$122-D$123-D$114-D$115-D$106-D$96-D$97-D$81-D$82-D$78-D$66-D$67-D$53-D$54-D$39-D$40-D$27-D$28-D$15-D$16-D$6-D$7)</f>
        <v>3.5540191042258886E-3</v>
      </c>
      <c r="G29" s="125">
        <f t="shared" ref="G29:G36" si="10">F29*D$141</f>
        <v>780.10310696641648</v>
      </c>
      <c r="H29" s="206"/>
      <c r="I29" s="125">
        <f t="shared" si="8"/>
        <v>1074.4631987948019</v>
      </c>
      <c r="J29" s="507"/>
    </row>
    <row r="30" spans="1:11" x14ac:dyDescent="0.2">
      <c r="A30" s="30" t="s">
        <v>8</v>
      </c>
      <c r="B30" s="125">
        <f>[1]TNaggregated!$I$18</f>
        <v>427.31269666084296</v>
      </c>
      <c r="C30" s="364">
        <f t="shared" si="0"/>
        <v>1.0268434732875868E-3</v>
      </c>
      <c r="D30" s="125">
        <f t="shared" si="2"/>
        <v>427.31269666084296</v>
      </c>
      <c r="E30" s="125">
        <f t="shared" ref="E30:E33" si="11">D30</f>
        <v>427.31269666084296</v>
      </c>
      <c r="F30" s="364">
        <f t="shared" si="9"/>
        <v>1.4134290398353151E-3</v>
      </c>
      <c r="G30" s="125">
        <f t="shared" si="10"/>
        <v>310.24604908314166</v>
      </c>
      <c r="H30" s="206"/>
      <c r="I30" s="125">
        <f t="shared" si="8"/>
        <v>427.31269666084296</v>
      </c>
      <c r="J30" s="507"/>
    </row>
    <row r="31" spans="1:11" x14ac:dyDescent="0.2">
      <c r="A31" s="34" t="s">
        <v>435</v>
      </c>
      <c r="B31" s="670">
        <v>89.150502133959009</v>
      </c>
      <c r="C31" s="364">
        <f t="shared" si="0"/>
        <v>2.1423096475231773E-4</v>
      </c>
      <c r="D31" s="125">
        <f t="shared" si="2"/>
        <v>89.150502133959009</v>
      </c>
      <c r="E31" s="125">
        <f t="shared" si="11"/>
        <v>89.150502133959009</v>
      </c>
      <c r="F31" s="364">
        <f t="shared" si="9"/>
        <v>2.9488454150017931E-4</v>
      </c>
      <c r="G31" s="125">
        <f t="shared" si="10"/>
        <v>64.726817801043538</v>
      </c>
      <c r="H31" s="206"/>
      <c r="I31" s="125">
        <f t="shared" si="8"/>
        <v>89.150502133959009</v>
      </c>
      <c r="J31" s="507"/>
    </row>
    <row r="32" spans="1:11" x14ac:dyDescent="0.2">
      <c r="A32" s="34" t="s">
        <v>50</v>
      </c>
      <c r="B32" s="670">
        <f>[2]TNcorrected!$U$27</f>
        <v>558</v>
      </c>
      <c r="C32" s="364">
        <f t="shared" si="0"/>
        <v>1.3408884467321252E-3</v>
      </c>
      <c r="D32" s="125">
        <f t="shared" si="2"/>
        <v>558</v>
      </c>
      <c r="E32" s="125">
        <f>D32</f>
        <v>558</v>
      </c>
      <c r="F32" s="364">
        <f t="shared" si="9"/>
        <v>1.8457055228903946E-3</v>
      </c>
      <c r="G32" s="125">
        <f t="shared" si="10"/>
        <v>405.13024008223135</v>
      </c>
      <c r="H32" s="206"/>
      <c r="I32" s="125">
        <f t="shared" si="8"/>
        <v>558</v>
      </c>
      <c r="J32" s="507"/>
    </row>
    <row r="33" spans="1:10" x14ac:dyDescent="0.2">
      <c r="A33" s="32" t="s">
        <v>452</v>
      </c>
      <c r="B33" s="125">
        <f>SUM(B34:B36)</f>
        <v>4130.5</v>
      </c>
      <c r="C33" s="364">
        <f t="shared" si="0"/>
        <v>9.9256984394749861E-3</v>
      </c>
      <c r="D33" s="125">
        <f t="shared" si="2"/>
        <v>4130.5</v>
      </c>
      <c r="E33" s="125">
        <f t="shared" si="11"/>
        <v>4130.5</v>
      </c>
      <c r="F33" s="364">
        <f t="shared" si="9"/>
        <v>1.3662520900177017E-2</v>
      </c>
      <c r="G33" s="125">
        <f t="shared" si="10"/>
        <v>2998.9076284223243</v>
      </c>
      <c r="H33" s="206"/>
      <c r="I33" s="125">
        <f t="shared" si="8"/>
        <v>4130.5</v>
      </c>
      <c r="J33" s="507"/>
    </row>
    <row r="34" spans="1:10" x14ac:dyDescent="0.2">
      <c r="A34" s="34" t="s">
        <v>677</v>
      </c>
      <c r="B34" s="670">
        <f>[2]TNcorrected!$U$29</f>
        <v>995</v>
      </c>
      <c r="C34" s="364">
        <f t="shared" si="0"/>
        <v>2.3910107607499364E-3</v>
      </c>
      <c r="D34" s="125">
        <f t="shared" si="2"/>
        <v>995</v>
      </c>
      <c r="E34" s="125">
        <f>D34</f>
        <v>995</v>
      </c>
      <c r="F34" s="364">
        <f t="shared" si="9"/>
        <v>3.2911774108887863E-3</v>
      </c>
      <c r="G34" s="125">
        <f t="shared" si="10"/>
        <v>722.40965749430154</v>
      </c>
      <c r="H34" s="206"/>
      <c r="I34" s="125">
        <f t="shared" si="8"/>
        <v>995</v>
      </c>
      <c r="J34" s="507"/>
    </row>
    <row r="35" spans="1:10" x14ac:dyDescent="0.2">
      <c r="A35" s="34" t="s">
        <v>678</v>
      </c>
      <c r="B35" s="670">
        <f>[2]TNcorrected!$U$28</f>
        <v>2611</v>
      </c>
      <c r="C35" s="364">
        <f t="shared" si="0"/>
        <v>6.2743005993146569E-3</v>
      </c>
      <c r="D35" s="125">
        <f t="shared" si="2"/>
        <v>2611</v>
      </c>
      <c r="E35" s="125">
        <f>D35</f>
        <v>2611</v>
      </c>
      <c r="F35" s="364">
        <f t="shared" si="9"/>
        <v>8.6364464520910771E-3</v>
      </c>
      <c r="G35" s="125">
        <f t="shared" si="10"/>
        <v>1895.6900660478607</v>
      </c>
      <c r="H35" s="206"/>
      <c r="I35" s="125">
        <f t="shared" si="8"/>
        <v>2611</v>
      </c>
      <c r="J35" s="507"/>
    </row>
    <row r="36" spans="1:10" x14ac:dyDescent="0.2">
      <c r="A36" s="34" t="s">
        <v>679</v>
      </c>
      <c r="B36" s="670">
        <f>[2]TNcorrected!$U$30</f>
        <v>524.5</v>
      </c>
      <c r="C36" s="364">
        <f t="shared" ref="C36:C67" si="12">B36/B$139</f>
        <v>1.2603870794103936E-3</v>
      </c>
      <c r="D36" s="125">
        <f t="shared" si="2"/>
        <v>524.5</v>
      </c>
      <c r="E36" s="125">
        <f>D36</f>
        <v>524.5</v>
      </c>
      <c r="F36" s="364">
        <f t="shared" si="9"/>
        <v>1.7348970371971542E-3</v>
      </c>
      <c r="G36" s="125">
        <f t="shared" si="10"/>
        <v>380.80790488016197</v>
      </c>
      <c r="H36" s="206"/>
      <c r="I36" s="125">
        <f t="shared" si="8"/>
        <v>524.5</v>
      </c>
      <c r="J36" s="507"/>
    </row>
    <row r="37" spans="1:10" ht="20.45" customHeight="1" x14ac:dyDescent="0.2">
      <c r="A37" s="494" t="s">
        <v>453</v>
      </c>
      <c r="B37" s="125">
        <f>[1]TNaggregated!$I$21</f>
        <v>5411.8323849047547</v>
      </c>
      <c r="C37" s="364">
        <f t="shared" si="12"/>
        <v>1.300477333435403E-2</v>
      </c>
      <c r="D37" s="125"/>
      <c r="E37" s="125"/>
      <c r="F37" s="206"/>
      <c r="G37" s="125"/>
      <c r="H37" s="206"/>
      <c r="I37" s="125"/>
      <c r="J37" s="507"/>
    </row>
    <row r="38" spans="1:10" x14ac:dyDescent="0.2">
      <c r="A38" s="180" t="s">
        <v>454</v>
      </c>
      <c r="B38" s="125">
        <f>SUM(B39:B40)</f>
        <v>4037.3197519171658</v>
      </c>
      <c r="C38" s="364">
        <f t="shared" si="12"/>
        <v>9.7017838908765898E-3</v>
      </c>
      <c r="D38" s="125">
        <f t="shared" si="2"/>
        <v>4037.3197519171658</v>
      </c>
      <c r="E38" s="125"/>
      <c r="F38" s="206"/>
      <c r="G38" s="125"/>
      <c r="H38" s="206"/>
      <c r="I38" s="125">
        <f t="shared" ref="I38:I50" si="13">D38</f>
        <v>4037.3197519171658</v>
      </c>
      <c r="J38" s="507"/>
    </row>
    <row r="39" spans="1:10" x14ac:dyDescent="0.2">
      <c r="A39" s="30" t="s">
        <v>5</v>
      </c>
      <c r="B39" s="125">
        <f>[1]TNaggregated!$I$23</f>
        <v>194.54549679702541</v>
      </c>
      <c r="C39" s="364">
        <f t="shared" si="12"/>
        <v>4.674978656252563E-4</v>
      </c>
      <c r="D39" s="125">
        <f t="shared" si="2"/>
        <v>194.54549679702541</v>
      </c>
      <c r="E39" s="125"/>
      <c r="F39" s="206"/>
      <c r="G39" s="125"/>
      <c r="H39" s="206"/>
      <c r="I39" s="125">
        <f t="shared" si="13"/>
        <v>194.54549679702541</v>
      </c>
      <c r="J39" s="507"/>
    </row>
    <row r="40" spans="1:10" x14ac:dyDescent="0.2">
      <c r="A40" s="30" t="s">
        <v>6</v>
      </c>
      <c r="B40" s="125">
        <f>[1]TNaggregated!$I$22</f>
        <v>3842.7742551201404</v>
      </c>
      <c r="C40" s="364">
        <f t="shared" si="12"/>
        <v>9.2342860252513335E-3</v>
      </c>
      <c r="D40" s="125">
        <f t="shared" si="2"/>
        <v>3842.7742551201404</v>
      </c>
      <c r="E40" s="125"/>
      <c r="F40" s="206"/>
      <c r="G40" s="125"/>
      <c r="H40" s="206"/>
      <c r="I40" s="125">
        <f t="shared" si="13"/>
        <v>3842.7742551201404</v>
      </c>
      <c r="J40" s="507"/>
    </row>
    <row r="41" spans="1:10" x14ac:dyDescent="0.2">
      <c r="A41" s="181" t="s">
        <v>455</v>
      </c>
      <c r="B41" s="125">
        <f>SUM(B42:B46)</f>
        <v>1579.7709946896366</v>
      </c>
      <c r="C41" s="364">
        <f t="shared" si="12"/>
        <v>3.7962306008276899E-3</v>
      </c>
      <c r="D41" s="125">
        <f t="shared" si="2"/>
        <v>1579.7709946896366</v>
      </c>
      <c r="E41" s="125">
        <f>D41</f>
        <v>1579.7709946896366</v>
      </c>
      <c r="F41" s="364">
        <f t="shared" ref="F41:F50" si="14">E41/(D$139-D$135-D$122-D$123-D$114-D$115-D$106-D$96-D$97-D$81-D$82-D$78-D$66-D$67-D$53-D$54-D$39-D$40-D$27-D$28-D$15-D$16-D$6-D$7)</f>
        <v>5.2254337810048648E-3</v>
      </c>
      <c r="G41" s="125">
        <f t="shared" ref="G41:G50" si="15">F41*D$141</f>
        <v>1146.9767067268062</v>
      </c>
      <c r="H41" s="206"/>
      <c r="I41" s="125">
        <f t="shared" si="13"/>
        <v>1579.7709946896366</v>
      </c>
      <c r="J41" s="507"/>
    </row>
    <row r="42" spans="1:10" x14ac:dyDescent="0.2">
      <c r="A42" s="34" t="s">
        <v>434</v>
      </c>
      <c r="B42" s="125">
        <f>[1]TNaggregated!$I$27</f>
        <v>30.755805678854149</v>
      </c>
      <c r="C42" s="364">
        <f t="shared" si="12"/>
        <v>7.3906997320275647E-5</v>
      </c>
      <c r="D42" s="125">
        <f t="shared" si="2"/>
        <v>30.755805678854149</v>
      </c>
      <c r="E42" s="125">
        <f t="shared" ref="E42:E50" si="16">D42</f>
        <v>30.755805678854149</v>
      </c>
      <c r="F42" s="364">
        <f t="shared" si="14"/>
        <v>1.0173147025520586E-4</v>
      </c>
      <c r="G42" s="125">
        <f t="shared" si="15"/>
        <v>22.329940750173186</v>
      </c>
      <c r="H42" s="206"/>
      <c r="I42" s="125">
        <f t="shared" si="13"/>
        <v>30.755805678854149</v>
      </c>
      <c r="J42" s="507"/>
    </row>
    <row r="43" spans="1:10" x14ac:dyDescent="0.2">
      <c r="A43" s="30" t="s">
        <v>8</v>
      </c>
      <c r="B43" s="125">
        <f>[1]TNaggregated!$I$24</f>
        <v>224.14189539576151</v>
      </c>
      <c r="C43" s="364">
        <f t="shared" si="12"/>
        <v>5.3861877771472599E-4</v>
      </c>
      <c r="D43" s="125">
        <f t="shared" si="2"/>
        <v>224.14189539576151</v>
      </c>
      <c r="E43" s="125">
        <f t="shared" si="16"/>
        <v>224.14189539576151</v>
      </c>
      <c r="F43" s="364">
        <f t="shared" si="14"/>
        <v>7.4139773161841958E-4</v>
      </c>
      <c r="G43" s="125">
        <f t="shared" si="15"/>
        <v>162.73594963113126</v>
      </c>
      <c r="H43" s="206"/>
      <c r="I43" s="125">
        <f t="shared" si="13"/>
        <v>224.14189539576151</v>
      </c>
      <c r="J43" s="507"/>
    </row>
    <row r="44" spans="1:10" x14ac:dyDescent="0.2">
      <c r="A44" s="30" t="s">
        <v>680</v>
      </c>
      <c r="B44" s="670">
        <f>[2]TNcorrected!$U$41</f>
        <v>999.9</v>
      </c>
      <c r="C44" s="364">
        <f t="shared" si="12"/>
        <v>2.4027855876119211E-3</v>
      </c>
      <c r="D44" s="125">
        <f t="shared" si="2"/>
        <v>999.9</v>
      </c>
      <c r="E44" s="125">
        <f>D44</f>
        <v>999.9</v>
      </c>
      <c r="F44" s="364">
        <f t="shared" si="14"/>
        <v>3.3073852192439168E-3</v>
      </c>
      <c r="G44" s="125">
        <f t="shared" si="15"/>
        <v>725.96725279251461</v>
      </c>
      <c r="H44" s="206"/>
      <c r="I44" s="125">
        <f t="shared" si="13"/>
        <v>999.9</v>
      </c>
      <c r="J44" s="507"/>
    </row>
    <row r="45" spans="1:10" x14ac:dyDescent="0.2">
      <c r="A45" s="34" t="s">
        <v>435</v>
      </c>
      <c r="B45" s="670">
        <f>[2]TNcorrected!$U$40</f>
        <v>310.2</v>
      </c>
      <c r="C45" s="364">
        <f t="shared" si="12"/>
        <v>7.4541863114033192E-4</v>
      </c>
      <c r="D45" s="125">
        <f t="shared" si="2"/>
        <v>310.2</v>
      </c>
      <c r="E45" s="125">
        <f t="shared" si="16"/>
        <v>310.2</v>
      </c>
      <c r="F45" s="364">
        <f t="shared" si="14"/>
        <v>1.0260535003594989E-3</v>
      </c>
      <c r="G45" s="125">
        <f t="shared" si="15"/>
        <v>225.21756357259528</v>
      </c>
      <c r="H45" s="206"/>
      <c r="I45" s="125">
        <f t="shared" si="13"/>
        <v>310.2</v>
      </c>
      <c r="J45" s="507"/>
    </row>
    <row r="46" spans="1:10" x14ac:dyDescent="0.2">
      <c r="A46" s="34" t="s">
        <v>437</v>
      </c>
      <c r="B46" s="125">
        <f>[1]TNaggregated!$I$26</f>
        <v>14.773293615020972</v>
      </c>
      <c r="C46" s="364">
        <f t="shared" si="12"/>
        <v>3.5500607040435648E-5</v>
      </c>
      <c r="D46" s="125">
        <f t="shared" si="2"/>
        <v>14.773293615020972</v>
      </c>
      <c r="E46" s="125">
        <f t="shared" si="16"/>
        <v>14.773293615020972</v>
      </c>
      <c r="F46" s="364">
        <f t="shared" si="14"/>
        <v>4.8865859527823679E-5</v>
      </c>
      <c r="G46" s="125">
        <f t="shared" si="15"/>
        <v>10.725999980392011</v>
      </c>
      <c r="H46" s="206"/>
      <c r="I46" s="125">
        <f t="shared" si="13"/>
        <v>14.773293615020972</v>
      </c>
      <c r="J46" s="507"/>
    </row>
    <row r="47" spans="1:10" x14ac:dyDescent="0.2">
      <c r="A47" s="32" t="s">
        <v>456</v>
      </c>
      <c r="B47" s="125">
        <f>SUM(B48:B50)</f>
        <v>4860.3999999999996</v>
      </c>
      <c r="C47" s="364">
        <f t="shared" si="12"/>
        <v>1.1679667036732653E-2</v>
      </c>
      <c r="D47" s="125">
        <f t="shared" si="2"/>
        <v>4860.3999999999996</v>
      </c>
      <c r="E47" s="125">
        <f t="shared" si="16"/>
        <v>4860.3999999999996</v>
      </c>
      <c r="F47" s="364">
        <f t="shared" si="14"/>
        <v>1.6076822801893324E-2</v>
      </c>
      <c r="G47" s="125">
        <f t="shared" si="15"/>
        <v>3528.8441198847268</v>
      </c>
      <c r="H47" s="206"/>
      <c r="I47" s="125">
        <f t="shared" si="13"/>
        <v>4860.3999999999996</v>
      </c>
      <c r="J47" s="507"/>
    </row>
    <row r="48" spans="1:10" x14ac:dyDescent="0.2">
      <c r="A48" s="34" t="s">
        <v>677</v>
      </c>
      <c r="B48" s="670">
        <f>[2]TNcorrected!$U$44</f>
        <v>941.9</v>
      </c>
      <c r="C48" s="364">
        <f t="shared" si="12"/>
        <v>2.2634100859802663E-3</v>
      </c>
      <c r="D48" s="125">
        <f t="shared" si="2"/>
        <v>941.9</v>
      </c>
      <c r="E48" s="125">
        <f t="shared" si="16"/>
        <v>941.9</v>
      </c>
      <c r="F48" s="364">
        <f t="shared" si="14"/>
        <v>3.1155376917750229E-3</v>
      </c>
      <c r="G48" s="125">
        <f t="shared" si="15"/>
        <v>683.85694109937947</v>
      </c>
      <c r="H48" s="206"/>
      <c r="I48" s="125">
        <f t="shared" si="13"/>
        <v>941.9</v>
      </c>
      <c r="J48" s="507"/>
    </row>
    <row r="49" spans="1:10" x14ac:dyDescent="0.2">
      <c r="A49" s="34" t="s">
        <v>678</v>
      </c>
      <c r="B49" s="670">
        <f>[2]TNcorrected!$U$43</f>
        <v>2625.1</v>
      </c>
      <c r="C49" s="364">
        <f t="shared" si="12"/>
        <v>6.3081832643664898E-3</v>
      </c>
      <c r="D49" s="125">
        <f t="shared" si="2"/>
        <v>2625.1</v>
      </c>
      <c r="E49" s="125">
        <f t="shared" si="16"/>
        <v>2625.1</v>
      </c>
      <c r="F49" s="364">
        <f t="shared" si="14"/>
        <v>8.6830852475619624E-3</v>
      </c>
      <c r="G49" s="125">
        <f t="shared" si="15"/>
        <v>1905.9272280284329</v>
      </c>
      <c r="H49" s="206"/>
      <c r="I49" s="125">
        <f t="shared" si="13"/>
        <v>2625.1</v>
      </c>
      <c r="J49" s="507"/>
    </row>
    <row r="50" spans="1:10" x14ac:dyDescent="0.2">
      <c r="A50" s="34" t="s">
        <v>679</v>
      </c>
      <c r="B50" s="670">
        <f>[2]TNcorrected!$U$45</f>
        <v>1293.4000000000001</v>
      </c>
      <c r="C50" s="364">
        <f t="shared" si="12"/>
        <v>3.1080736863858972E-3</v>
      </c>
      <c r="D50" s="125">
        <f t="shared" si="2"/>
        <v>1293.4000000000001</v>
      </c>
      <c r="E50" s="125">
        <f t="shared" si="16"/>
        <v>1293.4000000000001</v>
      </c>
      <c r="F50" s="364">
        <f t="shared" si="14"/>
        <v>4.2781998625563379E-3</v>
      </c>
      <c r="G50" s="125">
        <f t="shared" si="15"/>
        <v>939.05995075691419</v>
      </c>
      <c r="H50" s="206"/>
      <c r="I50" s="125">
        <f t="shared" si="13"/>
        <v>1293.4000000000001</v>
      </c>
      <c r="J50" s="507"/>
    </row>
    <row r="51" spans="1:10" ht="20.45" customHeight="1" x14ac:dyDescent="0.2">
      <c r="A51" s="494" t="s">
        <v>457</v>
      </c>
      <c r="B51" s="125">
        <f>[1]TNaggregated!$I$29</f>
        <v>648.2302736340589</v>
      </c>
      <c r="C51" s="364">
        <f t="shared" si="12"/>
        <v>1.5577141303546841E-3</v>
      </c>
      <c r="D51" s="125"/>
      <c r="E51" s="125"/>
      <c r="F51" s="206"/>
      <c r="G51" s="125"/>
      <c r="H51" s="206"/>
      <c r="I51" s="125"/>
      <c r="J51" s="507"/>
    </row>
    <row r="52" spans="1:10" x14ac:dyDescent="0.2">
      <c r="A52" s="180" t="s">
        <v>458</v>
      </c>
      <c r="B52" s="125">
        <f>SUM(B53:B54)</f>
        <v>658.70464250561849</v>
      </c>
      <c r="C52" s="364">
        <f t="shared" si="12"/>
        <v>1.5828843099365566E-3</v>
      </c>
      <c r="D52" s="125">
        <f t="shared" si="2"/>
        <v>658.70464250561849</v>
      </c>
      <c r="E52" s="125"/>
      <c r="F52" s="206"/>
      <c r="G52" s="125"/>
      <c r="H52" s="206"/>
      <c r="I52" s="125">
        <f t="shared" ref="I52:I63" si="17">D52</f>
        <v>658.70464250561849</v>
      </c>
      <c r="J52" s="507"/>
    </row>
    <row r="53" spans="1:10" x14ac:dyDescent="0.2">
      <c r="A53" s="30" t="s">
        <v>5</v>
      </c>
      <c r="B53" s="125">
        <f>[1]TNaggregated!$I$31</f>
        <v>27.309958262762997</v>
      </c>
      <c r="C53" s="364">
        <f t="shared" si="12"/>
        <v>6.5626536765726591E-5</v>
      </c>
      <c r="D53" s="125">
        <f t="shared" si="2"/>
        <v>27.309958262762997</v>
      </c>
      <c r="E53" s="125"/>
      <c r="F53" s="206"/>
      <c r="G53" s="125"/>
      <c r="H53" s="206"/>
      <c r="I53" s="125">
        <f t="shared" si="17"/>
        <v>27.309958262762997</v>
      </c>
      <c r="J53" s="507"/>
    </row>
    <row r="54" spans="1:10" x14ac:dyDescent="0.2">
      <c r="A54" s="30" t="s">
        <v>6</v>
      </c>
      <c r="B54" s="125">
        <f>[1]TNaggregated!$I$30</f>
        <v>631.39468424285553</v>
      </c>
      <c r="C54" s="364">
        <f t="shared" si="12"/>
        <v>1.51725777317083E-3</v>
      </c>
      <c r="D54" s="125">
        <f t="shared" si="2"/>
        <v>631.39468424285553</v>
      </c>
      <c r="E54" s="125"/>
      <c r="F54" s="206"/>
      <c r="G54" s="125"/>
      <c r="H54" s="206"/>
      <c r="I54" s="125">
        <f t="shared" si="17"/>
        <v>631.39468424285553</v>
      </c>
      <c r="J54" s="507"/>
    </row>
    <row r="55" spans="1:10" x14ac:dyDescent="0.2">
      <c r="A55" s="181" t="s">
        <v>459</v>
      </c>
      <c r="B55" s="125">
        <f>SUM(B56:B59)</f>
        <v>472.62233320109112</v>
      </c>
      <c r="C55" s="364">
        <f t="shared" si="12"/>
        <v>1.1357237029693977E-3</v>
      </c>
      <c r="D55" s="125">
        <f t="shared" si="2"/>
        <v>472.62233320109112</v>
      </c>
      <c r="E55" s="125">
        <f>D55</f>
        <v>472.62233320109112</v>
      </c>
      <c r="F55" s="364">
        <f t="shared" ref="F55:F63" si="18">E55/(D$139-D$135-D$122-D$123-D$114-D$115-D$106-D$96-D$97-D$81-D$82-D$78-D$66-D$67-D$53-D$54-D$39-D$40-D$27-D$28-D$15-D$16-D$6-D$7)</f>
        <v>1.5633004491587782E-3</v>
      </c>
      <c r="G55" s="125">
        <f t="shared" ref="G55:G63" si="19">F55*D$141</f>
        <v>343.14265110749534</v>
      </c>
      <c r="H55" s="206"/>
      <c r="I55" s="125">
        <f t="shared" si="17"/>
        <v>472.62233320109112</v>
      </c>
      <c r="J55" s="507"/>
    </row>
    <row r="56" spans="1:10" x14ac:dyDescent="0.2">
      <c r="A56" s="612" t="s">
        <v>680</v>
      </c>
      <c r="B56" s="670">
        <f>[2]TNcorrected!$U$55</f>
        <v>272.89999999999998</v>
      </c>
      <c r="C56" s="364">
        <f t="shared" si="12"/>
        <v>6.5578576543583677E-4</v>
      </c>
      <c r="D56" s="125">
        <f t="shared" si="2"/>
        <v>272.89999999999998</v>
      </c>
      <c r="E56" s="125">
        <f>D56</f>
        <v>272.89999999999998</v>
      </c>
      <c r="F56" s="364">
        <f t="shared" si="18"/>
        <v>9.0267569390105492E-4</v>
      </c>
      <c r="G56" s="125">
        <f t="shared" si="19"/>
        <v>198.1362769147687</v>
      </c>
      <c r="H56" s="206"/>
      <c r="I56" s="125">
        <f t="shared" si="17"/>
        <v>272.89999999999998</v>
      </c>
      <c r="J56" s="507"/>
    </row>
    <row r="57" spans="1:10" x14ac:dyDescent="0.2">
      <c r="A57" s="34" t="s">
        <v>434</v>
      </c>
      <c r="B57" s="125">
        <f>[1]TNaggregated!$I$35</f>
        <v>29.360038028469553</v>
      </c>
      <c r="C57" s="364">
        <f t="shared" si="12"/>
        <v>7.0552931519696528E-5</v>
      </c>
      <c r="D57" s="125">
        <f t="shared" si="2"/>
        <v>29.360038028469553</v>
      </c>
      <c r="E57" s="125">
        <f t="shared" ref="E57:E63" si="20">D57</f>
        <v>29.360038028469553</v>
      </c>
      <c r="F57" s="364">
        <f t="shared" si="18"/>
        <v>9.7114667278527361E-5</v>
      </c>
      <c r="G57" s="125">
        <f t="shared" si="19"/>
        <v>21.316557805192318</v>
      </c>
      <c r="H57" s="206"/>
      <c r="I57" s="125">
        <f t="shared" si="17"/>
        <v>29.360038028469553</v>
      </c>
      <c r="J57" s="507"/>
    </row>
    <row r="58" spans="1:10" x14ac:dyDescent="0.2">
      <c r="A58" s="30" t="s">
        <v>8</v>
      </c>
      <c r="B58" s="125">
        <f>[1]TNaggregated!$I$32</f>
        <v>139.46229517262159</v>
      </c>
      <c r="C58" s="364">
        <f t="shared" si="12"/>
        <v>3.3513150600665543E-4</v>
      </c>
      <c r="D58" s="125">
        <f t="shared" si="2"/>
        <v>139.46229517262159</v>
      </c>
      <c r="E58" s="125">
        <f t="shared" si="20"/>
        <v>139.46229517262159</v>
      </c>
      <c r="F58" s="364">
        <f t="shared" si="18"/>
        <v>4.6130166386214717E-4</v>
      </c>
      <c r="G58" s="125">
        <f t="shared" si="19"/>
        <v>101.25518481308819</v>
      </c>
      <c r="H58" s="206"/>
      <c r="I58" s="125">
        <f t="shared" si="17"/>
        <v>139.46229517262159</v>
      </c>
      <c r="J58" s="507"/>
    </row>
    <row r="59" spans="1:10" x14ac:dyDescent="0.2">
      <c r="A59" s="34" t="s">
        <v>435</v>
      </c>
      <c r="B59" s="670">
        <f>[2]TNcorrected!$U$54</f>
        <v>30.9</v>
      </c>
      <c r="C59" s="364">
        <f t="shared" si="12"/>
        <v>7.425350000720908E-5</v>
      </c>
      <c r="D59" s="125">
        <f t="shared" si="2"/>
        <v>30.9</v>
      </c>
      <c r="E59" s="125">
        <f t="shared" si="20"/>
        <v>30.9</v>
      </c>
      <c r="F59" s="364">
        <f t="shared" si="18"/>
        <v>1.0220842411704874E-4</v>
      </c>
      <c r="G59" s="125">
        <f t="shared" si="19"/>
        <v>22.434631574446147</v>
      </c>
      <c r="H59" s="206"/>
      <c r="I59" s="125">
        <f t="shared" si="17"/>
        <v>30.9</v>
      </c>
      <c r="J59" s="507"/>
    </row>
    <row r="60" spans="1:10" x14ac:dyDescent="0.2">
      <c r="A60" s="32" t="s">
        <v>460</v>
      </c>
      <c r="B60" s="125">
        <f>SUM(B61:B63)</f>
        <v>981.19999999999993</v>
      </c>
      <c r="C60" s="364">
        <f t="shared" si="12"/>
        <v>2.357849003465163E-3</v>
      </c>
      <c r="D60" s="125">
        <f t="shared" si="2"/>
        <v>981.19999999999993</v>
      </c>
      <c r="E60" s="125">
        <f t="shared" si="20"/>
        <v>981.19999999999993</v>
      </c>
      <c r="F60" s="364">
        <f t="shared" si="18"/>
        <v>3.2455309302151527E-3</v>
      </c>
      <c r="G60" s="125">
        <f t="shared" si="19"/>
        <v>712.39030747076242</v>
      </c>
      <c r="H60" s="206"/>
      <c r="I60" s="125">
        <f t="shared" si="17"/>
        <v>981.19999999999993</v>
      </c>
      <c r="J60" s="507"/>
    </row>
    <row r="61" spans="1:10" x14ac:dyDescent="0.2">
      <c r="A61" s="34" t="s">
        <v>677</v>
      </c>
      <c r="B61" s="670">
        <f>[2]TNcorrected!$U$58</f>
        <v>231.8</v>
      </c>
      <c r="C61" s="364">
        <f t="shared" si="12"/>
        <v>5.5702140134857817E-4</v>
      </c>
      <c r="D61" s="125">
        <f t="shared" si="2"/>
        <v>231.8</v>
      </c>
      <c r="E61" s="125">
        <f t="shared" si="20"/>
        <v>231.8</v>
      </c>
      <c r="F61" s="364">
        <f t="shared" si="18"/>
        <v>7.6672856667740774E-4</v>
      </c>
      <c r="G61" s="125">
        <f t="shared" si="19"/>
        <v>168.29603880118503</v>
      </c>
      <c r="H61" s="206"/>
      <c r="I61" s="125">
        <f t="shared" si="17"/>
        <v>231.8</v>
      </c>
      <c r="J61" s="507"/>
    </row>
    <row r="62" spans="1:10" x14ac:dyDescent="0.2">
      <c r="A62" s="34" t="s">
        <v>678</v>
      </c>
      <c r="B62" s="670">
        <f>[2]TNcorrected!$U$57</f>
        <v>732.3</v>
      </c>
      <c r="C62" s="364">
        <f t="shared" si="12"/>
        <v>1.7597358593941491E-3</v>
      </c>
      <c r="D62" s="125">
        <f t="shared" si="2"/>
        <v>732.3</v>
      </c>
      <c r="E62" s="125">
        <f t="shared" si="20"/>
        <v>732.3</v>
      </c>
      <c r="F62" s="364">
        <f t="shared" si="18"/>
        <v>2.4222404200943295E-3</v>
      </c>
      <c r="G62" s="125">
        <f t="shared" si="19"/>
        <v>531.67898711867031</v>
      </c>
      <c r="H62" s="206"/>
      <c r="I62" s="125">
        <f t="shared" si="17"/>
        <v>732.3</v>
      </c>
      <c r="J62" s="507"/>
    </row>
    <row r="63" spans="1:10" x14ac:dyDescent="0.2">
      <c r="A63" s="34" t="s">
        <v>679</v>
      </c>
      <c r="B63" s="670">
        <f>[2]TNcorrected!$U$59</f>
        <v>17.100000000000001</v>
      </c>
      <c r="C63" s="364">
        <f t="shared" si="12"/>
        <v>4.1091742722436095E-5</v>
      </c>
      <c r="D63" s="125">
        <f t="shared" si="2"/>
        <v>17.100000000000001</v>
      </c>
      <c r="E63" s="125">
        <f t="shared" si="20"/>
        <v>17.100000000000001</v>
      </c>
      <c r="F63" s="364">
        <f t="shared" si="18"/>
        <v>5.6561943443415326E-5</v>
      </c>
      <c r="G63" s="125">
        <f t="shared" si="19"/>
        <v>12.415281550907093</v>
      </c>
      <c r="H63" s="206"/>
      <c r="I63" s="125">
        <f t="shared" si="17"/>
        <v>17.100000000000001</v>
      </c>
      <c r="J63" s="507"/>
    </row>
    <row r="64" spans="1:10" x14ac:dyDescent="0.2">
      <c r="A64" s="503" t="s">
        <v>461</v>
      </c>
      <c r="B64" s="125">
        <f>[1]TNaggregated!$I$37</f>
        <v>2554.4037099093275</v>
      </c>
      <c r="C64" s="364">
        <f t="shared" si="12"/>
        <v>6.1382982489374483E-3</v>
      </c>
      <c r="D64" s="125"/>
      <c r="E64" s="125"/>
      <c r="F64" s="206"/>
      <c r="G64" s="125"/>
      <c r="H64" s="206"/>
      <c r="I64" s="125"/>
      <c r="J64" s="507"/>
    </row>
    <row r="65" spans="1:10" x14ac:dyDescent="0.2">
      <c r="A65" s="32" t="s">
        <v>462</v>
      </c>
      <c r="B65" s="125">
        <f>SUM(B66:B67)</f>
        <v>2852.7121868459481</v>
      </c>
      <c r="C65" s="364">
        <f t="shared" si="12"/>
        <v>6.8551412422825572E-3</v>
      </c>
      <c r="D65" s="125">
        <f t="shared" si="2"/>
        <v>2852.7121868459481</v>
      </c>
      <c r="E65" s="125"/>
      <c r="F65" s="206"/>
      <c r="G65" s="125"/>
      <c r="H65" s="206"/>
      <c r="I65" s="125">
        <f t="shared" ref="I65:I75" si="21">D65</f>
        <v>2852.7121868459481</v>
      </c>
      <c r="J65" s="507"/>
    </row>
    <row r="66" spans="1:10" x14ac:dyDescent="0.2">
      <c r="A66" s="34" t="s">
        <v>5</v>
      </c>
      <c r="B66" s="125">
        <f>[1]TNaggregated!$I$39</f>
        <v>675.85001420757169</v>
      </c>
      <c r="C66" s="364">
        <f t="shared" si="12"/>
        <v>1.6240850820334685E-3</v>
      </c>
      <c r="D66" s="125">
        <f t="shared" si="2"/>
        <v>675.85001420757169</v>
      </c>
      <c r="E66" s="125"/>
      <c r="F66" s="206"/>
      <c r="G66" s="125"/>
      <c r="H66" s="206"/>
      <c r="I66" s="125">
        <f t="shared" si="21"/>
        <v>675.85001420757169</v>
      </c>
      <c r="J66" s="507"/>
    </row>
    <row r="67" spans="1:10" x14ac:dyDescent="0.2">
      <c r="A67" s="34" t="s">
        <v>6</v>
      </c>
      <c r="B67" s="125">
        <f>[1]TNaggregated!$I$38</f>
        <v>2176.8621726383763</v>
      </c>
      <c r="C67" s="364">
        <f t="shared" si="12"/>
        <v>5.2310561602490887E-3</v>
      </c>
      <c r="D67" s="125">
        <f t="shared" si="2"/>
        <v>2176.8621726383763</v>
      </c>
      <c r="E67" s="125"/>
      <c r="F67" s="206"/>
      <c r="G67" s="125"/>
      <c r="H67" s="206"/>
      <c r="I67" s="125">
        <f t="shared" si="21"/>
        <v>2176.8621726383763</v>
      </c>
      <c r="J67" s="507"/>
    </row>
    <row r="68" spans="1:10" x14ac:dyDescent="0.2">
      <c r="A68" s="32" t="s">
        <v>463</v>
      </c>
      <c r="B68" s="125">
        <f>SUM(B69:B72)</f>
        <v>1228.9888410907192</v>
      </c>
      <c r="C68" s="364">
        <f t="shared" ref="C68:C99" si="22">B68/B$139</f>
        <v>2.9532920039090486E-3</v>
      </c>
      <c r="D68" s="125">
        <f t="shared" si="2"/>
        <v>1228.9888410907192</v>
      </c>
      <c r="E68" s="125">
        <f>D68</f>
        <v>1228.9888410907192</v>
      </c>
      <c r="F68" s="364">
        <f t="shared" ref="F68:F75" si="23">E68/(D$139-D$135-D$122-D$123-D$114-D$115-D$106-D$96-D$97-D$81-D$82-D$78-D$66-D$67-D$53-D$54-D$39-D$40-D$27-D$28-D$15-D$16-D$6-D$7)</f>
        <v>4.0651460422433802E-3</v>
      </c>
      <c r="G68" s="125">
        <f t="shared" ref="G68:G75" si="24">F68*D$141</f>
        <v>892.29488216750258</v>
      </c>
      <c r="H68" s="206"/>
      <c r="I68" s="125">
        <f t="shared" si="21"/>
        <v>1228.9888410907192</v>
      </c>
      <c r="J68" s="507"/>
    </row>
    <row r="69" spans="1:10" x14ac:dyDescent="0.2">
      <c r="A69" s="34" t="s">
        <v>680</v>
      </c>
      <c r="B69" s="670">
        <f>[2]TNcorrected!$U$67</f>
        <v>647.79999999999995</v>
      </c>
      <c r="C69" s="364">
        <f t="shared" si="22"/>
        <v>1.5566801716721695E-3</v>
      </c>
      <c r="D69" s="125">
        <f t="shared" si="2"/>
        <v>647.79999999999995</v>
      </c>
      <c r="E69" s="125">
        <f>D69</f>
        <v>647.79999999999995</v>
      </c>
      <c r="F69" s="364">
        <f t="shared" si="23"/>
        <v>2.142738418868096E-3</v>
      </c>
      <c r="G69" s="125">
        <f t="shared" si="24"/>
        <v>470.32861922091303</v>
      </c>
      <c r="H69" s="206"/>
      <c r="I69" s="125">
        <f t="shared" si="21"/>
        <v>647.79999999999995</v>
      </c>
      <c r="J69" s="507"/>
    </row>
    <row r="70" spans="1:10" x14ac:dyDescent="0.2">
      <c r="A70" s="34" t="s">
        <v>434</v>
      </c>
      <c r="B70" s="125">
        <f>[1]TNaggregated!$I$43</f>
        <v>18.634902889072944</v>
      </c>
      <c r="C70" s="364">
        <f t="shared" si="22"/>
        <v>4.47801541038226E-5</v>
      </c>
      <c r="D70" s="125">
        <f t="shared" si="2"/>
        <v>18.634902889072944</v>
      </c>
      <c r="E70" s="125">
        <f t="shared" ref="E70:E75" si="25">D70</f>
        <v>18.634902889072944</v>
      </c>
      <c r="F70" s="364">
        <f t="shared" si="23"/>
        <v>6.1638966273993025E-5</v>
      </c>
      <c r="G70" s="125">
        <f t="shared" si="24"/>
        <v>13.529682224658046</v>
      </c>
      <c r="H70" s="206"/>
      <c r="I70" s="125">
        <f t="shared" si="21"/>
        <v>18.634902889072944</v>
      </c>
      <c r="J70" s="507"/>
    </row>
    <row r="71" spans="1:10" x14ac:dyDescent="0.2">
      <c r="A71" s="34" t="s">
        <v>8</v>
      </c>
      <c r="B71" s="125">
        <f>[1]TNaggregated!$I$40</f>
        <v>554.15066279858286</v>
      </c>
      <c r="C71" s="364">
        <f t="shared" si="22"/>
        <v>1.331638389777006E-3</v>
      </c>
      <c r="D71" s="125">
        <f t="shared" ref="D71:D133" si="26">B71</f>
        <v>554.15066279858286</v>
      </c>
      <c r="E71" s="125">
        <f t="shared" si="25"/>
        <v>554.15066279858286</v>
      </c>
      <c r="F71" s="364">
        <f t="shared" si="23"/>
        <v>1.8329730086751204E-3</v>
      </c>
      <c r="G71" s="125">
        <f t="shared" si="24"/>
        <v>402.33546785182352</v>
      </c>
      <c r="H71" s="206"/>
      <c r="I71" s="125">
        <f t="shared" si="21"/>
        <v>554.15066279858286</v>
      </c>
      <c r="J71" s="507"/>
    </row>
    <row r="72" spans="1:10" x14ac:dyDescent="0.2">
      <c r="A72" s="34" t="s">
        <v>436</v>
      </c>
      <c r="B72" s="671">
        <f>[1]TNaggregated!$I$42</f>
        <v>8.403275403063704</v>
      </c>
      <c r="C72" s="364">
        <f t="shared" si="22"/>
        <v>2.019328835605083E-5</v>
      </c>
      <c r="D72" s="125">
        <f t="shared" si="26"/>
        <v>8.403275403063704</v>
      </c>
      <c r="E72" s="125">
        <f t="shared" si="25"/>
        <v>8.403275403063704</v>
      </c>
      <c r="F72" s="364">
        <f t="shared" si="23"/>
        <v>2.7795648426171481E-5</v>
      </c>
      <c r="G72" s="125">
        <f t="shared" si="24"/>
        <v>6.1011128701080795</v>
      </c>
      <c r="H72" s="206"/>
      <c r="I72" s="125">
        <f t="shared" si="21"/>
        <v>8.403275403063704</v>
      </c>
      <c r="J72" s="507"/>
    </row>
    <row r="73" spans="1:10" x14ac:dyDescent="0.2">
      <c r="A73" s="32" t="s">
        <v>464</v>
      </c>
      <c r="B73" s="670">
        <f>SUM(B74:B75)</f>
        <v>3677.3</v>
      </c>
      <c r="C73" s="364">
        <f t="shared" si="22"/>
        <v>8.8366471060359209E-3</v>
      </c>
      <c r="D73" s="125">
        <f t="shared" si="26"/>
        <v>3677.3</v>
      </c>
      <c r="E73" s="125">
        <f t="shared" si="25"/>
        <v>3677.3</v>
      </c>
      <c r="F73" s="364">
        <f t="shared" si="23"/>
        <v>1.2163464013126969E-2</v>
      </c>
      <c r="G73" s="125">
        <f t="shared" si="24"/>
        <v>2669.866365330447</v>
      </c>
      <c r="H73" s="206"/>
      <c r="I73" s="125">
        <f t="shared" si="21"/>
        <v>3677.3</v>
      </c>
      <c r="J73" s="507"/>
    </row>
    <row r="74" spans="1:10" x14ac:dyDescent="0.2">
      <c r="A74" s="34" t="s">
        <v>677</v>
      </c>
      <c r="B74" s="670">
        <f>[2]TNcorrected!$U$71</f>
        <v>49.5</v>
      </c>
      <c r="C74" s="364">
        <f t="shared" si="22"/>
        <v>1.1894978156494658E-4</v>
      </c>
      <c r="D74" s="125">
        <f t="shared" si="26"/>
        <v>49.5</v>
      </c>
      <c r="E74" s="125">
        <f t="shared" si="25"/>
        <v>49.5</v>
      </c>
      <c r="F74" s="364">
        <f t="shared" si="23"/>
        <v>1.6373194154672857E-4</v>
      </c>
      <c r="G74" s="125">
        <f t="shared" si="24"/>
        <v>35.938972910520526</v>
      </c>
      <c r="H74" s="206"/>
      <c r="I74" s="125">
        <f t="shared" si="21"/>
        <v>49.5</v>
      </c>
      <c r="J74" s="507"/>
    </row>
    <row r="75" spans="1:10" x14ac:dyDescent="0.2">
      <c r="A75" s="34" t="s">
        <v>678</v>
      </c>
      <c r="B75" s="670">
        <f>[2]TNcorrected!$U$70</f>
        <v>3627.8</v>
      </c>
      <c r="C75" s="364">
        <f t="shared" si="22"/>
        <v>8.7176973244709743E-3</v>
      </c>
      <c r="D75" s="125">
        <f t="shared" si="26"/>
        <v>3627.8</v>
      </c>
      <c r="E75" s="125">
        <f t="shared" si="25"/>
        <v>3627.8</v>
      </c>
      <c r="F75" s="364">
        <f t="shared" si="23"/>
        <v>1.1999732071580241E-2</v>
      </c>
      <c r="G75" s="125">
        <f t="shared" si="24"/>
        <v>2633.9273924199269</v>
      </c>
      <c r="H75" s="206"/>
      <c r="I75" s="125">
        <f t="shared" si="21"/>
        <v>3627.8</v>
      </c>
      <c r="J75" s="507"/>
    </row>
    <row r="76" spans="1:10" x14ac:dyDescent="0.2">
      <c r="A76" s="503" t="s">
        <v>465</v>
      </c>
      <c r="B76" s="125">
        <f>[1]TNaggregated!$I$44</f>
        <v>1601.4709687064051</v>
      </c>
      <c r="C76" s="364">
        <f t="shared" si="22"/>
        <v>3.8483762002066726E-3</v>
      </c>
      <c r="D76" s="125"/>
      <c r="E76" s="125"/>
      <c r="F76" s="206"/>
      <c r="G76" s="125"/>
      <c r="H76" s="206"/>
      <c r="I76" s="125"/>
      <c r="J76" s="507"/>
    </row>
    <row r="77" spans="1:10" x14ac:dyDescent="0.2">
      <c r="A77" s="32" t="s">
        <v>466</v>
      </c>
      <c r="B77" s="125">
        <f>B78</f>
        <v>166.42155222886939</v>
      </c>
      <c r="C77" s="364">
        <f t="shared" si="22"/>
        <v>3.9991529869340127E-4</v>
      </c>
      <c r="D77" s="125">
        <f t="shared" si="26"/>
        <v>166.42155222886939</v>
      </c>
      <c r="E77" s="125"/>
      <c r="F77" s="206"/>
      <c r="G77" s="125"/>
      <c r="H77" s="206"/>
      <c r="I77" s="125">
        <f t="shared" ref="I77:I78" si="27">D77</f>
        <v>166.42155222886939</v>
      </c>
      <c r="J77" s="507"/>
    </row>
    <row r="78" spans="1:10" x14ac:dyDescent="0.2">
      <c r="A78" s="34" t="s">
        <v>6</v>
      </c>
      <c r="B78" s="125">
        <f>[1]TNaggregated!$I$45</f>
        <v>166.42155222886939</v>
      </c>
      <c r="C78" s="364">
        <f t="shared" si="22"/>
        <v>3.9991529869340127E-4</v>
      </c>
      <c r="D78" s="125">
        <f t="shared" si="26"/>
        <v>166.42155222886939</v>
      </c>
      <c r="E78" s="125"/>
      <c r="F78" s="206"/>
      <c r="G78" s="125"/>
      <c r="H78" s="206"/>
      <c r="I78" s="125">
        <f t="shared" si="27"/>
        <v>166.42155222886939</v>
      </c>
      <c r="J78" s="507"/>
    </row>
    <row r="79" spans="1:10" x14ac:dyDescent="0.2">
      <c r="A79" s="503" t="s">
        <v>467</v>
      </c>
      <c r="B79" s="125">
        <f>[1]TNaggregated!$I$47</f>
        <v>2796.1814072344905</v>
      </c>
      <c r="C79" s="364">
        <f t="shared" si="22"/>
        <v>6.7192963152829816E-3</v>
      </c>
      <c r="D79" s="125"/>
      <c r="E79" s="125"/>
      <c r="F79" s="206"/>
      <c r="G79" s="125"/>
      <c r="H79" s="206"/>
      <c r="I79" s="125"/>
      <c r="J79" s="507"/>
    </row>
    <row r="80" spans="1:10" x14ac:dyDescent="0.2">
      <c r="A80" s="32" t="s">
        <v>468</v>
      </c>
      <c r="B80" s="125">
        <f>SUM(B81:B82)</f>
        <v>1442.5927579322097</v>
      </c>
      <c r="C80" s="364">
        <f t="shared" si="22"/>
        <v>3.4665877463274787E-3</v>
      </c>
      <c r="D80" s="125">
        <f t="shared" si="26"/>
        <v>1442.5927579322097</v>
      </c>
      <c r="E80" s="125"/>
      <c r="F80" s="206"/>
      <c r="G80" s="125"/>
      <c r="H80" s="206"/>
      <c r="I80" s="125">
        <f t="shared" ref="I80:I93" si="28">D80</f>
        <v>1442.5927579322097</v>
      </c>
      <c r="J80" s="507"/>
    </row>
    <row r="81" spans="1:10" x14ac:dyDescent="0.2">
      <c r="A81" s="34" t="s">
        <v>5</v>
      </c>
      <c r="B81" s="125">
        <f>[1]TNaggregated!$I$49</f>
        <v>101.23364054697905</v>
      </c>
      <c r="C81" s="364">
        <f t="shared" si="22"/>
        <v>2.4326705919368641E-4</v>
      </c>
      <c r="D81" s="125">
        <f t="shared" si="26"/>
        <v>101.23364054697905</v>
      </c>
      <c r="E81" s="125"/>
      <c r="F81" s="206"/>
      <c r="G81" s="125"/>
      <c r="H81" s="206"/>
      <c r="I81" s="125">
        <f t="shared" si="28"/>
        <v>101.23364054697905</v>
      </c>
      <c r="J81" s="507"/>
    </row>
    <row r="82" spans="1:10" x14ac:dyDescent="0.2">
      <c r="A82" s="34" t="s">
        <v>6</v>
      </c>
      <c r="B82" s="125">
        <f>[1]TNaggregated!$I$48</f>
        <v>1341.3591173852305</v>
      </c>
      <c r="C82" s="364">
        <f t="shared" si="22"/>
        <v>3.2233206871337921E-3</v>
      </c>
      <c r="D82" s="125">
        <f t="shared" si="26"/>
        <v>1341.3591173852305</v>
      </c>
      <c r="E82" s="125"/>
      <c r="F82" s="206"/>
      <c r="G82" s="125"/>
      <c r="H82" s="206"/>
      <c r="I82" s="125">
        <f t="shared" si="28"/>
        <v>1341.3591173852305</v>
      </c>
      <c r="J82" s="507"/>
    </row>
    <row r="83" spans="1:10" x14ac:dyDescent="0.2">
      <c r="A83" s="32" t="s">
        <v>469</v>
      </c>
      <c r="B83" s="125">
        <f>SUM(B84:B89)</f>
        <v>3609.3573023282374</v>
      </c>
      <c r="C83" s="364">
        <f t="shared" si="22"/>
        <v>8.6733790444805791E-3</v>
      </c>
      <c r="D83" s="125">
        <f t="shared" si="26"/>
        <v>3609.3573023282374</v>
      </c>
      <c r="E83" s="125">
        <f>D83</f>
        <v>3609.3573023282374</v>
      </c>
      <c r="F83" s="364">
        <f t="shared" ref="F83:F93" si="29">E83/(D$139-D$135-D$122-D$123-D$114-D$115-D$106-D$96-D$97-D$81-D$82-D$78-D$66-D$67-D$53-D$54-D$39-D$40-D$27-D$28-D$15-D$16-D$6-D$7)</f>
        <v>1.1938728865577068E-2</v>
      </c>
      <c r="G83" s="125">
        <f t="shared" ref="G83:G93" si="30">F83*D$141</f>
        <v>2620.5372588437167</v>
      </c>
      <c r="H83" s="206"/>
      <c r="I83" s="125">
        <f t="shared" si="28"/>
        <v>3609.3573023282374</v>
      </c>
      <c r="J83" s="507"/>
    </row>
    <row r="84" spans="1:10" x14ac:dyDescent="0.2">
      <c r="A84" s="34" t="s">
        <v>680</v>
      </c>
      <c r="B84" s="670">
        <f>[2]TNcorrected!$U$87</f>
        <v>705.8</v>
      </c>
      <c r="C84" s="364">
        <f t="shared" si="22"/>
        <v>1.6960556733038241E-3</v>
      </c>
      <c r="D84" s="125">
        <f t="shared" si="26"/>
        <v>705.8</v>
      </c>
      <c r="E84" s="125">
        <f>D84</f>
        <v>705.8</v>
      </c>
      <c r="F84" s="364">
        <f t="shared" si="29"/>
        <v>2.3345859463369902E-3</v>
      </c>
      <c r="G84" s="125">
        <f t="shared" si="30"/>
        <v>512.43893091404823</v>
      </c>
      <c r="H84" s="206"/>
      <c r="I84" s="125">
        <f t="shared" si="28"/>
        <v>705.8</v>
      </c>
      <c r="J84" s="507"/>
    </row>
    <row r="85" spans="1:10" x14ac:dyDescent="0.2">
      <c r="A85" s="34" t="s">
        <v>434</v>
      </c>
      <c r="B85" s="125">
        <f>[1]TNaggregated!$I$53</f>
        <v>64.427262750961091</v>
      </c>
      <c r="C85" s="364">
        <f t="shared" si="22"/>
        <v>1.5482038042533822E-4</v>
      </c>
      <c r="D85" s="125">
        <f t="shared" si="26"/>
        <v>64.427262750961091</v>
      </c>
      <c r="E85" s="125">
        <f t="shared" ref="E85:E93" si="31">D85</f>
        <v>64.427262750961091</v>
      </c>
      <c r="F85" s="364">
        <f t="shared" si="29"/>
        <v>2.1310708724759766E-4</v>
      </c>
      <c r="G85" s="125">
        <f t="shared" si="30"/>
        <v>46.776760620318768</v>
      </c>
      <c r="H85" s="206"/>
      <c r="I85" s="125">
        <f t="shared" si="28"/>
        <v>64.427262750961091</v>
      </c>
      <c r="J85" s="507"/>
    </row>
    <row r="86" spans="1:10" x14ac:dyDescent="0.2">
      <c r="A86" s="34" t="s">
        <v>8</v>
      </c>
      <c r="B86" s="125">
        <f>[1]TNaggregated!$I$50</f>
        <v>475.41703527926427</v>
      </c>
      <c r="C86" s="364">
        <f t="shared" si="22"/>
        <v>1.1424394444186463E-3</v>
      </c>
      <c r="D86" s="125">
        <f t="shared" si="26"/>
        <v>475.41703527926427</v>
      </c>
      <c r="E86" s="125">
        <f t="shared" si="31"/>
        <v>475.41703527926427</v>
      </c>
      <c r="F86" s="364">
        <f t="shared" si="29"/>
        <v>1.5725445299123936E-3</v>
      </c>
      <c r="G86" s="125">
        <f t="shared" si="30"/>
        <v>345.17171620406987</v>
      </c>
      <c r="H86" s="206"/>
      <c r="I86" s="125">
        <f t="shared" si="28"/>
        <v>475.41703527926427</v>
      </c>
      <c r="J86" s="507"/>
    </row>
    <row r="87" spans="1:10" x14ac:dyDescent="0.2">
      <c r="A87" s="34" t="s">
        <v>435</v>
      </c>
      <c r="B87" s="670">
        <f>[2]TNcorrected!$U$86</f>
        <v>1615.7</v>
      </c>
      <c r="C87" s="364">
        <f t="shared" si="22"/>
        <v>3.8825689307976606E-3</v>
      </c>
      <c r="D87" s="125">
        <f t="shared" si="26"/>
        <v>1615.7</v>
      </c>
      <c r="E87" s="125">
        <f t="shared" si="31"/>
        <v>1615.7</v>
      </c>
      <c r="F87" s="364">
        <f t="shared" si="29"/>
        <v>5.3442767264050371E-3</v>
      </c>
      <c r="G87" s="125">
        <f t="shared" si="30"/>
        <v>1173.0625965965255</v>
      </c>
      <c r="H87" s="206"/>
      <c r="I87" s="125">
        <f t="shared" si="28"/>
        <v>1615.7</v>
      </c>
      <c r="J87" s="507"/>
    </row>
    <row r="88" spans="1:10" x14ac:dyDescent="0.2">
      <c r="A88" s="34" t="s">
        <v>437</v>
      </c>
      <c r="B88" s="125">
        <f>[1]TNaggregated!$I$54</f>
        <v>565.39036652844027</v>
      </c>
      <c r="C88" s="364">
        <f t="shared" si="22"/>
        <v>1.3586476888380414E-3</v>
      </c>
      <c r="D88" s="125">
        <f t="shared" si="26"/>
        <v>565.39036652844027</v>
      </c>
      <c r="E88" s="125">
        <f t="shared" si="31"/>
        <v>565.39036652844027</v>
      </c>
      <c r="F88" s="364">
        <f t="shared" si="29"/>
        <v>1.8701507564347075E-3</v>
      </c>
      <c r="G88" s="125">
        <f t="shared" si="30"/>
        <v>410.4959407380785</v>
      </c>
      <c r="H88" s="206"/>
      <c r="I88" s="125">
        <f t="shared" si="28"/>
        <v>565.39036652844027</v>
      </c>
      <c r="J88" s="507"/>
    </row>
    <row r="89" spans="1:10" x14ac:dyDescent="0.2">
      <c r="A89" s="34" t="s">
        <v>438</v>
      </c>
      <c r="B89" s="125">
        <f>[1]TNaggregated!$I$55</f>
        <v>182.62263776957207</v>
      </c>
      <c r="C89" s="364">
        <f t="shared" si="22"/>
        <v>4.3884692669706989E-4</v>
      </c>
      <c r="D89" s="125">
        <f t="shared" si="26"/>
        <v>182.62263776957207</v>
      </c>
      <c r="E89" s="125">
        <f t="shared" si="31"/>
        <v>182.62263776957207</v>
      </c>
      <c r="F89" s="364">
        <f t="shared" si="29"/>
        <v>6.0406381924034262E-4</v>
      </c>
      <c r="G89" s="125">
        <f t="shared" si="30"/>
        <v>132.59131377067584</v>
      </c>
      <c r="H89" s="206"/>
      <c r="I89" s="125">
        <f t="shared" si="28"/>
        <v>182.62263776957207</v>
      </c>
      <c r="J89" s="507"/>
    </row>
    <row r="90" spans="1:10" x14ac:dyDescent="0.2">
      <c r="A90" s="180" t="s">
        <v>470</v>
      </c>
      <c r="B90" s="125">
        <f>SUM(B91:B93)</f>
        <v>1664</v>
      </c>
      <c r="C90" s="364">
        <f t="shared" si="22"/>
        <v>3.9986350812943657E-3</v>
      </c>
      <c r="D90" s="125">
        <f t="shared" si="26"/>
        <v>1664</v>
      </c>
      <c r="E90" s="125">
        <f t="shared" si="31"/>
        <v>1664</v>
      </c>
      <c r="F90" s="364">
        <f t="shared" si="29"/>
        <v>5.5040394087627542E-3</v>
      </c>
      <c r="G90" s="125">
        <f t="shared" si="30"/>
        <v>1208.1303216789122</v>
      </c>
      <c r="H90" s="206"/>
      <c r="I90" s="125">
        <f t="shared" si="28"/>
        <v>1664</v>
      </c>
      <c r="J90" s="507"/>
    </row>
    <row r="91" spans="1:10" x14ac:dyDescent="0.2">
      <c r="A91" s="610" t="s">
        <v>677</v>
      </c>
      <c r="B91" s="125">
        <f>[2]TNcorrected!$U$90</f>
        <v>1171.5</v>
      </c>
      <c r="C91" s="364">
        <f t="shared" si="22"/>
        <v>2.8151448303704025E-3</v>
      </c>
      <c r="D91" s="125">
        <f t="shared" si="26"/>
        <v>1171.5</v>
      </c>
      <c r="E91" s="125">
        <f t="shared" si="31"/>
        <v>1171.5</v>
      </c>
      <c r="F91" s="364">
        <f t="shared" si="29"/>
        <v>3.8749892832725761E-3</v>
      </c>
      <c r="G91" s="125">
        <f t="shared" si="30"/>
        <v>850.55569221565247</v>
      </c>
      <c r="H91" s="206"/>
      <c r="I91" s="125">
        <f t="shared" si="28"/>
        <v>1171.5</v>
      </c>
      <c r="J91" s="507"/>
    </row>
    <row r="92" spans="1:10" x14ac:dyDescent="0.2">
      <c r="A92" s="610" t="s">
        <v>678</v>
      </c>
      <c r="B92" s="125">
        <f>[2]TNcorrected!$U$89</f>
        <v>492</v>
      </c>
      <c r="C92" s="364">
        <f t="shared" si="22"/>
        <v>1.182288737978863E-3</v>
      </c>
      <c r="D92" s="125">
        <f t="shared" si="26"/>
        <v>492</v>
      </c>
      <c r="E92" s="125">
        <f t="shared" si="31"/>
        <v>492</v>
      </c>
      <c r="F92" s="364">
        <f t="shared" si="29"/>
        <v>1.6273962674947565E-3</v>
      </c>
      <c r="G92" s="125">
        <f t="shared" si="30"/>
        <v>357.21160953487066</v>
      </c>
      <c r="H92" s="206"/>
      <c r="I92" s="125">
        <f t="shared" si="28"/>
        <v>492</v>
      </c>
      <c r="J92" s="507"/>
    </row>
    <row r="93" spans="1:10" x14ac:dyDescent="0.2">
      <c r="A93" s="610" t="s">
        <v>679</v>
      </c>
      <c r="B93" s="125">
        <f>[2]TNcorrected!$U$91</f>
        <v>0.5</v>
      </c>
      <c r="C93" s="364">
        <f t="shared" si="22"/>
        <v>1.2015129451004705E-6</v>
      </c>
      <c r="D93" s="125">
        <f t="shared" si="26"/>
        <v>0.5</v>
      </c>
      <c r="E93" s="125">
        <f t="shared" si="31"/>
        <v>0.5</v>
      </c>
      <c r="F93" s="364">
        <f t="shared" si="29"/>
        <v>1.6538579954215007E-6</v>
      </c>
      <c r="G93" s="125">
        <f t="shared" si="30"/>
        <v>0.36301992838909625</v>
      </c>
      <c r="H93" s="206"/>
      <c r="I93" s="125">
        <f t="shared" si="28"/>
        <v>0.5</v>
      </c>
      <c r="J93" s="507"/>
    </row>
    <row r="94" spans="1:10" x14ac:dyDescent="0.2">
      <c r="A94" s="504" t="s">
        <v>471</v>
      </c>
      <c r="B94" s="125">
        <f>[1]TNaggregated!$I$57</f>
        <v>556.72730360942091</v>
      </c>
      <c r="C94" s="364">
        <f t="shared" si="22"/>
        <v>1.3378301243551982E-3</v>
      </c>
      <c r="D94" s="125"/>
      <c r="E94" s="125"/>
      <c r="F94" s="608"/>
      <c r="G94" s="125"/>
      <c r="H94" s="206"/>
      <c r="I94" s="125"/>
      <c r="J94" s="507"/>
    </row>
    <row r="95" spans="1:10" x14ac:dyDescent="0.2">
      <c r="A95" s="180" t="s">
        <v>472</v>
      </c>
      <c r="B95" s="125">
        <f>SUM(B96:B97)</f>
        <v>621.36288600811008</v>
      </c>
      <c r="C95" s="364">
        <f t="shared" si="22"/>
        <v>1.4931511022874646E-3</v>
      </c>
      <c r="D95" s="125">
        <f t="shared" si="26"/>
        <v>621.36288600811008</v>
      </c>
      <c r="E95" s="125"/>
      <c r="F95" s="608"/>
      <c r="G95" s="125"/>
      <c r="H95" s="206"/>
      <c r="I95" s="125">
        <f t="shared" ref="I95:I103" si="32">D95</f>
        <v>621.36288600811008</v>
      </c>
      <c r="J95" s="507"/>
    </row>
    <row r="96" spans="1:10" x14ac:dyDescent="0.2">
      <c r="A96" s="30" t="s">
        <v>5</v>
      </c>
      <c r="B96" s="125">
        <f>[1]TNaggregated!$I$59</f>
        <v>10.478090360300886</v>
      </c>
      <c r="C96" s="364">
        <f t="shared" si="22"/>
        <v>2.5179122415667935E-5</v>
      </c>
      <c r="D96" s="125">
        <f t="shared" si="26"/>
        <v>10.478090360300886</v>
      </c>
      <c r="E96" s="125"/>
      <c r="F96" s="206"/>
      <c r="G96" s="125"/>
      <c r="H96" s="206"/>
      <c r="I96" s="125">
        <f t="shared" si="32"/>
        <v>10.478090360300886</v>
      </c>
      <c r="J96" s="507"/>
    </row>
    <row r="97" spans="1:10" x14ac:dyDescent="0.2">
      <c r="A97" s="30" t="s">
        <v>6</v>
      </c>
      <c r="B97" s="125">
        <f>[1]TNaggregated!$I$58</f>
        <v>610.88479564780914</v>
      </c>
      <c r="C97" s="364">
        <f t="shared" si="22"/>
        <v>1.4679719798717965E-3</v>
      </c>
      <c r="D97" s="125">
        <f t="shared" si="26"/>
        <v>610.88479564780914</v>
      </c>
      <c r="E97" s="125"/>
      <c r="F97" s="206"/>
      <c r="G97" s="125"/>
      <c r="H97" s="206"/>
      <c r="I97" s="125">
        <f t="shared" si="32"/>
        <v>610.88479564780914</v>
      </c>
      <c r="J97" s="507"/>
    </row>
    <row r="98" spans="1:10" x14ac:dyDescent="0.2">
      <c r="A98" s="181" t="s">
        <v>473</v>
      </c>
      <c r="B98" s="125">
        <f>SUM(B99:B100)</f>
        <v>1428.4333443866917</v>
      </c>
      <c r="C98" s="364">
        <f t="shared" si="22"/>
        <v>3.4325623089875371E-3</v>
      </c>
      <c r="D98" s="125">
        <f t="shared" si="26"/>
        <v>1428.4333443866917</v>
      </c>
      <c r="E98" s="125">
        <f>D98</f>
        <v>1428.4333443866917</v>
      </c>
      <c r="F98" s="364">
        <f t="shared" ref="F98:F103" si="33">E98/(D$139-D$135-D$122-D$123-D$114-D$115-D$106-D$96-D$97-D$81-D$82-D$78-D$66-D$67-D$53-D$54-D$39-D$40-D$27-D$28-D$15-D$16-D$6-D$7)</f>
        <v>4.7248518150812078E-3</v>
      </c>
      <c r="G98" s="125">
        <f t="shared" ref="G98:G103" si="34">F98*D$141</f>
        <v>1037.099540775708</v>
      </c>
      <c r="H98" s="206"/>
      <c r="I98" s="125">
        <f t="shared" si="32"/>
        <v>1428.4333443866917</v>
      </c>
      <c r="J98" s="507"/>
    </row>
    <row r="99" spans="1:10" x14ac:dyDescent="0.2">
      <c r="A99" s="30" t="s">
        <v>8</v>
      </c>
      <c r="B99" s="125">
        <f>[1]TNaggregated!$I$60</f>
        <v>1159.2372288728623</v>
      </c>
      <c r="C99" s="364">
        <f t="shared" si="22"/>
        <v>2.7856770738662819E-3</v>
      </c>
      <c r="D99" s="125">
        <f t="shared" si="26"/>
        <v>1159.2372288728623</v>
      </c>
      <c r="E99" s="125">
        <f t="shared" ref="E99:E101" si="35">D99</f>
        <v>1159.2372288728623</v>
      </c>
      <c r="F99" s="364">
        <f t="shared" si="33"/>
        <v>3.8344275191232948E-3</v>
      </c>
      <c r="G99" s="125">
        <f t="shared" si="34"/>
        <v>841.65243162280171</v>
      </c>
      <c r="H99" s="206"/>
      <c r="I99" s="125">
        <f t="shared" si="32"/>
        <v>1159.2372288728623</v>
      </c>
      <c r="J99" s="507"/>
    </row>
    <row r="100" spans="1:10" x14ac:dyDescent="0.2">
      <c r="A100" s="34" t="s">
        <v>680</v>
      </c>
      <c r="B100" s="125">
        <f>[1]TNaggregated!$I$61</f>
        <v>269.19611551382951</v>
      </c>
      <c r="C100" s="364">
        <f t="shared" ref="C100:C131" si="36">B100/B$139</f>
        <v>6.4688523512125551E-4</v>
      </c>
      <c r="D100" s="125">
        <f t="shared" si="26"/>
        <v>269.19611551382951</v>
      </c>
      <c r="E100" s="125">
        <f t="shared" si="35"/>
        <v>269.19611551382951</v>
      </c>
      <c r="F100" s="364">
        <f t="shared" si="33"/>
        <v>8.9042429595791357E-4</v>
      </c>
      <c r="G100" s="125">
        <f t="shared" si="34"/>
        <v>195.44710915290653</v>
      </c>
      <c r="H100" s="206"/>
      <c r="I100" s="125">
        <f t="shared" si="32"/>
        <v>269.19611551382951</v>
      </c>
      <c r="J100" s="507"/>
    </row>
    <row r="101" spans="1:10" x14ac:dyDescent="0.2">
      <c r="A101" s="32" t="s">
        <v>474</v>
      </c>
      <c r="B101" s="125">
        <f>SUM(B102:B103)</f>
        <v>517.1</v>
      </c>
      <c r="C101" s="364">
        <f t="shared" si="36"/>
        <v>1.2426046878229067E-3</v>
      </c>
      <c r="D101" s="125">
        <f t="shared" si="26"/>
        <v>517.1</v>
      </c>
      <c r="E101" s="125">
        <f t="shared" si="35"/>
        <v>517.1</v>
      </c>
      <c r="F101" s="364">
        <f t="shared" si="33"/>
        <v>1.7104199388649161E-3</v>
      </c>
      <c r="G101" s="125">
        <f t="shared" si="34"/>
        <v>375.43520994000335</v>
      </c>
      <c r="H101" s="206"/>
      <c r="I101" s="125">
        <f t="shared" si="32"/>
        <v>517.1</v>
      </c>
      <c r="J101" s="507"/>
    </row>
    <row r="102" spans="1:10" x14ac:dyDescent="0.2">
      <c r="A102" s="170" t="s">
        <v>677</v>
      </c>
      <c r="B102" s="125">
        <f>[2]TNcorrected!$U$101</f>
        <v>23.4</v>
      </c>
      <c r="C102" s="364">
        <f t="shared" si="36"/>
        <v>5.6230805830702014E-5</v>
      </c>
      <c r="D102" s="125">
        <f t="shared" si="26"/>
        <v>23.4</v>
      </c>
      <c r="E102" s="125">
        <f>D102</f>
        <v>23.4</v>
      </c>
      <c r="F102" s="364">
        <f t="shared" si="33"/>
        <v>7.7400554185726224E-5</v>
      </c>
      <c r="G102" s="125">
        <f t="shared" si="34"/>
        <v>16.989332648609704</v>
      </c>
      <c r="H102" s="206"/>
      <c r="I102" s="125">
        <f t="shared" si="32"/>
        <v>23.4</v>
      </c>
      <c r="J102" s="609"/>
    </row>
    <row r="103" spans="1:10" x14ac:dyDescent="0.2">
      <c r="A103" s="170" t="s">
        <v>678</v>
      </c>
      <c r="B103" s="125">
        <f>[2]TNcorrected!$U$100</f>
        <v>493.7</v>
      </c>
      <c r="C103" s="364">
        <f t="shared" si="36"/>
        <v>1.1863738819922046E-3</v>
      </c>
      <c r="D103" s="125">
        <f t="shared" si="26"/>
        <v>493.7</v>
      </c>
      <c r="E103" s="125">
        <f>D103</f>
        <v>493.7</v>
      </c>
      <c r="F103" s="364">
        <f t="shared" si="33"/>
        <v>1.6330193846791896E-3</v>
      </c>
      <c r="G103" s="125">
        <f t="shared" si="34"/>
        <v>358.44587729139357</v>
      </c>
      <c r="H103" s="206"/>
      <c r="I103" s="125">
        <f t="shared" si="32"/>
        <v>493.7</v>
      </c>
      <c r="J103" s="609"/>
    </row>
    <row r="104" spans="1:10" x14ac:dyDescent="0.2">
      <c r="A104" s="505" t="s">
        <v>475</v>
      </c>
      <c r="B104" s="125">
        <f>[1]TNaggregated!$I$63</f>
        <v>617.02700817302173</v>
      </c>
      <c r="C104" s="364">
        <f t="shared" si="36"/>
        <v>1.4827318755929989E-3</v>
      </c>
      <c r="D104" s="125"/>
      <c r="E104" s="125"/>
      <c r="F104" s="206"/>
      <c r="G104" s="125"/>
      <c r="H104" s="206"/>
      <c r="I104" s="125"/>
      <c r="J104" s="373"/>
    </row>
    <row r="105" spans="1:10" x14ac:dyDescent="0.2">
      <c r="A105" s="27" t="s">
        <v>476</v>
      </c>
      <c r="B105" s="125">
        <f>B106</f>
        <v>626.76825994575779</v>
      </c>
      <c r="C105" s="364">
        <f t="shared" si="36"/>
        <v>1.5061403558058494E-3</v>
      </c>
      <c r="D105" s="125">
        <f t="shared" si="26"/>
        <v>626.76825994575779</v>
      </c>
      <c r="E105" s="125"/>
      <c r="F105" s="206"/>
      <c r="G105" s="125"/>
      <c r="H105" s="206"/>
      <c r="I105" s="125">
        <f t="shared" ref="I105:I111" si="37">D105</f>
        <v>626.76825994575779</v>
      </c>
      <c r="J105" s="507"/>
    </row>
    <row r="106" spans="1:10" x14ac:dyDescent="0.2">
      <c r="A106" s="29" t="s">
        <v>6</v>
      </c>
      <c r="B106" s="125">
        <f>[1]TNaggregated!$I$64</f>
        <v>626.76825994575779</v>
      </c>
      <c r="C106" s="364">
        <f t="shared" si="36"/>
        <v>1.5061403558058494E-3</v>
      </c>
      <c r="D106" s="125">
        <f t="shared" si="26"/>
        <v>626.76825994575779</v>
      </c>
      <c r="E106" s="125"/>
      <c r="F106" s="206"/>
      <c r="G106" s="125"/>
      <c r="H106" s="206"/>
      <c r="I106" s="125">
        <f t="shared" si="37"/>
        <v>626.76825994575779</v>
      </c>
      <c r="J106" s="507"/>
    </row>
    <row r="107" spans="1:10" x14ac:dyDescent="0.2">
      <c r="A107" s="27" t="s">
        <v>477</v>
      </c>
      <c r="B107" s="125">
        <f>SUM(B108:B109)</f>
        <v>272.79826089815896</v>
      </c>
      <c r="C107" s="364">
        <f t="shared" si="36"/>
        <v>6.5554128374006697E-4</v>
      </c>
      <c r="D107" s="125">
        <f t="shared" si="26"/>
        <v>272.79826089815896</v>
      </c>
      <c r="E107" s="125">
        <f>D107</f>
        <v>272.79826089815896</v>
      </c>
      <c r="F107" s="364">
        <f>E107/(D$139-D$135-D$122-D$123-D$114-D$115-D$106-D$96-D$97-D$81-D$82-D$78-D$66-D$67-D$53-D$54-D$39-D$40-D$27-D$28-D$15-D$16-D$6-D$7)</f>
        <v>9.0233916984700142E-4</v>
      </c>
      <c r="G107" s="125">
        <f>F107*D$141</f>
        <v>198.0624102718393</v>
      </c>
      <c r="H107" s="206"/>
      <c r="I107" s="125">
        <f t="shared" si="37"/>
        <v>272.79826089815896</v>
      </c>
      <c r="J107" s="507"/>
    </row>
    <row r="108" spans="1:10" x14ac:dyDescent="0.2">
      <c r="A108" s="29" t="s">
        <v>8</v>
      </c>
      <c r="B108" s="125">
        <f>[1]TNaggregated!$I$66</f>
        <v>57.777638691406104</v>
      </c>
      <c r="C108" s="364">
        <f t="shared" si="36"/>
        <v>1.3884116165012447E-4</v>
      </c>
      <c r="D108" s="125">
        <f t="shared" si="26"/>
        <v>57.777638691406104</v>
      </c>
      <c r="E108" s="125">
        <f t="shared" ref="E108:E110" si="38">D108</f>
        <v>57.777638691406104</v>
      </c>
      <c r="F108" s="364">
        <f>E108/(D$139-D$135-D$122-D$123-D$114-D$115-D$106-D$96-D$97-D$81-D$82-D$78-D$66-D$67-D$53-D$54-D$39-D$40-D$27-D$28-D$15-D$16-D$6-D$7)</f>
        <v>1.9111201941271325E-4</v>
      </c>
      <c r="G108" s="125">
        <f>F108*D$141</f>
        <v>41.948868520490635</v>
      </c>
      <c r="H108" s="206"/>
      <c r="I108" s="125">
        <f t="shared" si="37"/>
        <v>57.777638691406104</v>
      </c>
      <c r="J108" s="507"/>
    </row>
    <row r="109" spans="1:10" x14ac:dyDescent="0.2">
      <c r="A109" s="29" t="s">
        <v>680</v>
      </c>
      <c r="B109" s="125">
        <f>[1]TNaggregated!$I$67</f>
        <v>215.02062220675288</v>
      </c>
      <c r="C109" s="364">
        <f t="shared" si="36"/>
        <v>5.1670012208994258E-4</v>
      </c>
      <c r="D109" s="125">
        <f t="shared" si="26"/>
        <v>215.02062220675288</v>
      </c>
      <c r="E109" s="125">
        <f t="shared" si="38"/>
        <v>215.02062220675288</v>
      </c>
      <c r="F109" s="364">
        <f>E109/(D$139-D$135-D$122-D$123-D$114-D$115-D$106-D$96-D$97-D$81-D$82-D$78-D$66-D$67-D$53-D$54-D$39-D$40-D$27-D$28-D$15-D$16-D$6-D$7)</f>
        <v>7.1122715043428822E-4</v>
      </c>
      <c r="G109" s="125">
        <f>F109*D$141</f>
        <v>156.11354175134869</v>
      </c>
      <c r="H109" s="206"/>
      <c r="I109" s="125">
        <f t="shared" si="37"/>
        <v>215.02062220675288</v>
      </c>
      <c r="J109" s="507"/>
    </row>
    <row r="110" spans="1:10" x14ac:dyDescent="0.2">
      <c r="A110" s="27" t="s">
        <v>478</v>
      </c>
      <c r="B110" s="125">
        <f>B111</f>
        <v>384.1</v>
      </c>
      <c r="C110" s="364">
        <f t="shared" si="36"/>
        <v>9.2300224442618147E-4</v>
      </c>
      <c r="D110" s="125">
        <f t="shared" si="26"/>
        <v>384.1</v>
      </c>
      <c r="E110" s="125">
        <f t="shared" si="38"/>
        <v>384.1</v>
      </c>
      <c r="F110" s="364">
        <f>E110/(D$139-D$135-D$122-D$123-D$114-D$115-D$106-D$96-D$97-D$81-D$82-D$78-D$66-D$67-D$53-D$54-D$39-D$40-D$27-D$28-D$15-D$16-D$6-D$7)</f>
        <v>1.270493712082797E-3</v>
      </c>
      <c r="G110" s="125">
        <f>F110*D$141</f>
        <v>278.87190898850378</v>
      </c>
      <c r="H110" s="206"/>
      <c r="I110" s="125">
        <f t="shared" si="37"/>
        <v>384.1</v>
      </c>
      <c r="J110" s="507"/>
    </row>
    <row r="111" spans="1:10" x14ac:dyDescent="0.2">
      <c r="A111" s="29" t="s">
        <v>678</v>
      </c>
      <c r="B111" s="670">
        <f>[2]TNcorrected!$U$110</f>
        <v>384.1</v>
      </c>
      <c r="C111" s="364">
        <f t="shared" si="36"/>
        <v>9.2300224442618147E-4</v>
      </c>
      <c r="D111" s="125">
        <f t="shared" si="26"/>
        <v>384.1</v>
      </c>
      <c r="E111" s="125">
        <f>D111</f>
        <v>384.1</v>
      </c>
      <c r="F111" s="364">
        <f>E111/(D$139-D$135-D$122-D$123-D$114-D$115-D$106-D$96-D$97-D$81-D$82-D$78-D$66-D$67-D$53-D$54-D$39-D$40-D$27-D$28-D$15-D$16-D$6-D$7)</f>
        <v>1.270493712082797E-3</v>
      </c>
      <c r="G111" s="125">
        <f>F111*D$141</f>
        <v>278.87190898850378</v>
      </c>
      <c r="H111" s="206"/>
      <c r="I111" s="125">
        <f t="shared" si="37"/>
        <v>384.1</v>
      </c>
      <c r="J111" s="507"/>
    </row>
    <row r="112" spans="1:10" x14ac:dyDescent="0.2">
      <c r="A112" s="506" t="s">
        <v>479</v>
      </c>
      <c r="B112" s="125">
        <f>[1]TNaggregated!$I$69</f>
        <v>1204.7730765541835</v>
      </c>
      <c r="C112" s="364">
        <f t="shared" si="36"/>
        <v>2.8951008947767434E-3</v>
      </c>
      <c r="D112" s="125"/>
      <c r="E112" s="125"/>
      <c r="F112" s="206"/>
      <c r="G112" s="125"/>
      <c r="H112" s="206"/>
      <c r="I112" s="125"/>
      <c r="J112" s="507"/>
    </row>
    <row r="113" spans="1:10" x14ac:dyDescent="0.2">
      <c r="A113" s="27" t="s">
        <v>480</v>
      </c>
      <c r="B113" s="125">
        <f>SUM(B114:B115)</f>
        <v>842.79708250284773</v>
      </c>
      <c r="C113" s="364">
        <f t="shared" si="36"/>
        <v>2.0252632094401616E-3</v>
      </c>
      <c r="D113" s="125">
        <f t="shared" si="26"/>
        <v>842.79708250284773</v>
      </c>
      <c r="E113" s="125"/>
      <c r="F113" s="206"/>
      <c r="G113" s="125"/>
      <c r="H113" s="206"/>
      <c r="I113" s="125">
        <f t="shared" ref="I113:I119" si="39">D113</f>
        <v>842.79708250284773</v>
      </c>
      <c r="J113" s="507"/>
    </row>
    <row r="114" spans="1:10" x14ac:dyDescent="0.2">
      <c r="A114" s="29" t="s">
        <v>5</v>
      </c>
      <c r="B114" s="125">
        <f>[1]TNaggregated!$I$71</f>
        <v>29.786448069558386</v>
      </c>
      <c r="C114" s="364">
        <f t="shared" si="36"/>
        <v>7.1577605888274647E-5</v>
      </c>
      <c r="D114" s="125">
        <f t="shared" si="26"/>
        <v>29.786448069558386</v>
      </c>
      <c r="E114" s="125"/>
      <c r="F114" s="206"/>
      <c r="G114" s="125"/>
      <c r="H114" s="206"/>
      <c r="I114" s="125">
        <f t="shared" si="39"/>
        <v>29.786448069558386</v>
      </c>
      <c r="J114" s="507"/>
    </row>
    <row r="115" spans="1:10" x14ac:dyDescent="0.2">
      <c r="A115" s="29" t="s">
        <v>6</v>
      </c>
      <c r="B115" s="125">
        <f>[1]TNaggregated!$I$70</f>
        <v>813.0106344332894</v>
      </c>
      <c r="C115" s="364">
        <f t="shared" si="36"/>
        <v>1.953685603551887E-3</v>
      </c>
      <c r="D115" s="125">
        <f t="shared" si="26"/>
        <v>813.0106344332894</v>
      </c>
      <c r="E115" s="125"/>
      <c r="F115" s="206"/>
      <c r="G115" s="125"/>
      <c r="H115" s="206"/>
      <c r="I115" s="125">
        <f t="shared" si="39"/>
        <v>813.0106344332894</v>
      </c>
      <c r="J115" s="507"/>
    </row>
    <row r="116" spans="1:10" x14ac:dyDescent="0.2">
      <c r="A116" s="27" t="s">
        <v>481</v>
      </c>
      <c r="B116" s="125">
        <f>B117</f>
        <v>3.0098782781589253</v>
      </c>
      <c r="C116" s="364">
        <f t="shared" si="36"/>
        <v>7.2328154287693271E-6</v>
      </c>
      <c r="D116" s="125">
        <f t="shared" si="26"/>
        <v>3.0098782781589253</v>
      </c>
      <c r="E116" s="125">
        <f>D116</f>
        <v>3.0098782781589253</v>
      </c>
      <c r="F116" s="364">
        <f>E116/(D$139-D$135-D$122-D$123-D$114-D$115-D$106-D$96-D$97-D$81-D$82-D$78-D$66-D$67-D$53-D$54-D$39-D$40-D$27-D$28-D$15-D$16-D$6-D$7)</f>
        <v>9.9558225111572759E-6</v>
      </c>
      <c r="G116" s="125">
        <f>F116*D$141</f>
        <v>2.1852915939942985</v>
      </c>
      <c r="H116" s="206"/>
      <c r="I116" s="125">
        <f t="shared" si="39"/>
        <v>3.0098782781589253</v>
      </c>
      <c r="J116" s="507"/>
    </row>
    <row r="117" spans="1:10" x14ac:dyDescent="0.2">
      <c r="A117" s="29" t="s">
        <v>8</v>
      </c>
      <c r="B117" s="125">
        <f>[1]TNaggregated!$I$72</f>
        <v>3.0098782781589253</v>
      </c>
      <c r="C117" s="364">
        <f t="shared" si="36"/>
        <v>7.2328154287693271E-6</v>
      </c>
      <c r="D117" s="125">
        <f t="shared" si="26"/>
        <v>3.0098782781589253</v>
      </c>
      <c r="E117" s="125">
        <f t="shared" ref="E117:E118" si="40">D117</f>
        <v>3.0098782781589253</v>
      </c>
      <c r="F117" s="364">
        <f>E117/(D$139-D$135-D$122-D$123-D$114-D$115-D$106-D$96-D$97-D$81-D$82-D$78-D$66-D$67-D$53-D$54-D$39-D$40-D$27-D$28-D$15-D$16-D$6-D$7)</f>
        <v>9.9558225111572759E-6</v>
      </c>
      <c r="G117" s="125">
        <f>F117*D$141</f>
        <v>2.1852915939942985</v>
      </c>
      <c r="H117" s="206"/>
      <c r="I117" s="125">
        <f t="shared" si="39"/>
        <v>3.0098782781589253</v>
      </c>
      <c r="J117" s="507"/>
    </row>
    <row r="118" spans="1:10" x14ac:dyDescent="0.2">
      <c r="A118" s="27" t="s">
        <v>482</v>
      </c>
      <c r="B118" s="125">
        <f>B119</f>
        <v>209</v>
      </c>
      <c r="C118" s="364">
        <f t="shared" si="36"/>
        <v>5.0223241105199672E-4</v>
      </c>
      <c r="D118" s="125">
        <f t="shared" si="26"/>
        <v>209</v>
      </c>
      <c r="E118" s="125">
        <f t="shared" si="40"/>
        <v>209</v>
      </c>
      <c r="F118" s="364">
        <f>E118/(D$139-D$135-D$122-D$123-D$114-D$115-D$106-D$96-D$97-D$81-D$82-D$78-D$66-D$67-D$53-D$54-D$39-D$40-D$27-D$28-D$15-D$16-D$6-D$7)</f>
        <v>6.913126420861873E-4</v>
      </c>
      <c r="G118" s="125">
        <f>F118*D$141</f>
        <v>151.74233006664224</v>
      </c>
      <c r="H118" s="206"/>
      <c r="I118" s="125">
        <f t="shared" si="39"/>
        <v>209</v>
      </c>
      <c r="J118" s="507"/>
    </row>
    <row r="119" spans="1:10" x14ac:dyDescent="0.2">
      <c r="A119" s="29" t="s">
        <v>678</v>
      </c>
      <c r="B119" s="670">
        <f>[2]TNcorrected!$U$117</f>
        <v>209</v>
      </c>
      <c r="C119" s="364">
        <f t="shared" si="36"/>
        <v>5.0223241105199672E-4</v>
      </c>
      <c r="D119" s="125">
        <f t="shared" si="26"/>
        <v>209</v>
      </c>
      <c r="E119" s="125">
        <f>D119</f>
        <v>209</v>
      </c>
      <c r="F119" s="364">
        <f>E119/(D$139-D$135-D$122-D$123-D$114-D$115-D$106-D$96-D$97-D$81-D$82-D$78-D$66-D$67-D$53-D$54-D$39-D$40-D$27-D$28-D$15-D$16-D$6-D$7)</f>
        <v>6.913126420861873E-4</v>
      </c>
      <c r="G119" s="125">
        <f>F119*D$141</f>
        <v>151.74233006664224</v>
      </c>
      <c r="H119" s="206"/>
      <c r="I119" s="125">
        <f t="shared" si="39"/>
        <v>209</v>
      </c>
      <c r="J119" s="507"/>
    </row>
    <row r="120" spans="1:10" x14ac:dyDescent="0.2">
      <c r="A120" s="506" t="s">
        <v>483</v>
      </c>
      <c r="B120" s="125">
        <f>[1]TNaggregated!$I$74</f>
        <v>5429.297638528571</v>
      </c>
      <c r="C120" s="364">
        <f t="shared" si="36"/>
        <v>1.3046742790990986E-2</v>
      </c>
      <c r="D120" s="125"/>
      <c r="E120" s="125"/>
      <c r="F120" s="206"/>
      <c r="G120" s="125"/>
      <c r="H120" s="206"/>
      <c r="I120" s="125"/>
      <c r="J120" s="507"/>
    </row>
    <row r="121" spans="1:10" x14ac:dyDescent="0.2">
      <c r="A121" s="27" t="s">
        <v>484</v>
      </c>
      <c r="B121" s="125">
        <f>SUM(B122:B123)</f>
        <v>2661.8312083442856</v>
      </c>
      <c r="C121" s="364">
        <f t="shared" si="36"/>
        <v>6.3964493089961735E-3</v>
      </c>
      <c r="D121" s="125">
        <f t="shared" si="26"/>
        <v>2661.8312083442856</v>
      </c>
      <c r="E121" s="125"/>
      <c r="F121" s="206"/>
      <c r="G121" s="125"/>
      <c r="H121" s="206"/>
      <c r="I121" s="125">
        <f t="shared" ref="I121:I133" si="41">D121</f>
        <v>2661.8312083442856</v>
      </c>
      <c r="J121" s="507"/>
    </row>
    <row r="122" spans="1:10" x14ac:dyDescent="0.2">
      <c r="A122" s="29" t="s">
        <v>5</v>
      </c>
      <c r="B122" s="125">
        <f>[1]TNaggregated!$I$76</f>
        <v>57.405424229999994</v>
      </c>
      <c r="C122" s="364">
        <f t="shared" si="36"/>
        <v>1.3794672066265841E-4</v>
      </c>
      <c r="D122" s="125">
        <f t="shared" si="26"/>
        <v>57.405424229999994</v>
      </c>
      <c r="E122" s="125"/>
      <c r="F122" s="206"/>
      <c r="G122" s="125"/>
      <c r="H122" s="206"/>
      <c r="I122" s="125">
        <f t="shared" si="41"/>
        <v>57.405424229999994</v>
      </c>
      <c r="J122" s="507"/>
    </row>
    <row r="123" spans="1:10" x14ac:dyDescent="0.2">
      <c r="A123" s="29" t="s">
        <v>6</v>
      </c>
      <c r="B123" s="125">
        <f>[1]TNaggregated!$I$75</f>
        <v>2604.4257841142858</v>
      </c>
      <c r="C123" s="364">
        <f t="shared" si="36"/>
        <v>6.2585025883335156E-3</v>
      </c>
      <c r="D123" s="125">
        <f t="shared" si="26"/>
        <v>2604.4257841142858</v>
      </c>
      <c r="E123" s="125"/>
      <c r="F123" s="206"/>
      <c r="G123" s="125"/>
      <c r="H123" s="206"/>
      <c r="I123" s="125">
        <f t="shared" si="41"/>
        <v>2604.4257841142858</v>
      </c>
      <c r="J123" s="507"/>
    </row>
    <row r="124" spans="1:10" x14ac:dyDescent="0.2">
      <c r="A124" s="27" t="s">
        <v>485</v>
      </c>
      <c r="B124" s="125">
        <f>SUM(B125:B129)</f>
        <v>2894.678245283143</v>
      </c>
      <c r="C124" s="364">
        <f t="shared" si="36"/>
        <v>6.955986767216823E-3</v>
      </c>
      <c r="D124" s="125">
        <f t="shared" si="26"/>
        <v>2894.678245283143</v>
      </c>
      <c r="E124" s="125">
        <f>D124</f>
        <v>2894.678245283143</v>
      </c>
      <c r="F124" s="364">
        <f t="shared" ref="F124:F133" si="42">E124/(D$139-D$135-D$122-D$123-D$114-D$115-D$106-D$96-D$97-D$81-D$82-D$78-D$66-D$67-D$53-D$54-D$39-D$40-D$27-D$28-D$15-D$16-D$6-D$7)</f>
        <v>9.5747735202684117E-3</v>
      </c>
      <c r="G124" s="125">
        <f t="shared" ref="G124:G133" si="43">F124*D$141</f>
        <v>2101.6517786243226</v>
      </c>
      <c r="H124" s="206"/>
      <c r="I124" s="125">
        <f t="shared" si="41"/>
        <v>2894.678245283143</v>
      </c>
      <c r="J124" s="507"/>
    </row>
    <row r="125" spans="1:10" x14ac:dyDescent="0.2">
      <c r="A125" s="29" t="s">
        <v>680</v>
      </c>
      <c r="B125" s="670">
        <f>[2]TNcorrected!$U$127</f>
        <v>1243.4000000000001</v>
      </c>
      <c r="C125" s="364">
        <f t="shared" si="36"/>
        <v>2.9879223918758504E-3</v>
      </c>
      <c r="D125" s="125">
        <f t="shared" si="26"/>
        <v>1243.4000000000001</v>
      </c>
      <c r="E125" s="125">
        <f>D125</f>
        <v>1243.4000000000001</v>
      </c>
      <c r="F125" s="364">
        <f t="shared" si="42"/>
        <v>4.1128140630141878E-3</v>
      </c>
      <c r="G125" s="125">
        <f t="shared" si="43"/>
        <v>902.75795791800454</v>
      </c>
      <c r="H125" s="206"/>
      <c r="I125" s="125">
        <f t="shared" si="41"/>
        <v>1243.4000000000001</v>
      </c>
      <c r="J125" s="507"/>
    </row>
    <row r="126" spans="1:10" x14ac:dyDescent="0.2">
      <c r="A126" s="29" t="s">
        <v>434</v>
      </c>
      <c r="B126" s="125">
        <f>[1]TNaggregated!$I$80</f>
        <v>7.424638640285715</v>
      </c>
      <c r="C126" s="364">
        <f t="shared" si="36"/>
        <v>1.7841598877992886E-5</v>
      </c>
      <c r="D126" s="125">
        <f t="shared" si="26"/>
        <v>7.424638640285715</v>
      </c>
      <c r="E126" s="125">
        <f t="shared" ref="E126:E134" si="44">D126</f>
        <v>7.424638640285715</v>
      </c>
      <c r="F126" s="364">
        <f t="shared" si="42"/>
        <v>2.4558595956703899E-5</v>
      </c>
      <c r="G126" s="125">
        <f t="shared" si="43"/>
        <v>5.3905835750228741</v>
      </c>
      <c r="H126" s="206"/>
      <c r="I126" s="125">
        <f t="shared" si="41"/>
        <v>7.424638640285715</v>
      </c>
      <c r="J126" s="507"/>
    </row>
    <row r="127" spans="1:10" x14ac:dyDescent="0.2">
      <c r="A127" s="29" t="s">
        <v>8</v>
      </c>
      <c r="B127" s="125">
        <f>[1]TNaggregated!$I$77</f>
        <v>897.60512770000003</v>
      </c>
      <c r="C127" s="364">
        <f t="shared" si="36"/>
        <v>2.156968361040222E-3</v>
      </c>
      <c r="D127" s="125">
        <f t="shared" si="26"/>
        <v>897.60512770000003</v>
      </c>
      <c r="E127" s="125">
        <f t="shared" si="44"/>
        <v>897.60512770000003</v>
      </c>
      <c r="F127" s="364">
        <f t="shared" si="42"/>
        <v>2.9690228343559641E-3</v>
      </c>
      <c r="G127" s="125">
        <f t="shared" si="43"/>
        <v>651.69709835867911</v>
      </c>
      <c r="H127" s="206"/>
      <c r="I127" s="125">
        <f t="shared" si="41"/>
        <v>897.60512770000003</v>
      </c>
      <c r="J127" s="507"/>
    </row>
    <row r="128" spans="1:10" x14ac:dyDescent="0.2">
      <c r="A128" s="29" t="s">
        <v>435</v>
      </c>
      <c r="B128" s="670">
        <f>[2]TNcorrected!$U$126</f>
        <v>277.8</v>
      </c>
      <c r="C128" s="364">
        <f t="shared" si="36"/>
        <v>6.6756059229782145E-4</v>
      </c>
      <c r="D128" s="125">
        <f t="shared" si="26"/>
        <v>277.8</v>
      </c>
      <c r="E128" s="125">
        <f t="shared" si="44"/>
        <v>277.8</v>
      </c>
      <c r="F128" s="364">
        <f t="shared" si="42"/>
        <v>9.1888350225618576E-4</v>
      </c>
      <c r="G128" s="125">
        <f t="shared" si="43"/>
        <v>201.69387221298186</v>
      </c>
      <c r="H128" s="206"/>
      <c r="I128" s="125">
        <f t="shared" si="41"/>
        <v>277.8</v>
      </c>
      <c r="J128" s="507"/>
    </row>
    <row r="129" spans="1:10" x14ac:dyDescent="0.2">
      <c r="A129" s="29" t="s">
        <v>437</v>
      </c>
      <c r="B129" s="125">
        <f>[1]TNaggregated!$I$78</f>
        <v>468.44847894285715</v>
      </c>
      <c r="C129" s="364">
        <f t="shared" si="36"/>
        <v>1.1256938231249361E-3</v>
      </c>
      <c r="D129" s="125">
        <f t="shared" si="26"/>
        <v>468.44847894285715</v>
      </c>
      <c r="E129" s="125">
        <f t="shared" si="44"/>
        <v>468.44847894285715</v>
      </c>
      <c r="F129" s="364">
        <f t="shared" si="42"/>
        <v>1.5494945246853696E-3</v>
      </c>
      <c r="G129" s="125">
        <f t="shared" si="43"/>
        <v>340.11226655963412</v>
      </c>
      <c r="H129" s="206"/>
      <c r="I129" s="125">
        <f t="shared" si="41"/>
        <v>468.44847894285715</v>
      </c>
      <c r="J129" s="507"/>
    </row>
    <row r="130" spans="1:10" x14ac:dyDescent="0.2">
      <c r="A130" s="32" t="s">
        <v>486</v>
      </c>
      <c r="B130" s="125">
        <f>SUM(B131:B133)</f>
        <v>3366.2999999999997</v>
      </c>
      <c r="C130" s="364">
        <f t="shared" si="36"/>
        <v>8.0893060541834278E-3</v>
      </c>
      <c r="D130" s="125">
        <f t="shared" si="26"/>
        <v>3366.2999999999997</v>
      </c>
      <c r="E130" s="125">
        <f t="shared" si="44"/>
        <v>3366.2999999999997</v>
      </c>
      <c r="F130" s="364">
        <f t="shared" si="42"/>
        <v>1.1134764339974795E-2</v>
      </c>
      <c r="G130" s="125">
        <f t="shared" si="43"/>
        <v>2444.0679698724293</v>
      </c>
      <c r="H130" s="206"/>
      <c r="I130" s="125">
        <f t="shared" si="41"/>
        <v>3366.2999999999997</v>
      </c>
      <c r="J130" s="507"/>
    </row>
    <row r="131" spans="1:10" x14ac:dyDescent="0.2">
      <c r="A131" s="34" t="s">
        <v>677</v>
      </c>
      <c r="B131" s="125">
        <f>[2]TNcorrected!$U$130</f>
        <v>71.7</v>
      </c>
      <c r="C131" s="364">
        <f t="shared" si="36"/>
        <v>1.7229695632740749E-4</v>
      </c>
      <c r="D131" s="125">
        <f t="shared" si="26"/>
        <v>71.7</v>
      </c>
      <c r="E131" s="125">
        <f t="shared" si="44"/>
        <v>71.7</v>
      </c>
      <c r="F131" s="364">
        <f t="shared" si="42"/>
        <v>2.371632365434432E-4</v>
      </c>
      <c r="G131" s="125">
        <f t="shared" si="43"/>
        <v>52.057057730996405</v>
      </c>
      <c r="H131" s="206"/>
      <c r="I131" s="125">
        <f t="shared" si="41"/>
        <v>71.7</v>
      </c>
      <c r="J131" s="507"/>
    </row>
    <row r="132" spans="1:10" x14ac:dyDescent="0.2">
      <c r="A132" s="34" t="s">
        <v>678</v>
      </c>
      <c r="B132" s="125">
        <f>[2]TNcorrected!$U$129</f>
        <v>3293.4</v>
      </c>
      <c r="C132" s="364">
        <f t="shared" ref="C132:C133" si="45">B132/B$139</f>
        <v>7.9141254667877796E-3</v>
      </c>
      <c r="D132" s="125">
        <f t="shared" si="26"/>
        <v>3293.4</v>
      </c>
      <c r="E132" s="125">
        <f t="shared" si="44"/>
        <v>3293.4</v>
      </c>
      <c r="F132" s="364">
        <f t="shared" si="42"/>
        <v>1.089363184424234E-2</v>
      </c>
      <c r="G132" s="125">
        <f t="shared" si="43"/>
        <v>2391.1396643132989</v>
      </c>
      <c r="H132" s="206"/>
      <c r="I132" s="125">
        <f t="shared" si="41"/>
        <v>3293.4</v>
      </c>
      <c r="J132" s="507"/>
    </row>
    <row r="133" spans="1:10" x14ac:dyDescent="0.2">
      <c r="A133" s="34" t="s">
        <v>679</v>
      </c>
      <c r="B133" s="125">
        <f>[2]TNcorrected!$U$131</f>
        <v>1.2</v>
      </c>
      <c r="C133" s="364">
        <f t="shared" si="45"/>
        <v>2.8836310682411289E-6</v>
      </c>
      <c r="D133" s="125">
        <f t="shared" si="26"/>
        <v>1.2</v>
      </c>
      <c r="E133" s="125">
        <f t="shared" si="44"/>
        <v>1.2</v>
      </c>
      <c r="F133" s="364">
        <f t="shared" si="42"/>
        <v>3.9692591890116013E-6</v>
      </c>
      <c r="G133" s="125">
        <f t="shared" si="43"/>
        <v>0.87124782813383095</v>
      </c>
      <c r="H133" s="206"/>
      <c r="I133" s="125">
        <f t="shared" si="41"/>
        <v>1.2</v>
      </c>
      <c r="J133" s="507"/>
    </row>
    <row r="134" spans="1:10" ht="18" customHeight="1" x14ac:dyDescent="0.2">
      <c r="A134" s="501" t="s">
        <v>389</v>
      </c>
      <c r="B134" s="492">
        <f>B4+B6+B7+B9+B11+B12+B13+B15+B16+B18+B19+B20+B22+B23+B24+B25+B27+B28+B30+B31+B32+B34+B35+B36+B37+B39+B40+B42+B43+B44+B45+B46+B48+B49+B50+B51+B53+B54+B56+B57+B58+B59+B61+B62+B63+B64+B66+B67+B69+B70+B71+B72+B74+B75+B76+B78+B79+B81+B82+B84+B85+B86+B87+B88+B89+B91+B92+B93+B94+B96+B97+B99+B100+B102+B103+B104+B106+B108+B109+B111+B112+B114+B115+B117+B119+B120+B122+B123+B125+B126+B127+B128+B129+B131+B132+B133</f>
        <v>76662.24486715105</v>
      </c>
      <c r="C134" s="611">
        <f>SUM(C4:C130)</f>
        <v>0.30189958220180868</v>
      </c>
      <c r="D134" s="492">
        <f>D4+D6+D7+D9+D11+D12+D13+D15+D16+D18+D19+D20+D22+D23+D24+D25+D27+D28+D30+D31+D32+D34+D35+D36+D37+D39+D40+D42+D43+D44+D45+D46+D48+D49+D50+D51+D53+D54+D56+D57+D58+D59+D61+D62+D63+D64+D66+D67+D69+D70+D71+D72+D74+D75+D76+D78+D79+D81+D82+D84+D85+D86+D87+D88+D89+D91+D92+D93+D94+D96+D97+D99+D100+D102+D103+D104+D106+D108+D109+D111+D112+D114+D115+D117+D119+D120+D122+D123+D125+D126+D127+D128+D129+D131+D132+D133+B120+B112+B104+B94+B79+B76+B64+B51+B37+B25+B13+B4</f>
        <v>76662.244867151094</v>
      </c>
      <c r="E134" s="493">
        <f t="shared" si="44"/>
        <v>76662.244867151094</v>
      </c>
      <c r="F134" s="364"/>
      <c r="G134" s="147">
        <f>SUM(G9:G133)</f>
        <v>51538.842020236094</v>
      </c>
      <c r="H134" s="60"/>
      <c r="I134" s="64">
        <f t="shared" ref="I134" si="46">ROUND(D134,0)</f>
        <v>76662</v>
      </c>
      <c r="J134" s="65"/>
    </row>
    <row r="135" spans="1:10" x14ac:dyDescent="0.2">
      <c r="A135" s="32" t="s">
        <v>439</v>
      </c>
      <c r="B135" s="530">
        <v>72824.551800000001</v>
      </c>
      <c r="C135" s="364">
        <f>B135/B$139</f>
        <v>0.17499928341767954</v>
      </c>
      <c r="D135" s="204">
        <f t="shared" ref="D135:D136" si="47">ROUND(B135,0)</f>
        <v>72825</v>
      </c>
      <c r="E135" s="204"/>
      <c r="F135" s="206"/>
      <c r="G135" s="206"/>
      <c r="H135" s="206"/>
      <c r="I135" s="204">
        <f t="shared" ref="I135:I136" si="48">ROUND(D135,0)</f>
        <v>72825</v>
      </c>
      <c r="J135" s="507"/>
    </row>
    <row r="136" spans="1:10" x14ac:dyDescent="0.2">
      <c r="A136" s="32" t="s">
        <v>440</v>
      </c>
      <c r="B136" s="147">
        <v>266655.18840000004</v>
      </c>
      <c r="C136" s="364">
        <f>B136/B$139</f>
        <v>0.64077932148160976</v>
      </c>
      <c r="D136" s="204">
        <f t="shared" si="47"/>
        <v>266655</v>
      </c>
      <c r="E136" s="147">
        <f t="shared" ref="E136" si="49">D136</f>
        <v>266655</v>
      </c>
      <c r="F136" s="364">
        <f>E136/(D$139-D$135-D$122-D$123-D$114-D$115-D$106-D$96-D$97-D$81-D$82-D$78-D$66-D$67-D$53-D$54-D$39-D$40-D$27-D$28-D$15-D$16-D$6-D$7)</f>
        <v>0.88201900753824047</v>
      </c>
      <c r="G136" s="147">
        <f>F136*D$141</f>
        <v>193602.15800918889</v>
      </c>
      <c r="H136" s="206"/>
      <c r="I136" s="204">
        <f t="shared" si="48"/>
        <v>266655</v>
      </c>
      <c r="J136" s="507"/>
    </row>
    <row r="137" spans="1:10" x14ac:dyDescent="0.2">
      <c r="A137" s="35"/>
      <c r="B137" s="147"/>
      <c r="C137" s="206"/>
      <c r="D137" s="147"/>
      <c r="E137" s="206"/>
      <c r="F137" s="206"/>
      <c r="G137" s="206"/>
      <c r="H137" s="206"/>
      <c r="I137" s="206"/>
      <c r="J137" s="507"/>
    </row>
    <row r="138" spans="1:10" x14ac:dyDescent="0.2">
      <c r="A138" s="35" t="s">
        <v>4</v>
      </c>
      <c r="B138" s="147"/>
      <c r="C138" s="206"/>
      <c r="D138" s="147"/>
      <c r="E138" s="206"/>
      <c r="F138" s="206"/>
      <c r="G138" s="206"/>
      <c r="H138" s="206"/>
      <c r="I138" s="206"/>
      <c r="J138" s="507"/>
    </row>
    <row r="139" spans="1:10" x14ac:dyDescent="0.2">
      <c r="A139" s="68" t="s">
        <v>747</v>
      </c>
      <c r="B139" s="147">
        <f>ROUND((B120++B10+B112+B104+B94+B79+B76+B64+B51+B37+B25+B13+B4+B5+B8+B14+B17+B21+B26+B29+B33+B38+B41+B47+B52+B55+B60+B65+B68+B73+B77+B80+B83+B90+B95+B98+B101+B105+B107+B110+B113+B116+B118+B121+B124+B130+B135+B136),0)</f>
        <v>416142</v>
      </c>
      <c r="C139" s="364">
        <f>ROUND((C120++C10+C112+C104+C94+C79+C76+C64+C51+C37+C25+C13+C4+C5+C8+C14+C17+C21+C26+C29+C33+C38+C41+C47+C52+C55+C60+C65+C68+C73+C77+C80+C83+C90+C95+C98+C101+C105+C107+C110+C113+C116+C118+C121+C124+C130+C135+C136),0)</f>
        <v>1</v>
      </c>
      <c r="D139" s="147">
        <f>ROUND((D120++D10+D112+D104+D94+D79+D76+D64+D51+D37+D25+D13+D4+D5+D8+D14+D17+D21+D26+D29+D33+D38+D41+D47+D52+D55+D60+D65+D68+D73+D77+D80+D83+D90+D95+D98+D101+D105+D107+D110+D113+D116+D118+D121+D124+D130+D135+D136),0)</f>
        <v>391817</v>
      </c>
      <c r="E139" s="147">
        <f>E5+E10+E8+E14+E17+E21+E26+E29+E33+E38+E41+E47+E52+E55+E60+E65+E68+E73+E77+E80+E83+E90+E95+E98+E101+E105+E107+E110+E113+E116+E118+E121+E124+E130+E135+E136</f>
        <v>302323.56782241614</v>
      </c>
      <c r="F139" s="364">
        <f>F5+F10+F8+F14+F17+F21+F26+F29+F33+F38+F41+F47+F52+F55+F60+F65+F68+F73+F77+F80+F83+F90+F95+F98+F101+F105+F107+F110+F113+F116+F118+F121+F124+F130+F135+F136</f>
        <v>1.0000004996949146</v>
      </c>
      <c r="G139" s="147">
        <f>G5+G10+G8+G14+G17+G21+G26+G29+G33+G38+G41+G47+G52+G55+G60+G65+G68+G73+G77+G80+G83+G90+G95+G98+G101+G105+G107+G110+G113+G116+G118+G121+G124+G130+G135+G136</f>
        <v>219498.95988245917</v>
      </c>
      <c r="H139" s="206"/>
      <c r="I139" s="147">
        <f>I5+I10+I8+I14+I17+I21+I26+I29+I33+I38+I41+I47+I52+I55+I60+I65+I68+I73+I77+I80+I83+I90+I95+I98+I101+I105+I107+I110+I113+I116+I118+I121+I124+I130+I135+I136</f>
        <v>391817.15106947394</v>
      </c>
      <c r="J139" s="507"/>
    </row>
    <row r="140" spans="1:10" x14ac:dyDescent="0.2">
      <c r="A140" s="38" t="s">
        <v>14</v>
      </c>
      <c r="B140" s="530">
        <v>172318.14980000001</v>
      </c>
      <c r="C140" s="206"/>
      <c r="D140" s="147">
        <f>B140</f>
        <v>172318.14980000001</v>
      </c>
      <c r="E140" s="206"/>
      <c r="F140" s="206"/>
      <c r="G140" s="206"/>
      <c r="H140" s="206"/>
      <c r="I140" s="147">
        <v>172318.14980000001</v>
      </c>
      <c r="J140" s="507"/>
    </row>
    <row r="141" spans="1:10" x14ac:dyDescent="0.2">
      <c r="A141" s="36" t="s">
        <v>15</v>
      </c>
      <c r="B141" s="147">
        <f>B139-B140</f>
        <v>243823.85019999999</v>
      </c>
      <c r="C141" s="206"/>
      <c r="D141" s="147">
        <f>D139-D140</f>
        <v>219498.85019999999</v>
      </c>
      <c r="E141" s="206"/>
      <c r="F141" s="206"/>
      <c r="G141" s="147"/>
      <c r="H141" s="206"/>
      <c r="I141" s="147">
        <f>I139-I140</f>
        <v>219499.00126947393</v>
      </c>
      <c r="J141" s="507"/>
    </row>
    <row r="142" spans="1:10" x14ac:dyDescent="0.2">
      <c r="A142" s="497" t="s">
        <v>746</v>
      </c>
      <c r="B142" s="206"/>
      <c r="C142" s="206"/>
      <c r="D142" s="147">
        <f>D139+B120+B112+B104+B94+B79+B76+B64+B51+B37+B25+B13+B4</f>
        <v>416142.0937976772</v>
      </c>
      <c r="E142" s="206"/>
      <c r="F142" s="206"/>
      <c r="G142" s="206"/>
      <c r="H142" s="206"/>
      <c r="I142" s="206"/>
      <c r="J142" s="507"/>
    </row>
    <row r="143" spans="1:10" x14ac:dyDescent="0.2">
      <c r="B143" s="198"/>
      <c r="D143" s="79"/>
    </row>
    <row r="144" spans="1:10" x14ac:dyDescent="0.2">
      <c r="B144" s="645"/>
      <c r="C144" s="604"/>
      <c r="D144" s="71"/>
      <c r="I144" s="79"/>
    </row>
    <row r="145" spans="1:15" x14ac:dyDescent="0.2">
      <c r="B145" s="530"/>
      <c r="D145" s="79"/>
    </row>
    <row r="146" spans="1:15" x14ac:dyDescent="0.2">
      <c r="A146" s="551" t="s">
        <v>645</v>
      </c>
      <c r="B146" s="198">
        <f t="shared" ref="B146:M146" si="50">ROUND(B148,0)</f>
        <v>308</v>
      </c>
      <c r="C146" s="198">
        <f t="shared" si="50"/>
        <v>1011</v>
      </c>
      <c r="D146" s="198">
        <f t="shared" si="50"/>
        <v>2187</v>
      </c>
      <c r="E146" s="198">
        <f t="shared" si="50"/>
        <v>5412</v>
      </c>
      <c r="F146" s="198">
        <f t="shared" si="50"/>
        <v>648</v>
      </c>
      <c r="G146" s="198">
        <f t="shared" si="50"/>
        <v>2554</v>
      </c>
      <c r="H146" s="198">
        <f t="shared" si="50"/>
        <v>1601</v>
      </c>
      <c r="I146" s="198">
        <f t="shared" si="50"/>
        <v>2796</v>
      </c>
      <c r="J146" s="198">
        <f t="shared" si="50"/>
        <v>557</v>
      </c>
      <c r="K146" s="198">
        <f t="shared" si="50"/>
        <v>617</v>
      </c>
      <c r="L146" s="198">
        <f t="shared" si="50"/>
        <v>1205</v>
      </c>
      <c r="M146" s="198">
        <f t="shared" si="50"/>
        <v>5429</v>
      </c>
      <c r="N146" s="79">
        <f>SUM(B146:M146)</f>
        <v>24325</v>
      </c>
    </row>
    <row r="147" spans="1:15" x14ac:dyDescent="0.2">
      <c r="A147" s="552" t="s">
        <v>646</v>
      </c>
      <c r="B147" s="615" t="s">
        <v>489</v>
      </c>
      <c r="C147" s="554" t="s">
        <v>563</v>
      </c>
      <c r="D147" s="554" t="s">
        <v>564</v>
      </c>
      <c r="E147" s="554" t="s">
        <v>490</v>
      </c>
      <c r="F147" s="554" t="s">
        <v>491</v>
      </c>
      <c r="G147" s="554" t="s">
        <v>492</v>
      </c>
      <c r="H147" s="554" t="s">
        <v>493</v>
      </c>
      <c r="I147" s="554" t="s">
        <v>494</v>
      </c>
      <c r="J147" s="554" t="s">
        <v>497</v>
      </c>
      <c r="K147" s="554" t="s">
        <v>498</v>
      </c>
      <c r="L147" s="554" t="s">
        <v>495</v>
      </c>
      <c r="M147" s="554" t="s">
        <v>496</v>
      </c>
      <c r="N147" s="554" t="s">
        <v>68</v>
      </c>
    </row>
    <row r="148" spans="1:15" x14ac:dyDescent="0.2">
      <c r="A148" s="555" t="s">
        <v>649</v>
      </c>
      <c r="B148" s="616">
        <f>B4</f>
        <v>307.7667505904102</v>
      </c>
      <c r="C148" s="556">
        <f>B13</f>
        <v>1010.6249084085449</v>
      </c>
      <c r="D148" s="556">
        <f>B25</f>
        <v>2186.7583674239386</v>
      </c>
      <c r="E148" s="556">
        <f>B37</f>
        <v>5411.8323849047547</v>
      </c>
      <c r="F148" s="556">
        <f>B51</f>
        <v>648.2302736340589</v>
      </c>
      <c r="G148" s="556">
        <f>B64</f>
        <v>2554.4037099093275</v>
      </c>
      <c r="H148" s="557">
        <f>B76</f>
        <v>1601.4709687064051</v>
      </c>
      <c r="I148" s="556">
        <f>B79</f>
        <v>2796.1814072344905</v>
      </c>
      <c r="J148" s="556">
        <f>B94</f>
        <v>556.72730360942091</v>
      </c>
      <c r="K148" s="556">
        <f>B104</f>
        <v>617.02700817302173</v>
      </c>
      <c r="L148" s="556">
        <f>B112</f>
        <v>1204.7730765541835</v>
      </c>
      <c r="M148" s="556">
        <f>B120</f>
        <v>5429.297638528571</v>
      </c>
      <c r="N148" s="630">
        <f t="shared" ref="N148:N153" si="51">SUM(B148:M148)</f>
        <v>24325.093797677124</v>
      </c>
      <c r="O148" s="79"/>
    </row>
    <row r="149" spans="1:15" x14ac:dyDescent="0.2">
      <c r="A149" s="159" t="s">
        <v>647</v>
      </c>
      <c r="B149" s="204">
        <f>D7+D6</f>
        <v>219.52529041631962</v>
      </c>
      <c r="C149" s="151">
        <f>D16+D15</f>
        <v>861.9</v>
      </c>
      <c r="D149" s="495">
        <f>D28+D27</f>
        <v>1676.6476284106673</v>
      </c>
      <c r="E149" s="495">
        <f>D40+D39</f>
        <v>4037.3197519171658</v>
      </c>
      <c r="F149" s="495">
        <f>D54+D53</f>
        <v>658.70464250561849</v>
      </c>
      <c r="G149" s="495">
        <f>D67+D66</f>
        <v>2852.7121868459481</v>
      </c>
      <c r="H149" s="495">
        <f>D78</f>
        <v>166.42155222886939</v>
      </c>
      <c r="I149" s="495">
        <f>D82+D81</f>
        <v>1442.5927579322097</v>
      </c>
      <c r="J149" s="495">
        <f>D96+D97</f>
        <v>621.36288600811008</v>
      </c>
      <c r="K149" s="495">
        <f>D106</f>
        <v>626.76825994575779</v>
      </c>
      <c r="L149" s="495">
        <f>D114+D115</f>
        <v>842.79708250284773</v>
      </c>
      <c r="M149" s="495">
        <f>D122+D123</f>
        <v>2661.8312083442856</v>
      </c>
      <c r="N149" s="272">
        <f t="shared" si="51"/>
        <v>16668.583247057803</v>
      </c>
    </row>
    <row r="150" spans="1:15" x14ac:dyDescent="0.2">
      <c r="A150" s="159" t="s">
        <v>648</v>
      </c>
      <c r="B150" s="204">
        <f>D9</f>
        <v>350.89220505736643</v>
      </c>
      <c r="C150" s="495">
        <f>D20+D18+D19</f>
        <v>350.67321840815248</v>
      </c>
      <c r="D150" s="495">
        <f>D30+D31+D32</f>
        <v>1074.4631987948019</v>
      </c>
      <c r="E150" s="495">
        <f>D42+D43+D45+D44+D46</f>
        <v>1579.7709946896366</v>
      </c>
      <c r="F150" s="495">
        <f>D57+D58+D56+D59</f>
        <v>472.62233320109112</v>
      </c>
      <c r="G150" s="495">
        <f>D70+D71+D69+D72</f>
        <v>1228.9888410907192</v>
      </c>
      <c r="H150" s="72"/>
      <c r="I150" s="495">
        <f>D85+D86+D87+D88+D84+D89</f>
        <v>3609.3573023282379</v>
      </c>
      <c r="J150" s="495">
        <f>D99+D100</f>
        <v>1428.4333443866917</v>
      </c>
      <c r="K150" s="495">
        <f>D108+D109</f>
        <v>272.79826089815896</v>
      </c>
      <c r="L150" s="495">
        <f>D117</f>
        <v>3.0098782781589253</v>
      </c>
      <c r="M150" s="495">
        <f>D126+D127+D128+D129+D125</f>
        <v>2894.678245283143</v>
      </c>
      <c r="N150" s="272">
        <f t="shared" si="51"/>
        <v>13265.687822416157</v>
      </c>
    </row>
    <row r="151" spans="1:15" x14ac:dyDescent="0.2">
      <c r="A151" s="558" t="s">
        <v>27</v>
      </c>
      <c r="B151" s="204">
        <f>D11+D12</f>
        <v>65.7</v>
      </c>
      <c r="C151" s="495">
        <f>D22+D23+D24</f>
        <v>2547.2800000000002</v>
      </c>
      <c r="D151" s="495">
        <f>D34+D35+D36</f>
        <v>4130.5</v>
      </c>
      <c r="E151" s="495">
        <f>D48+D49+D50</f>
        <v>4860.3999999999996</v>
      </c>
      <c r="F151" s="495">
        <f>D61+D62+D63</f>
        <v>981.19999999999993</v>
      </c>
      <c r="G151" s="495">
        <f>D74+D75</f>
        <v>3677.3</v>
      </c>
      <c r="H151" s="72"/>
      <c r="I151" s="495">
        <f>D91+D92+D93</f>
        <v>1664</v>
      </c>
      <c r="J151" s="495">
        <f>D102+D103</f>
        <v>517.1</v>
      </c>
      <c r="K151" s="495">
        <f>D111</f>
        <v>384.1</v>
      </c>
      <c r="L151" s="495">
        <f>D119</f>
        <v>209</v>
      </c>
      <c r="M151" s="495">
        <f>D131+D132+D133</f>
        <v>3366.2999999999997</v>
      </c>
      <c r="N151" s="272">
        <f t="shared" si="51"/>
        <v>22402.879999999997</v>
      </c>
    </row>
    <row r="152" spans="1:15" x14ac:dyDescent="0.2">
      <c r="A152" s="642" t="s">
        <v>27</v>
      </c>
      <c r="B152" s="508">
        <f>B11+B12</f>
        <v>65.7</v>
      </c>
      <c r="C152" s="502">
        <f>B22+B23+B24</f>
        <v>2547.2800000000002</v>
      </c>
      <c r="D152" s="502">
        <f>B34+B35+B36</f>
        <v>4130.5</v>
      </c>
      <c r="E152" s="502">
        <f>B48+B49+B50</f>
        <v>4860.3999999999996</v>
      </c>
      <c r="F152" s="502">
        <f>B61+B62+B63</f>
        <v>981.19999999999993</v>
      </c>
      <c r="G152" s="502">
        <f>B74+B75</f>
        <v>3677.3</v>
      </c>
      <c r="H152" s="146"/>
      <c r="I152" s="502">
        <f>B91+B92+B93</f>
        <v>1664</v>
      </c>
      <c r="J152" s="502">
        <f>B102+B103</f>
        <v>517.1</v>
      </c>
      <c r="K152" s="502">
        <f>B111</f>
        <v>384.1</v>
      </c>
      <c r="L152" s="502">
        <f>B119</f>
        <v>209</v>
      </c>
      <c r="M152" s="502">
        <f>B131+B132+B133</f>
        <v>3366.2999999999997</v>
      </c>
      <c r="N152" s="171">
        <f t="shared" si="51"/>
        <v>22402.879999999997</v>
      </c>
    </row>
    <row r="153" spans="1:15" x14ac:dyDescent="0.2">
      <c r="A153" s="642" t="s">
        <v>647</v>
      </c>
      <c r="B153" s="508">
        <f>B6+B7</f>
        <v>219.52529041631962</v>
      </c>
      <c r="C153" s="502">
        <f>B15+B16</f>
        <v>861.9</v>
      </c>
      <c r="D153" s="502">
        <f>B27+B28</f>
        <v>1676.6476284106673</v>
      </c>
      <c r="E153" s="502">
        <f>B39+B40</f>
        <v>4037.3197519171658</v>
      </c>
      <c r="F153" s="502">
        <f>B53+B54</f>
        <v>658.70464250561849</v>
      </c>
      <c r="G153" s="502">
        <f>B66+B67</f>
        <v>2852.7121868459481</v>
      </c>
      <c r="H153" s="502">
        <f>B78</f>
        <v>166.42155222886939</v>
      </c>
      <c r="I153" s="502">
        <f>B81+B82</f>
        <v>1442.5927579322097</v>
      </c>
      <c r="J153" s="502">
        <f>B96+B97</f>
        <v>621.36288600811008</v>
      </c>
      <c r="K153" s="502">
        <f>B106</f>
        <v>626.76825994575779</v>
      </c>
      <c r="L153" s="502">
        <f>B114+B115</f>
        <v>842.79708250284773</v>
      </c>
      <c r="M153" s="502">
        <f>B122+B123</f>
        <v>2661.8312083442856</v>
      </c>
      <c r="N153" s="171">
        <f t="shared" si="51"/>
        <v>16668.583247057803</v>
      </c>
    </row>
    <row r="154" spans="1:15" x14ac:dyDescent="0.2">
      <c r="A154" s="642" t="s">
        <v>743</v>
      </c>
      <c r="B154" s="198">
        <f>B8</f>
        <v>350.89220505736643</v>
      </c>
      <c r="C154" s="198">
        <f>B17</f>
        <v>350.67321840815248</v>
      </c>
      <c r="D154" s="198">
        <f>B29</f>
        <v>1074.4631987948019</v>
      </c>
      <c r="E154" s="198">
        <f>B41</f>
        <v>1579.7709946896366</v>
      </c>
      <c r="F154" s="198">
        <f>B55</f>
        <v>472.62233320109112</v>
      </c>
      <c r="G154" s="198">
        <f>B68</f>
        <v>1228.9888410907192</v>
      </c>
      <c r="H154" s="198"/>
      <c r="I154" s="198">
        <f>B83</f>
        <v>3609.3573023282374</v>
      </c>
      <c r="J154" s="198">
        <f>B98</f>
        <v>1428.4333443866917</v>
      </c>
      <c r="K154" s="198">
        <f>B107</f>
        <v>272.79826089815896</v>
      </c>
      <c r="L154" s="198">
        <f>B116</f>
        <v>3.0098782781589253</v>
      </c>
      <c r="M154" s="198">
        <f>B124</f>
        <v>2894.678245283143</v>
      </c>
      <c r="N154" s="2">
        <f>SUM(B154:M154)</f>
        <v>13265.687822416157</v>
      </c>
    </row>
    <row r="155" spans="1:15" ht="19.149999999999999" customHeight="1" x14ac:dyDescent="0.2">
      <c r="A155" s="525" t="s">
        <v>614</v>
      </c>
      <c r="B155" s="617" t="s">
        <v>489</v>
      </c>
      <c r="C155" s="531" t="s">
        <v>563</v>
      </c>
      <c r="D155" s="531" t="s">
        <v>564</v>
      </c>
      <c r="E155" s="531" t="s">
        <v>490</v>
      </c>
      <c r="F155" s="531" t="s">
        <v>491</v>
      </c>
      <c r="G155" s="531" t="s">
        <v>492</v>
      </c>
      <c r="H155" s="531" t="s">
        <v>493</v>
      </c>
      <c r="I155" s="531" t="s">
        <v>494</v>
      </c>
      <c r="J155" s="531" t="s">
        <v>497</v>
      </c>
      <c r="K155" s="531" t="s">
        <v>498</v>
      </c>
      <c r="L155" s="531" t="s">
        <v>495</v>
      </c>
      <c r="M155" s="531" t="s">
        <v>496</v>
      </c>
      <c r="N155" s="531" t="s">
        <v>68</v>
      </c>
    </row>
    <row r="156" spans="1:15" x14ac:dyDescent="0.2">
      <c r="A156" s="72" t="s">
        <v>27</v>
      </c>
      <c r="B156" s="204">
        <f>G11+G12</f>
        <v>47.700818590327245</v>
      </c>
      <c r="C156" s="495">
        <f>G22+G23+G24</f>
        <v>1849.4268063739544</v>
      </c>
      <c r="D156" s="495">
        <f>G34+G35+G36</f>
        <v>2998.9076284223243</v>
      </c>
      <c r="E156" s="495">
        <f>G48+G49+G50</f>
        <v>3528.8441198847263</v>
      </c>
      <c r="F156" s="495">
        <f>G61+G62+G63</f>
        <v>712.39030747076254</v>
      </c>
      <c r="G156" s="495">
        <f>G74+G75</f>
        <v>2669.8663653304475</v>
      </c>
      <c r="H156" s="495"/>
      <c r="I156" s="495">
        <f>G91+G92+G93</f>
        <v>1208.1303216789122</v>
      </c>
      <c r="J156" s="495">
        <f>G102+G103</f>
        <v>375.43520994000329</v>
      </c>
      <c r="K156" s="495">
        <f>G111</f>
        <v>278.87190898850378</v>
      </c>
      <c r="L156" s="495">
        <f>G119</f>
        <v>151.74233006664224</v>
      </c>
      <c r="M156" s="495">
        <f>G131+G132+G133</f>
        <v>2444.0679698724289</v>
      </c>
      <c r="N156" s="495">
        <f>SUM(B156:M156)</f>
        <v>16265.383786619035</v>
      </c>
    </row>
    <row r="157" spans="1:15" x14ac:dyDescent="0.2">
      <c r="A157" s="159" t="s">
        <v>650</v>
      </c>
      <c r="B157" s="204">
        <f>E160</f>
        <v>254.76172630443449</v>
      </c>
      <c r="C157" s="495">
        <f>K164</f>
        <v>254.60273326900284</v>
      </c>
      <c r="D157" s="79">
        <f>K168</f>
        <v>780.10310696641659</v>
      </c>
      <c r="E157" s="495">
        <f>Q172</f>
        <v>1146.9767067268065</v>
      </c>
      <c r="F157" s="495">
        <f>N176</f>
        <v>343.14264834995174</v>
      </c>
      <c r="G157" s="495">
        <f>N180</f>
        <v>892.29488216750269</v>
      </c>
      <c r="H157" s="495"/>
      <c r="I157" s="495">
        <f>T184</f>
        <v>2620.5369676414339</v>
      </c>
      <c r="J157" s="495">
        <f>H188</f>
        <v>1037.0995258597632</v>
      </c>
      <c r="K157" s="495">
        <f>H192</f>
        <v>198.06241027183933</v>
      </c>
      <c r="L157" s="495">
        <f>E196</f>
        <v>2.1852915939942985</v>
      </c>
      <c r="M157" s="495">
        <f>Q200</f>
        <v>2101.6517786243226</v>
      </c>
      <c r="N157" s="495">
        <f>SUM(B157:M157)</f>
        <v>9631.4177777754685</v>
      </c>
    </row>
    <row r="158" spans="1:15" x14ac:dyDescent="0.2">
      <c r="A158" s="159" t="s">
        <v>713</v>
      </c>
      <c r="B158" s="204">
        <f>G9</f>
        <v>254.76172630443449</v>
      </c>
      <c r="C158" s="495">
        <f>G18+G19+G20</f>
        <v>254.60273326900284</v>
      </c>
      <c r="D158" s="495">
        <f>G30+G31+G32</f>
        <v>780.10310696641659</v>
      </c>
      <c r="E158" s="495">
        <f>G42+G43+G44+G45+G46</f>
        <v>1146.9767067268065</v>
      </c>
      <c r="F158" s="502"/>
      <c r="G158" s="502"/>
      <c r="H158" s="502"/>
      <c r="I158" s="502"/>
      <c r="J158" s="502"/>
      <c r="K158" s="502"/>
      <c r="L158" s="502"/>
      <c r="M158" s="502"/>
      <c r="N158" s="21">
        <f>SUM(N156:N157)</f>
        <v>25896.801564394504</v>
      </c>
    </row>
    <row r="159" spans="1:15" ht="52.15" customHeight="1" x14ac:dyDescent="0.2">
      <c r="A159" s="524" t="s">
        <v>615</v>
      </c>
      <c r="B159" s="526" t="s">
        <v>502</v>
      </c>
      <c r="C159" s="526" t="s">
        <v>500</v>
      </c>
      <c r="D159" s="526" t="s">
        <v>616</v>
      </c>
      <c r="E159" s="526" t="s">
        <v>68</v>
      </c>
    </row>
    <row r="160" spans="1:15" x14ac:dyDescent="0.2">
      <c r="A160" s="159" t="s">
        <v>62</v>
      </c>
      <c r="B160" s="204">
        <f>G9</f>
        <v>254.76172630443449</v>
      </c>
      <c r="C160" s="495">
        <v>1</v>
      </c>
      <c r="D160" s="495">
        <f>B160*C160</f>
        <v>254.76172630443449</v>
      </c>
      <c r="E160" s="495">
        <f>D160</f>
        <v>254.76172630443449</v>
      </c>
    </row>
    <row r="161" spans="1:17" x14ac:dyDescent="0.2">
      <c r="A161" s="159" t="s">
        <v>119</v>
      </c>
      <c r="B161" s="206"/>
      <c r="C161" s="72"/>
      <c r="D161" s="72"/>
      <c r="E161" s="72"/>
    </row>
    <row r="162" spans="1:17" x14ac:dyDescent="0.2">
      <c r="A162" s="533" t="s">
        <v>218</v>
      </c>
      <c r="B162" s="618"/>
      <c r="C162" s="534"/>
      <c r="D162" s="534"/>
      <c r="E162" s="534"/>
    </row>
    <row r="163" spans="1:17" ht="51" x14ac:dyDescent="0.2">
      <c r="A163" s="536" t="s">
        <v>615</v>
      </c>
      <c r="B163" s="619" t="s">
        <v>503</v>
      </c>
      <c r="C163" s="536" t="s">
        <v>500</v>
      </c>
      <c r="D163" s="619" t="s">
        <v>507</v>
      </c>
      <c r="E163" s="536" t="s">
        <v>504</v>
      </c>
      <c r="F163" s="619" t="s">
        <v>505</v>
      </c>
      <c r="G163" s="619" t="s">
        <v>506</v>
      </c>
      <c r="H163" s="536" t="s">
        <v>508</v>
      </c>
      <c r="I163" s="536" t="s">
        <v>509</v>
      </c>
      <c r="J163" s="619" t="s">
        <v>510</v>
      </c>
      <c r="K163" s="619" t="s">
        <v>68</v>
      </c>
    </row>
    <row r="164" spans="1:17" x14ac:dyDescent="0.2">
      <c r="A164" s="537" t="s">
        <v>62</v>
      </c>
      <c r="B164" s="613">
        <f>G19</f>
        <v>145.68204927528049</v>
      </c>
      <c r="C164" s="153">
        <v>1</v>
      </c>
      <c r="D164" s="516">
        <f>B164*C164</f>
        <v>145.68204927528049</v>
      </c>
      <c r="E164" s="516"/>
      <c r="F164" s="516"/>
      <c r="G164" s="516"/>
      <c r="H164" s="516">
        <f>G20</f>
        <v>107.64753841323646</v>
      </c>
      <c r="I164" s="514">
        <v>1</v>
      </c>
      <c r="J164" s="516">
        <f>G18</f>
        <v>1.2731455804858696</v>
      </c>
      <c r="K164" s="516">
        <f>J164+G165+D164</f>
        <v>254.60273326900284</v>
      </c>
    </row>
    <row r="165" spans="1:17" x14ac:dyDescent="0.2">
      <c r="A165" s="537" t="s">
        <v>119</v>
      </c>
      <c r="B165" s="613"/>
      <c r="C165" s="516"/>
      <c r="D165" s="516"/>
      <c r="E165" s="516">
        <f>G20</f>
        <v>107.64753841323646</v>
      </c>
      <c r="F165" s="153">
        <v>1</v>
      </c>
      <c r="G165" s="516">
        <f>E165*F165</f>
        <v>107.64753841323646</v>
      </c>
      <c r="H165" s="516"/>
      <c r="I165" s="516"/>
      <c r="J165" s="516"/>
      <c r="K165" s="516"/>
    </row>
    <row r="166" spans="1:17" x14ac:dyDescent="0.2">
      <c r="A166" s="537" t="s">
        <v>218</v>
      </c>
      <c r="B166" s="613"/>
      <c r="C166" s="516"/>
      <c r="D166" s="516"/>
      <c r="E166" s="516"/>
      <c r="F166" s="516"/>
      <c r="G166" s="516"/>
      <c r="H166" s="516"/>
      <c r="I166" s="516"/>
      <c r="J166" s="516"/>
      <c r="K166" s="516"/>
    </row>
    <row r="167" spans="1:17" ht="63.75" x14ac:dyDescent="0.2">
      <c r="A167" s="535" t="s">
        <v>615</v>
      </c>
      <c r="B167" s="620" t="s">
        <v>511</v>
      </c>
      <c r="C167" s="620" t="s">
        <v>500</v>
      </c>
      <c r="D167" s="620" t="s">
        <v>512</v>
      </c>
      <c r="E167" s="620" t="s">
        <v>513</v>
      </c>
      <c r="F167" s="620" t="s">
        <v>514</v>
      </c>
      <c r="G167" s="620" t="s">
        <v>515</v>
      </c>
      <c r="H167" s="631" t="s">
        <v>704</v>
      </c>
      <c r="I167" s="524" t="s">
        <v>509</v>
      </c>
      <c r="J167" s="524" t="s">
        <v>689</v>
      </c>
      <c r="K167" s="620" t="s">
        <v>68</v>
      </c>
    </row>
    <row r="168" spans="1:17" x14ac:dyDescent="0.2">
      <c r="A168" s="532" t="s">
        <v>62</v>
      </c>
      <c r="B168" s="204">
        <f>G30</f>
        <v>310.24604908314166</v>
      </c>
      <c r="C168" s="153">
        <v>1</v>
      </c>
      <c r="D168" s="495">
        <f>B168*C168</f>
        <v>310.24604908314166</v>
      </c>
      <c r="E168" s="495">
        <f>G31</f>
        <v>64.726817801043538</v>
      </c>
      <c r="F168" s="153">
        <v>1</v>
      </c>
      <c r="G168" s="495">
        <f>E168*F168</f>
        <v>64.726817801043538</v>
      </c>
      <c r="H168" s="72"/>
      <c r="I168" s="72"/>
      <c r="J168" s="72"/>
      <c r="K168" s="495">
        <f>G168+J169+D168</f>
        <v>780.10310696641659</v>
      </c>
    </row>
    <row r="169" spans="1:17" x14ac:dyDescent="0.2">
      <c r="A169" s="532" t="s">
        <v>119</v>
      </c>
      <c r="B169" s="204"/>
      <c r="C169" s="495"/>
      <c r="D169" s="495"/>
      <c r="E169" s="495"/>
      <c r="F169" s="153"/>
      <c r="G169" s="495"/>
      <c r="H169" s="495">
        <f>G32</f>
        <v>405.13024008223135</v>
      </c>
      <c r="I169" s="368">
        <v>1</v>
      </c>
      <c r="J169" s="72">
        <f>H169*I169</f>
        <v>405.13024008223135</v>
      </c>
      <c r="K169" s="495"/>
    </row>
    <row r="170" spans="1:17" x14ac:dyDescent="0.2">
      <c r="A170" s="538" t="s">
        <v>218</v>
      </c>
      <c r="B170" s="621"/>
      <c r="C170" s="539"/>
      <c r="D170" s="539"/>
      <c r="E170" s="539"/>
      <c r="F170" s="539"/>
      <c r="G170" s="539"/>
      <c r="H170" s="522"/>
    </row>
    <row r="171" spans="1:17" ht="63.75" x14ac:dyDescent="0.2">
      <c r="A171" s="536" t="s">
        <v>615</v>
      </c>
      <c r="B171" s="619" t="s">
        <v>516</v>
      </c>
      <c r="C171" s="619" t="s">
        <v>500</v>
      </c>
      <c r="D171" s="619" t="s">
        <v>517</v>
      </c>
      <c r="E171" s="619" t="s">
        <v>518</v>
      </c>
      <c r="F171" s="619" t="s">
        <v>514</v>
      </c>
      <c r="G171" s="619" t="s">
        <v>519</v>
      </c>
      <c r="H171" s="619" t="s">
        <v>522</v>
      </c>
      <c r="I171" s="619" t="s">
        <v>514</v>
      </c>
      <c r="J171" s="619" t="s">
        <v>523</v>
      </c>
      <c r="K171" s="619" t="s">
        <v>520</v>
      </c>
      <c r="L171" s="619" t="s">
        <v>509</v>
      </c>
      <c r="M171" s="619" t="s">
        <v>521</v>
      </c>
      <c r="N171" s="632" t="s">
        <v>690</v>
      </c>
      <c r="O171" s="632" t="s">
        <v>514</v>
      </c>
      <c r="P171" s="632" t="s">
        <v>715</v>
      </c>
      <c r="Q171" s="619" t="s">
        <v>68</v>
      </c>
    </row>
    <row r="172" spans="1:17" x14ac:dyDescent="0.2">
      <c r="A172" s="537" t="s">
        <v>62</v>
      </c>
      <c r="B172" s="613">
        <f>G43</f>
        <v>162.73594963113126</v>
      </c>
      <c r="C172" s="153">
        <v>1</v>
      </c>
      <c r="D172" s="516">
        <f>B172*C172</f>
        <v>162.73594963113126</v>
      </c>
      <c r="E172" s="516">
        <f>G45</f>
        <v>225.21756357259528</v>
      </c>
      <c r="F172" s="153">
        <v>1</v>
      </c>
      <c r="G172" s="516">
        <f>E172*F172</f>
        <v>225.21756357259528</v>
      </c>
      <c r="H172" s="516">
        <f>G46</f>
        <v>10.725999980392011</v>
      </c>
      <c r="I172" s="153">
        <v>1</v>
      </c>
      <c r="J172" s="516">
        <f>H172*I172</f>
        <v>10.725999980392011</v>
      </c>
      <c r="K172" s="516">
        <f>G42</f>
        <v>22.329940750173186</v>
      </c>
      <c r="L172" s="153">
        <v>1</v>
      </c>
      <c r="M172" s="516">
        <f>K172*L172</f>
        <v>22.329940750173186</v>
      </c>
      <c r="Q172" s="516">
        <f>M172+J172+G172+P173+D172</f>
        <v>1146.9767067268065</v>
      </c>
    </row>
    <row r="173" spans="1:17" x14ac:dyDescent="0.2">
      <c r="A173" s="537" t="s">
        <v>119</v>
      </c>
      <c r="B173" s="613"/>
      <c r="C173" s="516"/>
      <c r="D173" s="516"/>
      <c r="E173" s="516"/>
      <c r="F173" s="153"/>
      <c r="G173" s="516"/>
      <c r="H173" s="516"/>
      <c r="I173" s="516"/>
      <c r="J173" s="516"/>
      <c r="K173" s="516"/>
      <c r="L173" s="516"/>
      <c r="M173" s="516"/>
      <c r="N173" s="79">
        <f>G44</f>
        <v>725.96725279251461</v>
      </c>
      <c r="O173" s="624">
        <v>1</v>
      </c>
      <c r="P173">
        <f>N173*O173</f>
        <v>725.96725279251461</v>
      </c>
      <c r="Q173" s="516"/>
    </row>
    <row r="174" spans="1:17" x14ac:dyDescent="0.2">
      <c r="A174" s="537" t="s">
        <v>218</v>
      </c>
      <c r="B174" s="613"/>
      <c r="C174" s="516"/>
      <c r="D174" s="516"/>
      <c r="E174" s="516"/>
      <c r="F174" s="516"/>
      <c r="G174" s="516"/>
      <c r="H174" s="516"/>
      <c r="I174" s="516"/>
      <c r="J174" s="516"/>
      <c r="K174" s="516"/>
      <c r="L174" s="516"/>
      <c r="M174" s="516"/>
      <c r="Q174" s="516"/>
    </row>
    <row r="175" spans="1:17" ht="63.75" x14ac:dyDescent="0.2">
      <c r="A175" s="536" t="s">
        <v>615</v>
      </c>
      <c r="B175" s="619" t="s">
        <v>524</v>
      </c>
      <c r="C175" s="619" t="s">
        <v>500</v>
      </c>
      <c r="D175" s="619" t="s">
        <v>525</v>
      </c>
      <c r="E175" s="619" t="s">
        <v>526</v>
      </c>
      <c r="F175" s="619" t="s">
        <v>514</v>
      </c>
      <c r="G175" s="619" t="s">
        <v>527</v>
      </c>
      <c r="H175" s="619" t="s">
        <v>528</v>
      </c>
      <c r="I175" s="619" t="s">
        <v>509</v>
      </c>
      <c r="J175" s="619" t="s">
        <v>529</v>
      </c>
      <c r="K175" s="632" t="s">
        <v>692</v>
      </c>
      <c r="L175" s="632" t="s">
        <v>514</v>
      </c>
      <c r="M175" s="632" t="s">
        <v>693</v>
      </c>
      <c r="N175" s="619" t="s">
        <v>68</v>
      </c>
    </row>
    <row r="176" spans="1:17" x14ac:dyDescent="0.2">
      <c r="A176" s="537" t="s">
        <v>62</v>
      </c>
      <c r="B176" s="613">
        <f>G58</f>
        <v>101.25518481308819</v>
      </c>
      <c r="C176" s="153">
        <v>0.98398804468169387</v>
      </c>
      <c r="D176" s="516">
        <f>B176*C176</f>
        <v>99.633891318114195</v>
      </c>
      <c r="E176" s="516">
        <f>G59</f>
        <v>22.434631574446147</v>
      </c>
      <c r="F176" s="153">
        <v>0.48799999999999999</v>
      </c>
      <c r="G176" s="516">
        <f>E176*F176</f>
        <v>10.94810020832972</v>
      </c>
      <c r="H176" s="516">
        <f>G57</f>
        <v>21.316557805192318</v>
      </c>
      <c r="I176" s="153">
        <f>[1]jurisdiction!$F$45</f>
        <v>0.98511937818180828</v>
      </c>
      <c r="J176" s="516">
        <f>H176*I176</f>
        <v>20.99935417002763</v>
      </c>
      <c r="N176" s="516">
        <f>J176+J178+G176+G178+D176+D178+M177</f>
        <v>343.14264834995174</v>
      </c>
    </row>
    <row r="177" spans="1:20" x14ac:dyDescent="0.2">
      <c r="A177" s="537" t="s">
        <v>119</v>
      </c>
      <c r="B177" s="613"/>
      <c r="C177" s="153"/>
      <c r="D177" s="516"/>
      <c r="E177" s="516"/>
      <c r="F177" s="153"/>
      <c r="G177" s="516"/>
      <c r="H177" s="516"/>
      <c r="I177" s="153"/>
      <c r="J177" s="516"/>
      <c r="K177" s="79">
        <f>G56</f>
        <v>198.1362769147687</v>
      </c>
      <c r="L177" s="624">
        <v>1</v>
      </c>
      <c r="M177">
        <f>K177*L177</f>
        <v>198.1362769147687</v>
      </c>
      <c r="N177" s="516"/>
    </row>
    <row r="178" spans="1:20" x14ac:dyDescent="0.2">
      <c r="A178" s="540" t="s">
        <v>218</v>
      </c>
      <c r="B178" s="622">
        <v>101.25504077594719</v>
      </c>
      <c r="C178" s="542">
        <v>1.6011955318306154E-2</v>
      </c>
      <c r="D178" s="541">
        <f>B178*C178</f>
        <v>1.6212911886577341</v>
      </c>
      <c r="E178" s="541">
        <f>G59</f>
        <v>22.434631574446147</v>
      </c>
      <c r="F178" s="542">
        <v>0.51200000000000001</v>
      </c>
      <c r="G178" s="541">
        <f>E178*F178</f>
        <v>11.486531366116427</v>
      </c>
      <c r="H178" s="541">
        <v>21.316527482043458</v>
      </c>
      <c r="I178" s="542">
        <f>[1]jurisdiction!$F$46</f>
        <v>1.4880621818191806E-2</v>
      </c>
      <c r="J178" s="541">
        <f>H178*I178</f>
        <v>0.31720318393738112</v>
      </c>
      <c r="N178" s="541"/>
    </row>
    <row r="179" spans="1:20" ht="68.25" customHeight="1" x14ac:dyDescent="0.2">
      <c r="A179" s="536" t="s">
        <v>615</v>
      </c>
      <c r="B179" s="619" t="s">
        <v>530</v>
      </c>
      <c r="C179" s="619" t="s">
        <v>500</v>
      </c>
      <c r="D179" s="619" t="s">
        <v>531</v>
      </c>
      <c r="E179" s="619" t="s">
        <v>694</v>
      </c>
      <c r="F179" s="619" t="s">
        <v>514</v>
      </c>
      <c r="G179" s="619" t="s">
        <v>714</v>
      </c>
      <c r="H179" s="619" t="s">
        <v>534</v>
      </c>
      <c r="I179" s="619" t="s">
        <v>514</v>
      </c>
      <c r="J179" s="619" t="s">
        <v>535</v>
      </c>
      <c r="K179" s="619" t="s">
        <v>532</v>
      </c>
      <c r="L179" s="619" t="s">
        <v>509</v>
      </c>
      <c r="M179" s="619" t="s">
        <v>533</v>
      </c>
      <c r="N179" s="619" t="s">
        <v>68</v>
      </c>
    </row>
    <row r="180" spans="1:20" x14ac:dyDescent="0.2">
      <c r="A180" s="537" t="s">
        <v>62</v>
      </c>
      <c r="B180" s="613">
        <f>G71</f>
        <v>402.33546785182352</v>
      </c>
      <c r="C180" s="153">
        <v>1</v>
      </c>
      <c r="D180" s="516">
        <f>B180*C180</f>
        <v>402.33546785182352</v>
      </c>
      <c r="E180" s="516"/>
      <c r="F180" s="516"/>
      <c r="G180" s="516"/>
      <c r="H180" s="516">
        <f>G72</f>
        <v>6.1011128701080795</v>
      </c>
      <c r="I180" s="153">
        <v>1</v>
      </c>
      <c r="J180" s="516">
        <f>H180*I180</f>
        <v>6.1011128701080795</v>
      </c>
      <c r="K180" s="516">
        <f>G70</f>
        <v>13.529682224658046</v>
      </c>
      <c r="L180" s="153">
        <v>1</v>
      </c>
      <c r="M180" s="516">
        <f>K180*L180</f>
        <v>13.529682224658046</v>
      </c>
      <c r="N180" s="516">
        <f>M180+J180+G181+D180</f>
        <v>892.29488216750269</v>
      </c>
    </row>
    <row r="181" spans="1:20" x14ac:dyDescent="0.2">
      <c r="A181" s="537" t="s">
        <v>119</v>
      </c>
      <c r="B181" s="613"/>
      <c r="C181" s="516"/>
      <c r="D181" s="516"/>
      <c r="E181" s="516">
        <f>G69</f>
        <v>470.32861922091303</v>
      </c>
      <c r="F181" s="153">
        <v>1</v>
      </c>
      <c r="G181" s="516">
        <f>E181*F181</f>
        <v>470.32861922091303</v>
      </c>
      <c r="H181" s="516"/>
      <c r="I181" s="516"/>
      <c r="J181" s="516"/>
      <c r="K181" s="516"/>
      <c r="L181" s="516"/>
      <c r="M181" s="516"/>
      <c r="N181" s="516"/>
    </row>
    <row r="182" spans="1:20" x14ac:dyDescent="0.2">
      <c r="A182" s="540" t="s">
        <v>218</v>
      </c>
      <c r="B182" s="622"/>
      <c r="C182" s="541"/>
      <c r="D182" s="541"/>
      <c r="E182" s="541"/>
      <c r="F182" s="541"/>
      <c r="G182" s="541"/>
      <c r="H182" s="541"/>
      <c r="I182" s="541"/>
      <c r="J182" s="541"/>
      <c r="K182" s="541"/>
      <c r="L182" s="541"/>
      <c r="M182" s="541"/>
      <c r="N182" s="541"/>
    </row>
    <row r="183" spans="1:20" ht="66.75" customHeight="1" x14ac:dyDescent="0.2">
      <c r="A183" s="536" t="s">
        <v>615</v>
      </c>
      <c r="B183" s="619" t="s">
        <v>536</v>
      </c>
      <c r="C183" s="629" t="s">
        <v>500</v>
      </c>
      <c r="D183" s="629" t="s">
        <v>537</v>
      </c>
      <c r="E183" s="619" t="s">
        <v>538</v>
      </c>
      <c r="F183" s="619" t="s">
        <v>514</v>
      </c>
      <c r="G183" s="619" t="s">
        <v>539</v>
      </c>
      <c r="H183" s="619" t="s">
        <v>540</v>
      </c>
      <c r="I183" s="619" t="s">
        <v>514</v>
      </c>
      <c r="J183" s="619" t="s">
        <v>540</v>
      </c>
      <c r="K183" s="619" t="s">
        <v>541</v>
      </c>
      <c r="L183" s="619" t="s">
        <v>509</v>
      </c>
      <c r="M183" s="619" t="s">
        <v>542</v>
      </c>
      <c r="N183" s="619" t="s">
        <v>543</v>
      </c>
      <c r="O183" s="619" t="s">
        <v>509</v>
      </c>
      <c r="P183" s="619" t="s">
        <v>544</v>
      </c>
      <c r="Q183" s="619" t="s">
        <v>695</v>
      </c>
      <c r="R183" s="619" t="s">
        <v>514</v>
      </c>
      <c r="S183" s="619" t="s">
        <v>696</v>
      </c>
      <c r="T183" s="536" t="s">
        <v>68</v>
      </c>
    </row>
    <row r="184" spans="1:20" x14ac:dyDescent="0.2">
      <c r="A184" s="537" t="s">
        <v>62</v>
      </c>
      <c r="B184" s="613">
        <f>G86</f>
        <v>345.17171620406987</v>
      </c>
      <c r="C184" s="153">
        <v>0.54025618380562346</v>
      </c>
      <c r="D184" s="516">
        <f>B184*C184</f>
        <v>186.48115415404845</v>
      </c>
      <c r="E184" s="516">
        <f>G87</f>
        <v>1173.0625965965255</v>
      </c>
      <c r="F184" s="153">
        <v>3.5999999999999997E-2</v>
      </c>
      <c r="G184" s="516">
        <f>E184*F184</f>
        <v>42.230253477474918</v>
      </c>
      <c r="H184" s="516"/>
      <c r="I184" s="516"/>
      <c r="J184" s="516"/>
      <c r="K184" s="516">
        <f>G85</f>
        <v>46.776760620318768</v>
      </c>
      <c r="L184" s="153">
        <v>1.6205311171023914E-2</v>
      </c>
      <c r="M184" s="516">
        <f>K184*L184</f>
        <v>0.75803196142476326</v>
      </c>
      <c r="N184" s="516"/>
      <c r="O184" s="516"/>
      <c r="P184" s="516"/>
      <c r="Q184" s="72"/>
      <c r="R184" s="72"/>
      <c r="S184" s="72"/>
      <c r="T184" s="516">
        <f>P186+M184+M186+J186+G184+G186+D184+D186+S185</f>
        <v>2620.5369676414339</v>
      </c>
    </row>
    <row r="185" spans="1:20" x14ac:dyDescent="0.2">
      <c r="A185" s="537" t="s">
        <v>119</v>
      </c>
      <c r="B185" s="613"/>
      <c r="C185" s="153"/>
      <c r="D185" s="516"/>
      <c r="E185" s="516"/>
      <c r="F185" s="153"/>
      <c r="G185" s="516"/>
      <c r="H185" s="516"/>
      <c r="I185" s="516"/>
      <c r="J185" s="516"/>
      <c r="K185" s="516"/>
      <c r="L185" s="153"/>
      <c r="M185" s="516"/>
      <c r="N185" s="516"/>
      <c r="O185" s="516"/>
      <c r="P185" s="516"/>
      <c r="Q185" s="495">
        <f>G84</f>
        <v>512.43893091404823</v>
      </c>
      <c r="R185" s="368">
        <v>1</v>
      </c>
      <c r="S185" s="495">
        <f>Q185*R185</f>
        <v>512.43893091404823</v>
      </c>
      <c r="T185" s="516"/>
    </row>
    <row r="186" spans="1:20" x14ac:dyDescent="0.2">
      <c r="A186" s="537" t="s">
        <v>218</v>
      </c>
      <c r="B186" s="613">
        <v>345.17122519171096</v>
      </c>
      <c r="C186" s="153">
        <v>0.4597438161943766</v>
      </c>
      <c r="D186" s="516">
        <f>B186*C186</f>
        <v>158.69033631012573</v>
      </c>
      <c r="E186" s="516">
        <f>G87</f>
        <v>1173.0625965965255</v>
      </c>
      <c r="F186" s="153">
        <v>0.96399999999999997</v>
      </c>
      <c r="G186" s="516">
        <f>E186*F186</f>
        <v>1130.8323431190506</v>
      </c>
      <c r="H186" s="516">
        <f>G88</f>
        <v>410.4959407380785</v>
      </c>
      <c r="I186" s="153">
        <v>1</v>
      </c>
      <c r="J186" s="516">
        <f>H186*I186</f>
        <v>410.4959407380785</v>
      </c>
      <c r="K186" s="516">
        <v>46.776694079618878</v>
      </c>
      <c r="L186" s="153">
        <f>[1]jurisdiction!$F$77</f>
        <v>0.98379468882897614</v>
      </c>
      <c r="M186" s="516">
        <f>K186*L186</f>
        <v>46.018663196506864</v>
      </c>
      <c r="N186" s="516">
        <f>G89</f>
        <v>132.59131377067584</v>
      </c>
      <c r="O186" s="153">
        <v>1</v>
      </c>
      <c r="P186" s="516">
        <f>N186*O186</f>
        <v>132.59131377067584</v>
      </c>
      <c r="Q186" s="72"/>
      <c r="R186" s="72"/>
      <c r="S186" s="72"/>
      <c r="T186" s="516"/>
    </row>
    <row r="187" spans="1:20" ht="63.75" x14ac:dyDescent="0.2">
      <c r="A187" s="536" t="s">
        <v>615</v>
      </c>
      <c r="B187" s="619" t="s">
        <v>545</v>
      </c>
      <c r="C187" s="536" t="s">
        <v>500</v>
      </c>
      <c r="D187" s="536" t="s">
        <v>546</v>
      </c>
      <c r="E187" s="536" t="s">
        <v>697</v>
      </c>
      <c r="F187" s="536" t="s">
        <v>514</v>
      </c>
      <c r="G187" s="536" t="s">
        <v>698</v>
      </c>
      <c r="H187" s="536" t="s">
        <v>68</v>
      </c>
    </row>
    <row r="188" spans="1:20" x14ac:dyDescent="0.2">
      <c r="A188" s="537" t="s">
        <v>62</v>
      </c>
      <c r="B188" s="613">
        <f>G99</f>
        <v>841.65243162280171</v>
      </c>
      <c r="C188" s="153">
        <f>[1]jurisdiction!$F$88</f>
        <v>0.98754164297816283</v>
      </c>
      <c r="D188" s="516">
        <f>B188*C188</f>
        <v>831.16682514134743</v>
      </c>
      <c r="E188" s="516"/>
      <c r="F188" s="516"/>
      <c r="G188" s="516"/>
      <c r="H188" s="516">
        <f>G189+D188+D190</f>
        <v>1037.0995258597632</v>
      </c>
    </row>
    <row r="189" spans="1:20" x14ac:dyDescent="0.2">
      <c r="A189" s="537" t="s">
        <v>119</v>
      </c>
      <c r="B189" s="613"/>
      <c r="C189" s="153"/>
      <c r="D189" s="516"/>
      <c r="E189" s="516">
        <f>G100</f>
        <v>195.44710915290653</v>
      </c>
      <c r="F189" s="153">
        <v>1</v>
      </c>
      <c r="G189" s="516">
        <f>E189*F189</f>
        <v>195.44710915290653</v>
      </c>
      <c r="H189" s="516"/>
    </row>
    <row r="190" spans="1:20" x14ac:dyDescent="0.2">
      <c r="A190" s="537" t="s">
        <v>218</v>
      </c>
      <c r="B190" s="613">
        <v>841.65123435858072</v>
      </c>
      <c r="C190" s="153">
        <f>[1]jurisdiction!$F$89</f>
        <v>1.2458357021837186E-2</v>
      </c>
      <c r="D190" s="516">
        <f>B190*C190</f>
        <v>10.485591565509159</v>
      </c>
      <c r="E190" s="516"/>
      <c r="F190" s="516"/>
      <c r="G190" s="516"/>
      <c r="H190" s="516"/>
    </row>
    <row r="191" spans="1:20" ht="63.75" x14ac:dyDescent="0.2">
      <c r="A191" s="536" t="s">
        <v>615</v>
      </c>
      <c r="B191" s="619" t="s">
        <v>547</v>
      </c>
      <c r="C191" s="536" t="s">
        <v>500</v>
      </c>
      <c r="D191" s="536" t="s">
        <v>548</v>
      </c>
      <c r="E191" s="536" t="s">
        <v>699</v>
      </c>
      <c r="F191" s="536" t="s">
        <v>514</v>
      </c>
      <c r="G191" s="536" t="s">
        <v>716</v>
      </c>
      <c r="H191" s="536" t="s">
        <v>68</v>
      </c>
      <c r="I191" s="509"/>
      <c r="J191" s="509"/>
    </row>
    <row r="192" spans="1:20" x14ac:dyDescent="0.2">
      <c r="A192" s="537" t="s">
        <v>62</v>
      </c>
      <c r="B192" s="613">
        <f>G108</f>
        <v>41.948868520490635</v>
      </c>
      <c r="C192" s="153">
        <v>1</v>
      </c>
      <c r="D192" s="516">
        <f>B192*C192</f>
        <v>41.948868520490635</v>
      </c>
      <c r="E192" s="516"/>
      <c r="F192" s="516"/>
      <c r="G192" s="516"/>
      <c r="H192" s="516">
        <f>G193+D192</f>
        <v>198.06241027183933</v>
      </c>
    </row>
    <row r="193" spans="1:17" x14ac:dyDescent="0.2">
      <c r="A193" s="537" t="s">
        <v>119</v>
      </c>
      <c r="B193" s="613"/>
      <c r="C193" s="516"/>
      <c r="D193" s="516"/>
      <c r="E193" s="516">
        <f>G109</f>
        <v>156.11354175134869</v>
      </c>
      <c r="F193" s="153">
        <v>1</v>
      </c>
      <c r="G193" s="516">
        <f>E193*F193</f>
        <v>156.11354175134869</v>
      </c>
      <c r="H193" s="516"/>
    </row>
    <row r="194" spans="1:17" x14ac:dyDescent="0.2">
      <c r="A194" s="537" t="s">
        <v>218</v>
      </c>
      <c r="B194" s="613"/>
      <c r="C194" s="516"/>
      <c r="D194" s="516"/>
      <c r="E194" s="516"/>
      <c r="F194" s="516"/>
      <c r="G194" s="516"/>
      <c r="H194" s="516"/>
    </row>
    <row r="195" spans="1:17" ht="38.25" x14ac:dyDescent="0.2">
      <c r="A195" s="536" t="s">
        <v>615</v>
      </c>
      <c r="B195" s="619" t="s">
        <v>549</v>
      </c>
      <c r="C195" s="536" t="s">
        <v>500</v>
      </c>
      <c r="D195" s="536" t="s">
        <v>550</v>
      </c>
      <c r="E195" s="536" t="s">
        <v>68</v>
      </c>
    </row>
    <row r="196" spans="1:17" x14ac:dyDescent="0.2">
      <c r="A196" s="537" t="s">
        <v>62</v>
      </c>
      <c r="B196" s="613">
        <f>G117</f>
        <v>2.1852915939942985</v>
      </c>
      <c r="C196" s="153">
        <v>1</v>
      </c>
      <c r="D196" s="516">
        <f>B196*C196</f>
        <v>2.1852915939942985</v>
      </c>
      <c r="E196" s="516">
        <f>D196</f>
        <v>2.1852915939942985</v>
      </c>
    </row>
    <row r="197" spans="1:17" x14ac:dyDescent="0.2">
      <c r="A197" s="537" t="s">
        <v>119</v>
      </c>
      <c r="B197" s="613"/>
      <c r="C197" s="516"/>
      <c r="D197" s="516"/>
      <c r="E197" s="516"/>
    </row>
    <row r="198" spans="1:17" x14ac:dyDescent="0.2">
      <c r="A198" s="540" t="s">
        <v>218</v>
      </c>
      <c r="B198" s="622"/>
      <c r="C198" s="541"/>
      <c r="D198" s="541"/>
      <c r="E198" s="541"/>
    </row>
    <row r="199" spans="1:17" ht="63.75" x14ac:dyDescent="0.2">
      <c r="A199" s="536" t="s">
        <v>615</v>
      </c>
      <c r="B199" s="619" t="s">
        <v>551</v>
      </c>
      <c r="C199" s="536" t="s">
        <v>500</v>
      </c>
      <c r="D199" s="536" t="s">
        <v>552</v>
      </c>
      <c r="E199" s="536" t="s">
        <v>553</v>
      </c>
      <c r="F199" s="536" t="s">
        <v>514</v>
      </c>
      <c r="G199" s="536" t="s">
        <v>554</v>
      </c>
      <c r="H199" s="536" t="s">
        <v>555</v>
      </c>
      <c r="I199" s="536" t="s">
        <v>514</v>
      </c>
      <c r="J199" s="536" t="s">
        <v>555</v>
      </c>
      <c r="K199" s="536" t="s">
        <v>556</v>
      </c>
      <c r="L199" s="536" t="s">
        <v>509</v>
      </c>
      <c r="M199" s="536" t="s">
        <v>557</v>
      </c>
      <c r="N199" s="536" t="s">
        <v>700</v>
      </c>
      <c r="O199" s="536" t="s">
        <v>514</v>
      </c>
      <c r="P199" s="536" t="s">
        <v>701</v>
      </c>
      <c r="Q199" s="536" t="s">
        <v>68</v>
      </c>
    </row>
    <row r="200" spans="1:17" x14ac:dyDescent="0.2">
      <c r="A200" s="537" t="s">
        <v>62</v>
      </c>
      <c r="B200" s="613">
        <f>G127</f>
        <v>651.69709835867911</v>
      </c>
      <c r="C200" s="153">
        <v>1</v>
      </c>
      <c r="D200" s="516">
        <f>B200*C200</f>
        <v>651.69709835867911</v>
      </c>
      <c r="E200" s="516">
        <f>G128</f>
        <v>201.69387221298186</v>
      </c>
      <c r="F200" s="153">
        <v>1</v>
      </c>
      <c r="G200" s="516">
        <f>E200*F200</f>
        <v>201.69387221298186</v>
      </c>
      <c r="H200" s="516">
        <f>G129</f>
        <v>340.11226655963412</v>
      </c>
      <c r="I200" s="153">
        <v>1</v>
      </c>
      <c r="J200" s="516">
        <f>H200*I200</f>
        <v>340.11226655963412</v>
      </c>
      <c r="K200" s="516">
        <f>G126</f>
        <v>5.3905835750228741</v>
      </c>
      <c r="L200" s="153">
        <v>1</v>
      </c>
      <c r="M200" s="516">
        <f>K200*L200</f>
        <v>5.3905835750228741</v>
      </c>
      <c r="N200" s="72"/>
      <c r="O200" s="72"/>
      <c r="P200" s="72"/>
      <c r="Q200" s="516">
        <f>M200+J200+G200+D200+P201</f>
        <v>2101.6517786243226</v>
      </c>
    </row>
    <row r="201" spans="1:17" x14ac:dyDescent="0.2">
      <c r="A201" s="537" t="s">
        <v>119</v>
      </c>
      <c r="B201" s="613"/>
      <c r="C201" s="516"/>
      <c r="D201" s="516"/>
      <c r="E201" s="516"/>
      <c r="F201" s="153"/>
      <c r="G201" s="516"/>
      <c r="H201" s="516"/>
      <c r="I201" s="516"/>
      <c r="J201" s="516"/>
      <c r="K201" s="516"/>
      <c r="L201" s="516"/>
      <c r="M201" s="516"/>
      <c r="N201" s="495">
        <f>G125</f>
        <v>902.75795791800454</v>
      </c>
      <c r="O201" s="368">
        <v>1</v>
      </c>
      <c r="P201" s="495">
        <f>N201*O201</f>
        <v>902.75795791800454</v>
      </c>
      <c r="Q201" s="516"/>
    </row>
    <row r="202" spans="1:17" x14ac:dyDescent="0.2">
      <c r="A202" s="537" t="s">
        <v>218</v>
      </c>
      <c r="B202" s="613"/>
      <c r="C202" s="516"/>
      <c r="D202" s="516"/>
      <c r="E202" s="516"/>
      <c r="F202" s="516"/>
      <c r="G202" s="516"/>
      <c r="H202" s="516"/>
      <c r="I202" s="516"/>
      <c r="J202" s="516"/>
      <c r="K202" s="516"/>
      <c r="L202" s="516"/>
      <c r="M202" s="516"/>
      <c r="N202" s="72"/>
      <c r="O202" s="72"/>
      <c r="P202" s="72"/>
      <c r="Q202" s="516"/>
    </row>
    <row r="204" spans="1:17" ht="38.25" x14ac:dyDescent="0.2">
      <c r="A204" s="531" t="s">
        <v>617</v>
      </c>
      <c r="B204" s="476" t="s">
        <v>34</v>
      </c>
      <c r="C204" s="476" t="s">
        <v>559</v>
      </c>
      <c r="D204" s="476" t="s">
        <v>35</v>
      </c>
      <c r="E204" s="476" t="s">
        <v>36</v>
      </c>
      <c r="F204" s="476" t="s">
        <v>560</v>
      </c>
      <c r="G204" s="476" t="s">
        <v>561</v>
      </c>
      <c r="H204" s="476" t="s">
        <v>42</v>
      </c>
      <c r="I204" s="476" t="s">
        <v>68</v>
      </c>
    </row>
    <row r="205" spans="1:17" x14ac:dyDescent="0.2">
      <c r="A205" s="72" t="s">
        <v>62</v>
      </c>
      <c r="B205" s="613">
        <f>D160+D164+D168+D172+D176+D180+D184+D188+D192+D196+D200</f>
        <v>3088.8743712324858</v>
      </c>
      <c r="C205" s="377">
        <f>G168+G172+G176+G184+G200</f>
        <v>544.81660727242536</v>
      </c>
      <c r="D205" s="377">
        <f>J172+J200</f>
        <v>350.83826654002615</v>
      </c>
      <c r="E205" s="377"/>
      <c r="F205" s="377">
        <f>J164+M172+J176+M180+M184+M200</f>
        <v>64.280738261792365</v>
      </c>
      <c r="G205" s="377">
        <f>J180</f>
        <v>6.1011128701080795</v>
      </c>
      <c r="H205" s="72"/>
      <c r="I205" s="272">
        <f>SUM(B205:G205)</f>
        <v>4054.9110961768379</v>
      </c>
    </row>
    <row r="206" spans="1:17" x14ac:dyDescent="0.2">
      <c r="A206" s="72" t="s">
        <v>119</v>
      </c>
      <c r="B206" s="613"/>
      <c r="C206" s="377"/>
      <c r="D206" s="377"/>
      <c r="E206" s="377"/>
      <c r="F206" s="377"/>
      <c r="G206" s="377"/>
      <c r="H206" s="613">
        <f>G165+J169+P173+M177+G181+G189+G193+P201+S185</f>
        <v>3673.9674671599723</v>
      </c>
      <c r="I206" s="272">
        <f>SUM(B206:H206)</f>
        <v>3673.9674671599723</v>
      </c>
    </row>
    <row r="207" spans="1:17" x14ac:dyDescent="0.2">
      <c r="A207" s="72" t="s">
        <v>218</v>
      </c>
      <c r="B207" s="613">
        <f>D178+D186+D190</f>
        <v>170.79721906429262</v>
      </c>
      <c r="C207" s="377">
        <f>G178+G186</f>
        <v>1142.318874485167</v>
      </c>
      <c r="D207" s="377">
        <f>J186</f>
        <v>410.4959407380785</v>
      </c>
      <c r="E207" s="377">
        <f>P186</f>
        <v>132.59131377067584</v>
      </c>
      <c r="F207" s="377">
        <f>J178+M186</f>
        <v>46.335866380444244</v>
      </c>
      <c r="G207" s="377"/>
      <c r="H207" s="72"/>
      <c r="I207" s="272">
        <f>SUM(B207:G207)</f>
        <v>1902.5392144386585</v>
      </c>
    </row>
    <row r="208" spans="1:17" x14ac:dyDescent="0.2">
      <c r="A208" s="235" t="s">
        <v>68</v>
      </c>
      <c r="B208" s="614">
        <f t="shared" ref="B208:H208" si="52">SUM(B205:B207)</f>
        <v>3259.6715902967785</v>
      </c>
      <c r="C208" s="543">
        <f t="shared" si="52"/>
        <v>1687.1354817575925</v>
      </c>
      <c r="D208" s="543">
        <f t="shared" si="52"/>
        <v>761.33420727810471</v>
      </c>
      <c r="E208" s="543">
        <f t="shared" si="52"/>
        <v>132.59131377067584</v>
      </c>
      <c r="F208" s="543">
        <f t="shared" si="52"/>
        <v>110.61660464223661</v>
      </c>
      <c r="G208" s="543">
        <f t="shared" si="52"/>
        <v>6.1011128701080795</v>
      </c>
      <c r="H208" s="633">
        <f t="shared" si="52"/>
        <v>3673.9674671599723</v>
      </c>
      <c r="I208" s="272">
        <f>SUM(B208:H208)</f>
        <v>9631.4177777754703</v>
      </c>
    </row>
  </sheetData>
  <pageMargins left="0.7" right="0.7" top="0.75" bottom="0.75" header="0.3" footer="0.3"/>
  <pageSetup orientation="portrait" r:id="rId1"/>
  <ignoredErrors>
    <ignoredError sqref="N180" evalError="1"/>
    <ignoredError sqref="I20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55"/>
  <sheetViews>
    <sheetView topLeftCell="A38" workbookViewId="0">
      <selection activeCell="P62" sqref="P62"/>
    </sheetView>
  </sheetViews>
  <sheetFormatPr defaultRowHeight="12.75" x14ac:dyDescent="0.2"/>
  <cols>
    <col min="1" max="1" width="16.140625" customWidth="1"/>
    <col min="2" max="2" width="12.42578125" customWidth="1"/>
    <col min="3" max="3" width="13.85546875" customWidth="1"/>
    <col min="4" max="4" width="14.85546875" customWidth="1"/>
    <col min="5" max="7" width="13.85546875" customWidth="1"/>
    <col min="8" max="8" width="13.42578125" customWidth="1"/>
    <col min="9" max="10" width="13.85546875" customWidth="1"/>
    <col min="11" max="11" width="12.85546875" customWidth="1"/>
    <col min="12" max="12" width="12.7109375" customWidth="1"/>
    <col min="13" max="14" width="14.85546875" customWidth="1"/>
    <col min="15" max="15" width="14" customWidth="1"/>
    <col min="16" max="16" width="15.7109375" customWidth="1"/>
    <col min="17" max="17" width="15.28515625" customWidth="1"/>
    <col min="18" max="18" width="12.7109375" customWidth="1"/>
    <col min="19" max="19" width="15.5703125" customWidth="1"/>
    <col min="20" max="20" width="13.28515625" customWidth="1"/>
  </cols>
  <sheetData>
    <row r="2" spans="1:14" ht="70.900000000000006" customHeight="1" x14ac:dyDescent="0.2">
      <c r="A2" s="515" t="s">
        <v>583</v>
      </c>
      <c r="B2" s="515" t="s">
        <v>502</v>
      </c>
      <c r="C2" s="515" t="s">
        <v>500</v>
      </c>
      <c r="D2" s="515" t="s">
        <v>721</v>
      </c>
      <c r="E2" s="517" t="s">
        <v>576</v>
      </c>
      <c r="N2" s="21"/>
    </row>
    <row r="3" spans="1:14" x14ac:dyDescent="0.2">
      <c r="A3" s="159" t="s">
        <v>62</v>
      </c>
      <c r="B3" s="495">
        <f>'Lochloosa Lake TN Budget'!E9</f>
        <v>350.89220505736643</v>
      </c>
      <c r="C3" s="153">
        <v>1</v>
      </c>
      <c r="D3" s="495">
        <f>B3*C3</f>
        <v>350.89220505736643</v>
      </c>
      <c r="E3" s="495">
        <f>D3</f>
        <v>350.89220505736643</v>
      </c>
    </row>
    <row r="4" spans="1:14" x14ac:dyDescent="0.2">
      <c r="A4" s="159" t="s">
        <v>119</v>
      </c>
      <c r="B4" s="72"/>
      <c r="C4" s="72"/>
      <c r="D4" s="72"/>
      <c r="E4" s="72"/>
    </row>
    <row r="5" spans="1:14" x14ac:dyDescent="0.2">
      <c r="A5" s="159" t="s">
        <v>218</v>
      </c>
      <c r="B5" s="72"/>
      <c r="C5" s="72"/>
      <c r="D5" s="72"/>
      <c r="E5" s="72"/>
    </row>
    <row r="7" spans="1:14" ht="67.900000000000006" customHeight="1" x14ac:dyDescent="0.2">
      <c r="A7" s="515" t="s">
        <v>584</v>
      </c>
      <c r="B7" s="515" t="s">
        <v>503</v>
      </c>
      <c r="C7" s="515" t="s">
        <v>500</v>
      </c>
      <c r="D7" s="515" t="s">
        <v>720</v>
      </c>
      <c r="E7" s="515" t="s">
        <v>703</v>
      </c>
      <c r="F7" s="515" t="s">
        <v>505</v>
      </c>
      <c r="G7" s="515" t="s">
        <v>604</v>
      </c>
      <c r="H7" s="515" t="s">
        <v>508</v>
      </c>
      <c r="I7" s="515" t="s">
        <v>509</v>
      </c>
      <c r="J7" s="515" t="s">
        <v>592</v>
      </c>
      <c r="K7" s="517" t="s">
        <v>576</v>
      </c>
    </row>
    <row r="8" spans="1:14" x14ac:dyDescent="0.2">
      <c r="A8" s="159" t="s">
        <v>62</v>
      </c>
      <c r="B8" s="495">
        <f>'Lochloosa Lake TN Budget'!E19</f>
        <v>200.65296404214737</v>
      </c>
      <c r="C8" s="153">
        <v>1</v>
      </c>
      <c r="D8" s="495">
        <f>B8*C8</f>
        <v>200.65296404214737</v>
      </c>
      <c r="E8" s="72"/>
      <c r="F8" s="72"/>
      <c r="G8" s="72"/>
      <c r="H8" s="495">
        <f>'Lochloosa Lake TN Budget'!E18</f>
        <v>1.7535477819846736</v>
      </c>
      <c r="I8" s="514">
        <v>1</v>
      </c>
      <c r="J8" s="495">
        <f>H8*I8</f>
        <v>1.7535477819846736</v>
      </c>
      <c r="K8" s="495">
        <f>D8+J8</f>
        <v>202.40651182413205</v>
      </c>
    </row>
    <row r="9" spans="1:14" x14ac:dyDescent="0.2">
      <c r="A9" s="159" t="s">
        <v>119</v>
      </c>
      <c r="B9" s="495"/>
      <c r="C9" s="72"/>
      <c r="D9" s="72"/>
      <c r="E9" s="495">
        <f>'Lochloosa Lake TN Budget'!E20</f>
        <v>148.2667065840204</v>
      </c>
      <c r="F9" s="153">
        <v>1</v>
      </c>
      <c r="G9" s="495">
        <f>E9*F9</f>
        <v>148.2667065840204</v>
      </c>
      <c r="H9" s="72"/>
      <c r="I9" s="72"/>
      <c r="J9" s="72"/>
      <c r="K9" s="495">
        <f>G9</f>
        <v>148.2667065840204</v>
      </c>
    </row>
    <row r="10" spans="1:14" x14ac:dyDescent="0.2">
      <c r="A10" s="159" t="s">
        <v>218</v>
      </c>
      <c r="B10" s="495"/>
      <c r="C10" s="72"/>
      <c r="D10" s="72"/>
      <c r="E10" s="72"/>
      <c r="F10" s="72"/>
      <c r="G10" s="72"/>
      <c r="H10" s="72"/>
      <c r="I10" s="72"/>
      <c r="J10" s="72"/>
      <c r="K10" s="72"/>
    </row>
    <row r="11" spans="1:14" x14ac:dyDescent="0.2">
      <c r="A11" s="170"/>
      <c r="B11" s="502"/>
      <c r="C11" s="146"/>
      <c r="D11" s="146"/>
      <c r="E11" s="146"/>
      <c r="F11" s="146"/>
      <c r="G11" s="146"/>
      <c r="H11" s="146"/>
      <c r="I11" s="146"/>
      <c r="J11" s="146"/>
      <c r="K11" s="146"/>
    </row>
    <row r="12" spans="1:14" ht="71.45" customHeight="1" x14ac:dyDescent="0.2">
      <c r="A12" s="515" t="s">
        <v>585</v>
      </c>
      <c r="B12" s="515" t="s">
        <v>511</v>
      </c>
      <c r="C12" s="515" t="s">
        <v>500</v>
      </c>
      <c r="D12" s="515" t="s">
        <v>722</v>
      </c>
      <c r="E12" s="515" t="s">
        <v>513</v>
      </c>
      <c r="F12" s="515" t="s">
        <v>514</v>
      </c>
      <c r="G12" s="515" t="s">
        <v>605</v>
      </c>
      <c r="H12" s="515" t="s">
        <v>704</v>
      </c>
      <c r="I12" s="515" t="s">
        <v>509</v>
      </c>
      <c r="J12" s="515" t="s">
        <v>719</v>
      </c>
      <c r="K12" s="517" t="s">
        <v>576</v>
      </c>
    </row>
    <row r="13" spans="1:14" x14ac:dyDescent="0.2">
      <c r="A13" s="159" t="s">
        <v>62</v>
      </c>
      <c r="B13" s="495">
        <f>'Lochloosa Lake TN Budget'!E30</f>
        <v>427.31269666084296</v>
      </c>
      <c r="C13" s="153">
        <v>1</v>
      </c>
      <c r="D13" s="495">
        <f>B13*C13</f>
        <v>427.31269666084296</v>
      </c>
      <c r="E13" s="495">
        <f>'Lochloosa Lake TN Budget'!B31</f>
        <v>89.150502133959009</v>
      </c>
      <c r="F13" s="153">
        <v>1</v>
      </c>
      <c r="G13" s="495">
        <f>E13*F13</f>
        <v>89.150502133959009</v>
      </c>
      <c r="H13" s="72"/>
      <c r="I13" s="72"/>
      <c r="J13" s="72"/>
      <c r="K13" s="495">
        <f>D13+G13</f>
        <v>516.463198794802</v>
      </c>
    </row>
    <row r="14" spans="1:14" x14ac:dyDescent="0.2">
      <c r="A14" s="159" t="s">
        <v>119</v>
      </c>
      <c r="B14" s="72"/>
      <c r="C14" s="72"/>
      <c r="D14" s="72"/>
      <c r="E14" s="495"/>
      <c r="F14" s="153"/>
      <c r="G14" s="495"/>
      <c r="H14" s="495">
        <f>'Lochloosa Lake TN Budget'!B32</f>
        <v>558</v>
      </c>
      <c r="I14" s="368">
        <v>1</v>
      </c>
      <c r="J14" s="495">
        <f>H14*I14</f>
        <v>558</v>
      </c>
      <c r="K14" s="495">
        <f>J14</f>
        <v>558</v>
      </c>
    </row>
    <row r="15" spans="1:14" x14ac:dyDescent="0.2">
      <c r="A15" s="159" t="s">
        <v>218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</row>
    <row r="16" spans="1:14" x14ac:dyDescent="0.2">
      <c r="A16" s="170"/>
      <c r="B16" s="146"/>
      <c r="C16" s="146"/>
      <c r="D16" s="146"/>
      <c r="E16" s="146"/>
      <c r="F16" s="146"/>
      <c r="G16" s="146"/>
      <c r="H16" s="146"/>
    </row>
    <row r="17" spans="1:20" ht="72" customHeight="1" x14ac:dyDescent="0.2">
      <c r="A17" s="515" t="s">
        <v>573</v>
      </c>
      <c r="B17" s="515" t="s">
        <v>516</v>
      </c>
      <c r="C17" s="515" t="s">
        <v>500</v>
      </c>
      <c r="D17" s="515" t="s">
        <v>723</v>
      </c>
      <c r="E17" s="515" t="s">
        <v>518</v>
      </c>
      <c r="F17" s="515" t="s">
        <v>514</v>
      </c>
      <c r="G17" s="515" t="s">
        <v>606</v>
      </c>
      <c r="H17" s="515" t="s">
        <v>522</v>
      </c>
      <c r="I17" s="515" t="s">
        <v>514</v>
      </c>
      <c r="J17" s="515" t="s">
        <v>607</v>
      </c>
      <c r="K17" s="515" t="s">
        <v>520</v>
      </c>
      <c r="L17" s="515" t="s">
        <v>509</v>
      </c>
      <c r="M17" s="515" t="s">
        <v>591</v>
      </c>
      <c r="N17" s="515" t="s">
        <v>690</v>
      </c>
      <c r="O17" s="515" t="s">
        <v>509</v>
      </c>
      <c r="P17" s="515" t="s">
        <v>724</v>
      </c>
      <c r="Q17" s="517" t="s">
        <v>576</v>
      </c>
    </row>
    <row r="18" spans="1:20" x14ac:dyDescent="0.2">
      <c r="A18" s="159" t="s">
        <v>62</v>
      </c>
      <c r="B18" s="495">
        <f>'Lochloosa Lake TN Budget'!E43</f>
        <v>224.14189539576151</v>
      </c>
      <c r="C18" s="153">
        <v>1</v>
      </c>
      <c r="D18" s="495">
        <f>C18*B18</f>
        <v>224.14189539576151</v>
      </c>
      <c r="E18" s="495">
        <f>'Lochloosa Lake TN Budget'!B45</f>
        <v>310.2</v>
      </c>
      <c r="F18" s="153">
        <v>1</v>
      </c>
      <c r="G18" s="495">
        <f>F18*E18</f>
        <v>310.2</v>
      </c>
      <c r="H18" s="495">
        <f>'Lochloosa Lake TN Budget'!E46</f>
        <v>14.773293615020972</v>
      </c>
      <c r="I18" s="153">
        <v>1</v>
      </c>
      <c r="J18" s="495">
        <f>I18*H18</f>
        <v>14.773293615020972</v>
      </c>
      <c r="K18" s="495">
        <f>'Lochloosa Lake TN Budget'!E42</f>
        <v>30.755805678854149</v>
      </c>
      <c r="L18" s="153">
        <v>1</v>
      </c>
      <c r="M18" s="495">
        <f>L18*K18</f>
        <v>30.755805678854149</v>
      </c>
      <c r="N18" s="72"/>
      <c r="O18" s="72"/>
      <c r="P18" s="72"/>
      <c r="Q18" s="495">
        <f>D18+G18+J18+M18</f>
        <v>579.87099468963663</v>
      </c>
    </row>
    <row r="19" spans="1:20" x14ac:dyDescent="0.2">
      <c r="A19" s="159" t="s">
        <v>119</v>
      </c>
      <c r="B19" s="72"/>
      <c r="C19" s="72"/>
      <c r="D19" s="495"/>
      <c r="E19" s="495"/>
      <c r="F19" s="153"/>
      <c r="G19" s="495"/>
      <c r="H19" s="72"/>
      <c r="I19" s="72"/>
      <c r="J19" s="72"/>
      <c r="K19" s="72"/>
      <c r="L19" s="72"/>
      <c r="M19" s="72"/>
      <c r="N19" s="495">
        <f>'Lochloosa Lake TN Budget'!B44</f>
        <v>999.9</v>
      </c>
      <c r="O19" s="368">
        <v>1</v>
      </c>
      <c r="P19" s="495">
        <f>N19*O19</f>
        <v>999.9</v>
      </c>
      <c r="Q19" s="495">
        <f>P19</f>
        <v>999.9</v>
      </c>
    </row>
    <row r="20" spans="1:20" x14ac:dyDescent="0.2">
      <c r="A20" s="159" t="s">
        <v>218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</row>
    <row r="21" spans="1:20" x14ac:dyDescent="0.2">
      <c r="A21" s="170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</row>
    <row r="22" spans="1:20" ht="76.150000000000006" customHeight="1" x14ac:dyDescent="0.2">
      <c r="A22" s="515" t="s">
        <v>575</v>
      </c>
      <c r="B22" s="515" t="s">
        <v>524</v>
      </c>
      <c r="C22" s="515" t="s">
        <v>500</v>
      </c>
      <c r="D22" s="515" t="s">
        <v>597</v>
      </c>
      <c r="E22" s="515" t="s">
        <v>526</v>
      </c>
      <c r="F22" s="515" t="s">
        <v>514</v>
      </c>
      <c r="G22" s="515" t="s">
        <v>608</v>
      </c>
      <c r="H22" s="515" t="s">
        <v>528</v>
      </c>
      <c r="I22" s="515" t="s">
        <v>509</v>
      </c>
      <c r="J22" s="515" t="s">
        <v>590</v>
      </c>
      <c r="K22" s="515" t="s">
        <v>692</v>
      </c>
      <c r="L22" s="515" t="s">
        <v>514</v>
      </c>
      <c r="M22" s="515" t="s">
        <v>707</v>
      </c>
      <c r="N22" s="517" t="s">
        <v>576</v>
      </c>
    </row>
    <row r="23" spans="1:20" x14ac:dyDescent="0.2">
      <c r="A23" s="159" t="s">
        <v>62</v>
      </c>
      <c r="B23" s="495">
        <f>'Lochloosa Lake TN Budget'!E58</f>
        <v>139.46229517262159</v>
      </c>
      <c r="C23" s="153">
        <v>0.98398804468169387</v>
      </c>
      <c r="D23" s="495">
        <f>C23*B23</f>
        <v>137.22923113372914</v>
      </c>
      <c r="E23" s="495">
        <f>'Lochloosa Lake TN Budget'!B59</f>
        <v>30.9</v>
      </c>
      <c r="F23" s="153">
        <v>0.48799999999999999</v>
      </c>
      <c r="G23" s="495">
        <f>F23*E23</f>
        <v>15.079199999999998</v>
      </c>
      <c r="H23" s="495">
        <f>'Lochloosa Lake TN Budget'!E57</f>
        <v>29.360038028469553</v>
      </c>
      <c r="I23" s="153">
        <v>0.98511937818180828</v>
      </c>
      <c r="J23" s="495">
        <f>I23*H23</f>
        <v>28.923142406000171</v>
      </c>
      <c r="K23" s="72"/>
      <c r="L23" s="72"/>
      <c r="M23" s="72"/>
      <c r="N23" s="495">
        <f>D23+G23+J23</f>
        <v>181.23157353972931</v>
      </c>
    </row>
    <row r="24" spans="1:20" x14ac:dyDescent="0.2">
      <c r="A24" s="159" t="s">
        <v>119</v>
      </c>
      <c r="B24" s="495"/>
      <c r="C24" s="153"/>
      <c r="D24" s="495"/>
      <c r="E24" s="495"/>
      <c r="F24" s="153"/>
      <c r="G24" s="495"/>
      <c r="H24" s="495"/>
      <c r="I24" s="153"/>
      <c r="J24" s="495"/>
      <c r="K24" s="495">
        <f>'Lochloosa Lake TN Budget'!B56</f>
        <v>272.89999999999998</v>
      </c>
      <c r="L24" s="368">
        <v>1</v>
      </c>
      <c r="M24" s="495">
        <f>K24*L24</f>
        <v>272.89999999999998</v>
      </c>
      <c r="N24" s="495">
        <f xml:space="preserve"> M24</f>
        <v>272.89999999999998</v>
      </c>
    </row>
    <row r="25" spans="1:20" x14ac:dyDescent="0.2">
      <c r="A25" s="159" t="s">
        <v>218</v>
      </c>
      <c r="B25" s="495">
        <v>139.46229517262159</v>
      </c>
      <c r="C25" s="153">
        <v>1.6011955318306154E-2</v>
      </c>
      <c r="D25" s="495">
        <f>C25*B25</f>
        <v>2.233064038892441</v>
      </c>
      <c r="E25" s="495">
        <f>'Lochloosa Lake TN Budget'!B59</f>
        <v>30.9</v>
      </c>
      <c r="F25" s="153">
        <v>0.51200000000000001</v>
      </c>
      <c r="G25" s="495">
        <f>F25*E25</f>
        <v>15.8208</v>
      </c>
      <c r="H25" s="495">
        <v>29.360038028469553</v>
      </c>
      <c r="I25" s="153">
        <v>1.4880621818191806E-2</v>
      </c>
      <c r="J25" s="495">
        <f>I25*H25</f>
        <v>0.43689562246938518</v>
      </c>
      <c r="K25" s="72"/>
      <c r="L25" s="72"/>
      <c r="M25" s="72"/>
      <c r="N25" s="495">
        <f>D25+G25+J25</f>
        <v>18.490759661361828</v>
      </c>
    </row>
    <row r="26" spans="1:20" x14ac:dyDescent="0.2">
      <c r="A26" s="170"/>
      <c r="B26" s="502"/>
      <c r="C26" s="285"/>
      <c r="D26" s="502"/>
      <c r="E26" s="502"/>
      <c r="F26" s="285"/>
      <c r="G26" s="502"/>
      <c r="H26" s="502"/>
      <c r="I26" s="285"/>
      <c r="J26" s="502"/>
      <c r="K26" s="502"/>
    </row>
    <row r="27" spans="1:20" ht="70.150000000000006" customHeight="1" x14ac:dyDescent="0.2">
      <c r="A27" s="515" t="s">
        <v>499</v>
      </c>
      <c r="B27" s="515" t="s">
        <v>530</v>
      </c>
      <c r="C27" s="515" t="s">
        <v>500</v>
      </c>
      <c r="D27" s="515" t="s">
        <v>598</v>
      </c>
      <c r="E27" s="515" t="s">
        <v>694</v>
      </c>
      <c r="F27" s="515" t="s">
        <v>514</v>
      </c>
      <c r="G27" s="515" t="s">
        <v>725</v>
      </c>
      <c r="H27" s="515" t="s">
        <v>534</v>
      </c>
      <c r="I27" s="515" t="s">
        <v>514</v>
      </c>
      <c r="J27" s="515" t="s">
        <v>586</v>
      </c>
      <c r="K27" s="515" t="s">
        <v>532</v>
      </c>
      <c r="L27" s="515" t="s">
        <v>509</v>
      </c>
      <c r="M27" s="515" t="s">
        <v>587</v>
      </c>
      <c r="N27" s="517" t="s">
        <v>576</v>
      </c>
    </row>
    <row r="28" spans="1:20" x14ac:dyDescent="0.2">
      <c r="A28" s="159" t="s">
        <v>62</v>
      </c>
      <c r="B28" s="495">
        <f>'Lochloosa Lake TN Budget'!E71</f>
        <v>554.15066279858286</v>
      </c>
      <c r="C28" s="153">
        <v>1</v>
      </c>
      <c r="D28" s="495">
        <f>B28*C28</f>
        <v>554.15066279858286</v>
      </c>
      <c r="E28" s="72"/>
      <c r="F28" s="72"/>
      <c r="G28" s="72"/>
      <c r="H28" s="495">
        <f>'Lochloosa Lake TN Budget'!E72</f>
        <v>8.403275403063704</v>
      </c>
      <c r="I28" s="153">
        <v>1</v>
      </c>
      <c r="J28" s="495">
        <f>I28*H28</f>
        <v>8.403275403063704</v>
      </c>
      <c r="K28" s="495">
        <f>'Lochloosa Lake TN Budget'!E70</f>
        <v>18.634902889072944</v>
      </c>
      <c r="L28" s="153">
        <v>1</v>
      </c>
      <c r="M28" s="495">
        <f>K28*L28</f>
        <v>18.634902889072944</v>
      </c>
      <c r="N28" s="495">
        <f>D28+J28+M28</f>
        <v>581.18884109071951</v>
      </c>
    </row>
    <row r="29" spans="1:20" x14ac:dyDescent="0.2">
      <c r="A29" s="159" t="s">
        <v>119</v>
      </c>
      <c r="B29" s="72"/>
      <c r="C29" s="72"/>
      <c r="D29" s="72"/>
      <c r="E29" s="495">
        <f>'Lochloosa Lake TN Budget'!B69</f>
        <v>647.79999999999995</v>
      </c>
      <c r="F29" s="153">
        <v>1</v>
      </c>
      <c r="G29" s="516">
        <f>F29*E29</f>
        <v>647.79999999999995</v>
      </c>
      <c r="H29" s="72"/>
      <c r="I29" s="72"/>
      <c r="J29" s="72"/>
      <c r="K29" s="72"/>
      <c r="L29" s="72"/>
      <c r="M29" s="72"/>
      <c r="N29" s="495">
        <f>G29</f>
        <v>647.79999999999995</v>
      </c>
    </row>
    <row r="30" spans="1:20" x14ac:dyDescent="0.2">
      <c r="A30" s="159" t="s">
        <v>218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1:20" x14ac:dyDescent="0.2">
      <c r="A31" s="19"/>
    </row>
    <row r="32" spans="1:20" ht="70.150000000000006" customHeight="1" x14ac:dyDescent="0.2">
      <c r="A32" s="515" t="s">
        <v>499</v>
      </c>
      <c r="B32" s="515" t="s">
        <v>536</v>
      </c>
      <c r="C32" s="515" t="s">
        <v>500</v>
      </c>
      <c r="D32" s="515" t="s">
        <v>599</v>
      </c>
      <c r="E32" s="515" t="s">
        <v>538</v>
      </c>
      <c r="F32" s="515" t="s">
        <v>514</v>
      </c>
      <c r="G32" s="515" t="s">
        <v>609</v>
      </c>
      <c r="H32" s="515" t="s">
        <v>540</v>
      </c>
      <c r="I32" s="515" t="s">
        <v>514</v>
      </c>
      <c r="J32" s="515" t="s">
        <v>611</v>
      </c>
      <c r="K32" s="515" t="s">
        <v>541</v>
      </c>
      <c r="L32" s="515" t="s">
        <v>509</v>
      </c>
      <c r="M32" s="515" t="s">
        <v>588</v>
      </c>
      <c r="N32" s="515" t="s">
        <v>543</v>
      </c>
      <c r="O32" s="515" t="s">
        <v>509</v>
      </c>
      <c r="P32" s="515" t="s">
        <v>610</v>
      </c>
      <c r="Q32" s="515" t="s">
        <v>695</v>
      </c>
      <c r="R32" s="515" t="s">
        <v>509</v>
      </c>
      <c r="S32" s="515" t="s">
        <v>708</v>
      </c>
      <c r="T32" s="517" t="s">
        <v>576</v>
      </c>
    </row>
    <row r="33" spans="1:20" x14ac:dyDescent="0.2">
      <c r="A33" s="159" t="s">
        <v>62</v>
      </c>
      <c r="B33" s="495">
        <f>'Lochloosa Lake TN Budget'!E86</f>
        <v>475.41703527926427</v>
      </c>
      <c r="C33" s="153">
        <v>0.54025618380562346</v>
      </c>
      <c r="D33" s="495">
        <f>C33*B33</f>
        <v>256.84699319615879</v>
      </c>
      <c r="E33" s="495">
        <f>'Lochloosa Lake TN Budget'!B87</f>
        <v>1615.7</v>
      </c>
      <c r="F33" s="3">
        <f>[3]loch_road_allstateroad!$E$88</f>
        <v>3.6216619327275934E-2</v>
      </c>
      <c r="G33" s="495">
        <f>F33*E33</f>
        <v>58.515191847079727</v>
      </c>
      <c r="H33" s="72"/>
      <c r="I33" s="72"/>
      <c r="J33" s="72"/>
      <c r="K33" s="495">
        <f>'Lochloosa Lake TN Budget'!E85</f>
        <v>64.427262750961091</v>
      </c>
      <c r="L33" s="153">
        <v>1.6205311171023914E-2</v>
      </c>
      <c r="M33" s="495">
        <f>L33*K33</f>
        <v>1.0440638407766427</v>
      </c>
      <c r="N33" s="72"/>
      <c r="O33" s="72"/>
      <c r="P33" s="495"/>
      <c r="Q33" s="72"/>
      <c r="R33" s="72"/>
      <c r="S33" s="72"/>
      <c r="T33" s="495">
        <f>D33+G33+J33+M33</f>
        <v>316.40624888401516</v>
      </c>
    </row>
    <row r="34" spans="1:20" x14ac:dyDescent="0.2">
      <c r="A34" s="159" t="s">
        <v>119</v>
      </c>
      <c r="B34" s="495"/>
      <c r="C34" s="153"/>
      <c r="D34" s="495"/>
      <c r="E34" s="495"/>
      <c r="F34" s="153"/>
      <c r="G34" s="495"/>
      <c r="H34" s="72"/>
      <c r="I34" s="72"/>
      <c r="J34" s="72"/>
      <c r="K34" s="72"/>
      <c r="L34" s="153"/>
      <c r="M34" s="495"/>
      <c r="N34" s="72"/>
      <c r="O34" s="72"/>
      <c r="P34" s="495"/>
      <c r="Q34" s="495">
        <f>'Lochloosa Lake TN Budget'!B84</f>
        <v>705.8</v>
      </c>
      <c r="R34" s="368">
        <v>1</v>
      </c>
      <c r="S34" s="495">
        <f>Q34*R34</f>
        <v>705.8</v>
      </c>
      <c r="T34" s="495">
        <f>S34</f>
        <v>705.8</v>
      </c>
    </row>
    <row r="35" spans="1:20" x14ac:dyDescent="0.2">
      <c r="A35" s="159" t="s">
        <v>218</v>
      </c>
      <c r="B35" s="495">
        <v>475.41703527926427</v>
      </c>
      <c r="C35" s="153">
        <v>0.4597438161943766</v>
      </c>
      <c r="D35" s="495">
        <f>C35*B35</f>
        <v>218.57004208310553</v>
      </c>
      <c r="E35" s="495">
        <f>'Lochloosa Lake TN Budget'!B87</f>
        <v>1615.7</v>
      </c>
      <c r="F35" s="153">
        <f>[3]loch_road_allstateroad!$E$89</f>
        <v>0.96378338067272418</v>
      </c>
      <c r="G35" s="495">
        <f t="shared" ref="G35" si="0">F35*E35</f>
        <v>1557.1848081529206</v>
      </c>
      <c r="H35" s="495">
        <f>'Lochloosa Lake TN Budget'!E88</f>
        <v>565.39036652844027</v>
      </c>
      <c r="I35" s="153">
        <v>1</v>
      </c>
      <c r="J35" s="495">
        <f>I35*H35</f>
        <v>565.39036652844027</v>
      </c>
      <c r="K35" s="495">
        <v>64.427262750961091</v>
      </c>
      <c r="L35" s="153">
        <v>0.98379468882897614</v>
      </c>
      <c r="M35" s="495">
        <f>L35*K35</f>
        <v>63.383198910184454</v>
      </c>
      <c r="N35" s="495">
        <f>'Lochloosa Lake TN Budget'!E89</f>
        <v>182.62263776957207</v>
      </c>
      <c r="O35" s="153">
        <v>1</v>
      </c>
      <c r="P35" s="495">
        <f>O35*N35</f>
        <v>182.62263776957207</v>
      </c>
      <c r="Q35" s="72"/>
      <c r="R35" s="72"/>
      <c r="S35" s="72"/>
      <c r="T35" s="495">
        <f>D35+G35+J35+M35+P35</f>
        <v>2587.1510534442232</v>
      </c>
    </row>
    <row r="36" spans="1:20" x14ac:dyDescent="0.2">
      <c r="A36" s="170"/>
      <c r="B36" s="146"/>
      <c r="C36" s="146"/>
      <c r="D36" s="146"/>
      <c r="E36" s="146"/>
      <c r="F36" s="146"/>
      <c r="G36" s="146"/>
      <c r="H36" s="522"/>
      <c r="I36" s="146"/>
      <c r="J36" s="146"/>
      <c r="K36" s="146"/>
      <c r="L36" s="146"/>
      <c r="M36" s="146"/>
      <c r="N36" s="502"/>
    </row>
    <row r="37" spans="1:20" ht="70.150000000000006" customHeight="1" x14ac:dyDescent="0.2">
      <c r="A37" s="515" t="s">
        <v>499</v>
      </c>
      <c r="B37" s="515" t="s">
        <v>545</v>
      </c>
      <c r="C37" s="515" t="s">
        <v>500</v>
      </c>
      <c r="D37" s="515" t="s">
        <v>600</v>
      </c>
      <c r="E37" s="515" t="s">
        <v>697</v>
      </c>
      <c r="F37" s="515" t="s">
        <v>514</v>
      </c>
      <c r="G37" s="515" t="s">
        <v>709</v>
      </c>
      <c r="H37" s="517" t="s">
        <v>576</v>
      </c>
    </row>
    <row r="38" spans="1:20" x14ac:dyDescent="0.2">
      <c r="A38" s="159" t="s">
        <v>62</v>
      </c>
      <c r="B38" s="495">
        <f>'Lochloosa Lake TN Budget'!E99</f>
        <v>1159.2372288728623</v>
      </c>
      <c r="C38" s="153">
        <v>0.98754164297816283</v>
      </c>
      <c r="D38" s="495">
        <f>B38*C38</f>
        <v>1144.795037602559</v>
      </c>
      <c r="E38" s="72"/>
      <c r="F38" s="72"/>
      <c r="G38" s="495"/>
      <c r="H38" s="495">
        <f>D38+G38</f>
        <v>1144.795037602559</v>
      </c>
    </row>
    <row r="39" spans="1:20" x14ac:dyDescent="0.2">
      <c r="A39" s="159" t="s">
        <v>119</v>
      </c>
      <c r="B39" s="495"/>
      <c r="C39" s="153"/>
      <c r="D39" s="495"/>
      <c r="E39" s="495">
        <f>'Lochloosa Lake TN Budget'!E100</f>
        <v>269.19611551382951</v>
      </c>
      <c r="F39" s="153">
        <v>1</v>
      </c>
      <c r="G39" s="495">
        <f>E39*F39</f>
        <v>269.19611551382951</v>
      </c>
      <c r="H39" s="495">
        <f t="shared" ref="H39:H40" si="1">D39+G39</f>
        <v>269.19611551382951</v>
      </c>
    </row>
    <row r="40" spans="1:20" x14ac:dyDescent="0.2">
      <c r="A40" s="159" t="s">
        <v>218</v>
      </c>
      <c r="B40" s="495">
        <v>1159.2372288728623</v>
      </c>
      <c r="C40" s="153">
        <v>1.2458357021837186E-2</v>
      </c>
      <c r="D40" s="495">
        <f>B40*C40</f>
        <v>14.442191270303304</v>
      </c>
      <c r="E40" s="72"/>
      <c r="F40" s="72"/>
      <c r="G40" s="72"/>
      <c r="H40" s="495">
        <f t="shared" si="1"/>
        <v>14.442191270303304</v>
      </c>
    </row>
    <row r="41" spans="1:20" x14ac:dyDescent="0.2">
      <c r="A41" s="170"/>
      <c r="B41" s="146"/>
      <c r="C41" s="146"/>
      <c r="D41" s="146"/>
      <c r="E41" s="146"/>
      <c r="F41" s="146"/>
      <c r="G41" s="146"/>
      <c r="H41" s="523"/>
    </row>
    <row r="42" spans="1:20" ht="67.900000000000006" customHeight="1" x14ac:dyDescent="0.2">
      <c r="A42" s="515" t="s">
        <v>499</v>
      </c>
      <c r="B42" s="515" t="s">
        <v>547</v>
      </c>
      <c r="C42" s="515" t="s">
        <v>500</v>
      </c>
      <c r="D42" s="515" t="s">
        <v>601</v>
      </c>
      <c r="E42" s="515" t="s">
        <v>726</v>
      </c>
      <c r="F42" s="515" t="s">
        <v>514</v>
      </c>
      <c r="G42" s="515" t="s">
        <v>710</v>
      </c>
      <c r="H42" s="517" t="s">
        <v>576</v>
      </c>
      <c r="I42" s="509"/>
      <c r="J42" s="509"/>
    </row>
    <row r="43" spans="1:20" x14ac:dyDescent="0.2">
      <c r="A43" s="159" t="s">
        <v>62</v>
      </c>
      <c r="B43" s="495">
        <f>'Lochloosa Lake TN Budget'!E108</f>
        <v>57.777638691406104</v>
      </c>
      <c r="C43" s="153">
        <v>1</v>
      </c>
      <c r="D43" s="495">
        <f>C43*B43</f>
        <v>57.777638691406104</v>
      </c>
      <c r="E43" s="72"/>
      <c r="F43" s="72"/>
      <c r="G43" s="495"/>
      <c r="H43" s="495">
        <f>D43+G43</f>
        <v>57.777638691406104</v>
      </c>
    </row>
    <row r="44" spans="1:20" x14ac:dyDescent="0.2">
      <c r="A44" s="159" t="s">
        <v>119</v>
      </c>
      <c r="B44" s="72"/>
      <c r="C44" s="72"/>
      <c r="D44" s="72"/>
      <c r="E44" s="495">
        <f>'Lochloosa Lake TN Budget'!E109</f>
        <v>215.02062220675288</v>
      </c>
      <c r="F44" s="153">
        <v>1</v>
      </c>
      <c r="G44" s="495">
        <f>F44*E44</f>
        <v>215.02062220675288</v>
      </c>
      <c r="H44" s="495">
        <f t="shared" ref="H44" si="2">D44+G44</f>
        <v>215.02062220675288</v>
      </c>
    </row>
    <row r="45" spans="1:20" x14ac:dyDescent="0.2">
      <c r="A45" s="159" t="s">
        <v>218</v>
      </c>
      <c r="B45" s="72"/>
      <c r="C45" s="72"/>
      <c r="D45" s="72"/>
      <c r="E45" s="72"/>
      <c r="F45" s="72"/>
      <c r="G45" s="72"/>
      <c r="H45" s="495"/>
    </row>
    <row r="46" spans="1:20" x14ac:dyDescent="0.2">
      <c r="A46" s="170"/>
      <c r="B46" s="146"/>
      <c r="C46" s="146"/>
      <c r="D46" s="146"/>
      <c r="E46" s="523"/>
      <c r="F46" s="146"/>
      <c r="G46" s="146"/>
      <c r="H46" s="146"/>
    </row>
    <row r="47" spans="1:20" ht="68.45" customHeight="1" x14ac:dyDescent="0.2">
      <c r="A47" s="515" t="s">
        <v>499</v>
      </c>
      <c r="B47" s="515" t="s">
        <v>549</v>
      </c>
      <c r="C47" s="515" t="s">
        <v>500</v>
      </c>
      <c r="D47" s="515" t="s">
        <v>602</v>
      </c>
      <c r="E47" s="517" t="s">
        <v>576</v>
      </c>
    </row>
    <row r="48" spans="1:20" x14ac:dyDescent="0.2">
      <c r="A48" s="159" t="s">
        <v>62</v>
      </c>
      <c r="B48" s="495">
        <f>'Lochloosa Lake TN Budget'!E117</f>
        <v>3.0098782781589253</v>
      </c>
      <c r="C48" s="153">
        <v>1</v>
      </c>
      <c r="D48" s="495">
        <f>C48*B48</f>
        <v>3.0098782781589253</v>
      </c>
      <c r="E48" s="495">
        <f>D48</f>
        <v>3.0098782781589253</v>
      </c>
    </row>
    <row r="49" spans="1:17" x14ac:dyDescent="0.2">
      <c r="A49" s="159" t="s">
        <v>119</v>
      </c>
      <c r="B49" s="72"/>
      <c r="C49" s="72"/>
      <c r="D49" s="72"/>
      <c r="E49" s="72"/>
    </row>
    <row r="50" spans="1:17" x14ac:dyDescent="0.2">
      <c r="A50" s="159" t="s">
        <v>218</v>
      </c>
      <c r="B50" s="72"/>
      <c r="C50" s="72"/>
      <c r="D50" s="72"/>
      <c r="E50" s="72"/>
    </row>
    <row r="51" spans="1:17" x14ac:dyDescent="0.2">
      <c r="A51" s="19"/>
    </row>
    <row r="52" spans="1:17" ht="67.900000000000006" customHeight="1" x14ac:dyDescent="0.2">
      <c r="A52" s="515" t="s">
        <v>499</v>
      </c>
      <c r="B52" s="515" t="s">
        <v>551</v>
      </c>
      <c r="C52" s="515" t="s">
        <v>500</v>
      </c>
      <c r="D52" s="515" t="s">
        <v>603</v>
      </c>
      <c r="E52" s="515" t="s">
        <v>553</v>
      </c>
      <c r="F52" s="515" t="s">
        <v>514</v>
      </c>
      <c r="G52" s="515" t="s">
        <v>613</v>
      </c>
      <c r="H52" s="515" t="s">
        <v>555</v>
      </c>
      <c r="I52" s="515" t="s">
        <v>514</v>
      </c>
      <c r="J52" s="515" t="s">
        <v>612</v>
      </c>
      <c r="K52" s="515" t="s">
        <v>556</v>
      </c>
      <c r="L52" s="515" t="s">
        <v>509</v>
      </c>
      <c r="M52" s="515" t="s">
        <v>589</v>
      </c>
      <c r="N52" s="515" t="s">
        <v>700</v>
      </c>
      <c r="O52" s="515" t="s">
        <v>509</v>
      </c>
      <c r="P52" s="515" t="s">
        <v>711</v>
      </c>
      <c r="Q52" s="517" t="s">
        <v>576</v>
      </c>
    </row>
    <row r="53" spans="1:17" x14ac:dyDescent="0.2">
      <c r="A53" s="159" t="s">
        <v>62</v>
      </c>
      <c r="B53" s="495">
        <f>'Lochloosa Lake TN Budget'!E127</f>
        <v>897.60512770000003</v>
      </c>
      <c r="C53" s="153">
        <v>1</v>
      </c>
      <c r="D53" s="495">
        <f>C53*B53</f>
        <v>897.60512770000003</v>
      </c>
      <c r="E53" s="495">
        <f>'Lochloosa Lake TN Budget'!B128</f>
        <v>277.8</v>
      </c>
      <c r="F53" s="153">
        <v>1</v>
      </c>
      <c r="G53" s="495">
        <f>F53*E53</f>
        <v>277.8</v>
      </c>
      <c r="H53" s="495">
        <f>'Lochloosa Lake TN Budget'!E129</f>
        <v>468.44847894285715</v>
      </c>
      <c r="I53" s="153">
        <v>1</v>
      </c>
      <c r="J53" s="495">
        <f>I53*H53</f>
        <v>468.44847894285715</v>
      </c>
      <c r="K53" s="495">
        <f>'Lochloosa Lake TN Budget'!E126</f>
        <v>7.424638640285715</v>
      </c>
      <c r="L53" s="153">
        <v>1</v>
      </c>
      <c r="M53" s="495">
        <f>L53*K53</f>
        <v>7.424638640285715</v>
      </c>
      <c r="N53" s="72"/>
      <c r="O53" s="72"/>
      <c r="P53" s="72"/>
      <c r="Q53" s="495">
        <f>D53+G53+J53+M53</f>
        <v>1651.2782452831432</v>
      </c>
    </row>
    <row r="54" spans="1:17" x14ac:dyDescent="0.2">
      <c r="A54" s="159" t="s">
        <v>119</v>
      </c>
      <c r="B54" s="72"/>
      <c r="C54" s="72"/>
      <c r="D54" s="495"/>
      <c r="E54" s="495"/>
      <c r="F54" s="153"/>
      <c r="G54" s="495"/>
      <c r="H54" s="495"/>
      <c r="I54" s="72"/>
      <c r="J54" s="72"/>
      <c r="K54" s="72"/>
      <c r="L54" s="72"/>
      <c r="M54" s="72"/>
      <c r="N54" s="495">
        <f>'Lochloosa Lake TN Budget'!B125</f>
        <v>1243.4000000000001</v>
      </c>
      <c r="O54" s="368">
        <v>1</v>
      </c>
      <c r="P54" s="495">
        <f>N54*O54</f>
        <v>1243.4000000000001</v>
      </c>
      <c r="Q54" s="495">
        <f>P54</f>
        <v>1243.4000000000001</v>
      </c>
    </row>
    <row r="55" spans="1:17" x14ac:dyDescent="0.2">
      <c r="A55" s="159" t="s">
        <v>218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</row>
  </sheetData>
  <pageMargins left="0.7" right="0.7" top="0.75" bottom="0.75" header="0.3" footer="0.3"/>
  <pageSetup orientation="portrait" horizontalDpi="200" verticalDpi="200" r:id="rId1"/>
  <ignoredErrors>
    <ignoredError sqref="N2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T112"/>
  <sheetViews>
    <sheetView topLeftCell="D86" workbookViewId="0">
      <selection activeCell="D102" sqref="D102"/>
    </sheetView>
  </sheetViews>
  <sheetFormatPr defaultRowHeight="12.75" x14ac:dyDescent="0.2"/>
  <cols>
    <col min="1" max="1" width="52.5703125" customWidth="1"/>
    <col min="2" max="3" width="15.28515625" customWidth="1"/>
    <col min="4" max="4" width="14.7109375" customWidth="1"/>
    <col min="5" max="5" width="15.28515625" style="3" customWidth="1"/>
    <col min="6" max="6" width="16" style="3" customWidth="1"/>
    <col min="7" max="7" width="17.140625" style="2" customWidth="1"/>
    <col min="8" max="8" width="17.7109375" style="2" customWidth="1"/>
    <col min="9" max="9" width="16.7109375" customWidth="1"/>
    <col min="10" max="10" width="16.42578125" customWidth="1"/>
    <col min="11" max="11" width="15.28515625" customWidth="1"/>
    <col min="12" max="12" width="14.5703125" customWidth="1"/>
    <col min="13" max="13" width="14.7109375" customWidth="1"/>
    <col min="14" max="15" width="13.85546875" customWidth="1"/>
    <col min="16" max="16" width="14" customWidth="1"/>
    <col min="17" max="18" width="14.7109375" customWidth="1"/>
    <col min="19" max="19" width="14" customWidth="1"/>
    <col min="20" max="20" width="15.7109375" customWidth="1"/>
  </cols>
  <sheetData>
    <row r="1" spans="1:18" x14ac:dyDescent="0.2">
      <c r="A1" s="1"/>
      <c r="B1" s="678"/>
      <c r="C1" s="679"/>
      <c r="D1" s="679"/>
      <c r="E1" s="679"/>
      <c r="F1" s="679"/>
      <c r="G1" s="679"/>
      <c r="H1" s="679"/>
      <c r="I1" s="679"/>
      <c r="J1" s="680"/>
    </row>
    <row r="2" spans="1:18" ht="30.75" thickBot="1" x14ac:dyDescent="0.25">
      <c r="A2" s="80" t="s">
        <v>187</v>
      </c>
      <c r="B2" s="681"/>
      <c r="C2" s="682"/>
      <c r="D2" s="682"/>
      <c r="E2" s="682"/>
      <c r="F2" s="682"/>
      <c r="G2" s="682"/>
      <c r="H2" s="682"/>
      <c r="I2" s="682"/>
      <c r="J2" s="683"/>
    </row>
    <row r="3" spans="1:18" s="4" customFormat="1" ht="39" thickTop="1" x14ac:dyDescent="0.2">
      <c r="A3" s="83" t="s">
        <v>16</v>
      </c>
      <c r="B3" s="22" t="s">
        <v>17</v>
      </c>
      <c r="C3" s="186" t="s">
        <v>31</v>
      </c>
      <c r="D3" s="190" t="s">
        <v>196</v>
      </c>
      <c r="E3" s="23" t="s">
        <v>21</v>
      </c>
      <c r="F3" s="24" t="s">
        <v>23</v>
      </c>
      <c r="G3" s="23" t="s">
        <v>24</v>
      </c>
      <c r="H3" s="22" t="s">
        <v>18</v>
      </c>
      <c r="I3" s="25" t="s">
        <v>734</v>
      </c>
      <c r="J3" s="26"/>
      <c r="N3"/>
      <c r="O3" s="19"/>
      <c r="P3" s="19"/>
      <c r="Q3" s="20"/>
      <c r="R3" s="3"/>
    </row>
    <row r="4" spans="1:18" s="4" customFormat="1" x14ac:dyDescent="0.2">
      <c r="A4" s="183" t="s">
        <v>190</v>
      </c>
      <c r="B4" s="184">
        <v>351</v>
      </c>
      <c r="C4" s="646">
        <f t="shared" ref="C4:C33" si="0">B4/B$38</f>
        <v>1.2585020598559357E-2</v>
      </c>
      <c r="D4" s="191"/>
      <c r="E4" s="6"/>
      <c r="F4" s="5"/>
      <c r="G4" s="177"/>
      <c r="H4" s="60"/>
      <c r="I4" s="178"/>
      <c r="J4" s="179"/>
      <c r="N4"/>
      <c r="O4" s="19"/>
      <c r="P4" s="19"/>
      <c r="Q4" s="20"/>
      <c r="R4" s="3"/>
    </row>
    <row r="5" spans="1:18" x14ac:dyDescent="0.2">
      <c r="A5" s="180" t="s">
        <v>194</v>
      </c>
      <c r="B5" s="213">
        <f>SUM(B6:B7)</f>
        <v>2574</v>
      </c>
      <c r="C5" s="647">
        <f t="shared" si="0"/>
        <v>9.2290151056101957E-2</v>
      </c>
      <c r="D5" s="214">
        <f t="shared" ref="D5:D13" si="1">B5</f>
        <v>2574</v>
      </c>
      <c r="E5" s="6">
        <v>0</v>
      </c>
      <c r="F5" s="5"/>
      <c r="G5" s="6"/>
      <c r="H5" s="98"/>
      <c r="I5" s="215">
        <f>D5+H5</f>
        <v>2574</v>
      </c>
      <c r="J5" s="7"/>
      <c r="N5" s="19"/>
      <c r="Q5" s="21"/>
      <c r="R5" s="3"/>
    </row>
    <row r="6" spans="1:18" x14ac:dyDescent="0.2">
      <c r="A6" s="30" t="s">
        <v>5</v>
      </c>
      <c r="B6" s="212">
        <f>'Orange Lake tribs loading'!H27</f>
        <v>19.166666666666668</v>
      </c>
      <c r="C6" s="648">
        <f t="shared" si="0"/>
        <v>6.8721622451772379E-4</v>
      </c>
      <c r="D6" s="192">
        <f t="shared" si="1"/>
        <v>19.166666666666668</v>
      </c>
      <c r="E6" s="6">
        <v>0</v>
      </c>
      <c r="F6" s="5"/>
      <c r="G6" s="6"/>
      <c r="H6" s="33"/>
      <c r="I6" s="6">
        <f>D6+H6</f>
        <v>19.166666666666668</v>
      </c>
      <c r="J6" s="7"/>
      <c r="N6" s="19"/>
      <c r="Q6" s="21"/>
      <c r="R6" s="71"/>
    </row>
    <row r="7" spans="1:18" x14ac:dyDescent="0.2">
      <c r="A7" s="30" t="s">
        <v>6</v>
      </c>
      <c r="B7" s="212">
        <f>'Orange Lake tribs loading'!H28</f>
        <v>2554.8333333333335</v>
      </c>
      <c r="C7" s="648">
        <f t="shared" si="0"/>
        <v>9.1602934831584243E-2</v>
      </c>
      <c r="D7" s="192">
        <f t="shared" si="1"/>
        <v>2554.8333333333335</v>
      </c>
      <c r="E7" s="6">
        <v>0</v>
      </c>
      <c r="F7" s="5"/>
      <c r="G7" s="6"/>
      <c r="H7" s="33"/>
      <c r="I7" s="6">
        <f>D7+H7</f>
        <v>2554.8333333333335</v>
      </c>
      <c r="J7" s="7"/>
      <c r="N7" s="19"/>
      <c r="Q7" s="21"/>
      <c r="R7" s="3"/>
    </row>
    <row r="8" spans="1:18" x14ac:dyDescent="0.2">
      <c r="A8" s="181" t="s">
        <v>195</v>
      </c>
      <c r="B8" s="213">
        <f>SUM(B9:B14)</f>
        <v>893.16666666666663</v>
      </c>
      <c r="C8" s="647">
        <f t="shared" si="0"/>
        <v>3.2024276062525926E-2</v>
      </c>
      <c r="D8" s="214">
        <f t="shared" si="1"/>
        <v>893.16666666666663</v>
      </c>
      <c r="E8" s="215">
        <f>D8</f>
        <v>893.16666666666663</v>
      </c>
      <c r="F8" s="651">
        <f>E8/(D$38-D$5-D$30-D$18-D$34)</f>
        <v>4.2546671133842189E-2</v>
      </c>
      <c r="G8" s="215">
        <f>SUM(G9:G14)</f>
        <v>512.0194044259971</v>
      </c>
      <c r="H8" s="33"/>
      <c r="I8" s="215">
        <f t="shared" ref="I8:I16" si="2">D8+H8</f>
        <v>893.16666666666663</v>
      </c>
      <c r="J8" s="7"/>
      <c r="N8" s="19"/>
      <c r="Q8" s="21"/>
      <c r="R8" s="3"/>
    </row>
    <row r="9" spans="1:18" x14ac:dyDescent="0.2">
      <c r="A9" s="30" t="s">
        <v>7</v>
      </c>
      <c r="B9" s="212">
        <f>'Orange Lake tribs loading'!H21</f>
        <v>94</v>
      </c>
      <c r="C9" s="648">
        <f t="shared" si="0"/>
        <v>3.3703473967651842E-3</v>
      </c>
      <c r="D9" s="212">
        <f t="shared" si="1"/>
        <v>94</v>
      </c>
      <c r="E9" s="194">
        <f t="shared" ref="E9:E16" si="3">D9</f>
        <v>94</v>
      </c>
      <c r="F9" s="652">
        <f t="shared" ref="F9:F16" si="4">E9/(D$38-D$5-D$30-D$18-D$34)</f>
        <v>4.4777612464054857E-3</v>
      </c>
      <c r="G9" s="194">
        <f>F9*($D$40)</f>
        <v>53.886722167617535</v>
      </c>
      <c r="H9" s="33"/>
      <c r="I9" s="6">
        <f t="shared" si="2"/>
        <v>94</v>
      </c>
      <c r="J9" s="7"/>
      <c r="N9" s="19"/>
      <c r="Q9" s="21"/>
      <c r="R9" s="3"/>
    </row>
    <row r="10" spans="1:18" x14ac:dyDescent="0.2">
      <c r="A10" s="30" t="s">
        <v>8</v>
      </c>
      <c r="B10" s="212">
        <f>'Orange Lake tribs loading'!H23</f>
        <v>418.16666666666669</v>
      </c>
      <c r="C10" s="648">
        <f t="shared" si="0"/>
        <v>1.4993265280999729E-2</v>
      </c>
      <c r="D10" s="212">
        <f t="shared" si="1"/>
        <v>418.16666666666669</v>
      </c>
      <c r="E10" s="194">
        <f t="shared" si="3"/>
        <v>418.16666666666669</v>
      </c>
      <c r="F10" s="652">
        <f t="shared" si="4"/>
        <v>1.9919686112112346E-2</v>
      </c>
      <c r="G10" s="194">
        <f t="shared" ref="G10:G16" si="5">F10*($D$40)</f>
        <v>239.7194785789936</v>
      </c>
      <c r="H10" s="33"/>
      <c r="I10" s="6">
        <f t="shared" si="2"/>
        <v>418.16666666666669</v>
      </c>
      <c r="J10" s="7"/>
      <c r="N10" s="19"/>
      <c r="Q10" s="21"/>
      <c r="R10" s="3"/>
    </row>
    <row r="11" spans="1:18" x14ac:dyDescent="0.2">
      <c r="A11" s="30" t="s">
        <v>9</v>
      </c>
      <c r="B11" s="212">
        <f>'Orange Lake tribs loading'!H24</f>
        <v>168.16666666666666</v>
      </c>
      <c r="C11" s="648">
        <f t="shared" si="0"/>
        <v>6.0295753959859408E-3</v>
      </c>
      <c r="D11" s="212">
        <f t="shared" si="1"/>
        <v>168.16666666666666</v>
      </c>
      <c r="E11" s="194">
        <f t="shared" si="3"/>
        <v>168.16666666666666</v>
      </c>
      <c r="F11" s="652">
        <f t="shared" si="4"/>
        <v>8.0107466269913729E-3</v>
      </c>
      <c r="G11" s="194">
        <f t="shared" si="5"/>
        <v>96.403728133202279</v>
      </c>
      <c r="H11" s="33"/>
      <c r="I11" s="6">
        <f t="shared" si="2"/>
        <v>168.16666666666666</v>
      </c>
      <c r="J11" s="7"/>
      <c r="N11" s="19"/>
      <c r="Q11" s="21"/>
      <c r="R11" s="3"/>
    </row>
    <row r="12" spans="1:18" x14ac:dyDescent="0.2">
      <c r="A12" s="30" t="s">
        <v>10</v>
      </c>
      <c r="B12" s="212">
        <f>'Orange Lake tribs loading'!H25</f>
        <v>4.166666666666667</v>
      </c>
      <c r="C12" s="648">
        <f t="shared" si="0"/>
        <v>1.4939483141689647E-4</v>
      </c>
      <c r="D12" s="212">
        <f t="shared" si="1"/>
        <v>4.166666666666667</v>
      </c>
      <c r="E12" s="194">
        <f t="shared" si="3"/>
        <v>4.166666666666667</v>
      </c>
      <c r="F12" s="652">
        <f t="shared" si="4"/>
        <v>1.9848232475201623E-4</v>
      </c>
      <c r="G12" s="194">
        <f t="shared" si="5"/>
        <v>2.3885958407631889</v>
      </c>
      <c r="H12" s="33"/>
      <c r="I12" s="6">
        <f t="shared" si="2"/>
        <v>4.166666666666667</v>
      </c>
      <c r="J12" s="7"/>
      <c r="N12" s="19"/>
      <c r="Q12" s="21"/>
      <c r="R12" s="3"/>
    </row>
    <row r="13" spans="1:18" x14ac:dyDescent="0.2">
      <c r="A13" s="30" t="s">
        <v>189</v>
      </c>
      <c r="B13" s="212">
        <v>7</v>
      </c>
      <c r="C13" s="648">
        <f t="shared" si="0"/>
        <v>2.5098331678038603E-4</v>
      </c>
      <c r="D13" s="212">
        <f t="shared" si="1"/>
        <v>7</v>
      </c>
      <c r="E13" s="194">
        <f t="shared" si="3"/>
        <v>7</v>
      </c>
      <c r="F13" s="652">
        <f t="shared" si="4"/>
        <v>3.3345030558338721E-4</v>
      </c>
      <c r="G13" s="194">
        <f t="shared" si="5"/>
        <v>4.0128410124821565</v>
      </c>
      <c r="H13" s="33"/>
      <c r="I13" s="6">
        <f t="shared" si="2"/>
        <v>7</v>
      </c>
      <c r="J13" s="7"/>
      <c r="N13" s="19"/>
      <c r="Q13" s="21"/>
      <c r="R13" s="3"/>
    </row>
    <row r="14" spans="1:18" x14ac:dyDescent="0.2">
      <c r="A14" s="30" t="s">
        <v>11</v>
      </c>
      <c r="B14" s="212">
        <f>'Orange Lake tribs loading'!H26</f>
        <v>201.66666666666666</v>
      </c>
      <c r="C14" s="648">
        <f t="shared" si="0"/>
        <v>7.230709840577788E-3</v>
      </c>
      <c r="D14" s="212">
        <v>201.66666666666666</v>
      </c>
      <c r="E14" s="194">
        <f t="shared" si="3"/>
        <v>201.66666666666666</v>
      </c>
      <c r="F14" s="652">
        <f t="shared" si="4"/>
        <v>9.6065445179975839E-3</v>
      </c>
      <c r="G14" s="194">
        <f t="shared" si="5"/>
        <v>115.60803869293832</v>
      </c>
      <c r="H14" s="33"/>
      <c r="I14" s="6">
        <f t="shared" si="2"/>
        <v>201.66666666666666</v>
      </c>
      <c r="J14" s="7"/>
      <c r="N14" s="19"/>
      <c r="Q14" s="21"/>
      <c r="R14" s="3"/>
    </row>
    <row r="15" spans="1:18" x14ac:dyDescent="0.2">
      <c r="A15" s="32" t="s">
        <v>97</v>
      </c>
      <c r="B15" s="213">
        <f>5986-B29</f>
        <v>5711.833333333333</v>
      </c>
      <c r="C15" s="649">
        <f t="shared" si="0"/>
        <v>0.20479641069953833</v>
      </c>
      <c r="D15" s="214">
        <f>B15</f>
        <v>5711.833333333333</v>
      </c>
      <c r="E15" s="215">
        <f t="shared" si="3"/>
        <v>5711.833333333333</v>
      </c>
      <c r="F15" s="651">
        <f t="shared" si="4"/>
        <v>0.27208751006305387</v>
      </c>
      <c r="G15" s="215">
        <f t="shared" si="5"/>
        <v>3274.3827223518092</v>
      </c>
      <c r="H15" s="218"/>
      <c r="I15" s="215">
        <f t="shared" si="2"/>
        <v>5711.833333333333</v>
      </c>
      <c r="J15" s="7"/>
      <c r="N15" s="19"/>
      <c r="Q15" s="21"/>
      <c r="R15" s="3"/>
    </row>
    <row r="16" spans="1:18" x14ac:dyDescent="0.2">
      <c r="A16" s="27" t="s">
        <v>98</v>
      </c>
      <c r="B16" s="219">
        <f>390-B28</f>
        <v>383.83333333333331</v>
      </c>
      <c r="C16" s="649">
        <f t="shared" si="0"/>
        <v>1.3762251870124502E-2</v>
      </c>
      <c r="D16" s="214">
        <f>B16</f>
        <v>383.83333333333331</v>
      </c>
      <c r="E16" s="215">
        <f t="shared" si="3"/>
        <v>383.83333333333331</v>
      </c>
      <c r="F16" s="651">
        <f t="shared" si="4"/>
        <v>1.828419175615573E-2</v>
      </c>
      <c r="G16" s="215">
        <f t="shared" si="5"/>
        <v>220.0374488511049</v>
      </c>
      <c r="H16" s="218"/>
      <c r="I16" s="215">
        <f t="shared" si="2"/>
        <v>383.83333333333331</v>
      </c>
      <c r="J16" s="7"/>
      <c r="N16" s="19"/>
      <c r="Q16" s="21"/>
      <c r="R16" s="3"/>
    </row>
    <row r="17" spans="1:18" x14ac:dyDescent="0.2">
      <c r="A17" s="183" t="s">
        <v>191</v>
      </c>
      <c r="B17" s="185">
        <v>243</v>
      </c>
      <c r="C17" s="646">
        <f t="shared" si="0"/>
        <v>8.7127065682334019E-3</v>
      </c>
      <c r="D17" s="191"/>
      <c r="E17" s="6"/>
      <c r="F17" s="653"/>
      <c r="G17" s="6"/>
      <c r="H17" s="33"/>
      <c r="I17" s="6"/>
      <c r="J17" s="7"/>
      <c r="N17" s="19"/>
      <c r="Q17" s="21"/>
      <c r="R17" s="3"/>
    </row>
    <row r="18" spans="1:18" x14ac:dyDescent="0.2">
      <c r="A18" s="182" t="s">
        <v>192</v>
      </c>
      <c r="B18" s="213">
        <f>SUM(B19:B20)</f>
        <v>788.66666666666663</v>
      </c>
      <c r="C18" s="649">
        <f t="shared" si="0"/>
        <v>2.8277453690590159E-2</v>
      </c>
      <c r="D18" s="214">
        <f t="shared" ref="D18:D35" si="6">B18</f>
        <v>788.66666666666663</v>
      </c>
      <c r="E18" s="6">
        <v>0</v>
      </c>
      <c r="F18" s="653"/>
      <c r="G18" s="6"/>
      <c r="H18" s="33"/>
      <c r="I18" s="6">
        <f t="shared" ref="I18:I25" si="7">D18+H18</f>
        <v>788.66666666666663</v>
      </c>
      <c r="J18" s="7"/>
      <c r="N18" s="19"/>
      <c r="Q18" s="21"/>
      <c r="R18" s="3"/>
    </row>
    <row r="19" spans="1:18" x14ac:dyDescent="0.2">
      <c r="A19" s="30" t="s">
        <v>5</v>
      </c>
      <c r="B19" s="10">
        <f>'Orange Lake tribs loading'!H13</f>
        <v>5</v>
      </c>
      <c r="C19" s="647">
        <f t="shared" si="0"/>
        <v>1.7927379770027576E-4</v>
      </c>
      <c r="D19" s="192">
        <f t="shared" si="6"/>
        <v>5</v>
      </c>
      <c r="E19" s="6">
        <v>0</v>
      </c>
      <c r="F19" s="653"/>
      <c r="G19" s="6"/>
      <c r="H19" s="33"/>
      <c r="I19" s="6">
        <f t="shared" si="7"/>
        <v>5</v>
      </c>
      <c r="J19" s="7"/>
      <c r="Q19" s="3"/>
      <c r="R19" s="3"/>
    </row>
    <row r="20" spans="1:18" x14ac:dyDescent="0.2">
      <c r="A20" s="30" t="s">
        <v>6</v>
      </c>
      <c r="B20" s="10">
        <f>'Orange Lake tribs loading'!H14</f>
        <v>783.66666666666663</v>
      </c>
      <c r="C20" s="647">
        <f t="shared" si="0"/>
        <v>2.8098179892889884E-2</v>
      </c>
      <c r="D20" s="192">
        <f t="shared" si="6"/>
        <v>783.66666666666663</v>
      </c>
      <c r="E20" s="6">
        <v>0</v>
      </c>
      <c r="F20" s="653"/>
      <c r="G20" s="6"/>
      <c r="H20" s="33"/>
      <c r="I20" s="6">
        <f t="shared" si="7"/>
        <v>783.66666666666663</v>
      </c>
      <c r="J20" s="7"/>
      <c r="Q20" s="3"/>
      <c r="R20" s="3"/>
    </row>
    <row r="21" spans="1:18" x14ac:dyDescent="0.2">
      <c r="A21" s="32" t="s">
        <v>193</v>
      </c>
      <c r="B21" s="213">
        <f>SUM(B22:B27)</f>
        <v>52.466666666666661</v>
      </c>
      <c r="C21" s="649">
        <f t="shared" si="0"/>
        <v>1.88117971720156E-3</v>
      </c>
      <c r="D21" s="214">
        <f t="shared" si="6"/>
        <v>52.466666666666661</v>
      </c>
      <c r="E21" s="215">
        <f>B21</f>
        <v>52.466666666666661</v>
      </c>
      <c r="F21" s="651">
        <f t="shared" ref="F21:F25" si="8">E21/(D$38-D$5-D$30-D$18-D$34)</f>
        <v>2.499289433277388E-3</v>
      </c>
      <c r="G21" s="215">
        <f t="shared" ref="G21:G25" si="9">F21*($D$40)</f>
        <v>30.077198826890069</v>
      </c>
      <c r="H21" s="218"/>
      <c r="I21" s="215">
        <f t="shared" si="7"/>
        <v>52.466666666666661</v>
      </c>
      <c r="J21" s="7"/>
      <c r="Q21" s="3"/>
      <c r="R21" s="3"/>
    </row>
    <row r="22" spans="1:18" x14ac:dyDescent="0.2">
      <c r="A22" s="30" t="s">
        <v>7</v>
      </c>
      <c r="B22" s="10">
        <f>'Orange Lake tribs loading'!H7</f>
        <v>2.5</v>
      </c>
      <c r="C22" s="647">
        <f t="shared" si="0"/>
        <v>8.9636898850137882E-5</v>
      </c>
      <c r="D22" s="192">
        <f t="shared" si="6"/>
        <v>2.5</v>
      </c>
      <c r="E22" s="6">
        <f>B22</f>
        <v>2.5</v>
      </c>
      <c r="F22" s="653">
        <f t="shared" si="8"/>
        <v>1.1908939485120972E-4</v>
      </c>
      <c r="G22" s="6">
        <f t="shared" si="9"/>
        <v>1.433157504457913</v>
      </c>
      <c r="H22" s="33"/>
      <c r="I22" s="6">
        <f t="shared" si="7"/>
        <v>2.5</v>
      </c>
      <c r="J22" s="7"/>
    </row>
    <row r="23" spans="1:18" x14ac:dyDescent="0.2">
      <c r="A23" s="30" t="s">
        <v>8</v>
      </c>
      <c r="B23" s="10">
        <f>'Orange Lake tribs loading'!H9</f>
        <v>24</v>
      </c>
      <c r="C23" s="647">
        <f t="shared" si="0"/>
        <v>8.6051422896132358E-4</v>
      </c>
      <c r="D23" s="192">
        <f t="shared" si="6"/>
        <v>24</v>
      </c>
      <c r="E23" s="6">
        <f>B23</f>
        <v>24</v>
      </c>
      <c r="F23" s="653">
        <f t="shared" si="8"/>
        <v>1.1432581905716133E-3</v>
      </c>
      <c r="G23" s="6">
        <f t="shared" si="9"/>
        <v>13.758312042795964</v>
      </c>
      <c r="H23" s="33"/>
      <c r="I23" s="6">
        <f t="shared" si="7"/>
        <v>24</v>
      </c>
      <c r="J23" s="7"/>
    </row>
    <row r="24" spans="1:18" x14ac:dyDescent="0.2">
      <c r="A24" s="30" t="s">
        <v>9</v>
      </c>
      <c r="B24" s="10">
        <f>'Orange Lake tribs loading'!H10</f>
        <v>18</v>
      </c>
      <c r="C24" s="647">
        <f t="shared" si="0"/>
        <v>6.4538567172099269E-4</v>
      </c>
      <c r="D24" s="192">
        <f t="shared" si="6"/>
        <v>18</v>
      </c>
      <c r="E24" s="6">
        <f t="shared" ref="E24:E27" si="10">B24</f>
        <v>18</v>
      </c>
      <c r="F24" s="653">
        <f t="shared" si="8"/>
        <v>8.5744364292871E-4</v>
      </c>
      <c r="G24" s="6">
        <f t="shared" si="9"/>
        <v>10.318734032096975</v>
      </c>
      <c r="H24" s="33"/>
      <c r="I24" s="6">
        <f t="shared" si="7"/>
        <v>18</v>
      </c>
      <c r="J24" s="7"/>
    </row>
    <row r="25" spans="1:18" x14ac:dyDescent="0.2">
      <c r="A25" s="30" t="s">
        <v>10</v>
      </c>
      <c r="B25" s="10">
        <f>'Orange Lake tribs loading'!H11</f>
        <v>0</v>
      </c>
      <c r="C25" s="647">
        <f t="shared" si="0"/>
        <v>0</v>
      </c>
      <c r="D25" s="192">
        <f t="shared" si="6"/>
        <v>0</v>
      </c>
      <c r="E25" s="6">
        <f t="shared" si="10"/>
        <v>0</v>
      </c>
      <c r="F25" s="653">
        <f t="shared" si="8"/>
        <v>0</v>
      </c>
      <c r="G25" s="6">
        <f t="shared" si="9"/>
        <v>0</v>
      </c>
      <c r="H25" s="33"/>
      <c r="I25" s="6">
        <f t="shared" si="7"/>
        <v>0</v>
      </c>
      <c r="J25" s="7"/>
    </row>
    <row r="26" spans="1:18" x14ac:dyDescent="0.2">
      <c r="A26" s="30" t="s">
        <v>189</v>
      </c>
      <c r="B26" s="10">
        <v>0.3</v>
      </c>
      <c r="C26" s="647">
        <f t="shared" si="0"/>
        <v>1.0756427862016545E-5</v>
      </c>
      <c r="D26" s="192">
        <f t="shared" si="6"/>
        <v>0.3</v>
      </c>
      <c r="E26" s="6">
        <v>0</v>
      </c>
      <c r="F26" s="653">
        <v>0</v>
      </c>
      <c r="G26" s="145">
        <v>0</v>
      </c>
      <c r="H26" s="33"/>
      <c r="I26" s="6">
        <v>0</v>
      </c>
      <c r="J26" s="7"/>
    </row>
    <row r="27" spans="1:18" x14ac:dyDescent="0.2">
      <c r="A27" s="30" t="s">
        <v>11</v>
      </c>
      <c r="B27" s="10">
        <f>'Orange Lake tribs loading'!H12</f>
        <v>7.666666666666667</v>
      </c>
      <c r="C27" s="647">
        <f t="shared" si="0"/>
        <v>2.7488648980708948E-4</v>
      </c>
      <c r="D27" s="192">
        <f t="shared" si="6"/>
        <v>7.666666666666667</v>
      </c>
      <c r="E27" s="6">
        <f t="shared" si="10"/>
        <v>7.666666666666667</v>
      </c>
      <c r="F27" s="653">
        <f t="shared" ref="F27:F29" si="11">E27/(D$38-D$5-D$30-D$18-D$34)</f>
        <v>3.6520747754370981E-4</v>
      </c>
      <c r="G27" s="6">
        <f t="shared" ref="G27:G29" si="12">F27*($D$40)</f>
        <v>4.3950163470042662</v>
      </c>
      <c r="H27" s="33"/>
      <c r="I27" s="6">
        <f t="shared" ref="I27:I35" si="13">D27+H27</f>
        <v>7.666666666666667</v>
      </c>
      <c r="J27" s="7"/>
    </row>
    <row r="28" spans="1:18" x14ac:dyDescent="0.2">
      <c r="A28" s="27" t="s">
        <v>99</v>
      </c>
      <c r="B28" s="219">
        <f>'Orange Lake tribs loading'!H15</f>
        <v>6.166666666666667</v>
      </c>
      <c r="C28" s="649">
        <f t="shared" si="0"/>
        <v>2.2110435049700676E-4</v>
      </c>
      <c r="D28" s="214">
        <f t="shared" si="6"/>
        <v>6.166666666666667</v>
      </c>
      <c r="E28" s="215">
        <f>B28</f>
        <v>6.166666666666667</v>
      </c>
      <c r="F28" s="651">
        <f t="shared" si="11"/>
        <v>2.9375384063298402E-4</v>
      </c>
      <c r="G28" s="215">
        <f t="shared" si="12"/>
        <v>3.5351218443295194</v>
      </c>
      <c r="H28" s="218"/>
      <c r="I28" s="215">
        <f t="shared" si="13"/>
        <v>6.166666666666667</v>
      </c>
      <c r="J28" s="220"/>
    </row>
    <row r="29" spans="1:18" x14ac:dyDescent="0.2">
      <c r="A29" s="32" t="s">
        <v>96</v>
      </c>
      <c r="B29" s="213">
        <f>'Orange Lake tribs loading'!H8</f>
        <v>274.16666666666669</v>
      </c>
      <c r="C29" s="649">
        <f t="shared" si="0"/>
        <v>9.8301799072317876E-3</v>
      </c>
      <c r="D29" s="214">
        <f t="shared" si="6"/>
        <v>274.16666666666669</v>
      </c>
      <c r="E29" s="215">
        <f>B29</f>
        <v>274.16666666666669</v>
      </c>
      <c r="F29" s="651">
        <f t="shared" si="11"/>
        <v>1.3060136968682667E-2</v>
      </c>
      <c r="G29" s="215">
        <f t="shared" si="12"/>
        <v>157.16960632221782</v>
      </c>
      <c r="H29" s="218"/>
      <c r="I29" s="215">
        <f t="shared" si="13"/>
        <v>274.16666666666669</v>
      </c>
      <c r="J29" s="7"/>
    </row>
    <row r="30" spans="1:18" x14ac:dyDescent="0.2">
      <c r="A30" s="27" t="s">
        <v>0</v>
      </c>
      <c r="B30" s="219">
        <v>2941</v>
      </c>
      <c r="C30" s="649">
        <f t="shared" si="0"/>
        <v>0.1054488478073022</v>
      </c>
      <c r="D30" s="214">
        <f t="shared" si="6"/>
        <v>2941</v>
      </c>
      <c r="E30" s="221">
        <v>0</v>
      </c>
      <c r="F30" s="651"/>
      <c r="G30" s="215"/>
      <c r="H30" s="218"/>
      <c r="I30" s="215">
        <f t="shared" si="13"/>
        <v>2941</v>
      </c>
      <c r="J30" s="7"/>
    </row>
    <row r="31" spans="1:18" x14ac:dyDescent="0.2">
      <c r="A31" s="27" t="s">
        <v>1</v>
      </c>
      <c r="B31" s="213">
        <f>SUM(B32:B33)</f>
        <v>13671</v>
      </c>
      <c r="C31" s="649">
        <f t="shared" si="0"/>
        <v>0.49017041767209396</v>
      </c>
      <c r="D31" s="214">
        <f t="shared" si="6"/>
        <v>13671</v>
      </c>
      <c r="E31" s="221">
        <f>SUM(E32:E33)</f>
        <v>13671</v>
      </c>
      <c r="F31" s="651">
        <f t="shared" ref="F31:F33" si="14">E31/(D$38-D$5-D$30-D$18-D$34)</f>
        <v>0.65122844680435521</v>
      </c>
      <c r="G31" s="215">
        <f t="shared" ref="G31:G33" si="15">F31*($D$40)</f>
        <v>7837.0784973776517</v>
      </c>
      <c r="H31" s="218"/>
      <c r="I31" s="215">
        <f t="shared" si="13"/>
        <v>13671</v>
      </c>
      <c r="J31" s="7"/>
    </row>
    <row r="32" spans="1:18" x14ac:dyDescent="0.2">
      <c r="A32" s="34" t="s">
        <v>89</v>
      </c>
      <c r="B32" s="264">
        <v>10344</v>
      </c>
      <c r="C32" s="650">
        <f t="shared" si="0"/>
        <v>0.37088163268233049</v>
      </c>
      <c r="D32" s="265">
        <f t="shared" si="6"/>
        <v>10344</v>
      </c>
      <c r="E32" s="267">
        <f>B32</f>
        <v>10344</v>
      </c>
      <c r="F32" s="654">
        <f t="shared" si="14"/>
        <v>0.49274428013636534</v>
      </c>
      <c r="G32" s="267">
        <f t="shared" si="15"/>
        <v>5929.832490445061</v>
      </c>
      <c r="H32" s="223"/>
      <c r="I32" s="222">
        <f t="shared" si="13"/>
        <v>10344</v>
      </c>
      <c r="J32" s="7"/>
    </row>
    <row r="33" spans="1:20" x14ac:dyDescent="0.2">
      <c r="A33" s="34" t="s">
        <v>90</v>
      </c>
      <c r="B33" s="266">
        <v>3327</v>
      </c>
      <c r="C33" s="650">
        <f t="shared" si="0"/>
        <v>0.11928878498976349</v>
      </c>
      <c r="D33" s="265">
        <f t="shared" si="6"/>
        <v>3327</v>
      </c>
      <c r="E33" s="267">
        <f>B33</f>
        <v>3327</v>
      </c>
      <c r="F33" s="654">
        <f t="shared" si="14"/>
        <v>0.1584841666679899</v>
      </c>
      <c r="G33" s="267">
        <f t="shared" si="15"/>
        <v>1907.2460069325907</v>
      </c>
      <c r="H33" s="223"/>
      <c r="I33" s="222">
        <f t="shared" si="13"/>
        <v>3327</v>
      </c>
      <c r="J33" s="7"/>
    </row>
    <row r="34" spans="1:20" x14ac:dyDescent="0.2">
      <c r="A34" s="32" t="s">
        <v>3</v>
      </c>
      <c r="B34" s="213">
        <v>0</v>
      </c>
      <c r="C34" s="217"/>
      <c r="D34" s="214">
        <f t="shared" si="6"/>
        <v>0</v>
      </c>
      <c r="E34" s="221">
        <v>0</v>
      </c>
      <c r="F34" s="653"/>
      <c r="G34" s="6">
        <v>0</v>
      </c>
      <c r="H34" s="33"/>
      <c r="I34" s="6">
        <f t="shared" si="13"/>
        <v>0</v>
      </c>
      <c r="J34" s="7"/>
    </row>
    <row r="35" spans="1:20" x14ac:dyDescent="0.2">
      <c r="A35" s="32" t="s">
        <v>13</v>
      </c>
      <c r="B35" s="213">
        <v>0</v>
      </c>
      <c r="C35" s="217"/>
      <c r="D35" s="214">
        <f t="shared" si="6"/>
        <v>0</v>
      </c>
      <c r="E35" s="221">
        <v>0</v>
      </c>
      <c r="F35" s="5"/>
      <c r="G35" s="194">
        <v>0</v>
      </c>
      <c r="H35" s="195"/>
      <c r="I35" s="6">
        <f t="shared" si="13"/>
        <v>0</v>
      </c>
      <c r="J35" s="7"/>
    </row>
    <row r="36" spans="1:20" x14ac:dyDescent="0.2">
      <c r="A36" s="32"/>
      <c r="B36" s="10"/>
      <c r="C36" s="187"/>
      <c r="D36" s="192"/>
      <c r="E36" s="8"/>
      <c r="F36" s="5"/>
      <c r="G36" s="6"/>
      <c r="H36" s="33"/>
      <c r="I36" s="8"/>
      <c r="J36" s="7"/>
    </row>
    <row r="37" spans="1:20" x14ac:dyDescent="0.2">
      <c r="A37" s="35" t="s">
        <v>4</v>
      </c>
      <c r="B37" s="10"/>
      <c r="C37" s="188"/>
      <c r="D37" s="192"/>
      <c r="E37" s="8"/>
      <c r="F37" s="5"/>
      <c r="G37" s="6"/>
      <c r="H37" s="10"/>
      <c r="I37" s="8"/>
      <c r="J37" s="9"/>
    </row>
    <row r="38" spans="1:20" x14ac:dyDescent="0.2">
      <c r="A38" s="36" t="s">
        <v>22</v>
      </c>
      <c r="B38" s="11">
        <f>B4+B17+B18+B5+B8+B21+B15+B29+B30+B31+B34+B16+B28+B35</f>
        <v>27890.299999999996</v>
      </c>
      <c r="C38" s="187">
        <f>C4+C5+C18+C17+C8+C21+C15+C29+C30+C31+C34+C16+C28+C35</f>
        <v>1</v>
      </c>
      <c r="D38" s="192">
        <f>D8+D15+D16+D21+D28+D29+D31+D35+D30+D18+D5</f>
        <v>27296.3</v>
      </c>
      <c r="E38" s="11">
        <f>E8+E21+E15+E29+E31+E16+E28+E35</f>
        <v>20992.633333333331</v>
      </c>
      <c r="F38" s="12">
        <f>F8+F21+F15+F29+F31+F16+F28+F35</f>
        <v>1</v>
      </c>
      <c r="G38" s="11">
        <f>G8+G21+G15+G29+G31+G16+G28</f>
        <v>12034.300000000001</v>
      </c>
      <c r="H38" s="11">
        <f>H8</f>
        <v>0</v>
      </c>
      <c r="I38" s="11">
        <f>I18+I5+I8+I21+I15+I29+I31+I16+I28+I35+I34+I30</f>
        <v>27296.299999999996</v>
      </c>
      <c r="J38" s="37"/>
    </row>
    <row r="39" spans="1:20" x14ac:dyDescent="0.2">
      <c r="A39" s="38" t="s">
        <v>14</v>
      </c>
      <c r="B39" s="10">
        <v>15262</v>
      </c>
      <c r="C39" s="188"/>
      <c r="D39" s="192">
        <f>B39</f>
        <v>15262</v>
      </c>
      <c r="E39" s="8"/>
      <c r="F39" s="5"/>
      <c r="G39" s="6"/>
      <c r="H39" s="10"/>
      <c r="I39" s="6">
        <f>B39</f>
        <v>15262</v>
      </c>
      <c r="J39" s="7"/>
    </row>
    <row r="40" spans="1:20" x14ac:dyDescent="0.2">
      <c r="A40" s="36" t="s">
        <v>15</v>
      </c>
      <c r="B40" s="11">
        <f>B38-B39</f>
        <v>12628.299999999996</v>
      </c>
      <c r="C40" s="188"/>
      <c r="D40" s="192">
        <f>D38-D39</f>
        <v>12034.3</v>
      </c>
      <c r="E40" s="13"/>
      <c r="F40" s="12"/>
      <c r="G40" s="11"/>
      <c r="H40" s="11"/>
      <c r="I40" s="11">
        <f>I38-I39</f>
        <v>12034.299999999996</v>
      </c>
      <c r="J40" s="37"/>
    </row>
    <row r="41" spans="1:20" ht="13.5" thickBot="1" x14ac:dyDescent="0.25">
      <c r="A41" s="39"/>
      <c r="B41" s="16"/>
      <c r="C41" s="189"/>
      <c r="D41" s="193"/>
      <c r="E41" s="15"/>
      <c r="F41" s="14"/>
      <c r="G41" s="40"/>
      <c r="H41" s="41"/>
      <c r="I41" s="15"/>
      <c r="J41" s="17"/>
    </row>
    <row r="43" spans="1:20" x14ac:dyDescent="0.2">
      <c r="A43" s="19" t="s">
        <v>173</v>
      </c>
    </row>
    <row r="44" spans="1:20" ht="13.5" thickBot="1" x14ac:dyDescent="0.25"/>
    <row r="45" spans="1:20" ht="63.75" x14ac:dyDescent="0.2">
      <c r="A45" s="73" t="s">
        <v>153</v>
      </c>
      <c r="B45" s="114" t="s">
        <v>69</v>
      </c>
      <c r="C45" s="115" t="s">
        <v>83</v>
      </c>
      <c r="D45" s="115" t="s">
        <v>133</v>
      </c>
      <c r="E45" s="115" t="s">
        <v>70</v>
      </c>
      <c r="F45" s="115" t="s">
        <v>71</v>
      </c>
      <c r="G45" s="529" t="s">
        <v>134</v>
      </c>
      <c r="H45" s="115" t="s">
        <v>76</v>
      </c>
      <c r="I45" s="115" t="s">
        <v>73</v>
      </c>
      <c r="J45" s="115" t="s">
        <v>135</v>
      </c>
      <c r="K45" s="115" t="s">
        <v>77</v>
      </c>
      <c r="L45" s="115" t="s">
        <v>78</v>
      </c>
      <c r="M45" s="115" t="s">
        <v>136</v>
      </c>
      <c r="N45" s="115" t="s">
        <v>79</v>
      </c>
      <c r="O45" s="115" t="s">
        <v>80</v>
      </c>
      <c r="P45" s="115" t="s">
        <v>137</v>
      </c>
      <c r="Q45" s="114" t="s">
        <v>197</v>
      </c>
      <c r="R45" s="115" t="s">
        <v>198</v>
      </c>
      <c r="S45" s="115" t="s">
        <v>199</v>
      </c>
      <c r="T45" s="116" t="s">
        <v>138</v>
      </c>
    </row>
    <row r="46" spans="1:20" x14ac:dyDescent="0.2">
      <c r="A46" s="30" t="s">
        <v>62</v>
      </c>
      <c r="B46" s="122" t="s">
        <v>171</v>
      </c>
      <c r="C46" s="140" t="s">
        <v>171</v>
      </c>
      <c r="D46" s="122" t="s">
        <v>171</v>
      </c>
      <c r="E46" s="122">
        <v>13.95</v>
      </c>
      <c r="F46" s="121">
        <f>'Orange Lake LU'!E6</f>
        <v>2.6589464898671488E-2</v>
      </c>
      <c r="G46" s="545">
        <f>F46*G$12</f>
        <v>6.3511485265085516E-2</v>
      </c>
      <c r="H46" s="137">
        <v>697.9</v>
      </c>
      <c r="I46" s="121">
        <f>'Orange Lake LU'!E7</f>
        <v>8.5321331776393575E-2</v>
      </c>
      <c r="J46" s="137">
        <f>I46*G$10</f>
        <v>20.453185165102386</v>
      </c>
      <c r="K46" s="120">
        <v>15.2</v>
      </c>
      <c r="L46" s="121">
        <v>3.6999999999999998E-2</v>
      </c>
      <c r="M46" s="120">
        <f>L46*G$11</f>
        <v>3.5669379409284843</v>
      </c>
      <c r="N46" s="120">
        <v>15</v>
      </c>
      <c r="O46" s="121">
        <v>6.9000000000000006E-2</v>
      </c>
      <c r="P46" s="120">
        <f>O46*G$9</f>
        <v>3.7181838295656102</v>
      </c>
      <c r="Q46" s="198">
        <v>1.4202213429499999</v>
      </c>
      <c r="R46" s="199">
        <v>8.0000000000000002E-3</v>
      </c>
      <c r="S46" s="200">
        <f>R46*G$13</f>
        <v>3.2102728099857251E-2</v>
      </c>
      <c r="T46" s="197">
        <f>G46+J46+M46+P46+S46</f>
        <v>27.833921148961423</v>
      </c>
    </row>
    <row r="47" spans="1:20" x14ac:dyDescent="0.2">
      <c r="A47" s="34" t="s">
        <v>119</v>
      </c>
      <c r="B47" s="120">
        <f>'Orange Lake LU'!C13</f>
        <v>72.549159808200002</v>
      </c>
      <c r="C47" s="121">
        <f>'Orange Lake LU'!E13</f>
        <v>8.9812159962319449E-2</v>
      </c>
      <c r="D47" s="120">
        <f>C47*G$14</f>
        <v>10.383007664020193</v>
      </c>
      <c r="E47" s="122" t="s">
        <v>171</v>
      </c>
      <c r="F47" s="122" t="s">
        <v>171</v>
      </c>
      <c r="G47" s="545" t="s">
        <v>171</v>
      </c>
      <c r="H47" s="547" t="s">
        <v>171</v>
      </c>
      <c r="I47" s="122" t="s">
        <v>171</v>
      </c>
      <c r="J47" s="127" t="s">
        <v>171</v>
      </c>
      <c r="K47" s="127" t="s">
        <v>171</v>
      </c>
      <c r="L47" s="127" t="s">
        <v>171</v>
      </c>
      <c r="M47" s="127" t="s">
        <v>171</v>
      </c>
      <c r="N47" s="127" t="s">
        <v>171</v>
      </c>
      <c r="O47" s="127" t="s">
        <v>171</v>
      </c>
      <c r="P47" s="127" t="s">
        <v>171</v>
      </c>
      <c r="Q47" s="149" t="s">
        <v>171</v>
      </c>
      <c r="R47" s="149" t="s">
        <v>171</v>
      </c>
      <c r="S47" s="149" t="s">
        <v>171</v>
      </c>
      <c r="T47" s="132">
        <f>D47</f>
        <v>10.383007664020193</v>
      </c>
    </row>
    <row r="48" spans="1:20" x14ac:dyDescent="0.2">
      <c r="A48" s="34" t="s">
        <v>139</v>
      </c>
      <c r="B48" s="120">
        <f>'Orange Lake LU'!C14</f>
        <v>689.07791322599996</v>
      </c>
      <c r="C48" s="121">
        <f>'Orange Lake LU'!E14</f>
        <v>0.85304331480569162</v>
      </c>
      <c r="D48" s="120">
        <f>C48*G$14</f>
        <v>98.618664544808766</v>
      </c>
      <c r="E48" s="122" t="s">
        <v>171</v>
      </c>
      <c r="F48" s="122" t="s">
        <v>171</v>
      </c>
      <c r="G48" s="545" t="s">
        <v>171</v>
      </c>
      <c r="H48" s="547" t="s">
        <v>171</v>
      </c>
      <c r="I48" s="122" t="s">
        <v>171</v>
      </c>
      <c r="J48" s="127" t="s">
        <v>171</v>
      </c>
      <c r="K48" s="127" t="s">
        <v>171</v>
      </c>
      <c r="L48" s="127" t="s">
        <v>171</v>
      </c>
      <c r="M48" s="127" t="s">
        <v>171</v>
      </c>
      <c r="N48" s="127" t="s">
        <v>171</v>
      </c>
      <c r="O48" s="127" t="s">
        <v>171</v>
      </c>
      <c r="P48" s="127" t="s">
        <v>171</v>
      </c>
      <c r="Q48" s="149" t="s">
        <v>171</v>
      </c>
      <c r="R48" s="149" t="s">
        <v>171</v>
      </c>
      <c r="S48" s="149" t="s">
        <v>171</v>
      </c>
      <c r="T48" s="132">
        <f>D48</f>
        <v>98.618664544808766</v>
      </c>
    </row>
    <row r="49" spans="1:20" x14ac:dyDescent="0.2">
      <c r="A49" s="34" t="s">
        <v>140</v>
      </c>
      <c r="B49" s="120">
        <f>'Orange Lake LU'!C15</f>
        <v>46.160645674199998</v>
      </c>
      <c r="C49" s="121">
        <f>'Orange Lake LU'!E15</f>
        <v>5.7144525232483999E-2</v>
      </c>
      <c r="D49" s="120">
        <f>C49*G$14</f>
        <v>6.6063664841666006</v>
      </c>
      <c r="E49" s="122">
        <f>'Orange Lake LU'!C16</f>
        <v>458.04242434600002</v>
      </c>
      <c r="F49" s="140">
        <f>'Orange Lake LU'!E16</f>
        <v>0.87314984006058682</v>
      </c>
      <c r="G49" s="545">
        <f>F49*G$12</f>
        <v>2.0856020763317611</v>
      </c>
      <c r="H49" s="547">
        <f>'Orange Lake LU'!C17</f>
        <v>6802.71058928</v>
      </c>
      <c r="I49" s="140">
        <f>'Orange Lake LU'!E17</f>
        <v>0.83146534846648901</v>
      </c>
      <c r="J49" s="137">
        <f>I49*G$10</f>
        <v>199.31843979088796</v>
      </c>
      <c r="K49" s="141">
        <f>'Orange Lake LU'!C18</f>
        <v>247.84207916700001</v>
      </c>
      <c r="L49" s="140">
        <f>'Orange Lake LU'!E18</f>
        <v>0.61289591706792046</v>
      </c>
      <c r="M49" s="120">
        <f>L49*G$11</f>
        <v>59.085451362965493</v>
      </c>
      <c r="N49" s="141">
        <f>'Orange Lake LU'!C19</f>
        <v>191.95335717</v>
      </c>
      <c r="O49" s="140">
        <f>'Orange Lake LU'!E19</f>
        <v>0.88170117491952094</v>
      </c>
      <c r="P49" s="120">
        <f>O49*G$9</f>
        <v>47.511986247750173</v>
      </c>
      <c r="Q49" s="204">
        <v>183.351168234</v>
      </c>
      <c r="R49" s="205">
        <v>0.99199999999999999</v>
      </c>
      <c r="S49" s="200">
        <f t="shared" ref="S49:S50" si="16">R49*G$13</f>
        <v>3.9807382843822992</v>
      </c>
      <c r="T49" s="132">
        <f>D49+G49+J49+M49+P49+S49</f>
        <v>318.58858424648434</v>
      </c>
    </row>
    <row r="50" spans="1:20" x14ac:dyDescent="0.2">
      <c r="A50" s="34" t="s">
        <v>142</v>
      </c>
      <c r="B50" s="122" t="s">
        <v>171</v>
      </c>
      <c r="C50" s="140" t="s">
        <v>171</v>
      </c>
      <c r="D50" s="122" t="s">
        <v>171</v>
      </c>
      <c r="E50" s="122">
        <f>'Orange Lake LU'!C21</f>
        <v>30.963419394599999</v>
      </c>
      <c r="F50" s="140">
        <f>'Orange Lake LU'!E21</f>
        <v>5.9024455498256204E-2</v>
      </c>
      <c r="G50" s="545">
        <f>F50*G$12</f>
        <v>0.1409855689064467</v>
      </c>
      <c r="H50" s="547">
        <f>'Orange Lake LU'!C22</f>
        <v>190.45342905800001</v>
      </c>
      <c r="I50" s="140">
        <f>'Orange Lake LU'!E22</f>
        <v>2.3278283660617714E-2</v>
      </c>
      <c r="J50" s="137">
        <f>I50*G$10</f>
        <v>5.5802580213371851</v>
      </c>
      <c r="K50" s="141">
        <f>'Orange Lake LU'!C23</f>
        <v>85.589215754799994</v>
      </c>
      <c r="L50" s="140">
        <f>'Orange Lake LU'!E23</f>
        <v>0.21165607171095302</v>
      </c>
      <c r="M50" s="120">
        <f>L50*G$11</f>
        <v>20.40443439496428</v>
      </c>
      <c r="N50" s="141">
        <f>'Orange Lake LU'!C24</f>
        <v>6.6737480405699996</v>
      </c>
      <c r="O50" s="140">
        <f>'Orange Lake LU'!E24</f>
        <v>3.0654590131894068E-2</v>
      </c>
      <c r="P50" s="120">
        <f>O50*G$9</f>
        <v>1.6518753815995657</v>
      </c>
      <c r="Q50" s="204">
        <v>5.4974549999700001E-2</v>
      </c>
      <c r="R50" s="205">
        <v>2.9999999999999997E-4</v>
      </c>
      <c r="S50" s="200">
        <f t="shared" si="16"/>
        <v>1.2038523037446469E-3</v>
      </c>
      <c r="T50" s="132">
        <f>G50+J50+M50+P50</f>
        <v>27.777553366807478</v>
      </c>
    </row>
    <row r="51" spans="1:20" x14ac:dyDescent="0.2">
      <c r="A51" s="34" t="s">
        <v>143</v>
      </c>
      <c r="B51" s="122" t="s">
        <v>171</v>
      </c>
      <c r="C51" s="140" t="s">
        <v>171</v>
      </c>
      <c r="D51" s="122" t="s">
        <v>171</v>
      </c>
      <c r="E51" s="122">
        <f>'Orange Lake LU'!C28</f>
        <v>7.9677841797499998</v>
      </c>
      <c r="F51" s="140">
        <f>'Orange Lake LU'!E28</f>
        <v>1.5188701116756589E-2</v>
      </c>
      <c r="G51" s="545">
        <f>F51*G$12</f>
        <v>3.6279668314079992E-2</v>
      </c>
      <c r="H51" s="547">
        <v>97.5</v>
      </c>
      <c r="I51" s="140">
        <f>'Orange Lake LU'!E29</f>
        <v>1.1902410074551398E-2</v>
      </c>
      <c r="J51" s="137">
        <f>I51*G$10</f>
        <v>2.8532395369048218</v>
      </c>
      <c r="K51" s="141">
        <v>55.77</v>
      </c>
      <c r="L51" s="140">
        <v>0.13800000000000001</v>
      </c>
      <c r="M51" s="120">
        <f>L51*G$11</f>
        <v>13.303714482381915</v>
      </c>
      <c r="N51" s="141">
        <v>4.07</v>
      </c>
      <c r="O51" s="140">
        <v>1.9E-2</v>
      </c>
      <c r="P51" s="120">
        <f>O51*G$9</f>
        <v>1.0238477211847332</v>
      </c>
      <c r="Q51" s="149" t="s">
        <v>171</v>
      </c>
      <c r="R51" s="149" t="s">
        <v>171</v>
      </c>
      <c r="S51" s="149" t="s">
        <v>171</v>
      </c>
      <c r="T51" s="132">
        <f>G51+J51+M51+P51</f>
        <v>17.21708140878555</v>
      </c>
    </row>
    <row r="52" spans="1:20" x14ac:dyDescent="0.2">
      <c r="A52" s="34" t="s">
        <v>141</v>
      </c>
      <c r="B52" s="122" t="s">
        <v>171</v>
      </c>
      <c r="C52" s="140" t="s">
        <v>171</v>
      </c>
      <c r="D52" s="122" t="s">
        <v>171</v>
      </c>
      <c r="E52" s="122">
        <f>'Orange Lake LU'!C33</f>
        <v>13.6641812224</v>
      </c>
      <c r="F52" s="140">
        <f>'Orange Lake LU'!E33</f>
        <v>2.6047538426014847E-2</v>
      </c>
      <c r="G52" s="545">
        <f>F52*G$12</f>
        <v>6.2217041946498401E-2</v>
      </c>
      <c r="H52" s="547">
        <f>'Orange Lake LU'!C34</f>
        <v>392.983368794</v>
      </c>
      <c r="I52" s="140">
        <f>'Orange Lake LU'!E34</f>
        <v>4.8032626022742719E-2</v>
      </c>
      <c r="J52" s="137">
        <f>I52*G$10</f>
        <v>11.514356064951684</v>
      </c>
      <c r="K52" s="127" t="s">
        <v>171</v>
      </c>
      <c r="L52" s="140" t="s">
        <v>171</v>
      </c>
      <c r="M52" s="127" t="s">
        <v>171</v>
      </c>
      <c r="N52" s="127" t="s">
        <v>171</v>
      </c>
      <c r="O52" s="127" t="s">
        <v>171</v>
      </c>
      <c r="P52" s="127" t="s">
        <v>171</v>
      </c>
      <c r="Q52" s="149" t="s">
        <v>171</v>
      </c>
      <c r="R52" s="149" t="s">
        <v>171</v>
      </c>
      <c r="S52" s="149" t="s">
        <v>171</v>
      </c>
      <c r="T52" s="132">
        <f>G52+J52</f>
        <v>11.576573106898183</v>
      </c>
    </row>
    <row r="53" spans="1:20" ht="13.5" thickBot="1" x14ac:dyDescent="0.25">
      <c r="A53" s="78" t="s">
        <v>68</v>
      </c>
      <c r="B53" s="123">
        <f>SUM(B46:B52)</f>
        <v>807.78771870840001</v>
      </c>
      <c r="C53" s="124">
        <f>SUM(C47:C52)</f>
        <v>1.0000000000004952</v>
      </c>
      <c r="D53" s="123">
        <f t="shared" ref="D53:S53" si="17">SUM(D46:D52)</f>
        <v>115.60803869299556</v>
      </c>
      <c r="E53" s="123">
        <f t="shared" si="17"/>
        <v>524.58780914275007</v>
      </c>
      <c r="F53" s="124">
        <f t="shared" si="17"/>
        <v>1.000000000000286</v>
      </c>
      <c r="G53" s="123">
        <f t="shared" si="17"/>
        <v>2.3885958407638714</v>
      </c>
      <c r="H53" s="138">
        <f>ROUNDUP(SUM(H46:H52),1)</f>
        <v>8181.6</v>
      </c>
      <c r="I53" s="124">
        <f t="shared" si="17"/>
        <v>1.0000000000007945</v>
      </c>
      <c r="J53" s="138">
        <f t="shared" si="17"/>
        <v>239.71947857918406</v>
      </c>
      <c r="K53" s="123">
        <f t="shared" si="17"/>
        <v>404.40129492179994</v>
      </c>
      <c r="L53" s="124">
        <f t="shared" si="17"/>
        <v>0.99955198877887352</v>
      </c>
      <c r="M53" s="123">
        <f t="shared" si="17"/>
        <v>96.360538181240173</v>
      </c>
      <c r="N53" s="123">
        <f t="shared" si="17"/>
        <v>217.69710521056999</v>
      </c>
      <c r="O53" s="124">
        <f t="shared" si="17"/>
        <v>1.000355765051415</v>
      </c>
      <c r="P53" s="123">
        <f t="shared" si="17"/>
        <v>53.90589318010008</v>
      </c>
      <c r="Q53" s="202">
        <f t="shared" si="17"/>
        <v>184.8263641269497</v>
      </c>
      <c r="R53" s="201">
        <f t="shared" si="17"/>
        <v>1.0003</v>
      </c>
      <c r="S53" s="203">
        <f t="shared" si="17"/>
        <v>4.0140448647859008</v>
      </c>
      <c r="T53" s="135">
        <f t="shared" ref="T53" si="18">SUM(T46:T52)</f>
        <v>511.99538548676594</v>
      </c>
    </row>
    <row r="54" spans="1:20" x14ac:dyDescent="0.2">
      <c r="A54" s="150"/>
      <c r="E54"/>
      <c r="F54"/>
      <c r="G54"/>
      <c r="H54" s="463"/>
      <c r="R54" s="2"/>
    </row>
    <row r="55" spans="1:20" ht="13.5" thickBot="1" x14ac:dyDescent="0.25">
      <c r="E55"/>
      <c r="F55"/>
      <c r="G55"/>
      <c r="H55"/>
      <c r="R55" s="2"/>
    </row>
    <row r="56" spans="1:20" ht="63.75" x14ac:dyDescent="0.2">
      <c r="A56" s="73" t="s">
        <v>154</v>
      </c>
      <c r="B56" s="114" t="s">
        <v>69</v>
      </c>
      <c r="C56" s="115" t="s">
        <v>83</v>
      </c>
      <c r="D56" s="115" t="s">
        <v>133</v>
      </c>
      <c r="E56" s="115" t="s">
        <v>70</v>
      </c>
      <c r="F56" s="115" t="s">
        <v>71</v>
      </c>
      <c r="G56" s="529" t="s">
        <v>134</v>
      </c>
      <c r="H56" s="115" t="s">
        <v>76</v>
      </c>
      <c r="I56" s="115" t="s">
        <v>73</v>
      </c>
      <c r="J56" s="115" t="s">
        <v>135</v>
      </c>
      <c r="K56" s="115" t="s">
        <v>77</v>
      </c>
      <c r="L56" s="115" t="s">
        <v>78</v>
      </c>
      <c r="M56" s="115" t="s">
        <v>136</v>
      </c>
      <c r="N56" s="115" t="s">
        <v>79</v>
      </c>
      <c r="O56" s="115" t="s">
        <v>80</v>
      </c>
      <c r="P56" s="115" t="s">
        <v>137</v>
      </c>
      <c r="Q56" s="114" t="s">
        <v>197</v>
      </c>
      <c r="R56" s="115" t="s">
        <v>198</v>
      </c>
      <c r="S56" s="115" t="s">
        <v>199</v>
      </c>
      <c r="T56" s="116" t="s">
        <v>138</v>
      </c>
    </row>
    <row r="57" spans="1:20" x14ac:dyDescent="0.2">
      <c r="A57" s="30" t="s">
        <v>62</v>
      </c>
      <c r="B57" s="122">
        <f>'Orange Lake LU'!C3</f>
        <v>1.4762225196600001</v>
      </c>
      <c r="C57" s="140">
        <f>'Orange Lake LU'!E3</f>
        <v>5.1007345843512998E-2</v>
      </c>
      <c r="D57" s="122">
        <f>C57*G$27</f>
        <v>0.22417811879953975</v>
      </c>
      <c r="E57" s="120">
        <v>5</v>
      </c>
      <c r="F57" s="121">
        <v>0.14399999999999999</v>
      </c>
      <c r="G57" s="545">
        <f>F57*G25</f>
        <v>0</v>
      </c>
      <c r="H57" s="137">
        <f>'Orange Lake LU'!C5</f>
        <v>254.372283571</v>
      </c>
      <c r="I57" s="121">
        <f>'Orange Lake LU'!E5</f>
        <v>0.75780365563429364</v>
      </c>
      <c r="J57" s="137">
        <f>I57*G$23</f>
        <v>10.426099161388107</v>
      </c>
      <c r="K57" s="122" t="s">
        <v>171</v>
      </c>
      <c r="L57" s="122" t="s">
        <v>171</v>
      </c>
      <c r="M57" s="122" t="s">
        <v>171</v>
      </c>
      <c r="N57" s="122" t="s">
        <v>171</v>
      </c>
      <c r="O57" s="122" t="s">
        <v>171</v>
      </c>
      <c r="P57" s="122" t="s">
        <v>171</v>
      </c>
      <c r="Q57" s="198">
        <v>2.94360842129</v>
      </c>
      <c r="R57" s="199">
        <v>1</v>
      </c>
      <c r="S57" s="206">
        <f>R57*G$26</f>
        <v>0</v>
      </c>
      <c r="T57" s="128">
        <f>D57+G57+J57</f>
        <v>10.650277280187646</v>
      </c>
    </row>
    <row r="58" spans="1:20" x14ac:dyDescent="0.2">
      <c r="A58" s="34" t="s">
        <v>119</v>
      </c>
      <c r="B58" s="120">
        <f>'Orange Lake LU'!C12</f>
        <v>27.465148478</v>
      </c>
      <c r="C58" s="121">
        <f>'Orange Lake LU'!E12</f>
        <v>0.94899265415856016</v>
      </c>
      <c r="D58" s="122">
        <f>C58*G$27</f>
        <v>4.1708382282138379</v>
      </c>
      <c r="E58" s="127" t="s">
        <v>128</v>
      </c>
      <c r="F58" s="122" t="s">
        <v>171</v>
      </c>
      <c r="G58" s="122" t="s">
        <v>171</v>
      </c>
      <c r="H58" s="122" t="s">
        <v>171</v>
      </c>
      <c r="I58" s="122" t="s">
        <v>171</v>
      </c>
      <c r="J58" s="122" t="s">
        <v>171</v>
      </c>
      <c r="K58" s="122" t="s">
        <v>171</v>
      </c>
      <c r="L58" s="122" t="s">
        <v>171</v>
      </c>
      <c r="M58" s="122" t="s">
        <v>171</v>
      </c>
      <c r="N58" s="122" t="s">
        <v>171</v>
      </c>
      <c r="O58" s="122" t="s">
        <v>171</v>
      </c>
      <c r="P58" s="122" t="s">
        <v>171</v>
      </c>
      <c r="Q58" s="207" t="s">
        <v>171</v>
      </c>
      <c r="R58" s="149" t="s">
        <v>171</v>
      </c>
      <c r="S58" s="149" t="s">
        <v>171</v>
      </c>
      <c r="T58" s="128">
        <f>D58</f>
        <v>4.1708382282138379</v>
      </c>
    </row>
    <row r="59" spans="1:20" x14ac:dyDescent="0.2">
      <c r="A59" s="34" t="s">
        <v>139</v>
      </c>
      <c r="B59" s="122" t="s">
        <v>171</v>
      </c>
      <c r="C59" s="122" t="s">
        <v>171</v>
      </c>
      <c r="D59" s="122" t="s">
        <v>171</v>
      </c>
      <c r="E59" s="122" t="s">
        <v>171</v>
      </c>
      <c r="F59" s="122" t="s">
        <v>171</v>
      </c>
      <c r="G59" s="122" t="s">
        <v>171</v>
      </c>
      <c r="H59" s="122" t="s">
        <v>171</v>
      </c>
      <c r="I59" s="122" t="s">
        <v>171</v>
      </c>
      <c r="J59" s="122" t="s">
        <v>171</v>
      </c>
      <c r="K59" s="122" t="s">
        <v>171</v>
      </c>
      <c r="L59" s="122" t="s">
        <v>171</v>
      </c>
      <c r="M59" s="122" t="s">
        <v>171</v>
      </c>
      <c r="N59" s="122" t="s">
        <v>171</v>
      </c>
      <c r="O59" s="122" t="s">
        <v>171</v>
      </c>
      <c r="P59" s="122" t="s">
        <v>171</v>
      </c>
      <c r="Q59" s="207" t="s">
        <v>171</v>
      </c>
      <c r="R59" s="149" t="s">
        <v>171</v>
      </c>
      <c r="S59" s="149" t="s">
        <v>171</v>
      </c>
      <c r="T59" s="128" t="str">
        <f>D59</f>
        <v>nd</v>
      </c>
    </row>
    <row r="60" spans="1:20" x14ac:dyDescent="0.2">
      <c r="A60" s="34" t="s">
        <v>140</v>
      </c>
      <c r="B60" s="122" t="s">
        <v>171</v>
      </c>
      <c r="C60" s="122" t="s">
        <v>171</v>
      </c>
      <c r="D60" s="122" t="s">
        <v>171</v>
      </c>
      <c r="E60" s="122" t="s">
        <v>171</v>
      </c>
      <c r="F60" s="122" t="s">
        <v>171</v>
      </c>
      <c r="G60" s="122" t="s">
        <v>171</v>
      </c>
      <c r="H60" s="122" t="s">
        <v>171</v>
      </c>
      <c r="I60" s="122" t="s">
        <v>171</v>
      </c>
      <c r="J60" s="122" t="s">
        <v>171</v>
      </c>
      <c r="K60" s="122" t="s">
        <v>171</v>
      </c>
      <c r="L60" s="122" t="s">
        <v>171</v>
      </c>
      <c r="M60" s="122" t="s">
        <v>171</v>
      </c>
      <c r="N60" s="122" t="s">
        <v>171</v>
      </c>
      <c r="O60" s="122" t="s">
        <v>171</v>
      </c>
      <c r="P60" s="122" t="s">
        <v>171</v>
      </c>
      <c r="Q60" s="207" t="s">
        <v>171</v>
      </c>
      <c r="R60" s="208" t="s">
        <v>171</v>
      </c>
      <c r="S60" s="149" t="s">
        <v>171</v>
      </c>
      <c r="T60" s="122" t="s">
        <v>171</v>
      </c>
    </row>
    <row r="61" spans="1:20" x14ac:dyDescent="0.2">
      <c r="A61" s="34" t="s">
        <v>142</v>
      </c>
      <c r="B61" s="122" t="s">
        <v>171</v>
      </c>
      <c r="C61" s="122" t="s">
        <v>171</v>
      </c>
      <c r="D61" s="122" t="s">
        <v>171</v>
      </c>
      <c r="E61" s="122" t="s">
        <v>171</v>
      </c>
      <c r="F61" s="122" t="s">
        <v>171</v>
      </c>
      <c r="G61" s="122" t="s">
        <v>171</v>
      </c>
      <c r="H61" s="122" t="s">
        <v>171</v>
      </c>
      <c r="I61" s="122" t="s">
        <v>171</v>
      </c>
      <c r="J61" s="122" t="s">
        <v>171</v>
      </c>
      <c r="K61" s="122" t="s">
        <v>171</v>
      </c>
      <c r="L61" s="122" t="s">
        <v>171</v>
      </c>
      <c r="M61" s="122" t="s">
        <v>171</v>
      </c>
      <c r="N61" s="122" t="s">
        <v>171</v>
      </c>
      <c r="O61" s="122" t="s">
        <v>171</v>
      </c>
      <c r="P61" s="122" t="s">
        <v>171</v>
      </c>
      <c r="Q61" s="207" t="s">
        <v>171</v>
      </c>
      <c r="R61" s="149" t="s">
        <v>171</v>
      </c>
      <c r="S61" s="149" t="s">
        <v>171</v>
      </c>
      <c r="T61" s="122" t="s">
        <v>171</v>
      </c>
    </row>
    <row r="62" spans="1:20" x14ac:dyDescent="0.2">
      <c r="A62" s="34" t="s">
        <v>143</v>
      </c>
      <c r="B62" s="122" t="s">
        <v>171</v>
      </c>
      <c r="C62" s="122" t="s">
        <v>171</v>
      </c>
      <c r="D62" s="122" t="s">
        <v>171</v>
      </c>
      <c r="E62" s="141">
        <v>29.5</v>
      </c>
      <c r="F62" s="140">
        <v>0.85599999999999998</v>
      </c>
      <c r="G62" s="545">
        <f>F62*G25</f>
        <v>0</v>
      </c>
      <c r="H62" s="141">
        <f>'Orange Lake LU'!C26</f>
        <v>81.2981525366</v>
      </c>
      <c r="I62" s="140">
        <f>'Orange Lake LU'!E26</f>
        <v>0.2421963443645147</v>
      </c>
      <c r="J62" s="137">
        <f>I62*G$23</f>
        <v>3.3322128813914613</v>
      </c>
      <c r="K62" s="141">
        <f>'Orange Lake LU'!C27</f>
        <v>49.0356364258</v>
      </c>
      <c r="L62" s="140">
        <f>'Orange Lake LU'!E27</f>
        <v>1</v>
      </c>
      <c r="M62" s="120">
        <f>L62*G24</f>
        <v>10.318734032096975</v>
      </c>
      <c r="N62" s="141" t="s">
        <v>128</v>
      </c>
      <c r="O62" s="122" t="s">
        <v>171</v>
      </c>
      <c r="P62" s="122" t="s">
        <v>171</v>
      </c>
      <c r="Q62" s="207" t="s">
        <v>171</v>
      </c>
      <c r="R62" s="208" t="s">
        <v>171</v>
      </c>
      <c r="S62" s="149" t="s">
        <v>171</v>
      </c>
      <c r="T62" s="128">
        <f>G62+J62+M62</f>
        <v>13.650946913488436</v>
      </c>
    </row>
    <row r="63" spans="1:20" x14ac:dyDescent="0.2">
      <c r="A63" s="34" t="s">
        <v>141</v>
      </c>
      <c r="B63" s="122" t="s">
        <v>171</v>
      </c>
      <c r="C63" s="122" t="s">
        <v>171</v>
      </c>
      <c r="D63" s="122" t="s">
        <v>171</v>
      </c>
      <c r="E63" s="122" t="s">
        <v>171</v>
      </c>
      <c r="F63" s="122" t="s">
        <v>171</v>
      </c>
      <c r="G63" s="545" t="s">
        <v>171</v>
      </c>
      <c r="H63" s="122" t="s">
        <v>171</v>
      </c>
      <c r="I63" s="122" t="s">
        <v>171</v>
      </c>
      <c r="J63" s="122" t="s">
        <v>171</v>
      </c>
      <c r="K63" s="122" t="s">
        <v>171</v>
      </c>
      <c r="L63" s="122" t="s">
        <v>171</v>
      </c>
      <c r="M63" s="122" t="s">
        <v>171</v>
      </c>
      <c r="N63" s="122" t="s">
        <v>171</v>
      </c>
      <c r="O63" s="122" t="s">
        <v>171</v>
      </c>
      <c r="P63" s="122" t="s">
        <v>171</v>
      </c>
      <c r="Q63" s="207" t="s">
        <v>171</v>
      </c>
      <c r="R63" s="149" t="s">
        <v>171</v>
      </c>
      <c r="S63" s="149" t="s">
        <v>171</v>
      </c>
      <c r="T63" s="122" t="s">
        <v>171</v>
      </c>
    </row>
    <row r="64" spans="1:20" ht="13.5" thickBot="1" x14ac:dyDescent="0.25">
      <c r="A64" s="78" t="s">
        <v>68</v>
      </c>
      <c r="B64" s="123">
        <f t="shared" ref="B64:C64" si="19">SUM(B57:B63)</f>
        <v>28.941370997659998</v>
      </c>
      <c r="C64" s="124">
        <f t="shared" si="19"/>
        <v>1.0000000000020732</v>
      </c>
      <c r="D64" s="123">
        <f t="shared" ref="D64:M64" si="20">SUM(D57:D63)</f>
        <v>4.3950163470133781</v>
      </c>
      <c r="E64" s="123">
        <f t="shared" si="20"/>
        <v>34.5</v>
      </c>
      <c r="F64" s="124">
        <f t="shared" si="20"/>
        <v>1</v>
      </c>
      <c r="G64" s="123">
        <f t="shared" si="20"/>
        <v>0</v>
      </c>
      <c r="H64" s="138">
        <f t="shared" si="20"/>
        <v>335.67043610759998</v>
      </c>
      <c r="I64" s="124">
        <f t="shared" si="20"/>
        <v>0.99999999999880829</v>
      </c>
      <c r="J64" s="138">
        <f t="shared" si="20"/>
        <v>13.758312042779568</v>
      </c>
      <c r="K64" s="123">
        <f t="shared" si="20"/>
        <v>49.0356364258</v>
      </c>
      <c r="L64" s="124">
        <f t="shared" si="20"/>
        <v>1</v>
      </c>
      <c r="M64" s="123">
        <f t="shared" si="20"/>
        <v>10.318734032096975</v>
      </c>
      <c r="N64" s="196" t="s">
        <v>171</v>
      </c>
      <c r="O64" s="196" t="s">
        <v>171</v>
      </c>
      <c r="P64" s="196" t="s">
        <v>171</v>
      </c>
      <c r="Q64" s="209">
        <f>SUM(Q57:Q63)</f>
        <v>2.94360842129</v>
      </c>
      <c r="R64" s="210">
        <f>SUM(R57:R63)</f>
        <v>1</v>
      </c>
      <c r="S64" s="211">
        <f>-SUM(S57:S63)</f>
        <v>0</v>
      </c>
      <c r="T64" s="135">
        <f>SUM(T57:T63)</f>
        <v>28.47206242188992</v>
      </c>
    </row>
    <row r="65" spans="1:10" x14ac:dyDescent="0.2">
      <c r="A65" s="19" t="s">
        <v>202</v>
      </c>
    </row>
    <row r="66" spans="1:10" x14ac:dyDescent="0.2">
      <c r="A66" s="19"/>
    </row>
    <row r="67" spans="1:10" x14ac:dyDescent="0.2">
      <c r="A67" s="286" t="s">
        <v>240</v>
      </c>
    </row>
    <row r="68" spans="1:10" ht="51" x14ac:dyDescent="0.2">
      <c r="A68" s="118" t="s">
        <v>122</v>
      </c>
      <c r="B68" s="274" t="s">
        <v>237</v>
      </c>
      <c r="C68" s="274" t="s">
        <v>238</v>
      </c>
      <c r="D68" s="274" t="s">
        <v>239</v>
      </c>
      <c r="E68" s="274" t="s">
        <v>241</v>
      </c>
      <c r="F68" s="274" t="s">
        <v>242</v>
      </c>
      <c r="G68" s="274" t="s">
        <v>243</v>
      </c>
    </row>
    <row r="69" spans="1:10" x14ac:dyDescent="0.2">
      <c r="A69" s="30" t="s">
        <v>62</v>
      </c>
      <c r="B69" s="289">
        <f>'OSTDS-buffer'!C43</f>
        <v>9</v>
      </c>
      <c r="C69" s="290">
        <v>1</v>
      </c>
      <c r="D69" s="295">
        <f>C69*G$28</f>
        <v>3.5351218443295194</v>
      </c>
      <c r="E69" s="289">
        <f>'OSTDS-buffer'!C48</f>
        <v>54</v>
      </c>
      <c r="F69" s="290">
        <f>'OSTDS-buffer'!D48</f>
        <v>0.25837320574162681</v>
      </c>
      <c r="G69" s="289">
        <f>F69*G$16</f>
        <v>56.851781042869213</v>
      </c>
    </row>
    <row r="70" spans="1:10" x14ac:dyDescent="0.2">
      <c r="A70" s="34" t="s">
        <v>140</v>
      </c>
      <c r="B70" s="292">
        <v>0</v>
      </c>
      <c r="C70" s="292">
        <v>0</v>
      </c>
      <c r="D70" s="291"/>
      <c r="E70" s="289">
        <f>'OSTDS-buffer'!C53</f>
        <v>114</v>
      </c>
      <c r="F70" s="290">
        <f>'OSTDS-buffer'!D53</f>
        <v>0.54545454545454541</v>
      </c>
      <c r="G70" s="289">
        <f t="shared" ref="G70:G73" si="21">F70*G$16</f>
        <v>120.0204266460572</v>
      </c>
    </row>
    <row r="71" spans="1:10" x14ac:dyDescent="0.2">
      <c r="A71" s="34" t="s">
        <v>142</v>
      </c>
      <c r="B71" s="292">
        <v>0</v>
      </c>
      <c r="C71" s="292">
        <v>0</v>
      </c>
      <c r="D71" s="291"/>
      <c r="E71" s="289">
        <f>'OSTDS-buffer'!C54</f>
        <v>41</v>
      </c>
      <c r="F71" s="290">
        <f>'OSTDS-buffer'!D54</f>
        <v>0.19617224880382775</v>
      </c>
      <c r="G71" s="289">
        <f t="shared" si="21"/>
        <v>43.165241162178475</v>
      </c>
      <c r="J71" s="362"/>
    </row>
    <row r="72" spans="1:10" x14ac:dyDescent="0.2">
      <c r="A72" s="34" t="s">
        <v>143</v>
      </c>
      <c r="B72" s="292">
        <v>0</v>
      </c>
      <c r="C72" s="290">
        <v>0</v>
      </c>
      <c r="D72" s="291">
        <f>C72*G$28</f>
        <v>0</v>
      </c>
      <c r="E72" s="289">
        <v>119</v>
      </c>
      <c r="F72" s="290">
        <v>0</v>
      </c>
      <c r="G72" s="289">
        <f t="shared" si="21"/>
        <v>0</v>
      </c>
    </row>
    <row r="73" spans="1:10" x14ac:dyDescent="0.2">
      <c r="A73" s="34" t="s">
        <v>141</v>
      </c>
      <c r="B73" s="292">
        <v>0</v>
      </c>
      <c r="C73" s="292">
        <v>0</v>
      </c>
      <c r="D73" s="291"/>
      <c r="E73" s="289">
        <v>247</v>
      </c>
      <c r="F73" s="290">
        <v>0</v>
      </c>
      <c r="G73" s="289">
        <f t="shared" si="21"/>
        <v>0</v>
      </c>
    </row>
    <row r="74" spans="1:10" x14ac:dyDescent="0.2">
      <c r="A74" s="288" t="s">
        <v>68</v>
      </c>
      <c r="B74" s="294">
        <f t="shared" ref="B74:G74" si="22">SUM(B69:B73)</f>
        <v>9</v>
      </c>
      <c r="C74" s="293">
        <f t="shared" si="22"/>
        <v>1</v>
      </c>
      <c r="D74" s="348">
        <f t="shared" si="22"/>
        <v>3.5351218443295194</v>
      </c>
      <c r="E74" s="294">
        <f t="shared" si="22"/>
        <v>575</v>
      </c>
      <c r="F74" s="293">
        <f t="shared" si="22"/>
        <v>1</v>
      </c>
      <c r="G74" s="294">
        <f t="shared" si="22"/>
        <v>220.0374488511049</v>
      </c>
    </row>
    <row r="75" spans="1:10" x14ac:dyDescent="0.2">
      <c r="A75" s="287"/>
      <c r="C75" s="3"/>
      <c r="D75" s="71"/>
    </row>
    <row r="76" spans="1:10" ht="13.5" thickBot="1" x14ac:dyDescent="0.25">
      <c r="A76" s="169"/>
    </row>
    <row r="77" spans="1:10" x14ac:dyDescent="0.2">
      <c r="A77" s="684" t="s">
        <v>174</v>
      </c>
      <c r="B77" s="685"/>
      <c r="C77" s="685"/>
      <c r="D77" s="685"/>
      <c r="E77" s="685"/>
      <c r="F77" s="686"/>
    </row>
    <row r="78" spans="1:10" ht="38.25" x14ac:dyDescent="0.2">
      <c r="A78" s="172" t="s">
        <v>122</v>
      </c>
      <c r="B78" s="274" t="s">
        <v>155</v>
      </c>
      <c r="C78" s="274" t="s">
        <v>156</v>
      </c>
      <c r="D78" s="274" t="s">
        <v>244</v>
      </c>
      <c r="E78" s="176" t="s">
        <v>245</v>
      </c>
      <c r="F78" s="176" t="s">
        <v>246</v>
      </c>
    </row>
    <row r="79" spans="1:10" ht="15" customHeight="1" x14ac:dyDescent="0.2">
      <c r="A79" s="72" t="s">
        <v>62</v>
      </c>
      <c r="B79" s="131">
        <f t="shared" ref="B79:B85" si="23">T46</f>
        <v>27.833921148961423</v>
      </c>
      <c r="C79" s="131">
        <f>T57</f>
        <v>10.650277280187646</v>
      </c>
      <c r="D79" s="131">
        <f t="shared" ref="D79:D85" si="24">ROUND(SUM(B79:C79),0)</f>
        <v>38</v>
      </c>
      <c r="E79" s="295">
        <f>ROUND(D69+G69,0)</f>
        <v>60</v>
      </c>
      <c r="F79" s="289">
        <f>ROUND((D79+E79),0)</f>
        <v>98</v>
      </c>
    </row>
    <row r="80" spans="1:10" ht="15.6" customHeight="1" x14ac:dyDescent="0.2">
      <c r="A80" s="159" t="s">
        <v>119</v>
      </c>
      <c r="B80" s="131">
        <f t="shared" si="23"/>
        <v>10.383007664020193</v>
      </c>
      <c r="C80" s="131">
        <f>T58</f>
        <v>4.1708382282138379</v>
      </c>
      <c r="D80" s="131">
        <f t="shared" si="24"/>
        <v>15</v>
      </c>
      <c r="E80" s="296" t="s">
        <v>171</v>
      </c>
      <c r="F80" s="289">
        <f>ROUND(D80,0)</f>
        <v>15</v>
      </c>
    </row>
    <row r="81" spans="1:17" ht="16.149999999999999" customHeight="1" x14ac:dyDescent="0.2">
      <c r="A81" s="159" t="s">
        <v>139</v>
      </c>
      <c r="B81" s="131">
        <f t="shared" si="23"/>
        <v>98.618664544808766</v>
      </c>
      <c r="C81" s="136" t="s">
        <v>128</v>
      </c>
      <c r="D81" s="131">
        <f t="shared" si="24"/>
        <v>99</v>
      </c>
      <c r="E81" s="296" t="s">
        <v>171</v>
      </c>
      <c r="F81" s="289">
        <f>ROUND(D81,0)</f>
        <v>99</v>
      </c>
    </row>
    <row r="82" spans="1:17" ht="15" customHeight="1" x14ac:dyDescent="0.2">
      <c r="A82" s="159" t="s">
        <v>140</v>
      </c>
      <c r="B82" s="131">
        <f t="shared" si="23"/>
        <v>318.58858424648434</v>
      </c>
      <c r="C82" s="136" t="s">
        <v>128</v>
      </c>
      <c r="D82" s="131">
        <f t="shared" si="24"/>
        <v>319</v>
      </c>
      <c r="E82" s="295">
        <f>ROUND(G70,0)</f>
        <v>120</v>
      </c>
      <c r="F82" s="289">
        <f>ROUND((D82+E82),0)</f>
        <v>439</v>
      </c>
    </row>
    <row r="83" spans="1:17" ht="16.899999999999999" customHeight="1" x14ac:dyDescent="0.2">
      <c r="A83" s="159" t="s">
        <v>142</v>
      </c>
      <c r="B83" s="131">
        <f t="shared" si="23"/>
        <v>27.777553366807478</v>
      </c>
      <c r="C83" s="136" t="s">
        <v>128</v>
      </c>
      <c r="D83" s="131">
        <f t="shared" si="24"/>
        <v>28</v>
      </c>
      <c r="E83" s="295">
        <f>ROUND(G71,0)</f>
        <v>43</v>
      </c>
      <c r="F83" s="289">
        <f>ROUND((D83+E83),0)</f>
        <v>71</v>
      </c>
    </row>
    <row r="84" spans="1:17" ht="15.6" customHeight="1" x14ac:dyDescent="0.2">
      <c r="A84" s="159" t="s">
        <v>143</v>
      </c>
      <c r="B84" s="147">
        <f t="shared" si="23"/>
        <v>17.21708140878555</v>
      </c>
      <c r="C84" s="148">
        <f>T62</f>
        <v>13.650946913488436</v>
      </c>
      <c r="D84" s="131">
        <f t="shared" si="24"/>
        <v>31</v>
      </c>
      <c r="E84" s="295">
        <f>D72+G72</f>
        <v>0</v>
      </c>
      <c r="F84" s="289">
        <f>ROUND((D84+E84),0)</f>
        <v>31</v>
      </c>
    </row>
    <row r="85" spans="1:17" ht="16.149999999999999" customHeight="1" x14ac:dyDescent="0.2">
      <c r="A85" s="159" t="s">
        <v>141</v>
      </c>
      <c r="B85" s="147">
        <f t="shared" si="23"/>
        <v>11.576573106898183</v>
      </c>
      <c r="C85" s="149" t="s">
        <v>128</v>
      </c>
      <c r="D85" s="131">
        <f t="shared" si="24"/>
        <v>12</v>
      </c>
      <c r="E85" s="295">
        <f>D73+G73</f>
        <v>0</v>
      </c>
      <c r="F85" s="289">
        <f>ROUND((D85+E85),0)</f>
        <v>12</v>
      </c>
    </row>
    <row r="86" spans="1:17" ht="33.6" customHeight="1" x14ac:dyDescent="0.2">
      <c r="A86" s="297" t="s">
        <v>201</v>
      </c>
      <c r="B86" s="147">
        <f>ROUND(G15,0)</f>
        <v>3274</v>
      </c>
      <c r="C86" s="147">
        <f>ROUND(G29,0)</f>
        <v>157</v>
      </c>
      <c r="D86" s="147">
        <f>ROUND(SUM(B86:C86),0)</f>
        <v>3431</v>
      </c>
      <c r="E86" s="296" t="s">
        <v>171</v>
      </c>
      <c r="F86" s="289">
        <f>D86</f>
        <v>3431</v>
      </c>
    </row>
    <row r="89" spans="1:17" ht="16.5" customHeight="1" x14ac:dyDescent="0.25">
      <c r="A89" s="350" t="s">
        <v>297</v>
      </c>
      <c r="E89"/>
      <c r="F89"/>
      <c r="G89"/>
      <c r="H89"/>
    </row>
    <row r="90" spans="1:17" ht="94.5" customHeight="1" x14ac:dyDescent="0.2">
      <c r="A90" s="360" t="s">
        <v>298</v>
      </c>
      <c r="B90" s="361" t="s">
        <v>329</v>
      </c>
      <c r="C90" s="361" t="s">
        <v>327</v>
      </c>
      <c r="D90" s="361" t="s">
        <v>326</v>
      </c>
      <c r="E90" s="361" t="s">
        <v>325</v>
      </c>
      <c r="F90" s="361" t="s">
        <v>324</v>
      </c>
      <c r="G90" s="361" t="s">
        <v>323</v>
      </c>
      <c r="H90" s="361" t="s">
        <v>328</v>
      </c>
      <c r="I90" s="361" t="s">
        <v>322</v>
      </c>
      <c r="J90" s="361" t="s">
        <v>332</v>
      </c>
      <c r="K90" s="361" t="s">
        <v>321</v>
      </c>
      <c r="L90" s="361" t="s">
        <v>330</v>
      </c>
      <c r="M90" s="361" t="s">
        <v>331</v>
      </c>
      <c r="N90" s="365" t="s">
        <v>317</v>
      </c>
      <c r="O90" s="365" t="s">
        <v>319</v>
      </c>
      <c r="P90" s="365" t="s">
        <v>320</v>
      </c>
      <c r="Q90" s="466" t="s">
        <v>432</v>
      </c>
    </row>
    <row r="91" spans="1:17" x14ac:dyDescent="0.2">
      <c r="A91" s="72" t="s">
        <v>62</v>
      </c>
      <c r="B91" s="125">
        <f>'Orange Lake education credits'!D3</f>
        <v>6.4802183250726202</v>
      </c>
      <c r="C91" s="147">
        <f>'Orange Lake education credits'!G3</f>
        <v>35.678536904495246</v>
      </c>
      <c r="D91" s="125">
        <f>'Orange Lake education credits'!J3</f>
        <v>6.2221666666666664</v>
      </c>
      <c r="E91" s="125">
        <f>'Orange Lake education credits'!M3</f>
        <v>0.11078943707779787</v>
      </c>
      <c r="F91" s="125">
        <f>'Orange Lake education credits'!P3</f>
        <v>5.6000000000000001E-2</v>
      </c>
      <c r="G91" s="147" t="str">
        <f>'Orange Lake education credits'!S3</f>
        <v>na</v>
      </c>
      <c r="H91" s="147" t="str">
        <f>'Orange Lake education credits'!D15</f>
        <v>na</v>
      </c>
      <c r="I91" s="147">
        <f>'Orange Lake education credits'!G15</f>
        <v>18.187287735223048</v>
      </c>
      <c r="J91" s="206" t="str">
        <f>'Orange Lake education credits'!J15</f>
        <v>na</v>
      </c>
      <c r="K91" s="206">
        <f>'Orange Lake education credits'!M15</f>
        <v>0</v>
      </c>
      <c r="L91" s="206">
        <f>'Orange Lake education credits'!P15</f>
        <v>0</v>
      </c>
      <c r="M91" s="125">
        <f>'Orange Lake education credits'!S15</f>
        <v>0.39105631813359965</v>
      </c>
      <c r="N91" s="125">
        <f t="shared" ref="N91:N97" si="25">ROUND(SUM(B91:M91),0)</f>
        <v>67</v>
      </c>
      <c r="O91" s="364">
        <v>0.06</v>
      </c>
      <c r="P91" s="148">
        <f>N91*O91</f>
        <v>4.0199999999999996</v>
      </c>
      <c r="Q91" s="3">
        <f>N91/N$98</f>
        <v>7.1125265392781314E-2</v>
      </c>
    </row>
    <row r="92" spans="1:17" x14ac:dyDescent="0.2">
      <c r="A92" s="159" t="s">
        <v>119</v>
      </c>
      <c r="B92" s="243" t="s">
        <v>128</v>
      </c>
      <c r="C92" s="206">
        <f>'Orange Lake education credits'!F4</f>
        <v>0</v>
      </c>
      <c r="D92" s="125">
        <f>'Orange Lake education credits'!J4</f>
        <v>0</v>
      </c>
      <c r="E92" s="125">
        <f>'Orange Lake education credits'!M4</f>
        <v>0</v>
      </c>
      <c r="F92" s="125" t="str">
        <f>'Orange Lake education credits'!P4</f>
        <v>na</v>
      </c>
      <c r="G92" s="147">
        <f>'Orange Lake education credits'!S4</f>
        <v>18</v>
      </c>
      <c r="H92" s="363" t="s">
        <v>128</v>
      </c>
      <c r="I92" s="206" t="str">
        <f>'Orange Lake education credits'!G16</f>
        <v>na</v>
      </c>
      <c r="J92" s="206" t="str">
        <f>'Orange Lake education credits'!J16</f>
        <v>na</v>
      </c>
      <c r="K92" s="206" t="str">
        <f>'Orange Lake education credits'!M16</f>
        <v>na</v>
      </c>
      <c r="L92" s="206" t="str">
        <f>'Orange Lake education credits'!P16</f>
        <v>na</v>
      </c>
      <c r="M92" s="125">
        <f>'Orange Lake education credits'!S16</f>
        <v>7.2756103485489616</v>
      </c>
      <c r="N92" s="125">
        <f t="shared" si="25"/>
        <v>25</v>
      </c>
      <c r="O92" s="364">
        <v>0.04</v>
      </c>
      <c r="P92" s="148">
        <f t="shared" ref="P92:P97" si="26">N92*O92</f>
        <v>1</v>
      </c>
      <c r="Q92" s="3">
        <f t="shared" ref="Q92:Q97" si="27">N92/N$98</f>
        <v>2.6539278131634821E-2</v>
      </c>
    </row>
    <row r="93" spans="1:17" x14ac:dyDescent="0.2">
      <c r="A93" s="159" t="s">
        <v>139</v>
      </c>
      <c r="B93" s="243" t="s">
        <v>128</v>
      </c>
      <c r="C93" s="206">
        <f>'Orange Lake education credits'!F5</f>
        <v>0</v>
      </c>
      <c r="D93" s="125">
        <f>'Orange Lake education credits'!J5</f>
        <v>0</v>
      </c>
      <c r="E93" s="125">
        <f>'Orange Lake education credits'!M5</f>
        <v>0</v>
      </c>
      <c r="F93" s="125" t="str">
        <f>'Orange Lake education credits'!P5</f>
        <v>na</v>
      </c>
      <c r="G93" s="147">
        <f>'Orange Lake education credits'!S5</f>
        <v>172.03040181914781</v>
      </c>
      <c r="H93" s="363" t="s">
        <v>128</v>
      </c>
      <c r="I93" s="206" t="str">
        <f>'Orange Lake education credits'!G17</f>
        <v>na</v>
      </c>
      <c r="J93" s="206" t="str">
        <f>'Orange Lake education credits'!J17</f>
        <v>na</v>
      </c>
      <c r="K93" s="206" t="str">
        <f>'Orange Lake education credits'!M17</f>
        <v>na</v>
      </c>
      <c r="L93" s="149" t="s">
        <v>128</v>
      </c>
      <c r="M93" s="206" t="str">
        <f>'Orange Lake education credits'!S17</f>
        <v>na</v>
      </c>
      <c r="N93" s="125">
        <f t="shared" si="25"/>
        <v>172</v>
      </c>
      <c r="O93" s="364">
        <v>5.0000000000000001E-3</v>
      </c>
      <c r="P93" s="148">
        <f t="shared" si="26"/>
        <v>0.86</v>
      </c>
      <c r="Q93" s="3">
        <f t="shared" si="27"/>
        <v>0.18259023354564755</v>
      </c>
    </row>
    <row r="94" spans="1:17" x14ac:dyDescent="0.2">
      <c r="A94" s="159" t="s">
        <v>140</v>
      </c>
      <c r="B94" s="125">
        <v>82.879910442434962</v>
      </c>
      <c r="C94" s="147">
        <f>'Orange Lake education credits'!G6</f>
        <v>347.69109321707015</v>
      </c>
      <c r="D94" s="125">
        <f>'Orange Lake education credits'!J6</f>
        <v>103.06866338692195</v>
      </c>
      <c r="E94" s="125">
        <f>'Orange Lake education credits'!M6</f>
        <v>3.6381243335857785</v>
      </c>
      <c r="F94" s="125">
        <f>'Orange Lake education credits'!P6</f>
        <v>6.944</v>
      </c>
      <c r="G94" s="147">
        <f>'Orange Lake education credits'!S6</f>
        <v>12</v>
      </c>
      <c r="H94" s="363" t="s">
        <v>128</v>
      </c>
      <c r="I94" s="147" t="str">
        <f>'Orange Lake education credits'!G18</f>
        <v>na</v>
      </c>
      <c r="J94" s="206" t="str">
        <f>'Orange Lake education credits'!J18</f>
        <v>na</v>
      </c>
      <c r="K94" s="206" t="str">
        <f>'Orange Lake education credits'!M18</f>
        <v>na</v>
      </c>
      <c r="L94" s="149" t="s">
        <v>128</v>
      </c>
      <c r="M94" s="206" t="str">
        <f>'Orange Lake education credits'!S18</f>
        <v>na</v>
      </c>
      <c r="N94" s="125">
        <f t="shared" si="25"/>
        <v>556</v>
      </c>
      <c r="O94" s="364">
        <v>5.5E-2</v>
      </c>
      <c r="P94" s="148">
        <f t="shared" si="26"/>
        <v>30.580000000000002</v>
      </c>
      <c r="Q94" s="3">
        <f t="shared" si="27"/>
        <v>0.59023354564755837</v>
      </c>
    </row>
    <row r="95" spans="1:17" x14ac:dyDescent="0.2">
      <c r="A95" s="159" t="s">
        <v>142</v>
      </c>
      <c r="B95" s="125">
        <v>2.8815314723980423</v>
      </c>
      <c r="C95" s="147">
        <f>'Orange Lake education credits'!G7</f>
        <v>9.7342022840816416</v>
      </c>
      <c r="D95" s="125">
        <f>'Orange Lake education credits'!J7</f>
        <v>35.593496059391931</v>
      </c>
      <c r="E95" s="125">
        <f>'Orange Lake education credits'!M7</f>
        <v>0.2459352312427342</v>
      </c>
      <c r="F95" s="125" t="str">
        <f>'Orange Lake education credits'!P7</f>
        <v>na</v>
      </c>
      <c r="G95" s="147" t="str">
        <f>'Orange Lake education credits'!S7</f>
        <v>na</v>
      </c>
      <c r="H95" s="363" t="s">
        <v>128</v>
      </c>
      <c r="I95" s="147" t="str">
        <f>'Orange Lake education credits'!G19</f>
        <v>na</v>
      </c>
      <c r="J95" s="206" t="str">
        <f>'Orange Lake education credits'!J19</f>
        <v>na</v>
      </c>
      <c r="K95" s="206" t="str">
        <f>'Orange Lake education credits'!M19</f>
        <v>na</v>
      </c>
      <c r="L95" s="243" t="s">
        <v>128</v>
      </c>
      <c r="M95" s="206" t="str">
        <f>'Orange Lake education credits'!S19</f>
        <v>na</v>
      </c>
      <c r="N95" s="125">
        <f t="shared" si="25"/>
        <v>48</v>
      </c>
      <c r="O95" s="364">
        <v>0.03</v>
      </c>
      <c r="P95" s="148">
        <f t="shared" si="26"/>
        <v>1.44</v>
      </c>
      <c r="Q95" s="3">
        <f t="shared" si="27"/>
        <v>5.0955414012738856E-2</v>
      </c>
    </row>
    <row r="96" spans="1:17" x14ac:dyDescent="0.2">
      <c r="A96" s="159" t="s">
        <v>143</v>
      </c>
      <c r="B96" s="125">
        <v>1.7037840587675044</v>
      </c>
      <c r="C96" s="147">
        <f>'Orange Lake education credits'!G8</f>
        <v>4.9771911461749099</v>
      </c>
      <c r="D96" s="125">
        <f>'Orange Lake education credits'!J8</f>
        <v>23.207000000000001</v>
      </c>
      <c r="E96" s="125">
        <f>'Orange Lake education credits'!M8</f>
        <v>6.3286254653152463E-2</v>
      </c>
      <c r="F96" s="125">
        <f>'Orange Lake education credits'!P8</f>
        <v>0</v>
      </c>
      <c r="G96" s="147" t="str">
        <f>'Orange Lake education credits'!S8</f>
        <v>na</v>
      </c>
      <c r="H96" s="363" t="s">
        <v>128</v>
      </c>
      <c r="I96" s="147">
        <f>'Orange Lake education credits'!G20</f>
        <v>5.8127122647483525</v>
      </c>
      <c r="J96" s="206">
        <f>'Orange Lake education credits'!J20</f>
        <v>18</v>
      </c>
      <c r="K96" s="206">
        <f>'Orange Lake education credits'!M20</f>
        <v>0</v>
      </c>
      <c r="L96" s="243" t="s">
        <v>128</v>
      </c>
      <c r="M96" s="206" t="str">
        <f>'Orange Lake education credits'!S20</f>
        <v>na</v>
      </c>
      <c r="N96" s="125">
        <f t="shared" si="25"/>
        <v>54</v>
      </c>
      <c r="O96" s="364">
        <v>3.5000000000000003E-2</v>
      </c>
      <c r="P96" s="148">
        <f t="shared" si="26"/>
        <v>1.8900000000000001</v>
      </c>
      <c r="Q96" s="3">
        <f t="shared" si="27"/>
        <v>5.7324840764331211E-2</v>
      </c>
    </row>
    <row r="97" spans="1:17" x14ac:dyDescent="0.2">
      <c r="A97" s="159" t="s">
        <v>141</v>
      </c>
      <c r="B97" s="122" t="s">
        <v>128</v>
      </c>
      <c r="C97" s="147">
        <f>'Orange Lake education credits'!G9</f>
        <v>20.085643115176914</v>
      </c>
      <c r="D97" s="125" t="str">
        <f>'Orange Lake education credits'!J9</f>
        <v>na</v>
      </c>
      <c r="E97" s="125">
        <f>'Orange Lake education credits'!M9</f>
        <v>0.1085314101083952</v>
      </c>
      <c r="F97" s="125" t="str">
        <f>'Orange Lake education credits'!P9</f>
        <v>na</v>
      </c>
      <c r="G97" s="147" t="str">
        <f>'Orange Lake education credits'!S9</f>
        <v>na</v>
      </c>
      <c r="H97" s="363" t="s">
        <v>128</v>
      </c>
      <c r="I97" s="147" t="str">
        <f>'Orange Lake education credits'!G21</f>
        <v>na</v>
      </c>
      <c r="J97" s="206" t="str">
        <f>'Orange Lake education credits'!J21</f>
        <v>na</v>
      </c>
      <c r="K97" s="206" t="str">
        <f>'Orange Lake education credits'!M21</f>
        <v>na</v>
      </c>
      <c r="L97" s="243" t="s">
        <v>128</v>
      </c>
      <c r="M97" s="206" t="str">
        <f>'Orange Lake education credits'!S21</f>
        <v>na</v>
      </c>
      <c r="N97" s="125">
        <f t="shared" si="25"/>
        <v>20</v>
      </c>
      <c r="O97" s="364">
        <v>0.03</v>
      </c>
      <c r="P97" s="148">
        <f t="shared" si="26"/>
        <v>0.6</v>
      </c>
      <c r="Q97" s="3">
        <f t="shared" si="27"/>
        <v>2.1231422505307854E-2</v>
      </c>
    </row>
    <row r="98" spans="1:17" x14ac:dyDescent="0.2">
      <c r="M98" t="s">
        <v>751</v>
      </c>
      <c r="N98" s="71">
        <f>SUM(N91:N97)</f>
        <v>942</v>
      </c>
      <c r="O98" s="364">
        <v>0.06</v>
      </c>
      <c r="P98" s="673">
        <f>N98*O98</f>
        <v>56.519999999999996</v>
      </c>
    </row>
    <row r="99" spans="1:17" x14ac:dyDescent="0.2">
      <c r="N99" s="408"/>
    </row>
    <row r="100" spans="1:17" ht="13.5" thickBot="1" x14ac:dyDescent="0.25">
      <c r="A100" s="687" t="s">
        <v>380</v>
      </c>
      <c r="B100" s="688"/>
      <c r="C100" s="688"/>
      <c r="D100" s="688"/>
      <c r="E100" s="688"/>
      <c r="F100" s="688"/>
      <c r="G100" s="688"/>
      <c r="H100" s="688"/>
      <c r="I100" s="688"/>
      <c r="J100" s="688"/>
      <c r="K100" s="688"/>
      <c r="L100" s="688"/>
    </row>
    <row r="101" spans="1:17" ht="89.25" x14ac:dyDescent="0.2">
      <c r="A101" s="378" t="s">
        <v>364</v>
      </c>
      <c r="B101" s="378" t="s">
        <v>772</v>
      </c>
      <c r="C101" s="378" t="s">
        <v>763</v>
      </c>
      <c r="D101" s="378" t="s">
        <v>320</v>
      </c>
      <c r="E101" s="378" t="s">
        <v>779</v>
      </c>
      <c r="F101" s="379" t="s">
        <v>766</v>
      </c>
      <c r="G101" s="378" t="s">
        <v>764</v>
      </c>
      <c r="H101" s="378" t="s">
        <v>385</v>
      </c>
      <c r="I101" s="378" t="s">
        <v>362</v>
      </c>
      <c r="J101" s="380" t="s">
        <v>767</v>
      </c>
      <c r="K101" s="381" t="s">
        <v>768</v>
      </c>
      <c r="L101" s="380" t="s">
        <v>780</v>
      </c>
    </row>
    <row r="102" spans="1:17" x14ac:dyDescent="0.2">
      <c r="A102" s="72" t="s">
        <v>62</v>
      </c>
      <c r="B102" s="309">
        <f t="shared" ref="B102:B108" si="28">ROUND(D79,0)</f>
        <v>38</v>
      </c>
      <c r="C102" s="125">
        <f t="shared" ref="C102:C108" si="29">B102*0.5</f>
        <v>19</v>
      </c>
      <c r="D102" s="392">
        <f>P91</f>
        <v>4.0199999999999996</v>
      </c>
      <c r="E102" s="125">
        <f>'[4]Project Summary'!H22</f>
        <v>0</v>
      </c>
      <c r="F102" s="383">
        <f>C102-D102-E102</f>
        <v>14.98</v>
      </c>
      <c r="G102" s="125">
        <f t="shared" ref="G102:G108" si="30">B102-C102</f>
        <v>19</v>
      </c>
      <c r="H102" s="72"/>
      <c r="I102" s="120">
        <v>0</v>
      </c>
      <c r="J102" s="397">
        <f>F102+G102-I102-H102</f>
        <v>33.980000000000004</v>
      </c>
      <c r="K102" s="247">
        <f>E79</f>
        <v>60</v>
      </c>
      <c r="L102" s="723">
        <f>J102+K102</f>
        <v>93.98</v>
      </c>
    </row>
    <row r="103" spans="1:17" x14ac:dyDescent="0.2">
      <c r="A103" s="159" t="s">
        <v>119</v>
      </c>
      <c r="B103" s="309">
        <f t="shared" si="28"/>
        <v>15</v>
      </c>
      <c r="C103" s="125">
        <f>ROUND((B103*0.5),0)</f>
        <v>8</v>
      </c>
      <c r="D103" s="392">
        <f>P92</f>
        <v>1</v>
      </c>
      <c r="E103" s="244">
        <v>54.01</v>
      </c>
      <c r="F103" s="383">
        <f t="shared" ref="F103:F108" si="31">C103-D103-E103</f>
        <v>-47.01</v>
      </c>
      <c r="G103" s="125">
        <f t="shared" si="30"/>
        <v>7</v>
      </c>
      <c r="H103" s="72"/>
      <c r="I103" s="120">
        <v>0</v>
      </c>
      <c r="J103" s="397">
        <f t="shared" ref="J103:J108" si="32">F103+G103-I103</f>
        <v>-40.01</v>
      </c>
      <c r="K103" s="432">
        <v>0</v>
      </c>
      <c r="L103" s="723">
        <v>0</v>
      </c>
    </row>
    <row r="104" spans="1:17" x14ac:dyDescent="0.2">
      <c r="A104" s="159" t="s">
        <v>139</v>
      </c>
      <c r="B104" s="309">
        <f t="shared" si="28"/>
        <v>99</v>
      </c>
      <c r="C104" s="125">
        <f>ROUND((B104*0.5),0)</f>
        <v>50</v>
      </c>
      <c r="D104" s="392">
        <f>P93</f>
        <v>0.86</v>
      </c>
      <c r="E104" s="341">
        <v>2934</v>
      </c>
      <c r="F104" s="383">
        <v>-2885</v>
      </c>
      <c r="G104" s="125">
        <f t="shared" si="30"/>
        <v>49</v>
      </c>
      <c r="H104" s="72"/>
      <c r="I104" s="120">
        <v>0</v>
      </c>
      <c r="J104" s="397">
        <f t="shared" si="32"/>
        <v>-2836</v>
      </c>
      <c r="K104" s="432">
        <v>0</v>
      </c>
      <c r="L104" s="723">
        <v>0</v>
      </c>
    </row>
    <row r="105" spans="1:17" x14ac:dyDescent="0.2">
      <c r="A105" s="159" t="s">
        <v>140</v>
      </c>
      <c r="B105" s="309">
        <f t="shared" si="28"/>
        <v>319</v>
      </c>
      <c r="C105" s="125">
        <f>ROUND((B105*0.5),0)</f>
        <v>160</v>
      </c>
      <c r="D105" s="392">
        <f>P94</f>
        <v>30.580000000000002</v>
      </c>
      <c r="E105" s="125">
        <f>'[4]Project Summary'!H29</f>
        <v>0</v>
      </c>
      <c r="F105" s="383">
        <v>129</v>
      </c>
      <c r="G105" s="125">
        <f t="shared" si="30"/>
        <v>159</v>
      </c>
      <c r="H105" s="72"/>
      <c r="I105" s="120">
        <v>0</v>
      </c>
      <c r="J105" s="397">
        <f t="shared" si="32"/>
        <v>288</v>
      </c>
      <c r="K105" s="247">
        <f>E82</f>
        <v>120</v>
      </c>
      <c r="L105" s="723">
        <f t="shared" ref="L105:L108" si="33">J105+K105</f>
        <v>408</v>
      </c>
    </row>
    <row r="106" spans="1:17" x14ac:dyDescent="0.2">
      <c r="A106" s="159" t="s">
        <v>142</v>
      </c>
      <c r="B106" s="309">
        <f t="shared" si="28"/>
        <v>28</v>
      </c>
      <c r="C106" s="125">
        <f t="shared" si="29"/>
        <v>14</v>
      </c>
      <c r="D106" s="382">
        <f>ROUND(P95,0)</f>
        <v>1</v>
      </c>
      <c r="E106" s="125">
        <f>'[4]Project Summary'!H32</f>
        <v>0</v>
      </c>
      <c r="F106" s="383">
        <f t="shared" si="31"/>
        <v>13</v>
      </c>
      <c r="G106" s="125">
        <f t="shared" si="30"/>
        <v>14</v>
      </c>
      <c r="H106" s="72"/>
      <c r="I106" s="120">
        <v>0</v>
      </c>
      <c r="J106" s="397">
        <f t="shared" si="32"/>
        <v>27</v>
      </c>
      <c r="K106" s="247">
        <f>E83</f>
        <v>43</v>
      </c>
      <c r="L106" s="723">
        <f t="shared" si="33"/>
        <v>70</v>
      </c>
    </row>
    <row r="107" spans="1:17" x14ac:dyDescent="0.2">
      <c r="A107" s="159" t="s">
        <v>143</v>
      </c>
      <c r="B107" s="309">
        <f t="shared" si="28"/>
        <v>31</v>
      </c>
      <c r="C107" s="125">
        <f>ROUND((B107*0.5),0)</f>
        <v>16</v>
      </c>
      <c r="D107" s="382">
        <f>ROUND(P96,0)</f>
        <v>2</v>
      </c>
      <c r="E107" s="125">
        <f>'[4]Project Summary'!H39</f>
        <v>0</v>
      </c>
      <c r="F107" s="383">
        <f t="shared" si="31"/>
        <v>14</v>
      </c>
      <c r="G107" s="125">
        <f t="shared" si="30"/>
        <v>15</v>
      </c>
      <c r="H107" s="72"/>
      <c r="I107" s="120">
        <v>0</v>
      </c>
      <c r="J107" s="397">
        <f t="shared" si="32"/>
        <v>29</v>
      </c>
      <c r="K107" s="247">
        <f>E84</f>
        <v>0</v>
      </c>
      <c r="L107" s="723">
        <f t="shared" si="33"/>
        <v>29</v>
      </c>
    </row>
    <row r="108" spans="1:17" x14ac:dyDescent="0.2">
      <c r="A108" s="159" t="s">
        <v>141</v>
      </c>
      <c r="B108" s="309">
        <f t="shared" si="28"/>
        <v>12</v>
      </c>
      <c r="C108" s="125">
        <f t="shared" si="29"/>
        <v>6</v>
      </c>
      <c r="D108" s="382">
        <f>ROUND(P97,0)</f>
        <v>1</v>
      </c>
      <c r="E108" s="125">
        <f>'[4]Project Summary'!H42</f>
        <v>0</v>
      </c>
      <c r="F108" s="383">
        <f t="shared" si="31"/>
        <v>5</v>
      </c>
      <c r="G108" s="125">
        <f t="shared" si="30"/>
        <v>6</v>
      </c>
      <c r="H108" s="72"/>
      <c r="I108" s="120">
        <v>0</v>
      </c>
      <c r="J108" s="397">
        <f t="shared" si="32"/>
        <v>11</v>
      </c>
      <c r="K108" s="247">
        <f>E85</f>
        <v>0</v>
      </c>
      <c r="L108" s="723">
        <f t="shared" si="33"/>
        <v>11</v>
      </c>
    </row>
    <row r="109" spans="1:17" ht="13.5" thickBot="1" x14ac:dyDescent="0.25">
      <c r="A109" s="384" t="s">
        <v>132</v>
      </c>
      <c r="B109" s="385">
        <f>SUM(B102:B108)</f>
        <v>542</v>
      </c>
      <c r="C109" s="386">
        <f>SUM(C102:C108)</f>
        <v>273</v>
      </c>
      <c r="D109" s="386">
        <v>41</v>
      </c>
      <c r="E109" s="386">
        <f>SUM(E102:E108)</f>
        <v>2988.01</v>
      </c>
      <c r="F109" s="387">
        <f>SUM(F102:F108)</f>
        <v>-2756.03</v>
      </c>
      <c r="G109" s="386">
        <f>ROUND(SUM(G102:G108),0)</f>
        <v>269</v>
      </c>
      <c r="H109" s="384"/>
      <c r="I109" s="386">
        <f>SUM(I102:I108)</f>
        <v>0</v>
      </c>
      <c r="J109" s="393">
        <f>SUM(J102:J108)</f>
        <v>-2487.0300000000002</v>
      </c>
      <c r="K109" s="398">
        <f>SUM(K102:K108)</f>
        <v>223</v>
      </c>
      <c r="L109" s="393">
        <f>SUM(L102:L108)</f>
        <v>611.98</v>
      </c>
    </row>
    <row r="110" spans="1:17" x14ac:dyDescent="0.2">
      <c r="A110" s="388" t="s">
        <v>363</v>
      </c>
      <c r="B110" s="389"/>
      <c r="C110" s="390"/>
      <c r="D110" s="390"/>
      <c r="E110" s="390"/>
      <c r="F110" s="391"/>
      <c r="G110" s="390"/>
      <c r="H110" s="388"/>
      <c r="I110" s="390"/>
      <c r="J110" s="390"/>
      <c r="K110" s="390"/>
      <c r="L110" s="390"/>
    </row>
    <row r="112" spans="1:17" x14ac:dyDescent="0.2">
      <c r="F112" s="71"/>
    </row>
  </sheetData>
  <mergeCells count="3">
    <mergeCell ref="B1:J2"/>
    <mergeCell ref="A77:F77"/>
    <mergeCell ref="A100:L100"/>
  </mergeCells>
  <phoneticPr fontId="0" type="noConversion"/>
  <printOptions gridLines="1"/>
  <pageMargins left="0.5" right="0.5" top="1" bottom="0.75" header="0.5" footer="0.5"/>
  <pageSetup paperSize="5" scale="90" pageOrder="overThenDown" orientation="landscape" r:id="rId1"/>
  <headerFooter alignWithMargins="0">
    <oddHeader>&amp;L&amp;"Arial,Bold"&amp;14DRAFT Orange Lake Total Phosphorus Loading Reduction Goals by Jurisdiction&amp;RDRAFT</oddHeader>
    <oddFooter xml:space="preserve">&amp;LWater Quality Restoration Program&amp;CFDEP August 23, 2016&amp;R&amp;"Arial,Bold"&amp;14Draft&amp;"Arial,Italic"
&amp;12 
</oddFooter>
  </headerFooter>
  <ignoredErrors>
    <ignoredError sqref="H53 C106:C10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</vt:i4>
      </vt:variant>
    </vt:vector>
  </HeadingPairs>
  <TitlesOfParts>
    <vt:vector size="28" baseType="lpstr">
      <vt:lpstr>Note</vt:lpstr>
      <vt:lpstr>Lochloosa LU summary</vt:lpstr>
      <vt:lpstr>Lochloosa Lake TP Budget</vt:lpstr>
      <vt:lpstr>Lochloosa TP BMAP</vt:lpstr>
      <vt:lpstr>Lochloosa TP education</vt:lpstr>
      <vt:lpstr>Lochloosa TN BMAP</vt:lpstr>
      <vt:lpstr>Lochloosa Lake TN Budget</vt:lpstr>
      <vt:lpstr>Lochloosa TN Education</vt:lpstr>
      <vt:lpstr>Orange Lake BMAP</vt:lpstr>
      <vt:lpstr>Orange Lake tribs loading</vt:lpstr>
      <vt:lpstr>Orange Lake education credits</vt:lpstr>
      <vt:lpstr>Orange Lake LU</vt:lpstr>
      <vt:lpstr>Newnans Lake BMAP TP</vt:lpstr>
      <vt:lpstr>Newnans Lake TN</vt:lpstr>
      <vt:lpstr>Newnans Lake Tribs loading</vt:lpstr>
      <vt:lpstr>Newnans Lake Educ Credit</vt:lpstr>
      <vt:lpstr>Newnans LU</vt:lpstr>
      <vt:lpstr>nutrient budget summary</vt:lpstr>
      <vt:lpstr>Reductionssummary_TP</vt:lpstr>
      <vt:lpstr>Reductionsummary_TN</vt:lpstr>
      <vt:lpstr>education_summary</vt:lpstr>
      <vt:lpstr>LU_summary</vt:lpstr>
      <vt:lpstr>OSTDS-whole basin</vt:lpstr>
      <vt:lpstr>OSTDS-buffer</vt:lpstr>
      <vt:lpstr>'Lochloosa Lake TP Budget'!Print_Area</vt:lpstr>
      <vt:lpstr>'Newnans Lake BMAP TP'!Print_Area</vt:lpstr>
      <vt:lpstr>'Newnans Lake TN'!Print_Area</vt:lpstr>
      <vt:lpstr>'Orange Lake BMAP'!Print_Area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Paulic, Mary</dc:creator>
  <cp:lastModifiedBy>Paulic, Mary</cp:lastModifiedBy>
  <cp:lastPrinted>2019-02-08T18:18:19Z</cp:lastPrinted>
  <dcterms:created xsi:type="dcterms:W3CDTF">2005-06-07T11:24:47Z</dcterms:created>
  <dcterms:modified xsi:type="dcterms:W3CDTF">2019-04-18T20:49:18Z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-1105488360</vt:i4>
  </property>
  <property fmtid="{D5CDD505-2E9C-101B-9397-08002B2CF9AE}" pid="3" name="_EmailSubject">
    <vt:lpwstr>Draft sources for Alachua Sink</vt:lpwstr>
  </property>
  <property fmtid="{D5CDD505-2E9C-101B-9397-08002B2CF9AE}" pid="4" name="_AuthorEmail">
    <vt:lpwstr>dwalker@sjrwmd.com</vt:lpwstr>
  </property>
  <property fmtid="{D5CDD505-2E9C-101B-9397-08002B2CF9AE}" pid="5" name="_AuthorEmailDisplayName">
    <vt:lpwstr>David Walker</vt:lpwstr>
  </property>
  <property fmtid="{D5CDD505-2E9C-101B-9397-08002B2CF9AE}" pid="6" name="_ReviewingToolsShownOnce">
    <vt:lpwstr/>
  </property>
</Properties>
</file>