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Paulic_M\Desktop\Drive_E\Basin coordination\basin_management\planning\oklawaha\management\allocation\orange creek\allocation_2016\"/>
    </mc:Choice>
  </mc:AlternateContent>
  <bookViews>
    <workbookView xWindow="600" yWindow="492" windowWidth="15480" windowHeight="11640" firstSheet="6" activeTab="7"/>
  </bookViews>
  <sheets>
    <sheet name="Note" sheetId="22" r:id="rId1"/>
    <sheet name="Lochloosa Lake TP" sheetId="24" r:id="rId2"/>
    <sheet name="Orange Lake BMAP" sheetId="6" r:id="rId3"/>
    <sheet name="Orange Lake education credits" sheetId="25" r:id="rId4"/>
    <sheet name="Orange Lake tribs" sheetId="19" r:id="rId5"/>
    <sheet name="Orange Lake LU" sheetId="20" r:id="rId6"/>
    <sheet name="Newnans Lake BMAP TP" sheetId="14" r:id="rId7"/>
    <sheet name="Newnans Lake TN" sheetId="15" r:id="rId8"/>
    <sheet name="Newnans Lake Tribs" sheetId="16" r:id="rId9"/>
    <sheet name="Newnans Lake Educ Credit" sheetId="26" r:id="rId10"/>
    <sheet name="Newnans LU" sheetId="17" r:id="rId11"/>
    <sheet name="OSTDS-whole basin" sheetId="21" r:id="rId12"/>
    <sheet name="OSTDS-buffer" sheetId="23" r:id="rId13"/>
  </sheets>
  <externalReferences>
    <externalReference r:id="rId14"/>
    <externalReference r:id="rId15"/>
  </externalReferences>
  <definedNames>
    <definedName name="_xlnm.Print_Area" localSheetId="6">'Newnans Lake BMAP TP'!$A$62:$R$99</definedName>
    <definedName name="_xlnm.Print_Area" localSheetId="7">'Newnans Lake TN'!$A$62:$R$100</definedName>
    <definedName name="_xlnm.Print_Area" localSheetId="2">'Orange Lake BMAP'!$A$78:$P$110</definedName>
  </definedNames>
  <calcPr calcId="171027"/>
  <pivotCaches>
    <pivotCache cacheId="0" r:id="rId16"/>
    <pivotCache cacheId="1" r:id="rId17"/>
    <pivotCache cacheId="2" r:id="rId18"/>
  </pivotCaches>
</workbook>
</file>

<file path=xl/calcChain.xml><?xml version="1.0" encoding="utf-8"?>
<calcChain xmlns="http://schemas.openxmlformats.org/spreadsheetml/2006/main">
  <c r="L117" i="15" l="1"/>
  <c r="L117" i="14"/>
  <c r="B109" i="6" l="1"/>
  <c r="B105" i="14" l="1"/>
  <c r="C113" i="15" l="1"/>
  <c r="S108" i="15"/>
  <c r="S106" i="15"/>
  <c r="S105" i="15"/>
  <c r="R108" i="15"/>
  <c r="Q108" i="15"/>
  <c r="Q105" i="15"/>
  <c r="P108" i="15"/>
  <c r="P105" i="15"/>
  <c r="O108" i="15"/>
  <c r="O105" i="15"/>
  <c r="N108" i="15"/>
  <c r="N105" i="15"/>
  <c r="M108" i="15"/>
  <c r="M107" i="15"/>
  <c r="M106" i="15"/>
  <c r="M105" i="15"/>
  <c r="L105" i="15"/>
  <c r="K108" i="15"/>
  <c r="K107" i="15"/>
  <c r="K105" i="15"/>
  <c r="J107" i="15"/>
  <c r="J105" i="15"/>
  <c r="I108" i="15"/>
  <c r="I107" i="15"/>
  <c r="I105" i="15"/>
  <c r="H108" i="15"/>
  <c r="H107" i="15"/>
  <c r="H105" i="15"/>
  <c r="G108" i="15"/>
  <c r="G106" i="15"/>
  <c r="G105" i="15"/>
  <c r="F105" i="15"/>
  <c r="E108" i="15"/>
  <c r="E105" i="15"/>
  <c r="D108" i="15"/>
  <c r="D105" i="15"/>
  <c r="C108" i="15"/>
  <c r="C105" i="15"/>
  <c r="B108" i="15"/>
  <c r="B105" i="15"/>
  <c r="I117" i="15"/>
  <c r="B117" i="15"/>
  <c r="K116" i="15"/>
  <c r="E116" i="15"/>
  <c r="F116" i="15" s="1"/>
  <c r="C116" i="15"/>
  <c r="B116" i="15"/>
  <c r="C115" i="15"/>
  <c r="B115" i="15"/>
  <c r="B114" i="15"/>
  <c r="C114" i="15" s="1"/>
  <c r="B113" i="15"/>
  <c r="S107" i="15"/>
  <c r="R107" i="15"/>
  <c r="Q107" i="15"/>
  <c r="P107" i="15"/>
  <c r="O107" i="15"/>
  <c r="N107" i="15"/>
  <c r="R106" i="15"/>
  <c r="Q106" i="15"/>
  <c r="P106" i="15"/>
  <c r="O106" i="15"/>
  <c r="N106" i="15"/>
  <c r="R105" i="15"/>
  <c r="K116" i="14"/>
  <c r="C116" i="14"/>
  <c r="C115" i="14"/>
  <c r="C114" i="14"/>
  <c r="C113" i="14"/>
  <c r="B117" i="14"/>
  <c r="B116" i="14"/>
  <c r="B115" i="14"/>
  <c r="B114" i="14"/>
  <c r="B113" i="14"/>
  <c r="D116" i="14"/>
  <c r="D115" i="14"/>
  <c r="D114" i="14"/>
  <c r="V108" i="14"/>
  <c r="V107" i="14"/>
  <c r="V106" i="14"/>
  <c r="T108" i="14"/>
  <c r="T107" i="14"/>
  <c r="T106" i="14"/>
  <c r="T105" i="14"/>
  <c r="V105" i="14" s="1"/>
  <c r="D113" i="14" s="1"/>
  <c r="S108" i="14"/>
  <c r="S107" i="14"/>
  <c r="S106" i="14"/>
  <c r="S105" i="14"/>
  <c r="R108" i="14"/>
  <c r="R107" i="14"/>
  <c r="R106" i="14"/>
  <c r="R105" i="14"/>
  <c r="Q108" i="14"/>
  <c r="Q107" i="14"/>
  <c r="Q106" i="14"/>
  <c r="Q105" i="14"/>
  <c r="P108" i="14"/>
  <c r="P107" i="14"/>
  <c r="P106" i="14"/>
  <c r="P105" i="14"/>
  <c r="O108" i="14"/>
  <c r="O107" i="14"/>
  <c r="O106" i="14"/>
  <c r="O105" i="14"/>
  <c r="N108" i="14"/>
  <c r="N107" i="14"/>
  <c r="N106" i="14"/>
  <c r="N105" i="14"/>
  <c r="B108" i="14"/>
  <c r="I117" i="14"/>
  <c r="E116" i="14"/>
  <c r="K108" i="6"/>
  <c r="K107" i="6"/>
  <c r="E117" i="15" l="1"/>
  <c r="T107" i="15"/>
  <c r="V107" i="15" s="1"/>
  <c r="D116" i="15" s="1"/>
  <c r="J116" i="15" s="1"/>
  <c r="L116" i="15" s="1"/>
  <c r="T108" i="15"/>
  <c r="V108" i="15" s="1"/>
  <c r="D114" i="15" s="1"/>
  <c r="F114" i="15" s="1"/>
  <c r="J114" i="15" s="1"/>
  <c r="T106" i="15"/>
  <c r="V106" i="15" s="1"/>
  <c r="D115" i="15" s="1"/>
  <c r="F115" i="15" s="1"/>
  <c r="T105" i="15"/>
  <c r="V105" i="15" s="1"/>
  <c r="D113" i="15" s="1"/>
  <c r="G114" i="15"/>
  <c r="G113" i="15"/>
  <c r="C117" i="15"/>
  <c r="G115" i="15"/>
  <c r="E117" i="14"/>
  <c r="G116" i="14"/>
  <c r="F116" i="14"/>
  <c r="J116" i="14" s="1"/>
  <c r="L116" i="14" s="1"/>
  <c r="G115" i="14"/>
  <c r="F115" i="14"/>
  <c r="J115" i="14" s="1"/>
  <c r="G114" i="14"/>
  <c r="F114" i="14"/>
  <c r="G108" i="6"/>
  <c r="G107" i="6"/>
  <c r="G106" i="6"/>
  <c r="G105" i="6"/>
  <c r="G104" i="6"/>
  <c r="G103" i="6"/>
  <c r="G102" i="6"/>
  <c r="D109" i="6"/>
  <c r="D105" i="6"/>
  <c r="D104" i="6"/>
  <c r="D103" i="6"/>
  <c r="D102" i="6"/>
  <c r="B108" i="6"/>
  <c r="C108" i="6" s="1"/>
  <c r="B107" i="6"/>
  <c r="C107" i="6" s="1"/>
  <c r="B106" i="6"/>
  <c r="B105" i="6"/>
  <c r="C105" i="6" s="1"/>
  <c r="B104" i="6"/>
  <c r="C104" i="6" s="1"/>
  <c r="B103" i="6"/>
  <c r="B102" i="6"/>
  <c r="C102" i="6" s="1"/>
  <c r="E108" i="6"/>
  <c r="F108" i="6" s="1"/>
  <c r="I108" i="6"/>
  <c r="E107" i="6"/>
  <c r="F107" i="6" s="1"/>
  <c r="E106" i="6"/>
  <c r="F106" i="6" s="1"/>
  <c r="E105" i="6"/>
  <c r="F105" i="6" s="1"/>
  <c r="F104" i="6"/>
  <c r="F103" i="6"/>
  <c r="E102" i="6"/>
  <c r="F102" i="6" s="1"/>
  <c r="J102" i="6" s="1"/>
  <c r="E109" i="6" l="1"/>
  <c r="J105" i="6"/>
  <c r="D117" i="15"/>
  <c r="F117" i="15" s="1"/>
  <c r="F113" i="15"/>
  <c r="J113" i="15" s="1"/>
  <c r="G117" i="15"/>
  <c r="J115" i="15"/>
  <c r="J114" i="14"/>
  <c r="J107" i="6"/>
  <c r="L107" i="6" s="1"/>
  <c r="I109" i="6"/>
  <c r="J104" i="6"/>
  <c r="J108" i="6"/>
  <c r="L108" i="6" s="1"/>
  <c r="C103" i="6"/>
  <c r="J103" i="6" s="1"/>
  <c r="C106" i="6"/>
  <c r="J106" i="6" s="1"/>
  <c r="G109" i="6"/>
  <c r="J117" i="15" l="1"/>
  <c r="C109" i="6"/>
  <c r="F109" i="6" s="1"/>
  <c r="J109" i="6" l="1"/>
  <c r="T52" i="26" l="1"/>
  <c r="T51" i="26"/>
  <c r="T49" i="26"/>
  <c r="T48" i="26"/>
  <c r="S52" i="26"/>
  <c r="S51" i="26"/>
  <c r="S49" i="26"/>
  <c r="S48" i="26"/>
  <c r="P52" i="26"/>
  <c r="P51" i="26"/>
  <c r="M52" i="26"/>
  <c r="M51" i="26"/>
  <c r="M48" i="26"/>
  <c r="J52" i="26"/>
  <c r="J51" i="26"/>
  <c r="J48" i="26"/>
  <c r="G52" i="26"/>
  <c r="G51" i="26"/>
  <c r="G48" i="26"/>
  <c r="D52" i="26"/>
  <c r="D51" i="26"/>
  <c r="D48" i="26"/>
  <c r="T43" i="26"/>
  <c r="T42" i="26"/>
  <c r="T41" i="26"/>
  <c r="T40" i="26"/>
  <c r="T39" i="26"/>
  <c r="S43" i="26"/>
  <c r="S42" i="26"/>
  <c r="S40" i="26"/>
  <c r="S39" i="26"/>
  <c r="P43" i="26"/>
  <c r="P39" i="26"/>
  <c r="M43" i="26"/>
  <c r="M42" i="26"/>
  <c r="M41" i="26"/>
  <c r="M39" i="26"/>
  <c r="J43" i="26"/>
  <c r="J41" i="26"/>
  <c r="J39" i="26"/>
  <c r="G43" i="26"/>
  <c r="G42" i="26"/>
  <c r="G41" i="26"/>
  <c r="G39" i="26"/>
  <c r="D43" i="26"/>
  <c r="D42" i="26"/>
  <c r="D41" i="26"/>
  <c r="D39" i="26"/>
  <c r="L43" i="26"/>
  <c r="T34" i="26"/>
  <c r="T33" i="26"/>
  <c r="T31" i="26"/>
  <c r="T30" i="26"/>
  <c r="S34" i="26"/>
  <c r="S33" i="26"/>
  <c r="S31" i="26"/>
  <c r="S30" i="26"/>
  <c r="P34" i="26"/>
  <c r="P30" i="26"/>
  <c r="M34" i="26"/>
  <c r="M33" i="26"/>
  <c r="M30" i="26"/>
  <c r="J34" i="26"/>
  <c r="J33" i="26"/>
  <c r="J30" i="26"/>
  <c r="G34" i="26"/>
  <c r="G33" i="26"/>
  <c r="G30" i="26"/>
  <c r="D34" i="26"/>
  <c r="D33" i="26"/>
  <c r="D30" i="26"/>
  <c r="R25" i="26"/>
  <c r="R24" i="26"/>
  <c r="R22" i="26"/>
  <c r="R21" i="26"/>
  <c r="Q24" i="26"/>
  <c r="Q22" i="26"/>
  <c r="Q21" i="26"/>
  <c r="O25" i="26"/>
  <c r="N24" i="26"/>
  <c r="F10" i="17"/>
  <c r="L21" i="26" s="1"/>
  <c r="F26" i="17"/>
  <c r="L24" i="26" s="1"/>
  <c r="K24" i="26"/>
  <c r="K21" i="26"/>
  <c r="I24" i="26"/>
  <c r="I21" i="26"/>
  <c r="H24" i="26"/>
  <c r="H21" i="26"/>
  <c r="F27" i="17"/>
  <c r="F24" i="26" s="1"/>
  <c r="F11" i="17"/>
  <c r="F21" i="26"/>
  <c r="E24" i="26"/>
  <c r="E21" i="26"/>
  <c r="C24" i="26"/>
  <c r="C21" i="26"/>
  <c r="B24" i="26"/>
  <c r="B21" i="26"/>
  <c r="C25" i="26"/>
  <c r="R15" i="26"/>
  <c r="R13" i="26"/>
  <c r="R12" i="26"/>
  <c r="Q15" i="26"/>
  <c r="Q13" i="26"/>
  <c r="Q12" i="26"/>
  <c r="N12" i="26"/>
  <c r="F21" i="17"/>
  <c r="L15" i="26"/>
  <c r="L14" i="26"/>
  <c r="L12" i="26"/>
  <c r="K15" i="26"/>
  <c r="K14" i="26"/>
  <c r="K12" i="26"/>
  <c r="I14" i="26"/>
  <c r="I12" i="26"/>
  <c r="H15" i="26"/>
  <c r="H14" i="26"/>
  <c r="H12" i="26"/>
  <c r="C12" i="26"/>
  <c r="C15" i="26"/>
  <c r="F15" i="26"/>
  <c r="F14" i="26"/>
  <c r="F12" i="26"/>
  <c r="E15" i="26"/>
  <c r="E14" i="26"/>
  <c r="E12" i="26"/>
  <c r="B15" i="26"/>
  <c r="B14" i="26"/>
  <c r="B12" i="26"/>
  <c r="O16" i="26"/>
  <c r="I15" i="26"/>
  <c r="F38" i="17"/>
  <c r="R4" i="26" s="1"/>
  <c r="F31" i="17"/>
  <c r="R6" i="26"/>
  <c r="R3" i="26"/>
  <c r="Q6" i="26"/>
  <c r="Q4" i="26"/>
  <c r="Q3" i="26"/>
  <c r="P3" i="26"/>
  <c r="O7" i="26"/>
  <c r="N3" i="26"/>
  <c r="L6" i="26"/>
  <c r="L3" i="26"/>
  <c r="K6" i="26"/>
  <c r="K3" i="26"/>
  <c r="I3" i="26"/>
  <c r="I6" i="26"/>
  <c r="H6" i="26"/>
  <c r="H3" i="26"/>
  <c r="F6" i="26"/>
  <c r="F3" i="26"/>
  <c r="E6" i="26"/>
  <c r="E3" i="26"/>
  <c r="C6" i="26"/>
  <c r="C3" i="26"/>
  <c r="B6" i="26"/>
  <c r="B3" i="26"/>
  <c r="E26" i="17"/>
  <c r="E10" i="17"/>
  <c r="E12" i="17"/>
  <c r="E27" i="17"/>
  <c r="E11" i="17"/>
  <c r="E39" i="17"/>
  <c r="E21" i="17"/>
  <c r="E4" i="17"/>
  <c r="E36" i="17"/>
  <c r="E20" i="17"/>
  <c r="E3" i="17"/>
  <c r="E42" i="17"/>
  <c r="E38" i="17"/>
  <c r="E31" i="17"/>
  <c r="E14" i="17"/>
  <c r="I16" i="26" l="1"/>
  <c r="L16" i="26"/>
  <c r="I25" i="26"/>
  <c r="C16" i="26"/>
  <c r="R16" i="26"/>
  <c r="R7" i="26"/>
  <c r="P97" i="6"/>
  <c r="P96" i="6"/>
  <c r="P95" i="6"/>
  <c r="P94" i="6"/>
  <c r="P93" i="6"/>
  <c r="P92" i="6"/>
  <c r="P91" i="6"/>
  <c r="M97" i="6" l="1"/>
  <c r="M96" i="6"/>
  <c r="M95" i="6"/>
  <c r="M94" i="6"/>
  <c r="M93" i="6"/>
  <c r="L92" i="6"/>
  <c r="K97" i="6"/>
  <c r="K95" i="6"/>
  <c r="K94" i="6"/>
  <c r="K93" i="6"/>
  <c r="K92" i="6"/>
  <c r="J97" i="6"/>
  <c r="J95" i="6"/>
  <c r="J94" i="6"/>
  <c r="J93" i="6"/>
  <c r="J92" i="6"/>
  <c r="J91" i="6"/>
  <c r="I97" i="6"/>
  <c r="I95" i="6"/>
  <c r="I94" i="6"/>
  <c r="I93" i="6"/>
  <c r="I92" i="6"/>
  <c r="H91" i="6"/>
  <c r="G97" i="6"/>
  <c r="G96" i="6"/>
  <c r="G95" i="6"/>
  <c r="G94" i="6"/>
  <c r="G92" i="6"/>
  <c r="G91" i="6"/>
  <c r="F97" i="6"/>
  <c r="F96" i="6"/>
  <c r="F95" i="6"/>
  <c r="F93" i="6"/>
  <c r="F92" i="6"/>
  <c r="E93" i="6"/>
  <c r="E92" i="6"/>
  <c r="D97" i="6"/>
  <c r="D93" i="6"/>
  <c r="D92" i="6"/>
  <c r="C93" i="6"/>
  <c r="C92" i="6"/>
  <c r="R16" i="25" l="1"/>
  <c r="S16" i="25" s="1"/>
  <c r="Q16" i="25"/>
  <c r="R15" i="25"/>
  <c r="S15" i="25" s="1"/>
  <c r="M91" i="6" s="1"/>
  <c r="Q15" i="25"/>
  <c r="O15" i="25"/>
  <c r="P15" i="25" s="1"/>
  <c r="N15" i="25"/>
  <c r="M15" i="25"/>
  <c r="K91" i="6" s="1"/>
  <c r="L20" i="25"/>
  <c r="M20" i="25" s="1"/>
  <c r="K96" i="6" s="1"/>
  <c r="L15" i="25"/>
  <c r="K20" i="25"/>
  <c r="K15" i="25"/>
  <c r="J20" i="25"/>
  <c r="J96" i="6" s="1"/>
  <c r="H20" i="25"/>
  <c r="F20" i="25"/>
  <c r="G20" i="25" s="1"/>
  <c r="G15" i="25"/>
  <c r="I91" i="6" s="1"/>
  <c r="E20" i="25"/>
  <c r="F15" i="25"/>
  <c r="E15" i="25"/>
  <c r="T20" i="25" l="1"/>
  <c r="I96" i="6"/>
  <c r="T15" i="25"/>
  <c r="L91" i="6"/>
  <c r="T16" i="25"/>
  <c r="M92" i="6"/>
  <c r="N92" i="6" s="1"/>
  <c r="T22" i="25"/>
  <c r="T4" i="25"/>
  <c r="O22" i="25"/>
  <c r="C22" i="25"/>
  <c r="D22" i="25"/>
  <c r="S22" i="25"/>
  <c r="R22" i="25"/>
  <c r="L22" i="25"/>
  <c r="I22" i="25"/>
  <c r="F22" i="25"/>
  <c r="S5" i="25"/>
  <c r="R10" i="25"/>
  <c r="R6" i="25"/>
  <c r="R5" i="25"/>
  <c r="R4" i="25"/>
  <c r="Q6" i="25"/>
  <c r="Q5" i="25"/>
  <c r="Q4" i="25"/>
  <c r="O6" i="25"/>
  <c r="P6" i="25" s="1"/>
  <c r="F94" i="6" s="1"/>
  <c r="O3" i="25"/>
  <c r="P3" i="25" s="1"/>
  <c r="N8" i="25"/>
  <c r="N6" i="25"/>
  <c r="N3" i="25"/>
  <c r="M8" i="25"/>
  <c r="E96" i="6" s="1"/>
  <c r="L9" i="25"/>
  <c r="M9" i="25" s="1"/>
  <c r="L8" i="25"/>
  <c r="L7" i="25"/>
  <c r="M7" i="25" s="1"/>
  <c r="E95" i="6" s="1"/>
  <c r="L6" i="25"/>
  <c r="M6" i="25" s="1"/>
  <c r="E94" i="6" s="1"/>
  <c r="L3" i="25"/>
  <c r="L10" i="25" s="1"/>
  <c r="K9" i="25"/>
  <c r="K8" i="25"/>
  <c r="K7" i="25"/>
  <c r="K6" i="25"/>
  <c r="K3" i="25"/>
  <c r="I8" i="25"/>
  <c r="J8" i="25" s="1"/>
  <c r="D96" i="6" s="1"/>
  <c r="I7" i="25"/>
  <c r="J7" i="25" s="1"/>
  <c r="D95" i="6" s="1"/>
  <c r="I6" i="25"/>
  <c r="J6" i="25" s="1"/>
  <c r="D94" i="6" s="1"/>
  <c r="I3" i="25"/>
  <c r="J3" i="25" s="1"/>
  <c r="D91" i="6" s="1"/>
  <c r="H8" i="25"/>
  <c r="H7" i="25"/>
  <c r="H6" i="25"/>
  <c r="H3" i="25"/>
  <c r="F9" i="25"/>
  <c r="G9" i="25" s="1"/>
  <c r="C97" i="6" s="1"/>
  <c r="F8" i="25"/>
  <c r="G8" i="25" s="1"/>
  <c r="C96" i="6" s="1"/>
  <c r="N96" i="6" s="1"/>
  <c r="F7" i="25"/>
  <c r="G7" i="25" s="1"/>
  <c r="C95" i="6" s="1"/>
  <c r="N95" i="6" s="1"/>
  <c r="F6" i="25"/>
  <c r="G6" i="25" s="1"/>
  <c r="C94" i="6" s="1"/>
  <c r="F3" i="25"/>
  <c r="G3" i="25" s="1"/>
  <c r="C91" i="6" s="1"/>
  <c r="E9" i="25"/>
  <c r="E8" i="25"/>
  <c r="E7" i="25"/>
  <c r="E6" i="25"/>
  <c r="E3" i="25"/>
  <c r="C8" i="25"/>
  <c r="D8" i="25" s="1"/>
  <c r="T8" i="25" s="1"/>
  <c r="B8" i="25"/>
  <c r="C7" i="25"/>
  <c r="D7" i="25" s="1"/>
  <c r="B7" i="25"/>
  <c r="C6" i="25"/>
  <c r="D6" i="25" s="1"/>
  <c r="B6" i="25"/>
  <c r="C3" i="25"/>
  <c r="D3" i="25" s="1"/>
  <c r="B91" i="6" s="1"/>
  <c r="B3" i="25"/>
  <c r="T6" i="25" l="1"/>
  <c r="T9" i="25"/>
  <c r="E97" i="6"/>
  <c r="P10" i="25"/>
  <c r="F91" i="6"/>
  <c r="T7" i="25"/>
  <c r="N97" i="6"/>
  <c r="N94" i="6"/>
  <c r="S10" i="25"/>
  <c r="G93" i="6"/>
  <c r="N93" i="6" s="1"/>
  <c r="I10" i="25"/>
  <c r="M3" i="25"/>
  <c r="T5" i="25"/>
  <c r="O10" i="25"/>
  <c r="P22" i="25"/>
  <c r="M22" i="25"/>
  <c r="J22" i="25"/>
  <c r="G22" i="25"/>
  <c r="G10" i="25"/>
  <c r="J10" i="25"/>
  <c r="F10" i="25"/>
  <c r="D10" i="25"/>
  <c r="C10" i="25"/>
  <c r="F71" i="6"/>
  <c r="E71" i="6"/>
  <c r="F70" i="6"/>
  <c r="E70" i="6"/>
  <c r="F69" i="6"/>
  <c r="E69" i="6"/>
  <c r="D69" i="6"/>
  <c r="B69" i="6"/>
  <c r="C98" i="14"/>
  <c r="I88" i="14"/>
  <c r="I87" i="14"/>
  <c r="H88" i="14"/>
  <c r="H87" i="14"/>
  <c r="F88" i="14"/>
  <c r="F87" i="14"/>
  <c r="E88" i="14"/>
  <c r="E87" i="14"/>
  <c r="C88" i="14"/>
  <c r="C87" i="14"/>
  <c r="B88" i="14"/>
  <c r="B87" i="14"/>
  <c r="H87" i="15"/>
  <c r="I88" i="15"/>
  <c r="I87" i="15"/>
  <c r="H88" i="15"/>
  <c r="F88" i="15"/>
  <c r="F87" i="15"/>
  <c r="E88" i="15"/>
  <c r="E87" i="15"/>
  <c r="C44" i="23"/>
  <c r="C88" i="15"/>
  <c r="B88" i="15"/>
  <c r="B87" i="15"/>
  <c r="D54" i="23"/>
  <c r="D53" i="23"/>
  <c r="D52" i="23"/>
  <c r="D46" i="21"/>
  <c r="D51" i="23"/>
  <c r="D50" i="23"/>
  <c r="D49" i="23"/>
  <c r="D48" i="23"/>
  <c r="D45" i="23"/>
  <c r="D47" i="23"/>
  <c r="D46" i="23"/>
  <c r="D44" i="23"/>
  <c r="C87" i="15" s="1"/>
  <c r="C54" i="23"/>
  <c r="C53" i="23"/>
  <c r="C52" i="23"/>
  <c r="C51" i="23"/>
  <c r="C50" i="23"/>
  <c r="C49" i="23"/>
  <c r="C48" i="23"/>
  <c r="C47" i="23"/>
  <c r="C46" i="23"/>
  <c r="C45" i="23"/>
  <c r="C43" i="23"/>
  <c r="B38" i="23"/>
  <c r="B37" i="23"/>
  <c r="B36" i="23"/>
  <c r="B35" i="23"/>
  <c r="B34" i="23"/>
  <c r="B33" i="23"/>
  <c r="D29" i="23"/>
  <c r="M10" i="25" l="1"/>
  <c r="E91" i="6"/>
  <c r="N91" i="6" s="1"/>
  <c r="T3" i="25"/>
  <c r="T10" i="25" s="1"/>
  <c r="C59" i="21"/>
  <c r="C58" i="21"/>
  <c r="C56" i="21"/>
  <c r="C55" i="21"/>
  <c r="C54" i="21"/>
  <c r="C50" i="21"/>
  <c r="C53" i="21"/>
  <c r="C52" i="21"/>
  <c r="C46" i="21"/>
  <c r="C51" i="21"/>
  <c r="C49" i="21"/>
  <c r="C48" i="21"/>
  <c r="C47" i="21"/>
  <c r="B41" i="21"/>
  <c r="B40" i="21"/>
  <c r="B39" i="21"/>
  <c r="B38" i="21"/>
  <c r="B37" i="21"/>
  <c r="B36" i="21"/>
  <c r="J32" i="21"/>
  <c r="J29" i="21"/>
  <c r="J26" i="21"/>
  <c r="J22" i="21"/>
  <c r="J19" i="21"/>
  <c r="J16" i="21"/>
  <c r="J12" i="21"/>
  <c r="J8" i="21"/>
  <c r="J4" i="21"/>
  <c r="E41" i="21"/>
  <c r="E40" i="21"/>
  <c r="E39" i="21"/>
  <c r="E38" i="21"/>
  <c r="E37" i="21"/>
  <c r="E36" i="21"/>
  <c r="F41" i="21"/>
  <c r="F40" i="21"/>
  <c r="F39" i="21"/>
  <c r="F38" i="21"/>
  <c r="F37" i="21"/>
  <c r="F36" i="21"/>
  <c r="F8" i="17" l="1"/>
  <c r="G99" i="15" l="1"/>
  <c r="E89" i="15"/>
  <c r="E89" i="14"/>
  <c r="F86" i="6" l="1"/>
  <c r="F81" i="6"/>
  <c r="F80" i="6"/>
  <c r="E74" i="6"/>
  <c r="B74" i="6"/>
  <c r="F74" i="6"/>
  <c r="C74" i="6"/>
  <c r="C61" i="21"/>
  <c r="C60" i="21"/>
  <c r="C57" i="21"/>
  <c r="D48" i="21" l="1"/>
  <c r="D56" i="21"/>
  <c r="D49" i="21"/>
  <c r="D57" i="21"/>
  <c r="B63" i="21"/>
  <c r="D50" i="21"/>
  <c r="D54" i="21"/>
  <c r="D58" i="21"/>
  <c r="D52" i="21"/>
  <c r="D60" i="21"/>
  <c r="D53" i="21"/>
  <c r="D61" i="21"/>
  <c r="D47" i="21"/>
  <c r="D51" i="21"/>
  <c r="D55" i="21"/>
  <c r="D59" i="21"/>
  <c r="C95" i="15"/>
  <c r="I45" i="15"/>
  <c r="S79" i="14"/>
  <c r="B67" i="21" l="1"/>
  <c r="B90" i="14"/>
  <c r="H90" i="15"/>
  <c r="E90" i="15"/>
  <c r="B68" i="21"/>
  <c r="H90" i="14"/>
  <c r="B64" i="21"/>
  <c r="B65" i="21"/>
  <c r="B90" i="15"/>
  <c r="B66" i="21"/>
  <c r="E90" i="14"/>
  <c r="D57" i="15"/>
  <c r="B11" i="15"/>
  <c r="B25" i="15"/>
  <c r="C90" i="14" l="1"/>
  <c r="I90" i="15"/>
  <c r="F90" i="15"/>
  <c r="C90" i="15"/>
  <c r="I90" i="14"/>
  <c r="F90" i="14"/>
  <c r="D50" i="15"/>
  <c r="D49" i="15"/>
  <c r="D45" i="15"/>
  <c r="D31" i="15"/>
  <c r="D30" i="15"/>
  <c r="D29" i="15"/>
  <c r="D28" i="15"/>
  <c r="D27" i="15"/>
  <c r="D26" i="15"/>
  <c r="D25" i="15"/>
  <c r="D17" i="15"/>
  <c r="D16" i="15"/>
  <c r="D15" i="15"/>
  <c r="D14" i="15"/>
  <c r="D13" i="15"/>
  <c r="D12" i="15"/>
  <c r="D11" i="15"/>
  <c r="D10" i="15"/>
  <c r="D9" i="15"/>
  <c r="D6" i="15"/>
  <c r="D4" i="15"/>
  <c r="E31" i="15"/>
  <c r="I31" i="15"/>
  <c r="E17" i="15"/>
  <c r="I17" i="15"/>
  <c r="D50" i="14"/>
  <c r="D49" i="14"/>
  <c r="D45" i="14"/>
  <c r="E45" i="14" s="1"/>
  <c r="P24" i="26" s="1"/>
  <c r="P25" i="26" s="1"/>
  <c r="D31" i="14"/>
  <c r="E31" i="14" s="1"/>
  <c r="P12" i="26" s="1"/>
  <c r="P16" i="26" s="1"/>
  <c r="D6" i="14"/>
  <c r="D17" i="14"/>
  <c r="D16" i="14"/>
  <c r="D20" i="14"/>
  <c r="D4" i="14" l="1"/>
  <c r="R53" i="6" l="1"/>
  <c r="Q53" i="6"/>
  <c r="Q64" i="6"/>
  <c r="R64" i="6"/>
  <c r="S57" i="6"/>
  <c r="S64" i="6" l="1"/>
  <c r="I33" i="6" l="1"/>
  <c r="I32" i="6"/>
  <c r="I27" i="6"/>
  <c r="I25" i="6"/>
  <c r="I24" i="6"/>
  <c r="I23" i="6"/>
  <c r="I22" i="6"/>
  <c r="I20" i="6"/>
  <c r="I19" i="6"/>
  <c r="I14" i="6"/>
  <c r="I13" i="6"/>
  <c r="I12" i="6"/>
  <c r="I11" i="6"/>
  <c r="I10" i="6"/>
  <c r="I9" i="6"/>
  <c r="I7" i="6"/>
  <c r="I6" i="6"/>
  <c r="D39" i="6" l="1"/>
  <c r="D35" i="6"/>
  <c r="I35" i="6" s="1"/>
  <c r="D34" i="6"/>
  <c r="I34" i="6" s="1"/>
  <c r="D30" i="6"/>
  <c r="I30" i="6" s="1"/>
  <c r="E13" i="6" l="1"/>
  <c r="E66" i="15" l="1"/>
  <c r="E47" i="20"/>
  <c r="H54" i="17"/>
  <c r="G54" i="17"/>
  <c r="F54" i="17"/>
  <c r="I53" i="17"/>
  <c r="J53" i="17" s="1"/>
  <c r="I52" i="17"/>
  <c r="J52" i="17" s="1"/>
  <c r="I51" i="17"/>
  <c r="J51" i="17" s="1"/>
  <c r="I50" i="17"/>
  <c r="J50" i="17" s="1"/>
  <c r="I49" i="17"/>
  <c r="I54" i="17" l="1"/>
  <c r="J54" i="17" s="1"/>
  <c r="J49" i="17"/>
  <c r="N46" i="6"/>
  <c r="O46" i="6"/>
  <c r="N49" i="6"/>
  <c r="O49" i="6"/>
  <c r="N50" i="6"/>
  <c r="O50" i="6"/>
  <c r="L62" i="6"/>
  <c r="L64" i="6" s="1"/>
  <c r="K62" i="6"/>
  <c r="K64" i="6" s="1"/>
  <c r="I62" i="6"/>
  <c r="I57" i="6"/>
  <c r="H62" i="6"/>
  <c r="H57" i="6"/>
  <c r="F62" i="6"/>
  <c r="F57" i="6"/>
  <c r="E62" i="6"/>
  <c r="E57" i="6"/>
  <c r="C58" i="6"/>
  <c r="C57" i="6"/>
  <c r="B58" i="6"/>
  <c r="B57" i="6"/>
  <c r="T59" i="6"/>
  <c r="O51" i="6"/>
  <c r="N51" i="6"/>
  <c r="L51" i="6"/>
  <c r="L50" i="6"/>
  <c r="L49" i="6"/>
  <c r="L46" i="6"/>
  <c r="K51" i="6"/>
  <c r="K50" i="6"/>
  <c r="K49" i="6"/>
  <c r="K46" i="6"/>
  <c r="I52" i="6"/>
  <c r="I51" i="6"/>
  <c r="I50" i="6"/>
  <c r="I49" i="6"/>
  <c r="I46" i="6"/>
  <c r="H52" i="6"/>
  <c r="H51" i="6"/>
  <c r="H50" i="6"/>
  <c r="H49" i="6"/>
  <c r="H46" i="6"/>
  <c r="F46" i="20"/>
  <c r="F45" i="20"/>
  <c r="F44" i="20"/>
  <c r="F43" i="20"/>
  <c r="F42" i="20"/>
  <c r="E64" i="6" l="1"/>
  <c r="C64" i="6"/>
  <c r="H64" i="6"/>
  <c r="B64" i="6"/>
  <c r="I64" i="6"/>
  <c r="F64" i="6"/>
  <c r="F52" i="6" l="1"/>
  <c r="F51" i="6"/>
  <c r="F50" i="6"/>
  <c r="F49" i="6"/>
  <c r="F46" i="6"/>
  <c r="E52" i="6"/>
  <c r="E51" i="6"/>
  <c r="E50" i="6"/>
  <c r="E49" i="6"/>
  <c r="C49" i="6"/>
  <c r="C48" i="6"/>
  <c r="C47" i="6"/>
  <c r="B49" i="6"/>
  <c r="B48" i="6"/>
  <c r="B47" i="6"/>
  <c r="C53" i="6" l="1"/>
  <c r="D98" i="14"/>
  <c r="B98" i="14"/>
  <c r="C81" i="14"/>
  <c r="B81" i="14"/>
  <c r="O80" i="14"/>
  <c r="N80" i="14"/>
  <c r="L80" i="14"/>
  <c r="K80" i="14"/>
  <c r="I80" i="14"/>
  <c r="H80" i="14"/>
  <c r="F80" i="14"/>
  <c r="E80" i="14"/>
  <c r="C80" i="14"/>
  <c r="B80" i="14"/>
  <c r="O79" i="14"/>
  <c r="N79" i="14"/>
  <c r="L79" i="14"/>
  <c r="K79" i="14"/>
  <c r="I79" i="14"/>
  <c r="H79" i="14"/>
  <c r="F79" i="14"/>
  <c r="E79" i="14"/>
  <c r="I75" i="14"/>
  <c r="C73" i="14"/>
  <c r="B73" i="14"/>
  <c r="O72" i="14"/>
  <c r="P72" i="14" s="1"/>
  <c r="L72" i="14"/>
  <c r="K72" i="14"/>
  <c r="H72" i="14"/>
  <c r="F72" i="14"/>
  <c r="E72" i="14"/>
  <c r="E75" i="14" s="1"/>
  <c r="C72" i="14"/>
  <c r="B72" i="14"/>
  <c r="O71" i="14"/>
  <c r="N71" i="14"/>
  <c r="N75" i="14" s="1"/>
  <c r="L71" i="14"/>
  <c r="K71" i="14"/>
  <c r="H71" i="14"/>
  <c r="C71" i="14"/>
  <c r="B71" i="14"/>
  <c r="O66" i="14"/>
  <c r="N66" i="14"/>
  <c r="L66" i="14"/>
  <c r="K66" i="14"/>
  <c r="I66" i="14"/>
  <c r="H66" i="14"/>
  <c r="F66" i="14"/>
  <c r="E66" i="14"/>
  <c r="C65" i="14"/>
  <c r="B65" i="14"/>
  <c r="O64" i="14"/>
  <c r="N64" i="14"/>
  <c r="L64" i="14"/>
  <c r="K64" i="14"/>
  <c r="I64" i="14"/>
  <c r="H64" i="14"/>
  <c r="F64" i="14"/>
  <c r="E64" i="14"/>
  <c r="C64" i="14"/>
  <c r="B64" i="14"/>
  <c r="O63" i="14"/>
  <c r="N63" i="14"/>
  <c r="L63" i="14"/>
  <c r="K63" i="14"/>
  <c r="I63" i="14"/>
  <c r="H63" i="14"/>
  <c r="C63" i="14"/>
  <c r="B63" i="14"/>
  <c r="D97" i="15"/>
  <c r="H75" i="14" l="1"/>
  <c r="O83" i="14"/>
  <c r="N67" i="14"/>
  <c r="E67" i="14"/>
  <c r="K75" i="14"/>
  <c r="O75" i="14"/>
  <c r="P71" i="14"/>
  <c r="F75" i="14"/>
  <c r="L75" i="14"/>
  <c r="C75" i="14"/>
  <c r="O67" i="14"/>
  <c r="F67" i="14"/>
  <c r="H83" i="14"/>
  <c r="N83" i="14"/>
  <c r="H67" i="14"/>
  <c r="K67" i="14"/>
  <c r="B67" i="14"/>
  <c r="E83" i="14"/>
  <c r="K83" i="14"/>
  <c r="B83" i="14"/>
  <c r="C83" i="14"/>
  <c r="B53" i="6"/>
  <c r="I53" i="6"/>
  <c r="N53" i="6"/>
  <c r="E53" i="6"/>
  <c r="K53" i="6"/>
  <c r="O53" i="6"/>
  <c r="F53" i="6"/>
  <c r="H53" i="6"/>
  <c r="L53" i="6"/>
  <c r="I67" i="14"/>
  <c r="C67" i="14"/>
  <c r="L67" i="14"/>
  <c r="L83" i="14"/>
  <c r="I83" i="14"/>
  <c r="F83" i="14"/>
  <c r="I6" i="14"/>
  <c r="I6" i="15"/>
  <c r="I5" i="15"/>
  <c r="I10" i="15"/>
  <c r="I9" i="15"/>
  <c r="I16" i="15"/>
  <c r="I15" i="15"/>
  <c r="I14" i="15"/>
  <c r="I13" i="15"/>
  <c r="I12" i="15"/>
  <c r="I30" i="15"/>
  <c r="I29" i="15"/>
  <c r="I28" i="15"/>
  <c r="I27" i="15"/>
  <c r="I26" i="15"/>
  <c r="I16" i="14"/>
  <c r="E20" i="14"/>
  <c r="I20" i="14" l="1"/>
  <c r="G49" i="16"/>
  <c r="B20" i="15" s="1"/>
  <c r="D20" i="15" s="1"/>
  <c r="G48" i="16"/>
  <c r="G47" i="16"/>
  <c r="B19" i="15" s="1"/>
  <c r="D19" i="15" s="1"/>
  <c r="G46" i="16"/>
  <c r="G45" i="16"/>
  <c r="G44" i="16"/>
  <c r="G41" i="16"/>
  <c r="G40" i="16"/>
  <c r="G39" i="16"/>
  <c r="G38" i="16"/>
  <c r="G37" i="16"/>
  <c r="G29" i="16"/>
  <c r="B37" i="15" s="1"/>
  <c r="G13" i="16"/>
  <c r="B23" i="15" s="1"/>
  <c r="P49" i="16"/>
  <c r="P48" i="16"/>
  <c r="P47" i="16"/>
  <c r="B19" i="14" s="1"/>
  <c r="P46" i="16"/>
  <c r="B10" i="14" s="1"/>
  <c r="P45" i="16"/>
  <c r="B9" i="14" s="1"/>
  <c r="P44" i="16"/>
  <c r="P41" i="16"/>
  <c r="B12" i="14" s="1"/>
  <c r="P40" i="16"/>
  <c r="B14" i="14" s="1"/>
  <c r="P39" i="16"/>
  <c r="B13" i="14" s="1"/>
  <c r="P38" i="16"/>
  <c r="B15" i="14" s="1"/>
  <c r="P37" i="16"/>
  <c r="P33" i="16"/>
  <c r="B47" i="14" s="1"/>
  <c r="P32" i="16"/>
  <c r="P31" i="16"/>
  <c r="B48" i="14" s="1"/>
  <c r="P30" i="16"/>
  <c r="B38" i="14" s="1"/>
  <c r="P29" i="16"/>
  <c r="B37" i="14" s="1"/>
  <c r="P28" i="16"/>
  <c r="P25" i="16"/>
  <c r="B40" i="14" s="1"/>
  <c r="P24" i="16"/>
  <c r="B42" i="14" s="1"/>
  <c r="P23" i="16"/>
  <c r="B41" i="14" s="1"/>
  <c r="P22" i="16"/>
  <c r="B43" i="14" s="1"/>
  <c r="P21" i="16"/>
  <c r="P17" i="16"/>
  <c r="B33" i="14" s="1"/>
  <c r="P16" i="16"/>
  <c r="P15" i="16"/>
  <c r="B34" i="14" s="1"/>
  <c r="P14" i="16"/>
  <c r="B24" i="14" s="1"/>
  <c r="P13" i="16"/>
  <c r="B23" i="14" s="1"/>
  <c r="P12" i="16"/>
  <c r="P9" i="16"/>
  <c r="B26" i="14" s="1"/>
  <c r="P8" i="16"/>
  <c r="B28" i="14" s="1"/>
  <c r="P7" i="16"/>
  <c r="B27" i="14" s="1"/>
  <c r="P6" i="16"/>
  <c r="B29" i="14" s="1"/>
  <c r="P5" i="16"/>
  <c r="I23" i="15" l="1"/>
  <c r="D23" i="15"/>
  <c r="I37" i="15"/>
  <c r="D37" i="15"/>
  <c r="I28" i="14"/>
  <c r="D28" i="14"/>
  <c r="I24" i="14"/>
  <c r="D24" i="14"/>
  <c r="E40" i="14"/>
  <c r="D40" i="14"/>
  <c r="I48" i="14"/>
  <c r="D48" i="14"/>
  <c r="I15" i="14"/>
  <c r="D15" i="14"/>
  <c r="E26" i="14"/>
  <c r="D26" i="14"/>
  <c r="I34" i="14"/>
  <c r="D34" i="14"/>
  <c r="E43" i="14"/>
  <c r="D43" i="14"/>
  <c r="I13" i="14"/>
  <c r="D13" i="14"/>
  <c r="I9" i="14"/>
  <c r="D9" i="14"/>
  <c r="E47" i="14"/>
  <c r="D47" i="14"/>
  <c r="I29" i="14"/>
  <c r="D29" i="14"/>
  <c r="E41" i="14"/>
  <c r="D41" i="14"/>
  <c r="I37" i="14"/>
  <c r="D37" i="14"/>
  <c r="I14" i="14"/>
  <c r="D14" i="14"/>
  <c r="I10" i="14"/>
  <c r="D10" i="14"/>
  <c r="E27" i="14"/>
  <c r="D27" i="14"/>
  <c r="I23" i="14"/>
  <c r="D23" i="14"/>
  <c r="B22" i="14"/>
  <c r="D22" i="14" s="1"/>
  <c r="E33" i="14"/>
  <c r="D33" i="14"/>
  <c r="E42" i="14"/>
  <c r="D42" i="14"/>
  <c r="I38" i="14"/>
  <c r="D38" i="14"/>
  <c r="I12" i="14"/>
  <c r="D12" i="14"/>
  <c r="B11" i="14"/>
  <c r="D11" i="14" s="1"/>
  <c r="I11" i="14" s="1"/>
  <c r="I19" i="14"/>
  <c r="D19" i="14"/>
  <c r="I26" i="14"/>
  <c r="I47" i="14"/>
  <c r="I27" i="14"/>
  <c r="B36" i="14"/>
  <c r="E29" i="14"/>
  <c r="I33" i="14"/>
  <c r="P43" i="16"/>
  <c r="B18" i="14"/>
  <c r="D18" i="14" s="1"/>
  <c r="G50" i="16"/>
  <c r="G42" i="16"/>
  <c r="P10" i="16"/>
  <c r="P18" i="16"/>
  <c r="B30" i="14"/>
  <c r="D30" i="14" s="1"/>
  <c r="P11" i="16"/>
  <c r="B32" i="14"/>
  <c r="D32" i="14" s="1"/>
  <c r="P34" i="16"/>
  <c r="P26" i="16"/>
  <c r="B44" i="14"/>
  <c r="B39" i="14" s="1"/>
  <c r="D39" i="14" s="1"/>
  <c r="P27" i="16"/>
  <c r="B46" i="14"/>
  <c r="D46" i="14" s="1"/>
  <c r="G43" i="16"/>
  <c r="B18" i="15"/>
  <c r="D18" i="15" s="1"/>
  <c r="I40" i="14"/>
  <c r="P42" i="16"/>
  <c r="P50" i="16"/>
  <c r="I43" i="14"/>
  <c r="I42" i="14"/>
  <c r="E28" i="14"/>
  <c r="I41" i="14"/>
  <c r="J14" i="26" l="1"/>
  <c r="J12" i="26"/>
  <c r="J16" i="26" s="1"/>
  <c r="J15" i="26"/>
  <c r="M21" i="26"/>
  <c r="M25" i="26" s="1"/>
  <c r="M24" i="26"/>
  <c r="D15" i="26"/>
  <c r="D12" i="26"/>
  <c r="D14" i="26"/>
  <c r="J21" i="26"/>
  <c r="J24" i="26"/>
  <c r="M14" i="26"/>
  <c r="M15" i="26"/>
  <c r="M12" i="26"/>
  <c r="G12" i="26"/>
  <c r="G15" i="26"/>
  <c r="G14" i="26"/>
  <c r="G21" i="26"/>
  <c r="G24" i="26"/>
  <c r="D21" i="26"/>
  <c r="D24" i="26"/>
  <c r="B25" i="14"/>
  <c r="D25" i="14" s="1"/>
  <c r="E44" i="14"/>
  <c r="D44" i="14"/>
  <c r="I36" i="14"/>
  <c r="D36" i="14"/>
  <c r="E39" i="14"/>
  <c r="I22" i="14"/>
  <c r="I30" i="14"/>
  <c r="E30" i="14"/>
  <c r="E46" i="14"/>
  <c r="I46" i="14"/>
  <c r="I32" i="14"/>
  <c r="E32" i="14"/>
  <c r="D25" i="26" l="1"/>
  <c r="D16" i="26"/>
  <c r="S21" i="26"/>
  <c r="S24" i="26"/>
  <c r="S22" i="26"/>
  <c r="T22" i="26" s="1"/>
  <c r="G16" i="26"/>
  <c r="T24" i="26"/>
  <c r="T14" i="26"/>
  <c r="S15" i="26"/>
  <c r="T15" i="26" s="1"/>
  <c r="S13" i="26"/>
  <c r="T13" i="26" s="1"/>
  <c r="S12" i="26"/>
  <c r="T12" i="26" s="1"/>
  <c r="T16" i="26" s="1"/>
  <c r="G25" i="26"/>
  <c r="M16" i="26"/>
  <c r="J25" i="26"/>
  <c r="E25" i="14"/>
  <c r="I25" i="14"/>
  <c r="B52" i="14"/>
  <c r="I39" i="14"/>
  <c r="B53" i="14"/>
  <c r="B28" i="6"/>
  <c r="B29" i="6"/>
  <c r="D29" i="6" s="1"/>
  <c r="I29" i="6" s="1"/>
  <c r="H29" i="19"/>
  <c r="H28" i="19"/>
  <c r="B7" i="6" s="1"/>
  <c r="H27" i="19"/>
  <c r="B6" i="6" s="1"/>
  <c r="H26" i="19"/>
  <c r="B14" i="6" s="1"/>
  <c r="H25" i="19"/>
  <c r="B12" i="6" s="1"/>
  <c r="H24" i="19"/>
  <c r="B11" i="6" s="1"/>
  <c r="H23" i="19"/>
  <c r="B10" i="6" s="1"/>
  <c r="H22" i="19"/>
  <c r="H21" i="19"/>
  <c r="B9" i="6" s="1"/>
  <c r="H20" i="19"/>
  <c r="H30" i="19" s="1"/>
  <c r="H15" i="19"/>
  <c r="H14" i="19"/>
  <c r="B20" i="6" s="1"/>
  <c r="H13" i="19"/>
  <c r="B19" i="6" s="1"/>
  <c r="H12" i="19"/>
  <c r="B27" i="6" s="1"/>
  <c r="E27" i="6" s="1"/>
  <c r="H11" i="19"/>
  <c r="B25" i="6" s="1"/>
  <c r="E25" i="6" s="1"/>
  <c r="H10" i="19"/>
  <c r="B24" i="6" s="1"/>
  <c r="E24" i="6" s="1"/>
  <c r="H9" i="19"/>
  <c r="B23" i="6" s="1"/>
  <c r="E23" i="6" s="1"/>
  <c r="H8" i="19"/>
  <c r="H7" i="19"/>
  <c r="B22" i="6" s="1"/>
  <c r="E22" i="6" s="1"/>
  <c r="H6" i="19"/>
  <c r="H16" i="19" s="1"/>
  <c r="B32" i="19" s="1"/>
  <c r="S16" i="26" l="1"/>
  <c r="S25" i="26"/>
  <c r="T21" i="26"/>
  <c r="T25" i="26" s="1"/>
  <c r="B51" i="14"/>
  <c r="B21" i="6"/>
  <c r="D21" i="6" s="1"/>
  <c r="I21" i="6" s="1"/>
  <c r="B16" i="6"/>
  <c r="D16" i="6" s="1"/>
  <c r="I16" i="6" s="1"/>
  <c r="D28" i="6"/>
  <c r="I28" i="6" s="1"/>
  <c r="B18" i="6"/>
  <c r="B15" i="6"/>
  <c r="D15" i="6" s="1"/>
  <c r="I15" i="6" s="1"/>
  <c r="E29" i="6"/>
  <c r="E28" i="6"/>
  <c r="B57" i="14"/>
  <c r="D57" i="14" s="1"/>
  <c r="G33" i="16"/>
  <c r="B48" i="15" s="1"/>
  <c r="D48" i="15" s="1"/>
  <c r="G32" i="16"/>
  <c r="G31" i="16"/>
  <c r="B47" i="15" s="1"/>
  <c r="G30" i="16"/>
  <c r="B38" i="15" s="1"/>
  <c r="G28" i="16"/>
  <c r="G17" i="16"/>
  <c r="B34" i="15" s="1"/>
  <c r="D34" i="15" s="1"/>
  <c r="G16" i="16"/>
  <c r="G15" i="16"/>
  <c r="B33" i="15" s="1"/>
  <c r="G14" i="16"/>
  <c r="B24" i="15" s="1"/>
  <c r="G12" i="16"/>
  <c r="C15" i="16"/>
  <c r="E21" i="6" l="1"/>
  <c r="I47" i="15"/>
  <c r="D47" i="15"/>
  <c r="I24" i="15"/>
  <c r="D24" i="15"/>
  <c r="I33" i="15"/>
  <c r="D33" i="15"/>
  <c r="I38" i="15"/>
  <c r="D38" i="15"/>
  <c r="E34" i="15"/>
  <c r="I34" i="15"/>
  <c r="B46" i="15"/>
  <c r="D46" i="15" s="1"/>
  <c r="B32" i="15"/>
  <c r="D32" i="15" s="1"/>
  <c r="B36" i="15"/>
  <c r="D36" i="15" s="1"/>
  <c r="E48" i="15"/>
  <c r="I48" i="15"/>
  <c r="B22" i="15"/>
  <c r="D22" i="15" s="1"/>
  <c r="D18" i="6"/>
  <c r="I18" i="6" s="1"/>
  <c r="H71" i="15"/>
  <c r="I32" i="15" l="1"/>
  <c r="E32" i="15"/>
  <c r="I36" i="15"/>
  <c r="B52" i="15"/>
  <c r="I22" i="15"/>
  <c r="I46" i="15"/>
  <c r="E46" i="15"/>
  <c r="N79" i="15"/>
  <c r="O80" i="15"/>
  <c r="N80" i="15"/>
  <c r="O79" i="15"/>
  <c r="L80" i="15"/>
  <c r="K80" i="15"/>
  <c r="L79" i="15"/>
  <c r="K79" i="15"/>
  <c r="I80" i="15"/>
  <c r="H80" i="15"/>
  <c r="I79" i="15"/>
  <c r="H79" i="15"/>
  <c r="E79" i="15"/>
  <c r="F80" i="15"/>
  <c r="F79" i="15"/>
  <c r="E80" i="15"/>
  <c r="C81" i="15"/>
  <c r="C80" i="15"/>
  <c r="B81" i="15"/>
  <c r="B80" i="15"/>
  <c r="B83" i="15" l="1"/>
  <c r="C83" i="15"/>
  <c r="O72" i="15"/>
  <c r="O71" i="15"/>
  <c r="N71" i="15"/>
  <c r="L72" i="15"/>
  <c r="L71" i="15"/>
  <c r="K72" i="15"/>
  <c r="K71" i="15"/>
  <c r="H72" i="15"/>
  <c r="H63" i="15"/>
  <c r="F72" i="15"/>
  <c r="E72" i="15"/>
  <c r="C73" i="15"/>
  <c r="B73" i="15"/>
  <c r="C72" i="15"/>
  <c r="B72" i="15"/>
  <c r="C71" i="15"/>
  <c r="B71" i="15"/>
  <c r="O83" i="15"/>
  <c r="N83" i="15"/>
  <c r="L83" i="15"/>
  <c r="K83" i="15"/>
  <c r="I83" i="15"/>
  <c r="H83" i="15"/>
  <c r="E83" i="15"/>
  <c r="O66" i="15"/>
  <c r="O64" i="15"/>
  <c r="O63" i="15"/>
  <c r="N66" i="15"/>
  <c r="N64" i="15"/>
  <c r="N63" i="15"/>
  <c r="L66" i="15"/>
  <c r="L64" i="15"/>
  <c r="L63" i="15"/>
  <c r="I66" i="15"/>
  <c r="I64" i="15"/>
  <c r="I63" i="15"/>
  <c r="K66" i="15"/>
  <c r="K64" i="15"/>
  <c r="K63" i="15"/>
  <c r="H66" i="15"/>
  <c r="H64" i="15"/>
  <c r="F66" i="15"/>
  <c r="F64" i="15"/>
  <c r="E64" i="15"/>
  <c r="C65" i="15"/>
  <c r="C64" i="15"/>
  <c r="C63" i="15"/>
  <c r="B65" i="15"/>
  <c r="B64" i="15"/>
  <c r="B63" i="15"/>
  <c r="C75" i="15" l="1"/>
  <c r="N67" i="15"/>
  <c r="E67" i="15"/>
  <c r="B67" i="15"/>
  <c r="C67" i="15"/>
  <c r="H75" i="15"/>
  <c r="N75" i="15"/>
  <c r="L67" i="15"/>
  <c r="I75" i="15"/>
  <c r="E75" i="15"/>
  <c r="H67" i="15"/>
  <c r="K75" i="15"/>
  <c r="I67" i="15"/>
  <c r="F75" i="15"/>
  <c r="O75" i="15"/>
  <c r="F83" i="15"/>
  <c r="F67" i="15"/>
  <c r="K67" i="15"/>
  <c r="O67" i="15"/>
  <c r="L75" i="15"/>
  <c r="G25" i="16" l="1"/>
  <c r="B44" i="15" s="1"/>
  <c r="G24" i="16"/>
  <c r="B43" i="15" s="1"/>
  <c r="G23" i="16"/>
  <c r="B42" i="15" s="1"/>
  <c r="G22" i="16"/>
  <c r="B41" i="15" s="1"/>
  <c r="G21" i="16"/>
  <c r="E30" i="15"/>
  <c r="E29" i="15"/>
  <c r="E28" i="15"/>
  <c r="E27" i="15"/>
  <c r="E26" i="15"/>
  <c r="E25" i="15"/>
  <c r="I25" i="15"/>
  <c r="G9" i="16"/>
  <c r="G8" i="16"/>
  <c r="G7" i="16"/>
  <c r="G6" i="16"/>
  <c r="G5" i="16"/>
  <c r="G10" i="16" s="1"/>
  <c r="G11" i="16" s="1"/>
  <c r="I41" i="15" l="1"/>
  <c r="D41" i="15"/>
  <c r="E42" i="15"/>
  <c r="D42" i="15"/>
  <c r="E43" i="15"/>
  <c r="D43" i="15"/>
  <c r="I44" i="15"/>
  <c r="D44" i="15"/>
  <c r="E41" i="15"/>
  <c r="E44" i="15"/>
  <c r="I42" i="15"/>
  <c r="B40" i="15"/>
  <c r="G34" i="16"/>
  <c r="I43" i="15"/>
  <c r="G26" i="16"/>
  <c r="G18" i="16"/>
  <c r="I57" i="15"/>
  <c r="I50" i="15"/>
  <c r="I20" i="15"/>
  <c r="I19" i="15"/>
  <c r="I52" i="15"/>
  <c r="I49" i="15"/>
  <c r="I18" i="15"/>
  <c r="I4" i="15"/>
  <c r="E50" i="15"/>
  <c r="B39" i="15" l="1"/>
  <c r="D39" i="15" s="1"/>
  <c r="D40" i="15"/>
  <c r="I40" i="15"/>
  <c r="E40" i="15"/>
  <c r="I39" i="6"/>
  <c r="H38" i="6"/>
  <c r="B5" i="6"/>
  <c r="B8" i="6"/>
  <c r="E9" i="6"/>
  <c r="E10" i="6"/>
  <c r="E11" i="6"/>
  <c r="E12" i="6"/>
  <c r="E14" i="6"/>
  <c r="E15" i="6"/>
  <c r="B31" i="6"/>
  <c r="D31" i="6" s="1"/>
  <c r="I31" i="6" s="1"/>
  <c r="E32" i="6"/>
  <c r="E33" i="6"/>
  <c r="E16" i="6"/>
  <c r="I49" i="14"/>
  <c r="I44" i="14"/>
  <c r="I53" i="14"/>
  <c r="I52" i="14"/>
  <c r="I50" i="14"/>
  <c r="I18" i="14"/>
  <c r="I4" i="14"/>
  <c r="E8" i="6" l="1"/>
  <c r="D8" i="6"/>
  <c r="D5" i="6"/>
  <c r="B38" i="6"/>
  <c r="B53" i="15"/>
  <c r="E39" i="15"/>
  <c r="I39" i="15"/>
  <c r="E31" i="6"/>
  <c r="I8" i="6" l="1"/>
  <c r="D38" i="6"/>
  <c r="F8" i="6" s="1"/>
  <c r="E38" i="6"/>
  <c r="B51" i="15"/>
  <c r="G27" i="16"/>
  <c r="I53" i="15"/>
  <c r="E53" i="15"/>
  <c r="I5" i="6"/>
  <c r="C26" i="6"/>
  <c r="C17" i="6"/>
  <c r="C13" i="6"/>
  <c r="C4" i="6"/>
  <c r="C25" i="6"/>
  <c r="C24" i="6"/>
  <c r="C22" i="6"/>
  <c r="C27" i="6"/>
  <c r="C23" i="6"/>
  <c r="C29" i="6"/>
  <c r="C28" i="6"/>
  <c r="C19" i="6"/>
  <c r="C20" i="6"/>
  <c r="C21" i="6"/>
  <c r="C18" i="6"/>
  <c r="C8" i="6"/>
  <c r="C33" i="6"/>
  <c r="C30" i="6"/>
  <c r="C32" i="6"/>
  <c r="C5" i="6"/>
  <c r="C14" i="6"/>
  <c r="C9" i="6"/>
  <c r="C7" i="6"/>
  <c r="C10" i="6"/>
  <c r="C12" i="6"/>
  <c r="C11" i="6"/>
  <c r="C6" i="6"/>
  <c r="C31" i="6"/>
  <c r="C16" i="6"/>
  <c r="C15" i="6"/>
  <c r="B40" i="6"/>
  <c r="I38" i="6" l="1"/>
  <c r="I40" i="6" s="1"/>
  <c r="F31" i="6"/>
  <c r="D40" i="6"/>
  <c r="F13" i="6"/>
  <c r="F22" i="6"/>
  <c r="F23" i="6"/>
  <c r="F25" i="6"/>
  <c r="G25" i="6" s="1"/>
  <c r="F24" i="6"/>
  <c r="F27" i="6"/>
  <c r="F28" i="6"/>
  <c r="F29" i="6"/>
  <c r="G29" i="6" s="1"/>
  <c r="C86" i="6" s="1"/>
  <c r="F21" i="6"/>
  <c r="F9" i="6"/>
  <c r="F32" i="6"/>
  <c r="F10" i="6"/>
  <c r="G10" i="6" s="1"/>
  <c r="F12" i="6"/>
  <c r="F33" i="6"/>
  <c r="F16" i="6"/>
  <c r="F11" i="6"/>
  <c r="G11" i="6" s="1"/>
  <c r="F15" i="6"/>
  <c r="F14" i="6"/>
  <c r="C38" i="6"/>
  <c r="G16" i="6" l="1"/>
  <c r="G14" i="6"/>
  <c r="D48" i="6" s="1"/>
  <c r="T48" i="6" s="1"/>
  <c r="B81" i="6" s="1"/>
  <c r="D81" i="6" s="1"/>
  <c r="G33" i="6"/>
  <c r="G9" i="6"/>
  <c r="P49" i="6" s="1"/>
  <c r="G27" i="6"/>
  <c r="D57" i="6" s="1"/>
  <c r="G22" i="6"/>
  <c r="G15" i="6"/>
  <c r="B86" i="6" s="1"/>
  <c r="G12" i="6"/>
  <c r="G49" i="6" s="1"/>
  <c r="G21" i="6"/>
  <c r="G24" i="6"/>
  <c r="M62" i="6" s="1"/>
  <c r="M64" i="6" s="1"/>
  <c r="F38" i="6"/>
  <c r="G31" i="6"/>
  <c r="G13" i="6"/>
  <c r="G32" i="6"/>
  <c r="G28" i="6"/>
  <c r="D72" i="6" s="1"/>
  <c r="G23" i="6"/>
  <c r="J57" i="6" s="1"/>
  <c r="J50" i="6"/>
  <c r="J51" i="6"/>
  <c r="J46" i="6"/>
  <c r="J52" i="6"/>
  <c r="J49" i="6"/>
  <c r="G62" i="6"/>
  <c r="G57" i="6"/>
  <c r="M49" i="6"/>
  <c r="M50" i="6"/>
  <c r="M51" i="6"/>
  <c r="M46" i="6"/>
  <c r="D74" i="6" l="1"/>
  <c r="G72" i="6"/>
  <c r="E84" i="6" s="1"/>
  <c r="F84" i="6" s="1"/>
  <c r="G69" i="6"/>
  <c r="G71" i="6"/>
  <c r="E83" i="6" s="1"/>
  <c r="G70" i="6"/>
  <c r="E82" i="6" s="1"/>
  <c r="G73" i="6"/>
  <c r="E85" i="6" s="1"/>
  <c r="F85" i="6" s="1"/>
  <c r="D47" i="6"/>
  <c r="T47" i="6" s="1"/>
  <c r="B80" i="6" s="1"/>
  <c r="D49" i="6"/>
  <c r="G52" i="6"/>
  <c r="T52" i="6" s="1"/>
  <c r="B85" i="6" s="1"/>
  <c r="D85" i="6" s="1"/>
  <c r="P51" i="6"/>
  <c r="D58" i="6"/>
  <c r="T58" i="6" s="1"/>
  <c r="C80" i="6" s="1"/>
  <c r="D80" i="6" s="1"/>
  <c r="G8" i="6"/>
  <c r="G38" i="6" s="1"/>
  <c r="G50" i="6"/>
  <c r="P46" i="6"/>
  <c r="J62" i="6"/>
  <c r="J64" i="6" s="1"/>
  <c r="G51" i="6"/>
  <c r="G46" i="6"/>
  <c r="P50" i="6"/>
  <c r="S49" i="6"/>
  <c r="S50" i="6"/>
  <c r="S46" i="6"/>
  <c r="D86" i="6"/>
  <c r="G64" i="6"/>
  <c r="M53" i="6"/>
  <c r="T57" i="6"/>
  <c r="J53" i="6"/>
  <c r="E79" i="6" l="1"/>
  <c r="K102" i="6" s="1"/>
  <c r="F83" i="6"/>
  <c r="K106" i="6"/>
  <c r="L106" i="6" s="1"/>
  <c r="F82" i="6"/>
  <c r="K105" i="6"/>
  <c r="L105" i="6" s="1"/>
  <c r="G74" i="6"/>
  <c r="T49" i="6"/>
  <c r="B82" i="6" s="1"/>
  <c r="D82" i="6" s="1"/>
  <c r="D53" i="6"/>
  <c r="G53" i="6"/>
  <c r="D64" i="6"/>
  <c r="T51" i="6"/>
  <c r="B84" i="6" s="1"/>
  <c r="T50" i="6"/>
  <c r="B83" i="6" s="1"/>
  <c r="D83" i="6" s="1"/>
  <c r="T62" i="6"/>
  <c r="C84" i="6" s="1"/>
  <c r="T46" i="6"/>
  <c r="B79" i="6" s="1"/>
  <c r="S53" i="6"/>
  <c r="C79" i="6"/>
  <c r="P53" i="6"/>
  <c r="E49" i="14"/>
  <c r="K109" i="6" l="1"/>
  <c r="L102" i="6"/>
  <c r="L109" i="6" s="1"/>
  <c r="F79" i="6"/>
  <c r="D84" i="6"/>
  <c r="T53" i="6"/>
  <c r="T64" i="6"/>
  <c r="D79" i="6"/>
  <c r="E52" i="15"/>
  <c r="E16" i="15"/>
  <c r="E15" i="15"/>
  <c r="E14" i="15"/>
  <c r="E13" i="15"/>
  <c r="E12" i="15"/>
  <c r="E20" i="15"/>
  <c r="I51" i="15"/>
  <c r="E18" i="15"/>
  <c r="B8" i="15"/>
  <c r="I51" i="14"/>
  <c r="B8" i="14"/>
  <c r="E18" i="14"/>
  <c r="E16" i="14"/>
  <c r="E15" i="14"/>
  <c r="E14" i="14"/>
  <c r="E13" i="14"/>
  <c r="E12" i="14"/>
  <c r="J3" i="26" l="1"/>
  <c r="J6" i="26"/>
  <c r="S4" i="26"/>
  <c r="T4" i="26" s="1"/>
  <c r="S6" i="26"/>
  <c r="S3" i="26"/>
  <c r="M6" i="26"/>
  <c r="M3" i="26"/>
  <c r="M7" i="26" s="1"/>
  <c r="D6" i="26"/>
  <c r="T6" i="26" s="1"/>
  <c r="D3" i="26"/>
  <c r="G3" i="26"/>
  <c r="G6" i="26"/>
  <c r="I8" i="15"/>
  <c r="B56" i="15"/>
  <c r="D8" i="15"/>
  <c r="D56" i="15" s="1"/>
  <c r="I8" i="14"/>
  <c r="D8" i="14"/>
  <c r="D56" i="14" s="1"/>
  <c r="F14" i="14" s="1"/>
  <c r="B56" i="14"/>
  <c r="I11" i="15"/>
  <c r="I56" i="15" s="1"/>
  <c r="I58" i="15" s="1"/>
  <c r="E11" i="14"/>
  <c r="E51" i="15"/>
  <c r="E11" i="15"/>
  <c r="G7" i="26" l="1"/>
  <c r="T3" i="26"/>
  <c r="T7" i="26" s="1"/>
  <c r="D7" i="26"/>
  <c r="S7" i="26"/>
  <c r="J7" i="26"/>
  <c r="F15" i="15"/>
  <c r="F45" i="15"/>
  <c r="F16" i="15"/>
  <c r="F12" i="15"/>
  <c r="F4" i="14"/>
  <c r="D58" i="14"/>
  <c r="G14" i="14" s="1"/>
  <c r="F6" i="14"/>
  <c r="F31" i="14"/>
  <c r="F45" i="14"/>
  <c r="F20" i="14"/>
  <c r="G20" i="14" s="1"/>
  <c r="F28" i="14"/>
  <c r="F26" i="14"/>
  <c r="F47" i="14"/>
  <c r="F43" i="14"/>
  <c r="G43" i="14" s="1"/>
  <c r="F40" i="14"/>
  <c r="F33" i="14"/>
  <c r="F42" i="14"/>
  <c r="F29" i="14"/>
  <c r="G29" i="14" s="1"/>
  <c r="F27" i="14"/>
  <c r="F41" i="14"/>
  <c r="F39" i="14"/>
  <c r="F44" i="14"/>
  <c r="G44" i="14" s="1"/>
  <c r="F46" i="14"/>
  <c r="F30" i="14"/>
  <c r="F32" i="14"/>
  <c r="F25" i="14"/>
  <c r="G25" i="14" s="1"/>
  <c r="F49" i="14"/>
  <c r="F15" i="14"/>
  <c r="F13" i="14"/>
  <c r="F18" i="14"/>
  <c r="G18" i="14" s="1"/>
  <c r="B99" i="14" s="1"/>
  <c r="F11" i="14"/>
  <c r="E56" i="14"/>
  <c r="F12" i="14"/>
  <c r="F16" i="14"/>
  <c r="G16" i="14" s="1"/>
  <c r="F6" i="15"/>
  <c r="F4" i="15"/>
  <c r="D58" i="15"/>
  <c r="G19" i="15" s="1"/>
  <c r="F17" i="15"/>
  <c r="F31" i="15"/>
  <c r="F48" i="15"/>
  <c r="F34" i="15"/>
  <c r="G34" i="15" s="1"/>
  <c r="F32" i="15"/>
  <c r="F46" i="15"/>
  <c r="F29" i="15"/>
  <c r="F27" i="15"/>
  <c r="G27" i="15" s="1"/>
  <c r="F25" i="15"/>
  <c r="F26" i="15"/>
  <c r="F28" i="15"/>
  <c r="F30" i="15"/>
  <c r="G30" i="15" s="1"/>
  <c r="F41" i="15"/>
  <c r="F44" i="15"/>
  <c r="F43" i="15"/>
  <c r="F42" i="15"/>
  <c r="G42" i="15" s="1"/>
  <c r="F50" i="15"/>
  <c r="F40" i="15"/>
  <c r="F39" i="15"/>
  <c r="C7" i="15"/>
  <c r="C21" i="15"/>
  <c r="C17" i="15"/>
  <c r="C31" i="15"/>
  <c r="C35" i="15"/>
  <c r="C44" i="15"/>
  <c r="F14" i="15"/>
  <c r="F20" i="15"/>
  <c r="F11" i="15"/>
  <c r="E56" i="15"/>
  <c r="F18" i="15"/>
  <c r="F13" i="15"/>
  <c r="C17" i="14"/>
  <c r="C45" i="14"/>
  <c r="C31" i="14"/>
  <c r="C35" i="14"/>
  <c r="C7" i="14"/>
  <c r="C21" i="14"/>
  <c r="C47" i="15"/>
  <c r="C32" i="15"/>
  <c r="C22" i="15"/>
  <c r="C46" i="15"/>
  <c r="C36" i="15"/>
  <c r="C24" i="15"/>
  <c r="C38" i="15"/>
  <c r="C34" i="15"/>
  <c r="C23" i="15"/>
  <c r="C48" i="15"/>
  <c r="C37" i="15"/>
  <c r="C33" i="15"/>
  <c r="C42" i="14"/>
  <c r="C19" i="14"/>
  <c r="F51" i="14"/>
  <c r="C48" i="14"/>
  <c r="C41" i="14"/>
  <c r="C28" i="14"/>
  <c r="C27" i="14"/>
  <c r="C37" i="14"/>
  <c r="C47" i="14"/>
  <c r="C23" i="14"/>
  <c r="C38" i="14"/>
  <c r="C29" i="14"/>
  <c r="C34" i="14"/>
  <c r="C43" i="14"/>
  <c r="C30" i="14"/>
  <c r="C40" i="14"/>
  <c r="C24" i="14"/>
  <c r="C26" i="14"/>
  <c r="C33" i="14"/>
  <c r="C22" i="14"/>
  <c r="C39" i="14"/>
  <c r="C25" i="14"/>
  <c r="C36" i="14"/>
  <c r="F53" i="14"/>
  <c r="F52" i="14"/>
  <c r="C20" i="14"/>
  <c r="C8" i="14"/>
  <c r="C32" i="14"/>
  <c r="C46" i="14"/>
  <c r="C42" i="15"/>
  <c r="C30" i="15"/>
  <c r="C26" i="15"/>
  <c r="C41" i="15"/>
  <c r="C29" i="15"/>
  <c r="C40" i="15"/>
  <c r="C28" i="15"/>
  <c r="C43" i="15"/>
  <c r="C39" i="15"/>
  <c r="C27" i="15"/>
  <c r="C25" i="15"/>
  <c r="C53" i="15"/>
  <c r="C11" i="15"/>
  <c r="C20" i="15"/>
  <c r="C6" i="15"/>
  <c r="C16" i="15"/>
  <c r="C10" i="15"/>
  <c r="C12" i="15"/>
  <c r="C52" i="15"/>
  <c r="C4" i="15"/>
  <c r="C15" i="15"/>
  <c r="C9" i="15"/>
  <c r="C13" i="15"/>
  <c r="C18" i="15"/>
  <c r="C51" i="15"/>
  <c r="B58" i="15"/>
  <c r="C14" i="15"/>
  <c r="C19" i="15"/>
  <c r="C50" i="15"/>
  <c r="C49" i="15"/>
  <c r="C8" i="15"/>
  <c r="G11" i="14" l="1"/>
  <c r="G49" i="14"/>
  <c r="G46" i="14"/>
  <c r="D99" i="14" s="1"/>
  <c r="G27" i="14"/>
  <c r="G40" i="14"/>
  <c r="G28" i="14"/>
  <c r="G6" i="14"/>
  <c r="J88" i="14"/>
  <c r="J87" i="14"/>
  <c r="D88" i="15"/>
  <c r="D89" i="15"/>
  <c r="D87" i="15"/>
  <c r="G15" i="15"/>
  <c r="G13" i="15"/>
  <c r="G20" i="15"/>
  <c r="G18" i="15"/>
  <c r="B99" i="15" s="1"/>
  <c r="G14" i="15"/>
  <c r="G39" i="15"/>
  <c r="G43" i="15"/>
  <c r="G28" i="15"/>
  <c r="G29" i="15"/>
  <c r="G48" i="15"/>
  <c r="G40" i="15"/>
  <c r="G44" i="15"/>
  <c r="G26" i="15"/>
  <c r="G46" i="15"/>
  <c r="D99" i="15" s="1"/>
  <c r="G31" i="15"/>
  <c r="S63" i="15" s="1"/>
  <c r="S67" i="15" s="1"/>
  <c r="G6" i="15"/>
  <c r="G11" i="15"/>
  <c r="G50" i="15"/>
  <c r="G41" i="15"/>
  <c r="G25" i="15"/>
  <c r="G32" i="15"/>
  <c r="C99" i="15" s="1"/>
  <c r="G17" i="15"/>
  <c r="S79" i="15" s="1"/>
  <c r="G45" i="15"/>
  <c r="S72" i="15" s="1"/>
  <c r="C56" i="15"/>
  <c r="G12" i="14"/>
  <c r="G13" i="14"/>
  <c r="G32" i="14"/>
  <c r="C99" i="14" s="1"/>
  <c r="G39" i="14"/>
  <c r="G42" i="14"/>
  <c r="G47" i="14"/>
  <c r="G45" i="14"/>
  <c r="S72" i="14" s="1"/>
  <c r="F56" i="14"/>
  <c r="G4" i="14"/>
  <c r="G15" i="14"/>
  <c r="G30" i="14"/>
  <c r="G41" i="14"/>
  <c r="G33" i="14"/>
  <c r="G26" i="14"/>
  <c r="G31" i="14"/>
  <c r="S63" i="14" s="1"/>
  <c r="G16" i="15"/>
  <c r="G4" i="15"/>
  <c r="F56" i="15"/>
  <c r="G12" i="15"/>
  <c r="I56" i="14"/>
  <c r="I58" i="14" s="1"/>
  <c r="D63" i="15"/>
  <c r="J71" i="15"/>
  <c r="C13" i="14"/>
  <c r="C4" i="14"/>
  <c r="C15" i="14"/>
  <c r="C49" i="14"/>
  <c r="C18" i="14"/>
  <c r="C9" i="14"/>
  <c r="C14" i="14"/>
  <c r="B58" i="14"/>
  <c r="C51" i="14"/>
  <c r="C53" i="14"/>
  <c r="C11" i="14"/>
  <c r="C44" i="14"/>
  <c r="C52" i="14"/>
  <c r="C12" i="14"/>
  <c r="C10" i="14"/>
  <c r="C6" i="14"/>
  <c r="C16" i="14"/>
  <c r="C50" i="14"/>
  <c r="J90" i="14" l="1"/>
  <c r="G88" i="14"/>
  <c r="G87" i="14"/>
  <c r="D89" i="14"/>
  <c r="F98" i="14" s="1"/>
  <c r="D88" i="14"/>
  <c r="D87" i="14"/>
  <c r="D90" i="15"/>
  <c r="J88" i="15"/>
  <c r="J87" i="15"/>
  <c r="G89" i="15"/>
  <c r="F97" i="15" s="1"/>
  <c r="G87" i="15"/>
  <c r="G88" i="15"/>
  <c r="G56" i="15"/>
  <c r="G56" i="14"/>
  <c r="C56" i="14"/>
  <c r="G71" i="15"/>
  <c r="G72" i="15"/>
  <c r="P71" i="15"/>
  <c r="P72" i="15"/>
  <c r="J64" i="15"/>
  <c r="M63" i="15"/>
  <c r="M64" i="15"/>
  <c r="J66" i="15"/>
  <c r="M66" i="15"/>
  <c r="D64" i="15"/>
  <c r="D65" i="15"/>
  <c r="T65" i="15" s="1"/>
  <c r="C98" i="15" s="1"/>
  <c r="J63" i="15"/>
  <c r="J72" i="15"/>
  <c r="D80" i="15"/>
  <c r="D79" i="15"/>
  <c r="D81" i="15"/>
  <c r="T81" i="15" s="1"/>
  <c r="B98" i="15" s="1"/>
  <c r="D73" i="15"/>
  <c r="T73" i="15" s="1"/>
  <c r="D98" i="15" s="1"/>
  <c r="D72" i="15"/>
  <c r="D71" i="15"/>
  <c r="P63" i="15"/>
  <c r="P64" i="15"/>
  <c r="P66" i="15"/>
  <c r="P80" i="15"/>
  <c r="P79" i="15"/>
  <c r="M79" i="15"/>
  <c r="M80" i="15"/>
  <c r="G64" i="15"/>
  <c r="G63" i="15"/>
  <c r="G66" i="15"/>
  <c r="J80" i="15"/>
  <c r="J79" i="15"/>
  <c r="G79" i="15"/>
  <c r="G80" i="15"/>
  <c r="M71" i="15"/>
  <c r="M72" i="15"/>
  <c r="G51" i="14"/>
  <c r="G52" i="14"/>
  <c r="G53" i="14"/>
  <c r="G90" i="14" l="1"/>
  <c r="F96" i="14"/>
  <c r="K114" i="14" s="1"/>
  <c r="L114" i="14" s="1"/>
  <c r="D90" i="14"/>
  <c r="F95" i="14"/>
  <c r="K113" i="14" s="1"/>
  <c r="F96" i="15"/>
  <c r="K114" i="15" s="1"/>
  <c r="L114" i="15" s="1"/>
  <c r="J90" i="15"/>
  <c r="E98" i="15"/>
  <c r="G98" i="15" s="1"/>
  <c r="G90" i="15"/>
  <c r="F95" i="15"/>
  <c r="K113" i="15" s="1"/>
  <c r="T72" i="15"/>
  <c r="D96" i="15" s="1"/>
  <c r="T79" i="15"/>
  <c r="B95" i="15" s="1"/>
  <c r="D71" i="14"/>
  <c r="D72" i="14"/>
  <c r="D73" i="14"/>
  <c r="T73" i="14" s="1"/>
  <c r="D97" i="14" s="1"/>
  <c r="D65" i="14"/>
  <c r="C97" i="14" s="1"/>
  <c r="D63" i="14"/>
  <c r="D64" i="14"/>
  <c r="J72" i="14"/>
  <c r="J71" i="14"/>
  <c r="P66" i="14"/>
  <c r="P63" i="14"/>
  <c r="P64" i="14"/>
  <c r="M63" i="14"/>
  <c r="M66" i="14"/>
  <c r="G63" i="14"/>
  <c r="G64" i="14"/>
  <c r="G66" i="14"/>
  <c r="G71" i="14"/>
  <c r="G72" i="14"/>
  <c r="J63" i="14"/>
  <c r="J64" i="14"/>
  <c r="J66" i="14"/>
  <c r="M71" i="14"/>
  <c r="M72" i="14"/>
  <c r="G79" i="14"/>
  <c r="G80" i="14"/>
  <c r="M79" i="14"/>
  <c r="M80" i="14"/>
  <c r="J79" i="14"/>
  <c r="J80" i="14"/>
  <c r="D81" i="14"/>
  <c r="T81" i="14" s="1"/>
  <c r="B97" i="14" s="1"/>
  <c r="D80" i="14"/>
  <c r="D79" i="14"/>
  <c r="P80" i="14"/>
  <c r="P79" i="14"/>
  <c r="M64" i="14"/>
  <c r="P75" i="15"/>
  <c r="E99" i="15"/>
  <c r="T66" i="15"/>
  <c r="C97" i="15" s="1"/>
  <c r="J75" i="15"/>
  <c r="M67" i="15"/>
  <c r="D67" i="15"/>
  <c r="T64" i="15"/>
  <c r="J67" i="15"/>
  <c r="J83" i="15"/>
  <c r="B97" i="15"/>
  <c r="M75" i="15"/>
  <c r="G75" i="15"/>
  <c r="G67" i="15"/>
  <c r="T80" i="15"/>
  <c r="B96" i="15" s="1"/>
  <c r="M83" i="15"/>
  <c r="P67" i="15"/>
  <c r="P83" i="15"/>
  <c r="G83" i="15"/>
  <c r="D75" i="15"/>
  <c r="T71" i="15"/>
  <c r="D95" i="15" s="1"/>
  <c r="D83" i="15"/>
  <c r="K117" i="14" l="1"/>
  <c r="K117" i="15"/>
  <c r="L113" i="15"/>
  <c r="F113" i="14"/>
  <c r="C117" i="14"/>
  <c r="F117" i="14" s="1"/>
  <c r="G113" i="14"/>
  <c r="G117" i="14" s="1"/>
  <c r="T63" i="14"/>
  <c r="T79" i="14"/>
  <c r="C96" i="15"/>
  <c r="E96" i="15" s="1"/>
  <c r="G96" i="15" s="1"/>
  <c r="T67" i="15"/>
  <c r="E99" i="14"/>
  <c r="G99" i="14" s="1"/>
  <c r="T80" i="14"/>
  <c r="B96" i="14" s="1"/>
  <c r="E98" i="14"/>
  <c r="G98" i="14" s="1"/>
  <c r="M75" i="14"/>
  <c r="D75" i="14"/>
  <c r="T71" i="14"/>
  <c r="P83" i="14"/>
  <c r="E97" i="14"/>
  <c r="G97" i="14" s="1"/>
  <c r="P67" i="14"/>
  <c r="J75" i="14"/>
  <c r="E95" i="15"/>
  <c r="G95" i="15" s="1"/>
  <c r="J67" i="14"/>
  <c r="C96" i="14"/>
  <c r="D67" i="14"/>
  <c r="G75" i="14"/>
  <c r="G67" i="14"/>
  <c r="T72" i="14"/>
  <c r="D96" i="14" s="1"/>
  <c r="M67" i="14"/>
  <c r="D83" i="14"/>
  <c r="J83" i="14"/>
  <c r="P75" i="14"/>
  <c r="M83" i="14"/>
  <c r="G83" i="14"/>
  <c r="E97" i="15"/>
  <c r="G97" i="15" s="1"/>
  <c r="T75" i="15"/>
  <c r="T83" i="15"/>
  <c r="J113" i="14" l="1"/>
  <c r="L113" i="14" s="1"/>
  <c r="C95" i="14"/>
  <c r="T75" i="14"/>
  <c r="D95" i="14"/>
  <c r="E96" i="14"/>
  <c r="G96" i="14" s="1"/>
  <c r="B95" i="14"/>
  <c r="T83" i="14"/>
  <c r="J117" i="14" l="1"/>
  <c r="E95" i="14"/>
  <c r="G95" i="14" s="1"/>
</calcChain>
</file>

<file path=xl/sharedStrings.xml><?xml version="1.0" encoding="utf-8"?>
<sst xmlns="http://schemas.openxmlformats.org/spreadsheetml/2006/main" count="2250" uniqueCount="411">
  <si>
    <t>Atmospheric deposition (wet/dry)</t>
  </si>
  <si>
    <t>Tributary inflows</t>
  </si>
  <si>
    <t>Point sources</t>
  </si>
  <si>
    <t>Seepage/groundwater</t>
  </si>
  <si>
    <t>Loading information</t>
  </si>
  <si>
    <t xml:space="preserve">     rangeland</t>
  </si>
  <si>
    <t xml:space="preserve">     water/wetland</t>
  </si>
  <si>
    <t xml:space="preserve">     Urban open</t>
  </si>
  <si>
    <t xml:space="preserve">     L-D residential</t>
  </si>
  <si>
    <t xml:space="preserve">     M-D residential</t>
  </si>
  <si>
    <t xml:space="preserve">     H-D residential</t>
  </si>
  <si>
    <t xml:space="preserve">     Trans/comm</t>
  </si>
  <si>
    <t xml:space="preserve">  Hatchett Creek</t>
  </si>
  <si>
    <t>Internal nutrient recycling</t>
  </si>
  <si>
    <t>Total Maximum Daily Load (lbs/yr)</t>
  </si>
  <si>
    <t>Reduction needed in loading and % (lbs/yr)</t>
  </si>
  <si>
    <t>Sources of total phosphorus (loading in lbs/yr)</t>
  </si>
  <si>
    <t>TMDL Baseline loading*</t>
  </si>
  <si>
    <t>Expected load reduction from current projects</t>
  </si>
  <si>
    <t>Remaining phosphorus load</t>
  </si>
  <si>
    <t>Net estimated TP load</t>
  </si>
  <si>
    <t>Controllable TMDL baseline loading</t>
  </si>
  <si>
    <t>TMDL baseline TP-loading and % (lbs/yr)</t>
  </si>
  <si>
    <t>Controllable TMDL baseline % contribution**</t>
  </si>
  <si>
    <t>Proportional reduction needed to meet TMDL</t>
  </si>
  <si>
    <t xml:space="preserve">  WWTP discharges</t>
  </si>
  <si>
    <t xml:space="preserve">     Brittany Estates Mobile Home Park</t>
  </si>
  <si>
    <t>Agriculture</t>
  </si>
  <si>
    <t>Percent of Baseline Loading</t>
  </si>
  <si>
    <t>Nitrogen loading for TMDL baseline, reductions needed,  and reductions expected from restoration and stormwater projects</t>
  </si>
  <si>
    <t>TMDL baseline TN-loading and % (lbs/yr)</t>
  </si>
  <si>
    <t>Percent of TMDL Baseline Loading</t>
  </si>
  <si>
    <t>Forest/rural open</t>
  </si>
  <si>
    <t>Rangeland</t>
  </si>
  <si>
    <t>Low Density Residential</t>
  </si>
  <si>
    <t>Medium Density Residential</t>
  </si>
  <si>
    <t>High Density Residential</t>
  </si>
  <si>
    <t>Septic Systems</t>
  </si>
  <si>
    <t>Phosphorus loading for TMDL baseline, reductions needed, and reductions expected from restoration and stormwater projects</t>
  </si>
  <si>
    <t>Reduction needed in loading (lbs/yr)</t>
  </si>
  <si>
    <t>Sources of total nitrogen (loading in lbs/yr)</t>
  </si>
  <si>
    <t>TMDL Baseline loading</t>
  </si>
  <si>
    <t>Communication and Transportation</t>
  </si>
  <si>
    <t>Urban Open</t>
  </si>
  <si>
    <t>Loads in lbs/yr TP</t>
  </si>
  <si>
    <t>Loads in lbs/yr TN</t>
  </si>
  <si>
    <t>Average</t>
  </si>
  <si>
    <t>Urban Stormwater</t>
  </si>
  <si>
    <t>Other Land Uses</t>
  </si>
  <si>
    <t>Little Hatchett Creek</t>
  </si>
  <si>
    <t xml:space="preserve">    Communication and Transportation</t>
  </si>
  <si>
    <t xml:space="preserve">    High Density Residential</t>
  </si>
  <si>
    <t xml:space="preserve">    Low Density Residential</t>
  </si>
  <si>
    <t xml:space="preserve"> Little Hatchett Creek</t>
  </si>
  <si>
    <t xml:space="preserve">    Medium Density Residential</t>
  </si>
  <si>
    <t xml:space="preserve">    Urban Open</t>
  </si>
  <si>
    <t>City</t>
  </si>
  <si>
    <t>Land Use Category</t>
  </si>
  <si>
    <t>Major Trib</t>
  </si>
  <si>
    <t>Acres</t>
  </si>
  <si>
    <t>Portion</t>
  </si>
  <si>
    <t>% of Total Land Use by Major Trib</t>
  </si>
  <si>
    <t>Alachua County</t>
  </si>
  <si>
    <t>Hatchet Creek</t>
  </si>
  <si>
    <t>Little Hatchet Creek</t>
  </si>
  <si>
    <t>Newnans Lake</t>
  </si>
  <si>
    <t>Gainesville</t>
  </si>
  <si>
    <t>Waldo</t>
  </si>
  <si>
    <t>Total</t>
  </si>
  <si>
    <t>Acres Transportation/Communication</t>
  </si>
  <si>
    <t>Acres High Density Residential</t>
  </si>
  <si>
    <t>High Density Residential Percent of Area</t>
  </si>
  <si>
    <t>Reduction for High Density Residential lbs/yr TN</t>
  </si>
  <si>
    <t>Low Density Residential Percent of Area</t>
  </si>
  <si>
    <t>Reduction for Low Density Residential lbs/yr TN</t>
  </si>
  <si>
    <t>Hatchett Creek</t>
  </si>
  <si>
    <t>Acres Low Density Residential</t>
  </si>
  <si>
    <t>Acres Medium Density Residential</t>
  </si>
  <si>
    <t>Medium Density Residential Percent of Area</t>
  </si>
  <si>
    <t>Acres Urban Open</t>
  </si>
  <si>
    <t>Urban Open Percent of Area</t>
  </si>
  <si>
    <t>Reduction for Medium density Residential lbs/yr TN</t>
  </si>
  <si>
    <t>Reduction for Transportation/Communication lbs/yr TN</t>
  </si>
  <si>
    <t>Transportation/Communication Percent of Area</t>
  </si>
  <si>
    <t>Reduction for Urban Open lbs/yr TN</t>
  </si>
  <si>
    <t>Remaining nitrogen load</t>
  </si>
  <si>
    <t>Net estimated TN load</t>
  </si>
  <si>
    <t>Groundwater baseflow</t>
  </si>
  <si>
    <t>Septic System</t>
  </si>
  <si>
    <t xml:space="preserve">  Camps Canal (Newnans Lake)</t>
  </si>
  <si>
    <t xml:space="preserve">  Cross Creek (Lochloosa Lake)</t>
  </si>
  <si>
    <t>CCRS Land use</t>
  </si>
  <si>
    <t>Year Loading lbs/yr TP</t>
  </si>
  <si>
    <t>Forest/Urban Open</t>
  </si>
  <si>
    <t>Transportation/Communication</t>
  </si>
  <si>
    <t>Water/Wetlands</t>
  </si>
  <si>
    <t>Orange Lake</t>
  </si>
  <si>
    <t>Agriculture CCRS</t>
  </si>
  <si>
    <t>Agriculture Orange Lake</t>
  </si>
  <si>
    <t>Septic systems Orange Lake</t>
  </si>
  <si>
    <t>Septic systems CCRS</t>
  </si>
  <si>
    <t>Water, wetlands</t>
  </si>
  <si>
    <t>&lt;1</t>
  </si>
  <si>
    <t>Seepage/groundwater Hatchett Creek</t>
  </si>
  <si>
    <t>Seepage/groundwater Little Hatchett Creek</t>
  </si>
  <si>
    <t>Seepage/groundwater Newnans Lake</t>
  </si>
  <si>
    <t>Stormwater runoff undeveloped land uses Newnans Lake</t>
  </si>
  <si>
    <t>Stormwater runoff from developed uses Newnans Lake</t>
  </si>
  <si>
    <t>Agriculture Newnans Lake</t>
  </si>
  <si>
    <t>Agriculture Hatchett Creek</t>
  </si>
  <si>
    <t>Agriculture Little Hatchett Creek</t>
  </si>
  <si>
    <t>Groundwater seepage Newnans Lake</t>
  </si>
  <si>
    <t>Groundwater seepage Hatchett Creek</t>
  </si>
  <si>
    <t>Groundwater seepage Little Hatchett Creek</t>
  </si>
  <si>
    <t>Stormwater runoff undeveloped land uses Hatchett Creek</t>
  </si>
  <si>
    <t>Stormwater runoff from developed uses Hatchett Creek</t>
  </si>
  <si>
    <t>Stormwater runoff undeveloped land uses Little Hatchett Creek</t>
  </si>
  <si>
    <t xml:space="preserve">   Hatchett Creek</t>
  </si>
  <si>
    <t xml:space="preserve">   Little Hatchett Creek</t>
  </si>
  <si>
    <t>Stormwater runoff from developed uses Little Hatchett Creek</t>
  </si>
  <si>
    <t>FDOT, District 2</t>
  </si>
  <si>
    <t>Percent of Baseline Loading*</t>
  </si>
  <si>
    <t>Controllable TMDL baseline % contribution **</t>
  </si>
  <si>
    <t>Jurisdiction</t>
  </si>
  <si>
    <t>Total lbs/yr TN</t>
  </si>
  <si>
    <t>Little Hatchett Creek lbs/yr TN</t>
  </si>
  <si>
    <t>Hatchett Creek lbs/yr TN</t>
  </si>
  <si>
    <t>Newnans Lake lbs/yr TN</t>
  </si>
  <si>
    <t xml:space="preserve"> Transportation/Communication Percent of Area</t>
  </si>
  <si>
    <t>na</t>
  </si>
  <si>
    <t>Newnans Lake lbs/yr TP</t>
  </si>
  <si>
    <t>Hatchett Creek lbs/yr TP</t>
  </si>
  <si>
    <t>Little Hatchett Creek lbs/yr TP</t>
  </si>
  <si>
    <t>Total lbs/yr TP</t>
  </si>
  <si>
    <t>Reduction for Transportation/Communication lbs/yr TP</t>
  </si>
  <si>
    <t>Reduction for High Density Residential lbs/yr TP</t>
  </si>
  <si>
    <t>Reduction for Low Density Residential lbs/yr TP</t>
  </si>
  <si>
    <t>Reduction for Medium density Residential lbs/yr TP</t>
  </si>
  <si>
    <t>Reduction for Urban Open lbs/yr TP</t>
  </si>
  <si>
    <t>Total Reduction Developed lbs/yr TP</t>
  </si>
  <si>
    <t>FDOT, District 5</t>
  </si>
  <si>
    <t>Marion County</t>
  </si>
  <si>
    <t>Reddick</t>
  </si>
  <si>
    <t>McIntosh</t>
  </si>
  <si>
    <t>Micanopy</t>
  </si>
  <si>
    <t>Communication</t>
  </si>
  <si>
    <t>Camps Canal/River Styx</t>
  </si>
  <si>
    <t>FDOT, 2</t>
  </si>
  <si>
    <t>FDOT, 5</t>
  </si>
  <si>
    <t>Row Labels</t>
  </si>
  <si>
    <t>Grand Total</t>
  </si>
  <si>
    <t>Sum of Acres</t>
  </si>
  <si>
    <t>Column Labels</t>
  </si>
  <si>
    <t>1995 totals acres</t>
  </si>
  <si>
    <t>Orange Lake Urban Sources TP</t>
  </si>
  <si>
    <t>Camps Canal and River Styx Urban Sources TP</t>
  </si>
  <si>
    <t>Orange Lake lbs/yr TP</t>
  </si>
  <si>
    <t>Camps Canal and River Styx lbs/yr TP</t>
  </si>
  <si>
    <t>Total TN loading reduction by jurisdiction</t>
  </si>
  <si>
    <t>Total TP loading reduction by jurisdiction</t>
  </si>
  <si>
    <t>Hatchett Creek Urban Developed Land Uses Sources TP</t>
  </si>
  <si>
    <t>Little Hatchett Creek Urban Developed Land USes Sources TP</t>
  </si>
  <si>
    <t>Newnans Lake Urban Developed Land Uses Sources TP</t>
  </si>
  <si>
    <t>2009 Land Uses</t>
  </si>
  <si>
    <t>Little Hatchet Creek 1995 Land Use Acres</t>
  </si>
  <si>
    <t>Hatchet Creek 1995 Land Use Acres</t>
  </si>
  <si>
    <t>Newnans Lake 1995 Land Use Acres</t>
  </si>
  <si>
    <t>Grand Total 1995 Acres</t>
  </si>
  <si>
    <t>Difference (2009 LU- 1995 LU) Acres</t>
  </si>
  <si>
    <t>*Calculated as straight percent of total baseline loading</t>
  </si>
  <si>
    <t>**Proportional percent</t>
  </si>
  <si>
    <t>Stormwater runoff from developed land uses Hatchett Creek</t>
  </si>
  <si>
    <t>Stormwater undeveloped land use Hatchett Creek</t>
  </si>
  <si>
    <t>Stormwater undeveloped land use Little Hatchett Creek</t>
  </si>
  <si>
    <t>Septic systems Little Hatchett Creek</t>
  </si>
  <si>
    <t>nd</t>
  </si>
  <si>
    <t>nd=no data, land use not present</t>
  </si>
  <si>
    <t>CCRS=Camps Canal and River Styx</t>
  </si>
  <si>
    <t xml:space="preserve">Total TP loading reduction by jurisdiction </t>
  </si>
  <si>
    <t>DRAFT Newnans Lake TP Budget</t>
  </si>
  <si>
    <t>Septic systems Newnans Lake</t>
  </si>
  <si>
    <t>Septic systems Hatchett Creek</t>
  </si>
  <si>
    <t>Tributary inflows (not part of allocation)</t>
  </si>
  <si>
    <t>Total Nitrogen Loading calculation by land use lbs/yr TN</t>
  </si>
  <si>
    <t>Total Phosphorus Loading calculation by land use lbs/yr TP</t>
  </si>
  <si>
    <t>DRAFT Urban Land Use by Acreage and Jurisdiction</t>
  </si>
  <si>
    <t>Portion=acres of LU within a jurisdiction/total acres of LU for the major tributary basin</t>
  </si>
  <si>
    <t>Grand Total Acres</t>
  </si>
  <si>
    <t>DRAFT Newnans Lake TN</t>
  </si>
  <si>
    <t>Loading data obtained from Orange Lake TMDL document</t>
  </si>
  <si>
    <t>Total Phosphorus calculation of loading by land use lbs/yr TP</t>
  </si>
  <si>
    <t>DRAFT Orange Lake TP Budget includes OL and CCRS subbasins</t>
  </si>
  <si>
    <t xml:space="preserve">     rural open</t>
  </si>
  <si>
    <t xml:space="preserve">     Rural open</t>
  </si>
  <si>
    <t>Stormwater runoff forest Orange Lake</t>
  </si>
  <si>
    <t>Stormwater runoff forest CCRS</t>
  </si>
  <si>
    <t>Stormwater runoff undeveloped land use CCRS</t>
  </si>
  <si>
    <t>Stormwater runoff from developed uses CCRS</t>
  </si>
  <si>
    <t>Stormwater runoff undeveloped land use Orange Lake</t>
  </si>
  <si>
    <t>Stormwater runoff from developed uses Orange Lake</t>
  </si>
  <si>
    <t xml:space="preserve">TMDL Baseline Loading without Forest </t>
  </si>
  <si>
    <t>Acres Rural Open</t>
  </si>
  <si>
    <t>Rural Open Percent of Area</t>
  </si>
  <si>
    <t>Reduction for Rural Open lbs/yr TP</t>
  </si>
  <si>
    <t>Rural Open</t>
  </si>
  <si>
    <t>Agriculture (DACS BMP implementation)</t>
  </si>
  <si>
    <t>nd=no data, land use not present or too small to calculate loading</t>
  </si>
  <si>
    <t>Stormwater runoff forest Newnans Lake</t>
  </si>
  <si>
    <t>Stormwater runoff forest Hatchett Creek</t>
  </si>
  <si>
    <t>Stormwater runoff forest Little Hatchett Creek</t>
  </si>
  <si>
    <t xml:space="preserve">    Rural Open</t>
  </si>
  <si>
    <t>Agriculture (DACS BMP Implementation)</t>
  </si>
  <si>
    <t>Reduction for Rural Open lbs/yr TN</t>
  </si>
  <si>
    <t>Total Reduction Developed lbs/yr TN</t>
  </si>
  <si>
    <t>Total watershed loading lbs TP/yr</t>
  </si>
  <si>
    <t>Sum of COUNT_WW</t>
  </si>
  <si>
    <t>CCRS</t>
  </si>
  <si>
    <t>Lochloosa Lake</t>
  </si>
  <si>
    <t>Not modeled</t>
  </si>
  <si>
    <t>KnownSeptic</t>
  </si>
  <si>
    <t>ALACHUA</t>
  </si>
  <si>
    <t>City of Gainesville</t>
  </si>
  <si>
    <t>Hawthorne</t>
  </si>
  <si>
    <t>MARION</t>
  </si>
  <si>
    <t>LikelySeptic</t>
  </si>
  <si>
    <t>SWLSeptic</t>
  </si>
  <si>
    <t>Entity</t>
  </si>
  <si>
    <t>Basin</t>
  </si>
  <si>
    <t>Number of Septic Systems</t>
  </si>
  <si>
    <t>Septic System Loading</t>
  </si>
  <si>
    <t>Percent of Septics in Entity</t>
  </si>
  <si>
    <t>Hatchet Creek 2009 Acres</t>
  </si>
  <si>
    <t>Little Hatchet Creek 2009 Acres</t>
  </si>
  <si>
    <t>Newnans Lake 2009 Acres</t>
  </si>
  <si>
    <t>Camps Canal and River Styx</t>
  </si>
  <si>
    <t>Hawthorne city</t>
  </si>
  <si>
    <t>McIntosh town</t>
  </si>
  <si>
    <t>Micanopy town</t>
  </si>
  <si>
    <t>Reddick town</t>
  </si>
  <si>
    <t>Waldo city</t>
  </si>
  <si>
    <t>Lochlooa Lake</t>
  </si>
  <si>
    <t>Number of Septic Systems CCRS</t>
  </si>
  <si>
    <t>Percent of Septics CCRS</t>
  </si>
  <si>
    <t>Reduction for Septic Systems lbs/yr TP CCRS</t>
  </si>
  <si>
    <t>Septic System Loading Reductions</t>
  </si>
  <si>
    <t>Number of Septic Systems Orange Lake</t>
  </si>
  <si>
    <t>Percent of Septics Orange Lake</t>
  </si>
  <si>
    <t>Reduction for Septic Systems lbs/yr TP Orange Lake</t>
  </si>
  <si>
    <t>Total Stormwater lbs/yr TP</t>
  </si>
  <si>
    <t>Septic System Reduction lbs/yr TP</t>
  </si>
  <si>
    <t>Total Reductions lbs/yr TP</t>
  </si>
  <si>
    <t>Number of Septic Systems Hatchett Creek</t>
  </si>
  <si>
    <t>Percent of Septics Hatchett Creek</t>
  </si>
  <si>
    <t>Reduction for Septic Systems lbs/yr TP Hatchett Creek</t>
  </si>
  <si>
    <t>Number of Septic Systems Little Hatchett Creek</t>
  </si>
  <si>
    <t>Percent of Septics Little Hatchett Creek</t>
  </si>
  <si>
    <t>Reduction for Septic Systems lbs/yr TP Little Hatchett Creek</t>
  </si>
  <si>
    <t>Number of Septic Systems Newnans Lake</t>
  </si>
  <si>
    <t>Percent of Septics Newnans Lake</t>
  </si>
  <si>
    <t>Reduction for Septic Systems lbs/yr TP Newnans Lake</t>
  </si>
  <si>
    <t>Reduction for Septic Systems lbs/yr TN Hatchett Creek</t>
  </si>
  <si>
    <t>Reduction for Septic Systems lbs/yr TN Little Hatchett Creek</t>
  </si>
  <si>
    <t>Reduction for Septic Systems lbs/yr TN Newnans Lake</t>
  </si>
  <si>
    <t>Septic System Reduction lbs/yr TN</t>
  </si>
  <si>
    <t>Total Reductions lbs/yr TN</t>
  </si>
  <si>
    <t>Total Stormwater lbs/yr TN</t>
  </si>
  <si>
    <t>FDOT District 2</t>
  </si>
  <si>
    <t>DRAFT DATA</t>
  </si>
  <si>
    <t>Prepared August 22, 2016</t>
  </si>
  <si>
    <r>
      <rPr>
        <b/>
        <sz val="10"/>
        <color rgb="FFFF0000"/>
        <rFont val="Arial"/>
        <family val="2"/>
      </rPr>
      <t>DRAFT DATA</t>
    </r>
    <r>
      <rPr>
        <sz val="10"/>
        <rFont val="Arial"/>
        <family val="2"/>
      </rPr>
      <t>.  Nutrient data obtained from Newnans Lake TMDL document.  Average used for nutrient budget and partitioning of reductions.</t>
    </r>
  </si>
  <si>
    <t>This workbook contains draft calculations proposed for the apportioning of nutrient reductions among Orange Creek Basin entities for Orange Lake and Newnans Lake.</t>
  </si>
  <si>
    <t>For more information contact Mary Paulic at mary.paulic@dep.state.fl.us or 850-245-8560.</t>
  </si>
  <si>
    <t>Material prepared August 22, 2016.</t>
  </si>
  <si>
    <t>by Division of Environmental Assessment and Restoration</t>
  </si>
  <si>
    <t>Water Quality Restoration Program</t>
  </si>
  <si>
    <t>Watershed Planning and Coordination Section</t>
  </si>
  <si>
    <t>Hachett Creek</t>
  </si>
  <si>
    <t>Data obtained from DOH inventory of water and wastewater service.</t>
  </si>
  <si>
    <t>Revised total</t>
  </si>
  <si>
    <t>Percent of total septic</t>
  </si>
  <si>
    <t>Number of some what likely septic</t>
  </si>
  <si>
    <t>Sub-Basin</t>
  </si>
  <si>
    <t>Number of Septic Systems (not including somewhat likely )</t>
  </si>
  <si>
    <t>Lake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</si>
  <si>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</si>
  <si>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</si>
  <si>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</si>
  <si>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</si>
  <si>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</si>
  <si>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</si>
  <si>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</si>
  <si>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</si>
  <si>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</si>
  <si>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27</t>
  </si>
  <si>
    <t>28</t>
  </si>
  <si>
    <t>Lower Hatchett Creek</t>
  </si>
  <si>
    <t>Lower Little Hatchett</t>
  </si>
  <si>
    <t>Upper Hatchett Creek</t>
  </si>
  <si>
    <t>Upper Little Hatchett</t>
  </si>
  <si>
    <t>Camps Canal and River St*</t>
  </si>
  <si>
    <t>OSTDS data updated September 28, 2016</t>
  </si>
  <si>
    <t>Education Credit Information</t>
  </si>
  <si>
    <t xml:space="preserve"> Developed Land Uses Stormwater Loading by Jurisdiction</t>
  </si>
  <si>
    <t>Urban Open Percent of Total Land Use Area</t>
  </si>
  <si>
    <t>Urban Open Stormwater Loading</t>
  </si>
  <si>
    <t>Urban Open Acres</t>
  </si>
  <si>
    <t xml:space="preserve">     Transporation/Communication Acres</t>
  </si>
  <si>
    <t>High Density Residential Acres</t>
  </si>
  <si>
    <t xml:space="preserve"> High Density Residential Percent of Total Land Use Area</t>
  </si>
  <si>
    <t>High Density Residential Stormwater Loading lbs/yr TP</t>
  </si>
  <si>
    <t>Rural Open Acres</t>
  </si>
  <si>
    <t>Rural Open Percent of Total Land Use Area</t>
  </si>
  <si>
    <t>Rural Open Stormwater Loading lbs/yr TP</t>
  </si>
  <si>
    <t>Low Density Residential Percent of Total Land Use Area</t>
  </si>
  <si>
    <t>Low Density Residential Stormwater Loading lbs/yr TP</t>
  </si>
  <si>
    <t>Medium Density Residential Acres</t>
  </si>
  <si>
    <t>Medium Density Residential Percent of Total Land Use Area</t>
  </si>
  <si>
    <t>Medium Density Residential Stormwater Loading lbs/yr TP</t>
  </si>
  <si>
    <t>Low Density Residential Acres</t>
  </si>
  <si>
    <t xml:space="preserve">     Transporation/Communication Percent of Total Land Use Area</t>
  </si>
  <si>
    <t xml:space="preserve">     Transporation/Communication Stormwater Loading lbs/yr TP</t>
  </si>
  <si>
    <t>Total Stormwater Loading lbs/yr TP</t>
  </si>
  <si>
    <t>Urban Open Stormwater Loading lbs/yr TP</t>
  </si>
  <si>
    <t>Percent Education Credit</t>
  </si>
  <si>
    <t>Education Credit lbs/yr TP</t>
  </si>
  <si>
    <t>CCRS High Density Residential Stormwater Loading lbs/yr TP</t>
  </si>
  <si>
    <t>CCRS Low Density Residential Stormwater Loading lbs/yr TP</t>
  </si>
  <si>
    <t xml:space="preserve">   Orange Lake  Transporation/Communication Stormwater Loading lbs/yr TP</t>
  </si>
  <si>
    <t>Orange Lake Rural Open Stormwater Loading lbs/yr TP</t>
  </si>
  <si>
    <t>Orange Lake High Density Residential Stormwater Loading lbs/yr TP</t>
  </si>
  <si>
    <t>Orange Lake Medium Density Residential Stormwater Loading lbs/yr TP</t>
  </si>
  <si>
    <t>Orange Lake Low Density Residential Stormwater Loading lbs/yr TP</t>
  </si>
  <si>
    <t>CCRS Urban Open Stormwater Loading Orange Lake lbs/yr TP</t>
  </si>
  <si>
    <t>Orange Lake Urban Open Stormwater Loading lbs/yr TP</t>
  </si>
  <si>
    <t>CCRS Rural Open Stormwater Loading lbs/yr TP</t>
  </si>
  <si>
    <t>CCRS  Transporation/Communication Stormwater Loading lbs/yr TP</t>
  </si>
  <si>
    <t>CCRS Medium Density Residential Stormwater Loading lbs/yr TP</t>
  </si>
  <si>
    <t>Newnans Lake Urban Open Stormwater Loading lbs/yr TP</t>
  </si>
  <si>
    <t>Newnans Lake Low Density Residential Stormwater Loading lbs/yr TP</t>
  </si>
  <si>
    <t>Newnans Lake Medium Density Residential Stormwater Loading lbs/yr TP</t>
  </si>
  <si>
    <t>Newnans Lake High Density Residential Stormwater Loading lbs/yr TP</t>
  </si>
  <si>
    <t>Newnans Lake Rural Open Stormwater Loading lbs/yr TP</t>
  </si>
  <si>
    <t xml:space="preserve">  Nenwnans Lake  Transporation/Communication Stormwater Loading lbs/yr TP</t>
  </si>
  <si>
    <t>Hatchett Creek Urban Open Stormwater Loading Orange Lake lbs/yr TP</t>
  </si>
  <si>
    <t>Hatchett Creek Low Density Residential Stormwater Loading lbs/yr TP</t>
  </si>
  <si>
    <t>Hatchett Creek Medium Density Residential Stormwater Loading lbs/yr TP</t>
  </si>
  <si>
    <t>Hatchett Creek High Density Residential Stormwater Loading lbs/yr TP</t>
  </si>
  <si>
    <t>Hatchett Creek Rural Open Stormwater Loading lbs/yr TP</t>
  </si>
  <si>
    <t>Hatchett Creek Transporation/Communication Stormwater Loading lbs/yr TP</t>
  </si>
  <si>
    <t>Little Hatchett Creek Urban Open Stormwater Loading Orange Lake lbs/yr TP</t>
  </si>
  <si>
    <t>Little Hatchett Creek Low Density Residential Stormwater Loading lbs/yr TP</t>
  </si>
  <si>
    <t>Little Hatchett Creek Medium Density Residential Stormwater Loading lbs/yr TP</t>
  </si>
  <si>
    <t>Little Hatchett Creek High Density Residential Stormwater Loading lbs/yr TP</t>
  </si>
  <si>
    <t>Little Hatchett Creek Rural Open Stormwater Loading lbs/yr TP</t>
  </si>
  <si>
    <t>Little Hatchett Creek Transporation/Communication Stormwater Loading lbs/yr TP</t>
  </si>
  <si>
    <t>TP CREDIT</t>
  </si>
  <si>
    <t>TN CREDIT</t>
  </si>
  <si>
    <t>Total Stormwater Loading lbs/yr TN</t>
  </si>
  <si>
    <t xml:space="preserve">     Transporation/Communication Stormwater Loading lbs/yr TN</t>
  </si>
  <si>
    <t>Rural Open Stormwater Loading lbs/yr TN</t>
  </si>
  <si>
    <t>High Density Residential Stormwater Loading lbs/yr TN</t>
  </si>
  <si>
    <t>Medium Density Residential Stormwater Loading lbs/yr TN</t>
  </si>
  <si>
    <t>Low Density Residential Stormwater Loading lbs/yr TN</t>
  </si>
  <si>
    <t>Urban Open Stormwater Loading lbs/yr TN</t>
  </si>
  <si>
    <t xml:space="preserve">na=not applicable </t>
  </si>
  <si>
    <t>Urban Open has 3 lbs/yr TP loading but no acreage</t>
  </si>
  <si>
    <t>Total Required Developed Land Use Reduction       lbs/yr TP</t>
  </si>
  <si>
    <t>Education Credit lbs /yr TP</t>
  </si>
  <si>
    <t>Project Credits  lbs /yr TP</t>
  </si>
  <si>
    <t>Second Five Year 50% Required Developed Land Use Reduction lbs/yr TP</t>
  </si>
  <si>
    <t>Second Five Year Additional Education Credits lbs/yr TP</t>
  </si>
  <si>
    <t>Total Overall Reduction Needed lbs/yr TP</t>
  </si>
  <si>
    <t>Note: Full education credit awarded first five years. If additional education activities added, credits will be added in the future.</t>
  </si>
  <si>
    <t>First Seven Year 50% Required Developed Land Use Reduction lbs/yr TP</t>
  </si>
  <si>
    <t>Total OSTDS Reduction to be Achieved by 2028 lbs/yr TP</t>
  </si>
  <si>
    <t>Remaining Required Developed Land Use Reduction to be Achieved by 2028 lbs TP/yr</t>
  </si>
  <si>
    <t xml:space="preserve"> First Seven Year Remaining Developed Land Use Reduction to be Achived by 2023 in lbs/yr TP</t>
  </si>
  <si>
    <t xml:space="preserve">Reductions and Credits by Jurisdiction for Orange Lake </t>
  </si>
  <si>
    <t xml:space="preserve">Reductions and Credits by Jurisdiction for Newnans Lake </t>
  </si>
  <si>
    <t xml:space="preserve">Summary of Estimated Credits and Required Reductions: Reductions based on urban stormwater required reduction. </t>
  </si>
  <si>
    <t>Newnans Lake Urban Open Stormwater Loading lbs/yr TN</t>
  </si>
  <si>
    <t>Newnans Lake Low Density Residential Stormwater Loading lbs/yr TN</t>
  </si>
  <si>
    <t>Newnans Lake Medium Density Residential Stormwater Loading lbs/yr TN</t>
  </si>
  <si>
    <t>Newnans Lake High Density Residential Stormwater Loading lbs/yr TN</t>
  </si>
  <si>
    <t>Newnans Lake Rural Open Stormwater Loading lbs/yr TN</t>
  </si>
  <si>
    <t xml:space="preserve">  Nenwnans Lake  Transporation/Communication Stormwater Loading lbs/yr TN</t>
  </si>
  <si>
    <t>Hatchett Creek Urban Open Stormwater Loading Orange Lake lbs/yr TN</t>
  </si>
  <si>
    <t>Hatchett Creek Low Density Residential Stormwater Loading lbs/yr TN</t>
  </si>
  <si>
    <t>Education Credits added September 30, 2016</t>
  </si>
  <si>
    <t>DRAFT Estimated Stormwater runoff from developed uses Newnans Lake</t>
  </si>
  <si>
    <t>DRAFT Estimated Stormwater runoff from developed uses Hatchett Creek</t>
  </si>
  <si>
    <t>DRAFT Estimated Stormwater runoff from developed uses Little Hatchett Creek</t>
  </si>
  <si>
    <t>DRAFT data</t>
  </si>
  <si>
    <t xml:space="preserve">DRAFT Summary of Credits and Required Reductions: Reductions based on urban stormwater required reduction. </t>
  </si>
  <si>
    <t>DRAFT Estimated Stormwater runoff from developed uses Orange Lake</t>
  </si>
  <si>
    <t>DRAFT Estimated Stormwater runoff from developed uses Camps Canal River Styx</t>
  </si>
  <si>
    <t>Total Required Developed Land Use Reduction       lbs/yr TN</t>
  </si>
  <si>
    <t>First Seven Year 50% Required Developed Land Use Reduction lbs/yr TN</t>
  </si>
  <si>
    <t>Education Credit lbs /yr TN</t>
  </si>
  <si>
    <t>Project Credits  lbs /yr TN</t>
  </si>
  <si>
    <t xml:space="preserve"> First Seven Year Remaining Developed Land Use Reduction to be Achived by 2023 in lbs/yr TN</t>
  </si>
  <si>
    <t>Second Five Year 50% Required Developed Land Use Reduction lbs/yr TN</t>
  </si>
  <si>
    <t>Additional Projects Credits lbs/yr TN</t>
  </si>
  <si>
    <t>Second Five Year Additional Education Credits lbs/yr TN</t>
  </si>
  <si>
    <t>Remaining Required Developed Land Use Reduction to be Achieved by 2028 lbs TN/yr</t>
  </si>
  <si>
    <t>Total OSTDS Reduction to be Achieved by 2028 lbs/yr TN</t>
  </si>
  <si>
    <t>Total Overall Reduction Needed lbs/yr TN</t>
  </si>
  <si>
    <t>Additional Projects Credits lbs/yr TP</t>
  </si>
  <si>
    <t>Summary tables added October 17, 2016</t>
  </si>
  <si>
    <t>Count</t>
  </si>
  <si>
    <t>Model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</si>
</sst>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%"/>
    <numFmt numFmtId="165" formatCode="#,##0.0"/>
    <numFmt numFmtId="166" formatCode="0.0"/>
    <numFmt numFmtId="167" formatCode="0.0000"/>
    <numFmt numFmtId="168" formatCode="0.00000"/>
    <numFmt numFmtId="169" formatCode="#,##0.0;[Red]#,##0.0"/>
    <numFmt numFmtId="170" formatCode="#,##0;[Red]#,##0"/>
    <numFmt numFmtId="171" formatCode="#,##0.0_);\(#,##0.0\)"/>
  </numFmts>
  <fonts count="17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rgb="FF7030A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indexed="8"/>
      <name val="Arial"/>
      <family val="2"/>
    </font>
    <font>
      <sz val="10"/>
      <color rgb="FF993366"/>
      <name val="Arial"/>
      <family val="2"/>
    </font>
    <font>
      <i/>
      <sz val="10"/>
      <color rgb="FF993366"/>
      <name val="Arial"/>
      <family val="2"/>
    </font>
    <font>
      <sz val="10"/>
      <color theme="1"/>
      <name val="Arial"/>
      <family val="2"/>
    </font>
    <font>
      <b/>
      <sz val="10"/>
      <color rgb="FF7030A0"/>
      <name val="Arial"/>
      <family val="2"/>
    </font>
    <font>
      <i/>
      <sz val="10"/>
      <color rgb="FF7030A0"/>
      <name val="Arial"/>
      <family val="2"/>
    </font>
    <font>
      <b/>
      <sz val="12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6337778862885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4">
    <xf numFmtId="0" fontId="0" fillId="0" borderId="0" xfId="0"/>
    <xf numFmtId="0" fontId="0" fillId="0" borderId="1" xfId="0" applyBorder="1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/>
    </xf>
    <xf numFmtId="164" fontId="0" fillId="3" borderId="9" xfId="0" applyNumberFormat="1" applyFill="1" applyBorder="1"/>
    <xf numFmtId="3" fontId="0" fillId="0" borderId="9" xfId="0" applyNumberFormat="1" applyFill="1" applyBorder="1"/>
    <xf numFmtId="3" fontId="0" fillId="3" borderId="5" xfId="0" applyNumberFormat="1" applyFill="1" applyBorder="1"/>
    <xf numFmtId="0" fontId="0" fillId="0" borderId="9" xfId="0" applyFill="1" applyBorder="1"/>
    <xf numFmtId="0" fontId="0" fillId="3" borderId="5" xfId="0" applyFill="1" applyBorder="1"/>
    <xf numFmtId="3" fontId="0" fillId="3" borderId="9" xfId="0" applyNumberFormat="1" applyFill="1" applyBorder="1"/>
    <xf numFmtId="3" fontId="0" fillId="2" borderId="9" xfId="0" applyNumberFormat="1" applyFill="1" applyBorder="1"/>
    <xf numFmtId="164" fontId="0" fillId="2" borderId="9" xfId="0" applyNumberFormat="1" applyFill="1" applyBorder="1"/>
    <xf numFmtId="0" fontId="0" fillId="2" borderId="9" xfId="0" applyFill="1" applyBorder="1"/>
    <xf numFmtId="164" fontId="0" fillId="3" borderId="10" xfId="0" applyNumberFormat="1" applyFill="1" applyBorder="1"/>
    <xf numFmtId="0" fontId="0" fillId="0" borderId="10" xfId="0" applyFill="1" applyBorder="1"/>
    <xf numFmtId="0" fontId="0" fillId="3" borderId="10" xfId="0" applyFill="1" applyBorder="1"/>
    <xf numFmtId="0" fontId="0" fillId="3" borderId="7" xfId="0" applyFill="1" applyBorder="1"/>
    <xf numFmtId="3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" fontId="0" fillId="0" borderId="0" xfId="0" applyNumberFormat="1"/>
    <xf numFmtId="3" fontId="1" fillId="3" borderId="8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3" fontId="0" fillId="4" borderId="9" xfId="0" applyNumberFormat="1" applyFill="1" applyBorder="1"/>
    <xf numFmtId="0" fontId="3" fillId="0" borderId="4" xfId="0" applyFont="1" applyFill="1" applyBorder="1"/>
    <xf numFmtId="0" fontId="0" fillId="0" borderId="4" xfId="0" applyBorder="1"/>
    <xf numFmtId="3" fontId="2" fillId="3" borderId="9" xfId="0" applyNumberFormat="1" applyFont="1" applyFill="1" applyBorder="1" applyAlignment="1">
      <alignment horizontal="right" vertical="top" wrapText="1"/>
    </xf>
    <xf numFmtId="164" fontId="0" fillId="4" borderId="9" xfId="0" applyNumberFormat="1" applyFill="1" applyBorder="1"/>
    <xf numFmtId="0" fontId="1" fillId="0" borderId="4" xfId="0" applyFont="1" applyBorder="1"/>
    <xf numFmtId="165" fontId="0" fillId="3" borderId="9" xfId="0" applyNumberFormat="1" applyFill="1" applyBorder="1"/>
    <xf numFmtId="0" fontId="3" fillId="0" borderId="4" xfId="0" applyFont="1" applyBorder="1"/>
    <xf numFmtId="0" fontId="1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3" fontId="0" fillId="2" borderId="5" xfId="0" applyNumberFormat="1" applyFill="1" applyBorder="1"/>
    <xf numFmtId="0" fontId="0" fillId="0" borderId="4" xfId="0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3" fontId="0" fillId="0" borderId="10" xfId="0" applyNumberFormat="1" applyFill="1" applyBorder="1"/>
    <xf numFmtId="3" fontId="0" fillId="3" borderId="10" xfId="0" applyNumberFormat="1" applyFill="1" applyBorder="1"/>
    <xf numFmtId="0" fontId="0" fillId="0" borderId="14" xfId="0" applyBorder="1"/>
    <xf numFmtId="0" fontId="4" fillId="0" borderId="4" xfId="0" applyFont="1" applyFill="1" applyBorder="1"/>
    <xf numFmtId="0" fontId="1" fillId="3" borderId="20" xfId="0" applyFont="1" applyFill="1" applyBorder="1" applyAlignment="1">
      <alignment horizontal="center" vertical="center" wrapText="1"/>
    </xf>
    <xf numFmtId="0" fontId="0" fillId="3" borderId="20" xfId="0" applyFill="1" applyBorder="1"/>
    <xf numFmtId="3" fontId="0" fillId="3" borderId="20" xfId="0" applyNumberFormat="1" applyFill="1" applyBorder="1"/>
    <xf numFmtId="3" fontId="0" fillId="2" borderId="20" xfId="0" applyNumberFormat="1" applyFill="1" applyBorder="1"/>
    <xf numFmtId="0" fontId="0" fillId="0" borderId="14" xfId="0" applyBorder="1" applyAlignment="1">
      <alignment horizontal="center" vertical="center" wrapText="1"/>
    </xf>
    <xf numFmtId="3" fontId="1" fillId="3" borderId="15" xfId="0" applyNumberFormat="1" applyFont="1" applyFill="1" applyBorder="1" applyAlignment="1">
      <alignment horizontal="center" vertical="center" wrapText="1"/>
    </xf>
    <xf numFmtId="3" fontId="1" fillId="4" borderId="15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3" fontId="0" fillId="0" borderId="5" xfId="0" applyNumberFormat="1" applyFill="1" applyBorder="1"/>
    <xf numFmtId="0" fontId="0" fillId="0" borderId="5" xfId="0" applyFill="1" applyBorder="1"/>
    <xf numFmtId="0" fontId="0" fillId="2" borderId="6" xfId="0" applyFill="1" applyBorder="1" applyAlignment="1">
      <alignment horizontal="center"/>
    </xf>
    <xf numFmtId="3" fontId="0" fillId="2" borderId="10" xfId="0" applyNumberFormat="1" applyFill="1" applyBorder="1"/>
    <xf numFmtId="164" fontId="0" fillId="2" borderId="10" xfId="0" applyNumberFormat="1" applyFill="1" applyBorder="1"/>
    <xf numFmtId="3" fontId="0" fillId="2" borderId="7" xfId="0" applyNumberFormat="1" applyFill="1" applyBorder="1"/>
    <xf numFmtId="3" fontId="1" fillId="3" borderId="9" xfId="0" applyNumberFormat="1" applyFont="1" applyFill="1" applyBorder="1" applyAlignment="1">
      <alignment horizontal="center" vertical="center" wrapText="1"/>
    </xf>
    <xf numFmtId="3" fontId="1" fillId="6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0" fontId="0" fillId="6" borderId="9" xfId="0" applyNumberFormat="1" applyFill="1" applyBorder="1"/>
    <xf numFmtId="3" fontId="0" fillId="6" borderId="9" xfId="0" applyNumberFormat="1" applyFill="1" applyBorder="1"/>
    <xf numFmtId="0" fontId="3" fillId="2" borderId="4" xfId="0" applyFont="1" applyFill="1" applyBorder="1" applyAlignment="1">
      <alignment horizontal="center"/>
    </xf>
    <xf numFmtId="3" fontId="0" fillId="6" borderId="10" xfId="0" applyNumberFormat="1" applyFill="1" applyBorder="1"/>
    <xf numFmtId="0" fontId="1" fillId="0" borderId="0" xfId="0" applyFont="1"/>
    <xf numFmtId="166" fontId="0" fillId="0" borderId="0" xfId="0" applyNumberFormat="1"/>
    <xf numFmtId="0" fontId="0" fillId="0" borderId="9" xfId="0" applyBorder="1"/>
    <xf numFmtId="0" fontId="1" fillId="4" borderId="14" xfId="0" applyFont="1" applyFill="1" applyBorder="1" applyAlignment="1">
      <alignment vertical="center"/>
    </xf>
    <xf numFmtId="2" fontId="1" fillId="4" borderId="15" xfId="0" applyNumberFormat="1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166" fontId="0" fillId="0" borderId="9" xfId="0" applyNumberFormat="1" applyBorder="1" applyAlignment="1">
      <alignment vertical="center"/>
    </xf>
    <xf numFmtId="167" fontId="0" fillId="0" borderId="9" xfId="0" applyNumberFormat="1" applyBorder="1" applyAlignment="1">
      <alignment vertical="center"/>
    </xf>
    <xf numFmtId="0" fontId="0" fillId="7" borderId="6" xfId="0" applyFill="1" applyBorder="1"/>
    <xf numFmtId="2" fontId="0" fillId="0" borderId="0" xfId="0" applyNumberFormat="1"/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/>
    <xf numFmtId="0" fontId="4" fillId="0" borderId="4" xfId="0" applyFont="1" applyBorder="1"/>
    <xf numFmtId="0" fontId="0" fillId="8" borderId="9" xfId="0" applyFill="1" applyBorder="1"/>
    <xf numFmtId="0" fontId="1" fillId="9" borderId="4" xfId="0" applyFont="1" applyFill="1" applyBorder="1"/>
    <xf numFmtId="0" fontId="0" fillId="9" borderId="4" xfId="0" applyFill="1" applyBorder="1"/>
    <xf numFmtId="0" fontId="3" fillId="9" borderId="23" xfId="0" applyFont="1" applyFill="1" applyBorder="1"/>
    <xf numFmtId="0" fontId="1" fillId="4" borderId="4" xfId="0" applyFont="1" applyFill="1" applyBorder="1"/>
    <xf numFmtId="0" fontId="0" fillId="4" borderId="4" xfId="0" applyFill="1" applyBorder="1"/>
    <xf numFmtId="0" fontId="3" fillId="4" borderId="0" xfId="0" applyFont="1" applyFill="1" applyBorder="1"/>
    <xf numFmtId="0" fontId="3" fillId="4" borderId="23" xfId="0" applyFont="1" applyFill="1" applyBorder="1"/>
    <xf numFmtId="0" fontId="3" fillId="9" borderId="9" xfId="0" applyFont="1" applyFill="1" applyBorder="1"/>
    <xf numFmtId="0" fontId="1" fillId="9" borderId="9" xfId="0" applyFont="1" applyFill="1" applyBorder="1"/>
    <xf numFmtId="0" fontId="3" fillId="4" borderId="9" xfId="0" applyFont="1" applyFill="1" applyBorder="1"/>
    <xf numFmtId="3" fontId="2" fillId="8" borderId="9" xfId="0" applyNumberFormat="1" applyFont="1" applyFill="1" applyBorder="1" applyAlignment="1">
      <alignment horizontal="right" vertical="top" wrapText="1"/>
    </xf>
    <xf numFmtId="1" fontId="0" fillId="8" borderId="9" xfId="0" applyNumberFormat="1" applyFill="1" applyBorder="1"/>
    <xf numFmtId="3" fontId="0" fillId="8" borderId="9" xfId="0" applyNumberFormat="1" applyFill="1" applyBorder="1"/>
    <xf numFmtId="0" fontId="1" fillId="0" borderId="21" xfId="0" applyFont="1" applyBorder="1"/>
    <xf numFmtId="3" fontId="0" fillId="8" borderId="22" xfId="0" applyNumberFormat="1" applyFill="1" applyBorder="1"/>
    <xf numFmtId="10" fontId="0" fillId="6" borderId="22" xfId="0" applyNumberFormat="1" applyFill="1" applyBorder="1"/>
    <xf numFmtId="3" fontId="3" fillId="0" borderId="22" xfId="0" applyNumberFormat="1" applyFont="1" applyFill="1" applyBorder="1"/>
    <xf numFmtId="3" fontId="0" fillId="0" borderId="22" xfId="0" applyNumberFormat="1" applyFill="1" applyBorder="1"/>
    <xf numFmtId="165" fontId="0" fillId="3" borderId="22" xfId="0" applyNumberFormat="1" applyFill="1" applyBorder="1"/>
    <xf numFmtId="3" fontId="0" fillId="3" borderId="24" xfId="0" applyNumberFormat="1" applyFill="1" applyBorder="1"/>
    <xf numFmtId="0" fontId="1" fillId="0" borderId="2" xfId="0" applyFont="1" applyFill="1" applyBorder="1"/>
    <xf numFmtId="3" fontId="0" fillId="8" borderId="8" xfId="0" applyNumberFormat="1" applyFill="1" applyBorder="1"/>
    <xf numFmtId="10" fontId="0" fillId="6" borderId="8" xfId="0" applyNumberFormat="1" applyFill="1" applyBorder="1"/>
    <xf numFmtId="3" fontId="0" fillId="0" borderId="8" xfId="0" applyNumberFormat="1" applyFill="1" applyBorder="1"/>
    <xf numFmtId="164" fontId="0" fillId="3" borderId="8" xfId="0" applyNumberFormat="1" applyFill="1" applyBorder="1"/>
    <xf numFmtId="165" fontId="0" fillId="3" borderId="8" xfId="0" applyNumberFormat="1" applyFill="1" applyBorder="1"/>
    <xf numFmtId="3" fontId="0" fillId="3" borderId="3" xfId="0" applyNumberFormat="1" applyFill="1" applyBorder="1"/>
    <xf numFmtId="0" fontId="0" fillId="0" borderId="0" xfId="0" applyFill="1" applyBorder="1"/>
    <xf numFmtId="166" fontId="0" fillId="0" borderId="0" xfId="0" applyNumberFormat="1" applyFill="1" applyBorder="1"/>
    <xf numFmtId="164" fontId="0" fillId="0" borderId="0" xfId="0" applyNumberFormat="1" applyFill="1" applyBorder="1"/>
    <xf numFmtId="0" fontId="0" fillId="0" borderId="0" xfId="0" applyFill="1"/>
    <xf numFmtId="2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0" borderId="16" xfId="0" applyBorder="1"/>
    <xf numFmtId="0" fontId="1" fillId="4" borderId="4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166" fontId="0" fillId="7" borderId="10" xfId="0" applyNumberFormat="1" applyFill="1" applyBorder="1" applyAlignment="1">
      <alignment horizontal="center"/>
    </xf>
    <xf numFmtId="164" fontId="0" fillId="7" borderId="10" xfId="0" applyNumberFormat="1" applyFill="1" applyBorder="1" applyAlignment="1">
      <alignment horizontal="center"/>
    </xf>
    <xf numFmtId="166" fontId="0" fillId="0" borderId="9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3" fillId="0" borderId="9" xfId="0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7" borderId="7" xfId="0" applyNumberFormat="1" applyFill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1" fillId="4" borderId="9" xfId="0" applyNumberFormat="1" applyFont="1" applyFill="1" applyBorder="1" applyAlignment="1">
      <alignment horizontal="center" vertical="center" wrapText="1"/>
    </xf>
    <xf numFmtId="3" fontId="0" fillId="7" borderId="7" xfId="0" applyNumberFormat="1" applyFill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7" borderId="10" xfId="0" applyNumberFormat="1" applyFill="1" applyBorder="1" applyAlignment="1">
      <alignment horizontal="center"/>
    </xf>
    <xf numFmtId="0" fontId="3" fillId="0" borderId="6" xfId="0" applyFont="1" applyFill="1" applyBorder="1" applyAlignment="1">
      <alignment vertical="center" wrapText="1"/>
    </xf>
    <xf numFmtId="164" fontId="3" fillId="0" borderId="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5" borderId="15" xfId="0" applyFont="1" applyFill="1" applyBorder="1" applyAlignment="1">
      <alignment horizontal="center" vertical="center" wrapText="1"/>
    </xf>
    <xf numFmtId="166" fontId="3" fillId="5" borderId="9" xfId="0" applyNumberFormat="1" applyFont="1" applyFill="1" applyBorder="1" applyAlignment="1">
      <alignment horizontal="center"/>
    </xf>
    <xf numFmtId="166" fontId="0" fillId="5" borderId="10" xfId="0" applyNumberFormat="1" applyFill="1" applyBorder="1" applyAlignment="1">
      <alignment horizontal="center"/>
    </xf>
    <xf numFmtId="1" fontId="0" fillId="0" borderId="9" xfId="0" applyNumberFormat="1" applyFill="1" applyBorder="1"/>
    <xf numFmtId="0" fontId="0" fillId="0" borderId="0" xfId="0" applyBorder="1"/>
    <xf numFmtId="3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9" xfId="0" applyFont="1" applyFill="1" applyBorder="1"/>
    <xf numFmtId="166" fontId="0" fillId="0" borderId="9" xfId="0" applyNumberFormat="1" applyBorder="1"/>
    <xf numFmtId="167" fontId="0" fillId="0" borderId="9" xfId="0" applyNumberFormat="1" applyBorder="1"/>
    <xf numFmtId="164" fontId="0" fillId="0" borderId="9" xfId="0" applyNumberFormat="1" applyBorder="1"/>
    <xf numFmtId="0" fontId="1" fillId="0" borderId="4" xfId="0" applyFont="1" applyBorder="1" applyAlignment="1">
      <alignment vertical="center" wrapText="1"/>
    </xf>
    <xf numFmtId="0" fontId="1" fillId="9" borderId="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2" fontId="0" fillId="0" borderId="9" xfId="0" applyNumberForma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0" fontId="3" fillId="0" borderId="9" xfId="0" applyFont="1" applyBorder="1"/>
    <xf numFmtId="0" fontId="0" fillId="4" borderId="0" xfId="0" applyFill="1"/>
    <xf numFmtId="2" fontId="0" fillId="4" borderId="0" xfId="0" applyNumberFormat="1" applyFill="1"/>
    <xf numFmtId="0" fontId="1" fillId="4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Fill="1" applyBorder="1"/>
    <xf numFmtId="3" fontId="0" fillId="3" borderId="30" xfId="0" applyNumberFormat="1" applyFill="1" applyBorder="1"/>
    <xf numFmtId="3" fontId="0" fillId="3" borderId="8" xfId="0" applyNumberFormat="1" applyFill="1" applyBorder="1"/>
    <xf numFmtId="164" fontId="0" fillId="4" borderId="8" xfId="0" applyNumberFormat="1" applyFill="1" applyBorder="1"/>
    <xf numFmtId="3" fontId="0" fillId="0" borderId="3" xfId="0" applyNumberFormat="1" applyFill="1" applyBorder="1"/>
    <xf numFmtId="3" fontId="0" fillId="3" borderId="31" xfId="0" applyNumberFormat="1" applyFill="1" applyBorder="1"/>
    <xf numFmtId="0" fontId="3" fillId="0" borderId="32" xfId="0" applyFont="1" applyBorder="1"/>
    <xf numFmtId="0" fontId="3" fillId="0" borderId="0" xfId="0" applyFont="1" applyBorder="1"/>
    <xf numFmtId="3" fontId="0" fillId="0" borderId="0" xfId="0" applyNumberFormat="1" applyBorder="1"/>
    <xf numFmtId="0" fontId="1" fillId="4" borderId="9" xfId="0" applyFont="1" applyFill="1" applyBorder="1" applyAlignment="1">
      <alignment vertical="center" wrapText="1"/>
    </xf>
    <xf numFmtId="0" fontId="8" fillId="0" borderId="0" xfId="0" applyFont="1"/>
    <xf numFmtId="2" fontId="0" fillId="0" borderId="0" xfId="0" applyNumberFormat="1" applyAlignment="1">
      <alignment vertical="top"/>
    </xf>
    <xf numFmtId="168" fontId="1" fillId="4" borderId="9" xfId="0" applyNumberFormat="1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center"/>
    </xf>
    <xf numFmtId="0" fontId="9" fillId="0" borderId="34" xfId="0" applyFont="1" applyBorder="1" applyAlignment="1">
      <alignment horizontal="left" vertical="top" wrapText="1"/>
    </xf>
    <xf numFmtId="3" fontId="9" fillId="3" borderId="35" xfId="0" applyNumberFormat="1" applyFont="1" applyFill="1" applyBorder="1" applyAlignment="1">
      <alignment horizontal="right" vertical="center" wrapText="1"/>
    </xf>
    <xf numFmtId="3" fontId="9" fillId="3" borderId="9" xfId="0" applyNumberFormat="1" applyFont="1" applyFill="1" applyBorder="1" applyAlignment="1">
      <alignment horizontal="right" vertical="top" wrapText="1"/>
    </xf>
    <xf numFmtId="3" fontId="1" fillId="4" borderId="39" xfId="0" applyNumberFormat="1" applyFont="1" applyFill="1" applyBorder="1" applyAlignment="1">
      <alignment horizontal="center" vertical="center" wrapText="1"/>
    </xf>
    <xf numFmtId="164" fontId="4" fillId="4" borderId="37" xfId="0" applyNumberFormat="1" applyFont="1" applyFill="1" applyBorder="1"/>
    <xf numFmtId="164" fontId="0" fillId="4" borderId="37" xfId="0" applyNumberFormat="1" applyFill="1" applyBorder="1"/>
    <xf numFmtId="3" fontId="0" fillId="4" borderId="37" xfId="0" applyNumberFormat="1" applyFill="1" applyBorder="1"/>
    <xf numFmtId="0" fontId="0" fillId="4" borderId="38" xfId="0" applyFill="1" applyBorder="1"/>
    <xf numFmtId="3" fontId="1" fillId="8" borderId="40" xfId="0" applyNumberFormat="1" applyFont="1" applyFill="1" applyBorder="1" applyAlignment="1">
      <alignment horizontal="center" vertical="center" wrapText="1"/>
    </xf>
    <xf numFmtId="3" fontId="4" fillId="8" borderId="41" xfId="0" applyNumberFormat="1" applyFont="1" applyFill="1" applyBorder="1"/>
    <xf numFmtId="3" fontId="0" fillId="8" borderId="41" xfId="0" applyNumberFormat="1" applyFill="1" applyBorder="1"/>
    <xf numFmtId="3" fontId="0" fillId="8" borderId="42" xfId="0" applyNumberFormat="1" applyFill="1" applyBorder="1"/>
    <xf numFmtId="3" fontId="3" fillId="0" borderId="9" xfId="0" applyNumberFormat="1" applyFont="1" applyFill="1" applyBorder="1"/>
    <xf numFmtId="165" fontId="3" fillId="3" borderId="9" xfId="0" applyNumberFormat="1" applyFont="1" applyFill="1" applyBorder="1"/>
    <xf numFmtId="166" fontId="3" fillId="7" borderId="10" xfId="0" applyNumberFormat="1" applyFont="1" applyFill="1" applyBorder="1" applyAlignment="1">
      <alignment horizontal="center"/>
    </xf>
    <xf numFmtId="3" fontId="0" fillId="0" borderId="5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4" fontId="0" fillId="7" borderId="9" xfId="0" applyNumberFormat="1" applyFill="1" applyBorder="1"/>
    <xf numFmtId="2" fontId="0" fillId="7" borderId="9" xfId="0" applyNumberFormat="1" applyFill="1" applyBorder="1"/>
    <xf numFmtId="165" fontId="0" fillId="7" borderId="9" xfId="0" applyNumberFormat="1" applyFill="1" applyBorder="1"/>
    <xf numFmtId="2" fontId="0" fillId="0" borderId="9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2" fontId="0" fillId="7" borderId="10" xfId="0" applyNumberFormat="1" applyFill="1" applyBorder="1"/>
    <xf numFmtId="164" fontId="0" fillId="7" borderId="10" xfId="0" applyNumberFormat="1" applyFill="1" applyBorder="1"/>
    <xf numFmtId="0" fontId="0" fillId="7" borderId="10" xfId="0" applyFill="1" applyBorder="1"/>
    <xf numFmtId="3" fontId="3" fillId="3" borderId="9" xfId="0" applyNumberFormat="1" applyFont="1" applyFill="1" applyBorder="1"/>
    <xf numFmtId="3" fontId="1" fillId="3" borderId="9" xfId="0" applyNumberFormat="1" applyFont="1" applyFill="1" applyBorder="1"/>
    <xf numFmtId="3" fontId="1" fillId="8" borderId="41" xfId="0" applyNumberFormat="1" applyFont="1" applyFill="1" applyBorder="1"/>
    <xf numFmtId="164" fontId="3" fillId="4" borderId="37" xfId="0" applyNumberFormat="1" applyFont="1" applyFill="1" applyBorder="1"/>
    <xf numFmtId="3" fontId="1" fillId="0" borderId="9" xfId="0" applyNumberFormat="1" applyFont="1" applyFill="1" applyBorder="1"/>
    <xf numFmtId="164" fontId="1" fillId="3" borderId="9" xfId="0" applyNumberFormat="1" applyFont="1" applyFill="1" applyBorder="1"/>
    <xf numFmtId="164" fontId="1" fillId="4" borderId="37" xfId="0" applyNumberFormat="1" applyFont="1" applyFill="1" applyBorder="1"/>
    <xf numFmtId="165" fontId="1" fillId="3" borderId="9" xfId="0" applyNumberFormat="1" applyFont="1" applyFill="1" applyBorder="1"/>
    <xf numFmtId="3" fontId="10" fillId="3" borderId="9" xfId="0" applyNumberFormat="1" applyFont="1" applyFill="1" applyBorder="1" applyAlignment="1">
      <alignment horizontal="right" vertical="top" wrapText="1"/>
    </xf>
    <xf numFmtId="3" fontId="1" fillId="3" borderId="5" xfId="0" applyNumberFormat="1" applyFont="1" applyFill="1" applyBorder="1"/>
    <xf numFmtId="0" fontId="1" fillId="0" borderId="9" xfId="0" applyFont="1" applyFill="1" applyBorder="1"/>
    <xf numFmtId="3" fontId="12" fillId="0" borderId="9" xfId="0" applyNumberFormat="1" applyFont="1" applyFill="1" applyBorder="1"/>
    <xf numFmtId="165" fontId="11" fillId="3" borderId="9" xfId="0" applyNumberFormat="1" applyFont="1" applyFill="1" applyBorder="1"/>
    <xf numFmtId="0" fontId="3" fillId="4" borderId="4" xfId="0" applyFont="1" applyFill="1" applyBorder="1"/>
    <xf numFmtId="0" fontId="3" fillId="9" borderId="4" xfId="0" applyFont="1" applyFill="1" applyBorder="1"/>
    <xf numFmtId="0" fontId="9" fillId="4" borderId="34" xfId="0" applyFont="1" applyFill="1" applyBorder="1" applyAlignment="1">
      <alignment horizontal="left" vertical="top" wrapText="1"/>
    </xf>
    <xf numFmtId="0" fontId="9" fillId="9" borderId="34" xfId="0" applyFont="1" applyFill="1" applyBorder="1" applyAlignment="1">
      <alignment horizontal="left" vertical="top" wrapText="1"/>
    </xf>
    <xf numFmtId="3" fontId="11" fillId="8" borderId="9" xfId="0" applyNumberFormat="1" applyFont="1" applyFill="1" applyBorder="1" applyAlignment="1">
      <alignment horizontal="right" vertical="top" wrapText="1"/>
    </xf>
    <xf numFmtId="10" fontId="11" fillId="6" borderId="9" xfId="0" applyNumberFormat="1" applyFont="1" applyFill="1" applyBorder="1"/>
    <xf numFmtId="3" fontId="11" fillId="0" borderId="9" xfId="0" applyNumberFormat="1" applyFont="1" applyFill="1" applyBorder="1"/>
    <xf numFmtId="164" fontId="11" fillId="3" borderId="9" xfId="0" applyNumberFormat="1" applyFont="1" applyFill="1" applyBorder="1"/>
    <xf numFmtId="3" fontId="11" fillId="8" borderId="9" xfId="0" applyNumberFormat="1" applyFont="1" applyFill="1" applyBorder="1"/>
    <xf numFmtId="164" fontId="1" fillId="4" borderId="9" xfId="0" applyNumberFormat="1" applyFont="1" applyFill="1" applyBorder="1"/>
    <xf numFmtId="3" fontId="1" fillId="0" borderId="5" xfId="0" applyNumberFormat="1" applyFont="1" applyFill="1" applyBorder="1"/>
    <xf numFmtId="3" fontId="8" fillId="3" borderId="9" xfId="0" applyNumberFormat="1" applyFont="1" applyFill="1" applyBorder="1"/>
    <xf numFmtId="164" fontId="8" fillId="4" borderId="9" xfId="0" applyNumberFormat="1" applyFont="1" applyFill="1" applyBorder="1"/>
    <xf numFmtId="1" fontId="1" fillId="8" borderId="0" xfId="0" applyNumberFormat="1" applyFont="1" applyFill="1"/>
    <xf numFmtId="0" fontId="1" fillId="0" borderId="9" xfId="0" applyFont="1" applyBorder="1"/>
    <xf numFmtId="0" fontId="1" fillId="8" borderId="9" xfId="0" applyFont="1" applyFill="1" applyBorder="1"/>
    <xf numFmtId="3" fontId="8" fillId="3" borderId="9" xfId="0" applyNumberFormat="1" applyFont="1" applyFill="1" applyBorder="1" applyAlignment="1">
      <alignment horizontal="right" vertical="top" wrapText="1"/>
    </xf>
    <xf numFmtId="3" fontId="10" fillId="3" borderId="22" xfId="0" applyNumberFormat="1" applyFont="1" applyFill="1" applyBorder="1" applyAlignment="1">
      <alignment horizontal="right" vertical="top" wrapText="1"/>
    </xf>
    <xf numFmtId="164" fontId="1" fillId="4" borderId="22" xfId="0" applyNumberFormat="1" applyFont="1" applyFill="1" applyBorder="1"/>
    <xf numFmtId="0" fontId="1" fillId="0" borderId="22" xfId="0" applyFont="1" applyFill="1" applyBorder="1"/>
    <xf numFmtId="164" fontId="1" fillId="3" borderId="22" xfId="0" applyNumberFormat="1" applyFont="1" applyFill="1" applyBorder="1"/>
    <xf numFmtId="3" fontId="1" fillId="0" borderId="22" xfId="0" applyNumberFormat="1" applyFont="1" applyFill="1" applyBorder="1"/>
    <xf numFmtId="165" fontId="1" fillId="3" borderId="22" xfId="0" applyNumberFormat="1" applyFont="1" applyFill="1" applyBorder="1"/>
    <xf numFmtId="3" fontId="1" fillId="0" borderId="24" xfId="0" applyNumberFormat="1" applyFont="1" applyFill="1" applyBorder="1"/>
    <xf numFmtId="0" fontId="3" fillId="0" borderId="9" xfId="0" applyFont="1" applyFill="1" applyBorder="1" applyAlignment="1">
      <alignment horizontal="center" vertical="center"/>
    </xf>
    <xf numFmtId="1" fontId="0" fillId="0" borderId="9" xfId="0" applyNumberFormat="1" applyBorder="1" applyAlignment="1">
      <alignment horizontal="center"/>
    </xf>
    <xf numFmtId="1" fontId="3" fillId="0" borderId="9" xfId="0" applyNumberFormat="1" applyFont="1" applyBorder="1" applyAlignment="1">
      <alignment horizontal="center" vertical="center"/>
    </xf>
    <xf numFmtId="1" fontId="0" fillId="7" borderId="9" xfId="0" applyNumberFormat="1" applyFill="1" applyBorder="1" applyAlignment="1">
      <alignment horizontal="center"/>
    </xf>
    <xf numFmtId="1" fontId="0" fillId="7" borderId="9" xfId="0" applyNumberForma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3" fontId="1" fillId="8" borderId="9" xfId="0" applyNumberFormat="1" applyFont="1" applyFill="1" applyBorder="1"/>
    <xf numFmtId="0" fontId="3" fillId="4" borderId="43" xfId="0" applyFont="1" applyFill="1" applyBorder="1"/>
    <xf numFmtId="0" fontId="1" fillId="4" borderId="43" xfId="0" applyFont="1" applyFill="1" applyBorder="1"/>
    <xf numFmtId="0" fontId="0" fillId="0" borderId="44" xfId="0" applyBorder="1"/>
    <xf numFmtId="169" fontId="0" fillId="0" borderId="5" xfId="0" applyNumberFormat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164" fontId="0" fillId="7" borderId="10" xfId="0" applyNumberFormat="1" applyFill="1" applyBorder="1" applyAlignment="1">
      <alignment horizontal="center" vertical="center"/>
    </xf>
    <xf numFmtId="166" fontId="0" fillId="7" borderId="10" xfId="0" applyNumberFormat="1" applyFill="1" applyBorder="1" applyAlignment="1">
      <alignment horizontal="center" vertical="center"/>
    </xf>
    <xf numFmtId="170" fontId="0" fillId="7" borderId="7" xfId="0" applyNumberForma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/>
    </xf>
    <xf numFmtId="1" fontId="0" fillId="7" borderId="10" xfId="0" applyNumberFormat="1" applyFill="1" applyBorder="1" applyAlignment="1">
      <alignment horizontal="center"/>
    </xf>
    <xf numFmtId="10" fontId="0" fillId="7" borderId="10" xfId="0" applyNumberFormat="1" applyFill="1" applyBorder="1" applyAlignment="1">
      <alignment horizontal="center" vertical="center"/>
    </xf>
    <xf numFmtId="0" fontId="14" fillId="0" borderId="2" xfId="0" applyFont="1" applyFill="1" applyBorder="1"/>
    <xf numFmtId="0" fontId="15" fillId="0" borderId="4" xfId="0" applyFont="1" applyBorder="1"/>
    <xf numFmtId="0" fontId="15" fillId="0" borderId="23" xfId="0" applyFont="1" applyBorder="1"/>
    <xf numFmtId="3" fontId="13" fillId="3" borderId="9" xfId="0" applyNumberFormat="1" applyFont="1" applyFill="1" applyBorder="1" applyAlignment="1">
      <alignment horizontal="right" vertical="top" wrapText="1"/>
    </xf>
    <xf numFmtId="3" fontId="13" fillId="8" borderId="41" xfId="0" applyNumberFormat="1" applyFont="1" applyFill="1" applyBorder="1"/>
    <xf numFmtId="3" fontId="13" fillId="3" borderId="9" xfId="0" applyNumberFormat="1" applyFont="1" applyFill="1" applyBorder="1"/>
    <xf numFmtId="164" fontId="13" fillId="4" borderId="37" xfId="0" applyNumberFormat="1" applyFont="1" applyFill="1" applyBorder="1"/>
    <xf numFmtId="3" fontId="13" fillId="0" borderId="9" xfId="0" applyNumberFormat="1" applyFont="1" applyFill="1" applyBorder="1"/>
    <xf numFmtId="164" fontId="13" fillId="3" borderId="9" xfId="0" applyNumberFormat="1" applyFont="1" applyFill="1" applyBorder="1"/>
    <xf numFmtId="0" fontId="0" fillId="0" borderId="0" xfId="0" applyAlignment="1">
      <alignment horizontal="left" indent="1"/>
    </xf>
    <xf numFmtId="0" fontId="0" fillId="0" borderId="0" xfId="0" applyFont="1" applyAlignment="1">
      <alignment horizontal="left" inden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0" fillId="0" borderId="9" xfId="0" applyFont="1" applyBorder="1" applyAlignment="1">
      <alignment horizontal="left" indent="1"/>
    </xf>
    <xf numFmtId="3" fontId="0" fillId="0" borderId="9" xfId="0" applyNumberFormat="1" applyBorder="1"/>
    <xf numFmtId="0" fontId="1" fillId="0" borderId="0" xfId="0" applyFont="1" applyFill="1" applyBorder="1" applyAlignment="1">
      <alignment vertical="top" wrapText="1"/>
    </xf>
    <xf numFmtId="0" fontId="0" fillId="0" borderId="9" xfId="0" pivotButton="1" applyBorder="1"/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indent="1"/>
    </xf>
    <xf numFmtId="0" fontId="1" fillId="4" borderId="9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left" indent="1"/>
    </xf>
    <xf numFmtId="164" fontId="0" fillId="0" borderId="0" xfId="0" applyNumberFormat="1" applyBorder="1"/>
    <xf numFmtId="0" fontId="1" fillId="0" borderId="0" xfId="0" applyFont="1" applyFill="1" applyBorder="1"/>
    <xf numFmtId="0" fontId="3" fillId="0" borderId="32" xfId="0" applyFont="1" applyFill="1" applyBorder="1"/>
    <xf numFmtId="0" fontId="3" fillId="7" borderId="9" xfId="0" applyFont="1" applyFill="1" applyBorder="1"/>
    <xf numFmtId="3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7" borderId="9" xfId="0" applyNumberFormat="1" applyFill="1" applyBorder="1" applyAlignment="1">
      <alignment horizontal="center" vertical="center" wrapText="1"/>
    </xf>
    <xf numFmtId="3" fontId="0" fillId="7" borderId="9" xfId="0" applyNumberForma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166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wrapText="1"/>
    </xf>
    <xf numFmtId="0" fontId="0" fillId="0" borderId="4" xfId="0" applyFill="1" applyBorder="1"/>
    <xf numFmtId="165" fontId="0" fillId="0" borderId="0" xfId="0" applyNumberFormat="1" applyFill="1" applyBorder="1" applyAlignment="1">
      <alignment horizontal="center"/>
    </xf>
    <xf numFmtId="10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/>
    </xf>
    <xf numFmtId="166" fontId="0" fillId="7" borderId="9" xfId="0" applyNumberFormat="1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6" fontId="0" fillId="0" borderId="9" xfId="0" applyNumberFormat="1" applyFill="1" applyBorder="1" applyAlignment="1">
      <alignment horizontal="center"/>
    </xf>
    <xf numFmtId="3" fontId="0" fillId="0" borderId="9" xfId="0" applyNumberFormat="1" applyFill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0" fontId="1" fillId="4" borderId="37" xfId="0" applyFont="1" applyFill="1" applyBorder="1" applyAlignment="1">
      <alignment horizontal="center" vertical="center" wrapText="1"/>
    </xf>
    <xf numFmtId="164" fontId="0" fillId="7" borderId="9" xfId="0" applyNumberFormat="1" applyFill="1" applyBorder="1" applyAlignment="1">
      <alignment horizontal="center"/>
    </xf>
    <xf numFmtId="166" fontId="0" fillId="7" borderId="9" xfId="0" applyNumberFormat="1" applyFill="1" applyBorder="1" applyAlignment="1">
      <alignment horizontal="center"/>
    </xf>
    <xf numFmtId="3" fontId="0" fillId="7" borderId="9" xfId="0" applyNumberFormat="1" applyFill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0" fontId="3" fillId="0" borderId="21" xfId="0" applyFont="1" applyBorder="1"/>
    <xf numFmtId="3" fontId="0" fillId="0" borderId="45" xfId="0" applyNumberForma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164" fontId="3" fillId="3" borderId="9" xfId="0" applyNumberFormat="1" applyFont="1" applyFill="1" applyBorder="1"/>
    <xf numFmtId="3" fontId="1" fillId="4" borderId="37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0" fillId="4" borderId="9" xfId="0" applyFill="1" applyBorder="1"/>
    <xf numFmtId="0" fontId="0" fillId="7" borderId="9" xfId="0" applyFill="1" applyBorder="1"/>
    <xf numFmtId="166" fontId="0" fillId="7" borderId="9" xfId="0" applyNumberFormat="1" applyFill="1" applyBorder="1"/>
    <xf numFmtId="166" fontId="0" fillId="7" borderId="9" xfId="0" applyNumberFormat="1" applyFill="1" applyBorder="1" applyAlignment="1">
      <alignment vertical="center"/>
    </xf>
    <xf numFmtId="0" fontId="1" fillId="4" borderId="5" xfId="0" applyFont="1" applyFill="1" applyBorder="1"/>
    <xf numFmtId="1" fontId="0" fillId="7" borderId="5" xfId="0" applyNumberFormat="1" applyFill="1" applyBorder="1"/>
    <xf numFmtId="0" fontId="3" fillId="7" borderId="4" xfId="0" applyFont="1" applyFill="1" applyBorder="1"/>
    <xf numFmtId="1" fontId="1" fillId="4" borderId="5" xfId="0" applyNumberFormat="1" applyFont="1" applyFill="1" applyBorder="1"/>
    <xf numFmtId="0" fontId="3" fillId="7" borderId="6" xfId="0" applyFont="1" applyFill="1" applyBorder="1"/>
    <xf numFmtId="1" fontId="0" fillId="7" borderId="7" xfId="0" applyNumberFormat="1" applyFill="1" applyBorder="1"/>
    <xf numFmtId="0" fontId="3" fillId="0" borderId="14" xfId="0" applyFont="1" applyBorder="1"/>
    <xf numFmtId="4" fontId="0" fillId="8" borderId="9" xfId="0" applyNumberFormat="1" applyFill="1" applyBorder="1"/>
    <xf numFmtId="0" fontId="1" fillId="4" borderId="1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6" borderId="9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1" fontId="0" fillId="0" borderId="9" xfId="0" applyNumberFormat="1" applyBorder="1"/>
    <xf numFmtId="1" fontId="0" fillId="4" borderId="9" xfId="0" applyNumberFormat="1" applyFill="1" applyBorder="1"/>
    <xf numFmtId="1" fontId="0" fillId="7" borderId="9" xfId="0" applyNumberFormat="1" applyFill="1" applyBorder="1"/>
    <xf numFmtId="3" fontId="0" fillId="7" borderId="10" xfId="0" applyNumberFormat="1" applyFill="1" applyBorder="1" applyAlignment="1">
      <alignment horizontal="center"/>
    </xf>
    <xf numFmtId="0" fontId="1" fillId="0" borderId="15" xfId="0" applyFont="1" applyFill="1" applyBorder="1" applyAlignment="1">
      <alignment vertical="center" wrapText="1"/>
    </xf>
    <xf numFmtId="1" fontId="0" fillId="7" borderId="9" xfId="0" applyNumberFormat="1" applyFill="1" applyBorder="1" applyAlignment="1">
      <alignment horizontal="center" vertical="center" wrapText="1"/>
    </xf>
    <xf numFmtId="3" fontId="0" fillId="7" borderId="9" xfId="0" applyNumberFormat="1" applyFill="1" applyBorder="1"/>
    <xf numFmtId="0" fontId="5" fillId="10" borderId="0" xfId="0" applyFont="1" applyFill="1"/>
    <xf numFmtId="166" fontId="1" fillId="12" borderId="9" xfId="0" applyNumberFormat="1" applyFont="1" applyFill="1" applyBorder="1" applyAlignment="1">
      <alignment horizontal="centerContinuous" vertical="center" wrapText="1"/>
    </xf>
    <xf numFmtId="0" fontId="0" fillId="12" borderId="9" xfId="0" applyFill="1" applyBorder="1"/>
    <xf numFmtId="0" fontId="3" fillId="11" borderId="9" xfId="0" applyFont="1" applyFill="1" applyBorder="1"/>
    <xf numFmtId="0" fontId="0" fillId="11" borderId="9" xfId="0" applyFill="1" applyBorder="1" applyAlignment="1">
      <alignment horizontal="center"/>
    </xf>
    <xf numFmtId="164" fontId="0" fillId="11" borderId="9" xfId="0" applyNumberForma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166" fontId="0" fillId="11" borderId="9" xfId="0" applyNumberFormat="1" applyFill="1" applyBorder="1" applyAlignment="1">
      <alignment horizontal="center"/>
    </xf>
    <xf numFmtId="3" fontId="0" fillId="11" borderId="9" xfId="0" applyNumberFormat="1" applyFill="1" applyBorder="1" applyAlignment="1">
      <alignment horizontal="center"/>
    </xf>
    <xf numFmtId="0" fontId="1" fillId="12" borderId="9" xfId="0" applyFont="1" applyFill="1" applyBorder="1" applyAlignment="1">
      <alignment horizontal="center" wrapText="1"/>
    </xf>
    <xf numFmtId="166" fontId="1" fillId="11" borderId="9" xfId="0" applyNumberFormat="1" applyFont="1" applyFill="1" applyBorder="1" applyAlignment="1">
      <alignment horizontal="centerContinuous" vertical="center" wrapText="1"/>
    </xf>
    <xf numFmtId="0" fontId="1" fillId="11" borderId="9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3" fontId="3" fillId="0" borderId="9" xfId="0" applyNumberFormat="1" applyFon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0" fontId="1" fillId="13" borderId="9" xfId="0" applyFont="1" applyFill="1" applyBorder="1" applyAlignment="1">
      <alignment horizontal="center" wrapText="1"/>
    </xf>
    <xf numFmtId="0" fontId="1" fillId="14" borderId="9" xfId="0" applyFont="1" applyFill="1" applyBorder="1" applyAlignment="1">
      <alignment horizontal="center" wrapText="1"/>
    </xf>
    <xf numFmtId="0" fontId="1" fillId="5" borderId="0" xfId="0" applyFont="1" applyFill="1"/>
    <xf numFmtId="10" fontId="0" fillId="0" borderId="9" xfId="0" applyNumberFormat="1" applyBorder="1"/>
    <xf numFmtId="171" fontId="0" fillId="0" borderId="9" xfId="0" applyNumberFormat="1" applyBorder="1" applyAlignment="1">
      <alignment horizontal="center" vertical="center"/>
    </xf>
    <xf numFmtId="166" fontId="0" fillId="0" borderId="9" xfId="0" applyNumberFormat="1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 vertical="center"/>
    </xf>
    <xf numFmtId="171" fontId="3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9" xfId="0" applyFont="1" applyFill="1" applyBorder="1" applyAlignment="1">
      <alignment horizontal="center" wrapText="1"/>
    </xf>
    <xf numFmtId="0" fontId="1" fillId="5" borderId="0" xfId="0" applyFont="1" applyFill="1" applyAlignment="1">
      <alignment vertical="top"/>
    </xf>
    <xf numFmtId="0" fontId="1" fillId="12" borderId="9" xfId="0" applyFont="1" applyFill="1" applyBorder="1" applyAlignment="1">
      <alignment horizontal="center" vertical="top" wrapText="1"/>
    </xf>
    <xf numFmtId="4" fontId="0" fillId="0" borderId="9" xfId="0" applyNumberFormat="1" applyBorder="1" applyAlignment="1">
      <alignment horizontal="center"/>
    </xf>
    <xf numFmtId="2" fontId="1" fillId="9" borderId="15" xfId="0" applyNumberFormat="1" applyFont="1" applyFill="1" applyBorder="1" applyAlignment="1">
      <alignment horizontal="centerContinuous" vertical="center" wrapText="1"/>
    </xf>
    <xf numFmtId="2" fontId="1" fillId="15" borderId="15" xfId="0" applyNumberFormat="1" applyFont="1" applyFill="1" applyBorder="1" applyAlignment="1">
      <alignment horizontal="centerContinuous" vertical="center" wrapText="1"/>
    </xf>
    <xf numFmtId="2" fontId="1" fillId="9" borderId="16" xfId="0" applyNumberFormat="1" applyFont="1" applyFill="1" applyBorder="1" applyAlignment="1">
      <alignment horizontal="centerContinuous" vertical="center" wrapText="1"/>
    </xf>
    <xf numFmtId="0" fontId="1" fillId="7" borderId="15" xfId="0" applyFont="1" applyFill="1" applyBorder="1" applyAlignment="1">
      <alignment horizontal="center" vertical="center" wrapText="1"/>
    </xf>
    <xf numFmtId="2" fontId="1" fillId="16" borderId="16" xfId="0" applyNumberFormat="1" applyFont="1" applyFill="1" applyBorder="1" applyAlignment="1">
      <alignment horizontal="centerContinuous" vertical="center" wrapText="1"/>
    </xf>
    <xf numFmtId="166" fontId="0" fillId="0" borderId="9" xfId="0" applyNumberFormat="1" applyFill="1" applyBorder="1" applyAlignment="1">
      <alignment horizontal="center" vertical="center"/>
    </xf>
    <xf numFmtId="166" fontId="1" fillId="15" borderId="9" xfId="0" applyNumberFormat="1" applyFont="1" applyFill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0" fontId="0" fillId="16" borderId="10" xfId="0" applyFill="1" applyBorder="1"/>
    <xf numFmtId="165" fontId="0" fillId="16" borderId="10" xfId="0" applyNumberFormat="1" applyFill="1" applyBorder="1" applyAlignment="1">
      <alignment horizontal="center"/>
    </xf>
    <xf numFmtId="166" fontId="0" fillId="16" borderId="10" xfId="0" applyNumberFormat="1" applyFill="1" applyBorder="1" applyAlignment="1">
      <alignment horizontal="center"/>
    </xf>
    <xf numFmtId="166" fontId="1" fillId="16" borderId="10" xfId="0" applyNumberFormat="1" applyFont="1" applyFill="1" applyBorder="1" applyAlignment="1">
      <alignment horizontal="center"/>
    </xf>
    <xf numFmtId="166" fontId="0" fillId="16" borderId="7" xfId="0" applyNumberFormat="1" applyFill="1" applyBorder="1" applyAlignment="1">
      <alignment horizontal="center"/>
    </xf>
    <xf numFmtId="0" fontId="0" fillId="16" borderId="0" xfId="0" applyFill="1" applyBorder="1"/>
    <xf numFmtId="165" fontId="0" fillId="16" borderId="0" xfId="0" applyNumberFormat="1" applyFill="1" applyBorder="1" applyAlignment="1">
      <alignment horizontal="center"/>
    </xf>
    <xf numFmtId="166" fontId="0" fillId="16" borderId="0" xfId="0" applyNumberFormat="1" applyFill="1" applyBorder="1" applyAlignment="1">
      <alignment horizontal="center"/>
    </xf>
    <xf numFmtId="166" fontId="1" fillId="16" borderId="0" xfId="0" applyNumberFormat="1" applyFont="1" applyFill="1" applyBorder="1" applyAlignment="1">
      <alignment horizontal="center"/>
    </xf>
    <xf numFmtId="1" fontId="0" fillId="0" borderId="9" xfId="0" applyNumberFormat="1" applyFill="1" applyBorder="1" applyAlignment="1">
      <alignment horizontal="center" vertical="center"/>
    </xf>
    <xf numFmtId="1" fontId="0" fillId="16" borderId="5" xfId="0" applyNumberFormat="1" applyFill="1" applyBorder="1" applyAlignment="1">
      <alignment horizontal="center"/>
    </xf>
    <xf numFmtId="1" fontId="0" fillId="16" borderId="7" xfId="0" applyNumberFormat="1" applyFill="1" applyBorder="1" applyAlignment="1">
      <alignment horizontal="center"/>
    </xf>
    <xf numFmtId="165" fontId="3" fillId="0" borderId="9" xfId="0" applyNumberFormat="1" applyFont="1" applyBorder="1" applyAlignment="1">
      <alignment horizontal="center" vertical="center"/>
    </xf>
    <xf numFmtId="1" fontId="1" fillId="15" borderId="9" xfId="0" applyNumberFormat="1" applyFont="1" applyFill="1" applyBorder="1" applyAlignment="1">
      <alignment horizontal="center" vertical="center"/>
    </xf>
    <xf numFmtId="1" fontId="1" fillId="16" borderId="10" xfId="0" applyNumberFormat="1" applyFont="1" applyFill="1" applyBorder="1" applyAlignment="1">
      <alignment horizontal="center"/>
    </xf>
    <xf numFmtId="1" fontId="0" fillId="0" borderId="5" xfId="0" applyNumberFormat="1" applyBorder="1" applyAlignment="1">
      <alignment horizontal="center" vertical="center"/>
    </xf>
    <xf numFmtId="1" fontId="0" fillId="16" borderId="10" xfId="0" applyNumberFormat="1" applyFill="1" applyBorder="1" applyAlignment="1">
      <alignment horizontal="center"/>
    </xf>
    <xf numFmtId="3" fontId="0" fillId="16" borderId="5" xfId="0" applyNumberFormat="1" applyFill="1" applyBorder="1" applyAlignment="1">
      <alignment horizontal="center"/>
    </xf>
    <xf numFmtId="3" fontId="0" fillId="7" borderId="9" xfId="0" applyNumberFormat="1" applyFill="1" applyBorder="1" applyAlignment="1">
      <alignment horizontal="center" vertical="center"/>
    </xf>
    <xf numFmtId="3" fontId="0" fillId="16" borderId="7" xfId="0" applyNumberFormat="1" applyFill="1" applyBorder="1" applyAlignment="1">
      <alignment horizontal="center"/>
    </xf>
    <xf numFmtId="3" fontId="0" fillId="16" borderId="10" xfId="0" applyNumberFormat="1" applyFill="1" applyBorder="1" applyAlignment="1">
      <alignment horizontal="center"/>
    </xf>
    <xf numFmtId="3" fontId="1" fillId="15" borderId="9" xfId="0" applyNumberFormat="1" applyFont="1" applyFill="1" applyBorder="1" applyAlignment="1">
      <alignment horizontal="center" vertical="center"/>
    </xf>
    <xf numFmtId="3" fontId="1" fillId="16" borderId="10" xfId="0" applyNumberFormat="1" applyFont="1" applyFill="1" applyBorder="1" applyAlignment="1">
      <alignment horizontal="center"/>
    </xf>
    <xf numFmtId="166" fontId="3" fillId="7" borderId="9" xfId="0" applyNumberFormat="1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3" fontId="0" fillId="11" borderId="9" xfId="0" applyNumberFormat="1" applyFill="1" applyBorder="1" applyAlignment="1">
      <alignment horizontal="center" vertical="center"/>
    </xf>
    <xf numFmtId="1" fontId="0" fillId="11" borderId="9" xfId="0" applyNumberFormat="1" applyFill="1" applyBorder="1" applyAlignment="1">
      <alignment horizontal="center" vertical="center"/>
    </xf>
    <xf numFmtId="3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3" fontId="1" fillId="0" borderId="13" xfId="0" applyNumberFormat="1" applyFont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0" fontId="1" fillId="0" borderId="25" xfId="0" applyFont="1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8" xfId="0" applyBorder="1" applyAlignment="1">
      <alignment vertical="center"/>
    </xf>
    <xf numFmtId="0" fontId="5" fillId="10" borderId="47" xfId="0" applyFont="1" applyFill="1" applyBorder="1" applyAlignment="1">
      <alignment horizontal="center" vertical="top" wrapText="1"/>
    </xf>
    <xf numFmtId="0" fontId="0" fillId="0" borderId="47" xfId="0" applyBorder="1" applyAlignment="1">
      <alignment vertical="top" wrapText="1"/>
    </xf>
    <xf numFmtId="0" fontId="1" fillId="12" borderId="37" xfId="0" applyFont="1" applyFill="1" applyBorder="1" applyAlignment="1">
      <alignment horizontal="left" vertical="center" wrapText="1"/>
    </xf>
    <xf numFmtId="0" fontId="1" fillId="12" borderId="46" xfId="0" applyFont="1" applyFill="1" applyBorder="1" applyAlignment="1">
      <alignment horizontal="left" vertical="center" wrapText="1"/>
    </xf>
    <xf numFmtId="0" fontId="0" fillId="12" borderId="46" xfId="0" applyFill="1" applyBorder="1" applyAlignment="1">
      <alignment horizontal="left" vertical="center" wrapText="1"/>
    </xf>
    <xf numFmtId="0" fontId="0" fillId="0" borderId="46" xfId="0" applyBorder="1" applyAlignment="1">
      <alignment horizontal="left"/>
    </xf>
    <xf numFmtId="0" fontId="0" fillId="0" borderId="43" xfId="0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3" fontId="1" fillId="0" borderId="15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25" xfId="0" applyFont="1" applyFill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5" borderId="33" xfId="0" applyFont="1" applyFill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" fillId="5" borderId="33" xfId="0" applyFont="1" applyFill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readingOrder="0"/>
    </dxf>
    <dxf>
      <alignment vertical="top" wrapText="1" readingOrder="0"/>
    </dxf>
    <dxf>
      <alignment horizontal="center" readingOrder="0"/>
    </dxf>
    <dxf>
      <alignment vertical="top" wrapText="1" readingOrder="0"/>
    </dxf>
    <dxf>
      <alignment wrapText="1" readingOrder="0"/>
    </dxf>
    <dxf>
      <alignment horizontal="center" readingOrder="0"/>
    </dxf>
    <dxf>
      <alignment vertical="top" readingOrder="0"/>
    </dxf>
    <dxf>
      <alignment horizontal="center" readingOrder="0"/>
    </dxf>
    <dxf>
      <alignment vertical="top" readingOrder="0"/>
    </dxf>
    <dxf>
      <alignment vertical="top" readingOrder="0"/>
    </dxf>
    <dxf>
      <numFmt numFmtId="2" formatCode="0.00"/>
    </dxf>
    <dxf>
      <numFmt numFmtId="2" formatCode="0.00"/>
    </dxf>
  </dxfs>
  <tableStyles count="0" defaultTableStyle="TableStyleMedium2" defaultPivotStyle="PivotStyleLight16"/>
  <colors>
    <mruColors>
      <color rgb="FFFFFF99"/>
      <color rgb="FFFFFFCC"/>
      <color rgb="FF993366"/>
      <color rgb="FFFF9900"/>
      <color rgb="FF00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2</xdr:col>
      <xdr:colOff>542925</xdr:colOff>
      <xdr:row>24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1175"/>
          <a:ext cx="1762125" cy="1762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18</xdr:row>
      <xdr:rowOff>87630</xdr:rowOff>
    </xdr:from>
    <xdr:to>
      <xdr:col>15</xdr:col>
      <xdr:colOff>744855</xdr:colOff>
      <xdr:row>67</xdr:row>
      <xdr:rowOff>51435</xdr:rowOff>
    </xdr:to>
    <xdr:sp macro="" textlink="">
      <xdr:nvSpPr>
        <xdr:cNvPr id="3" name="WordArt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48575" y="3897630"/>
          <a:ext cx="9965055" cy="929830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 panose="020B0606020202030204" pitchFamily="34" charset="0"/>
            </a:rPr>
            <a:t>Draft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998220</xdr:colOff>
      <xdr:row>3</xdr:row>
      <xdr:rowOff>148590</xdr:rowOff>
    </xdr:from>
    <xdr:to>
      <xdr:col>12</xdr:col>
      <xdr:colOff>956310</xdr:colOff>
      <xdr:row>55</xdr:row>
      <xdr:rowOff>154305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074920" y="1032510"/>
          <a:ext cx="11136630" cy="974407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 panose="020B0606020202030204" pitchFamily="34" charset="0"/>
            </a:rPr>
            <a:t>Draft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ulic_M/Desktop/Drive_E/Basin%20coordination/basin_management/planning/oklawaha/management/allocation/upper%20ocklawaha/source%20loadings%20calculations/UOB_TMDL%20reductions%200923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ulic_M/Desktop/Drive_D/MSOCache/myav3/oran_crk/landuse%20comparison/OCB_allocate_city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priority lake reduction summary"/>
      <sheetName val="prioritylake allocation summary"/>
      <sheetName val="Project Summary"/>
      <sheetName val="De minimis Summary"/>
      <sheetName val="Harris Allocate"/>
      <sheetName val="Trout Allocate"/>
      <sheetName val="Palatlakaha allocate"/>
      <sheetName val="Yale allocation"/>
      <sheetName val="Carlton Allocate"/>
      <sheetName val="Harris Chain education"/>
      <sheetName val="Education_summary"/>
      <sheetName val="education credit scheme"/>
      <sheetName val="Trout Expanded"/>
    </sheetNames>
    <sheetDataSet>
      <sheetData sheetId="0"/>
      <sheetData sheetId="1"/>
      <sheetData sheetId="2"/>
      <sheetData sheetId="3">
        <row r="22">
          <cell r="H22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B_allocate_citys"/>
      <sheetName val="lake acreage"/>
      <sheetName val="Orange"/>
      <sheetName val="Newnans"/>
      <sheetName val="lochloosa Lake"/>
    </sheetNames>
    <sheetDataSet>
      <sheetData sheetId="0">
        <row r="59">
          <cell r="G59">
            <v>65.105504725100005</v>
          </cell>
        </row>
        <row r="81">
          <cell r="G81">
            <v>141.302299844</v>
          </cell>
        </row>
      </sheetData>
      <sheetData sheetId="1"/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OCB_septic_final_summary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y Paulic" refreshedDate="42500.773978124998" createdVersion="5" refreshedVersion="5" minRefreshableVersion="3" recordCount="28">
  <cacheSource type="worksheet">
    <worksheetSource ref="A2:F34" sheet="Orange Lake LU"/>
  </cacheSource>
  <cacheFields count="6">
    <cacheField name="City" numFmtId="0">
      <sharedItems/>
    </cacheField>
    <cacheField name="Land Use Category" numFmtId="0">
      <sharedItems count="5">
        <s v="Communication"/>
        <s v="High Density Residential"/>
        <s v="Low Density Residential"/>
        <s v="Medium Density Residential"/>
        <s v="Urban Open"/>
      </sharedItems>
    </cacheField>
    <cacheField name="Acres" numFmtId="2">
      <sharedItems containsSemiMixedTypes="0" containsString="0" containsNumber="1" minValue="1.4762225196600001" maxValue="6802.71058928"/>
    </cacheField>
    <cacheField name="Portion" numFmtId="168">
      <sharedItems containsSemiMixedTypes="0" containsString="0" containsNumber="1" minValue="1.1902410074551398E-2" maxValue="1"/>
    </cacheField>
    <cacheField name="% of Total Land Use by Major Trib" numFmtId="164">
      <sharedItems containsSemiMixedTypes="0" containsString="0" containsNumber="1" minValue="1.1902410074551398E-2" maxValue="1"/>
    </cacheField>
    <cacheField name="Major Trib" numFmtId="0">
      <sharedItems count="2">
        <s v="Camps Canal/River Styx"/>
        <s v="Orange Lak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ary Paulic" refreshedDate="42514.526612731483" createdVersion="5" refreshedVersion="5" minRefreshableVersion="3" recordCount="37">
  <cacheSource type="worksheet">
    <worksheetSource ref="A2:F42" sheet="Newnans LU"/>
  </cacheSource>
  <cacheFields count="6">
    <cacheField name="City" numFmtId="0">
      <sharedItems/>
    </cacheField>
    <cacheField name="Land Use Category" numFmtId="0">
      <sharedItems count="5">
        <s v="Communication and Transportation"/>
        <s v="High Density Residential"/>
        <s v="Low Density Residential"/>
        <s v="Medium Density Residential"/>
        <s v="Urban Open"/>
      </sharedItems>
    </cacheField>
    <cacheField name="Major Trib" numFmtId="0">
      <sharedItems count="3">
        <s v="Hatchet Creek"/>
        <s v="Little Hatchet Creek"/>
        <s v="Newnans Lake"/>
      </sharedItems>
    </cacheField>
    <cacheField name="Acres" numFmtId="166">
      <sharedItems containsString="0" containsBlank="1" containsNumber="1" minValue="4.7142674067500003" maxValue="1824.76428687" count="37">
        <n v="71.313836428900004"/>
        <n v="59.059930325400003"/>
        <n v="1824.76428687"/>
        <n v="143.71898623000001"/>
        <n v="280.83585518500001"/>
        <n v="5.5591097306900004"/>
        <n v="45.293839656199999"/>
        <n v="65.105504725100005"/>
        <n v="23"/>
        <n v="5.4897800805200001"/>
        <n v="4.7142674067500003"/>
        <n v="99.526304305800011"/>
        <n v="1497.6090124509999"/>
        <n v="402.03383048349997"/>
        <n v="26.675057155499999"/>
        <n v="6.6091997839949999"/>
        <n v="251.2798750707"/>
        <n v="8.1936759395200003"/>
        <m/>
        <n v="55.3130139059"/>
        <n v="1085.9558808436"/>
        <n v="740.25467734799997"/>
        <n v="317.84868935820003"/>
        <n v="527.16177037800003"/>
        <n v="271.89149024099999"/>
        <n v="28.495749959299999"/>
        <n v="244.53974284"/>
        <n v="363.98175425464382"/>
        <n v="543.8309244384975"/>
        <n v="277.79526221499998"/>
        <n v="284.33566276190004"/>
        <n v="119.5176719383"/>
        <n v="169.0308035475"/>
        <n v="5.0860472021499996"/>
        <n v="180.41245039899999"/>
        <n v="23.9746862545"/>
        <n v="4.9444967284599999"/>
      </sharedItems>
    </cacheField>
    <cacheField name="Portion" numFmtId="167">
      <sharedItems containsString="0" containsBlank="1" containsNumber="1" minValue="4.0695689450241917E-3" maxValue="0.98020854084838838"/>
    </cacheField>
    <cacheField name="% of Total Land Use by Major Trib" numFmtId="164">
      <sharedItems containsString="0" containsBlank="1" containsNumber="1" minValue="4.0695689450241917E-3" maxValue="0.980208540848388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Mary Paulic" refreshedDate="42604.923095486112" createdVersion="6" refreshedVersion="6" minRefreshableVersion="3" recordCount="86">
  <cacheSource type="worksheet">
    <worksheetSource ref="A1:E87" sheet="OCB_septic_final_summary" r:id="rId2"/>
  </cacheSource>
  <cacheFields count="5">
    <cacheField name="MODEL_SEGM" numFmtId="1">
      <sharedItems count="7">
        <s v="Lochloosa Lake"/>
        <s v="Camps Canal and River Styx"/>
        <s v="Hatchett Creek"/>
        <s v="Little Hatchett Creek"/>
        <s v="Newnans Lake"/>
        <s v="Not modeled"/>
        <s v="Orange Lake"/>
      </sharedItems>
    </cacheField>
    <cacheField name="NAMELSAD10" numFmtId="1">
      <sharedItems count="8">
        <s v="ALACHUA"/>
        <s v="Hawthorne city"/>
        <s v="Micanopy town"/>
        <s v="Waldo city"/>
        <s v="City of Gainesville"/>
        <s v="MARION"/>
        <s v="McIntosh town"/>
        <s v="Reddick town"/>
      </sharedItems>
    </cacheField>
    <cacheField name="WW" numFmtId="1">
      <sharedItems count="3">
        <s v="KnownSeptic"/>
        <s v="LikelySeptic"/>
        <s v="SWLSeptic"/>
      </sharedItems>
    </cacheField>
    <cacheField name="FREQUENCY" numFmtId="1">
      <sharedItems containsSemiMixedTypes="0" containsString="0" containsNumber="1" containsInteger="1" minValue="1" maxValue="2807"/>
    </cacheField>
    <cacheField name="COUNT_WW" numFmtId="1">
      <sharedItems containsSemiMixedTypes="0" containsString="0" containsNumber="1" containsInteger="1" minValue="1" maxValue="28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">
  <r>
    <s v="Alachua County"/>
    <x v="0"/>
    <n v="1.4762225196600001"/>
    <n v="5.1007345843512998E-2"/>
    <n v="5.1007345843512998E-2"/>
    <x v="0"/>
  </r>
  <r>
    <s v="Alachua County"/>
    <x v="1"/>
    <n v="5.4685365097199998"/>
    <n v="0.15852974166408262"/>
    <n v="0.15852974166408262"/>
    <x v="0"/>
  </r>
  <r>
    <s v="Alachua County"/>
    <x v="2"/>
    <n v="254.372283571"/>
    <n v="0.75780365563429364"/>
    <n v="0.75780365563429364"/>
    <x v="0"/>
  </r>
  <r>
    <s v="Alachua County"/>
    <x v="1"/>
    <n v="13.948468413400001"/>
    <n v="2.6589464898671488E-2"/>
    <n v="2.6589464898671488E-2"/>
    <x v="1"/>
  </r>
  <r>
    <s v="Alachua County"/>
    <x v="2"/>
    <n v="698.06436099500002"/>
    <n v="8.5321331776393575E-2"/>
    <n v="8.5321331776393575E-2"/>
    <x v="1"/>
  </r>
  <r>
    <s v="Alachua County"/>
    <x v="3"/>
    <n v="15.9160712459"/>
    <n v="3.935931749427115E-2"/>
    <n v="3.935931749427115E-2"/>
    <x v="1"/>
  </r>
  <r>
    <s v="Alachua County"/>
    <x v="4"/>
    <n v="15.1348113916"/>
    <n v="6.9518872620398409E-2"/>
    <n v="6.9518872620398409E-2"/>
    <x v="1"/>
  </r>
  <r>
    <s v="FDOT, 2"/>
    <x v="0"/>
    <n v="27.465148478"/>
    <n v="0.94899265415856016"/>
    <n v="0.94899265415856016"/>
    <x v="0"/>
  </r>
  <r>
    <s v="FDOT, 2"/>
    <x v="0"/>
    <n v="72.549159808200002"/>
    <n v="8.9812159962319449E-2"/>
    <n v="8.9812159962319449E-2"/>
    <x v="1"/>
  </r>
  <r>
    <s v="FDOT, 5"/>
    <x v="0"/>
    <n v="689.07791322599996"/>
    <n v="0.85304331480569162"/>
    <n v="0.85304331480569162"/>
    <x v="1"/>
  </r>
  <r>
    <s v="Marion County"/>
    <x v="0"/>
    <n v="46.160645674199998"/>
    <n v="5.7144525232483999E-2"/>
    <n v="5.7144525232483999E-2"/>
    <x v="1"/>
  </r>
  <r>
    <s v="Marion County"/>
    <x v="1"/>
    <n v="458.04242434600002"/>
    <n v="0.87314984006058682"/>
    <n v="0.87314984006058682"/>
    <x v="1"/>
  </r>
  <r>
    <s v="Marion County"/>
    <x v="2"/>
    <n v="6802.71058928"/>
    <n v="0.83146534846648901"/>
    <n v="0.83146534846648901"/>
    <x v="1"/>
  </r>
  <r>
    <s v="Marion County"/>
    <x v="3"/>
    <n v="247.84207916700001"/>
    <n v="0.61289591706792046"/>
    <n v="0.61289591706792046"/>
    <x v="1"/>
  </r>
  <r>
    <s v="Marion County"/>
    <x v="4"/>
    <n v="191.95335717"/>
    <n v="0.88170117491952094"/>
    <n v="0.88170117491952094"/>
    <x v="1"/>
  </r>
  <r>
    <s v="McIntosh"/>
    <x v="1"/>
    <n v="30.963419394599999"/>
    <n v="5.9024455498256204E-2"/>
    <n v="5.9024455498256204E-2"/>
    <x v="1"/>
  </r>
  <r>
    <s v="McIntosh"/>
    <x v="2"/>
    <n v="190.45342905800001"/>
    <n v="2.3278283660617714E-2"/>
    <n v="2.3278283660617714E-2"/>
    <x v="1"/>
  </r>
  <r>
    <s v="McIntosh"/>
    <x v="3"/>
    <n v="85.589215754799994"/>
    <n v="0.21165607171095302"/>
    <n v="0.21165607171095302"/>
    <x v="1"/>
  </r>
  <r>
    <s v="McIntosh"/>
    <x v="4"/>
    <n v="6.6737480405699996"/>
    <n v="3.0654590131894068E-2"/>
    <n v="3.0654590131894068E-2"/>
    <x v="1"/>
  </r>
  <r>
    <s v="Micanopy"/>
    <x v="1"/>
    <n v="29.026798260300001"/>
    <n v="0.84147025833359823"/>
    <n v="0.84147025833359823"/>
    <x v="0"/>
  </r>
  <r>
    <s v="Micanopy"/>
    <x v="2"/>
    <n v="81.2981525366"/>
    <n v="0.2421963443645147"/>
    <n v="0.2421963443645147"/>
    <x v="0"/>
  </r>
  <r>
    <s v="Micanopy"/>
    <x v="3"/>
    <n v="49.0356364258"/>
    <n v="1"/>
    <n v="1"/>
    <x v="0"/>
  </r>
  <r>
    <s v="Micanopy"/>
    <x v="1"/>
    <n v="7.9677841797499998"/>
    <n v="1.5188701116756589E-2"/>
    <n v="1.5188701116756589E-2"/>
    <x v="1"/>
  </r>
  <r>
    <s v="Micanopy"/>
    <x v="2"/>
    <n v="97.380667999500005"/>
    <n v="1.1902410074551398E-2"/>
    <n v="1.1902410074551398E-2"/>
    <x v="1"/>
  </r>
  <r>
    <s v="Micanopy"/>
    <x v="3"/>
    <n v="55.031374603000003"/>
    <n v="0.13608869372858651"/>
    <n v="0.13608869372858651"/>
    <x v="1"/>
  </r>
  <r>
    <s v="Micanopy"/>
    <x v="4"/>
    <n v="3.94603551364"/>
    <n v="1.8125362327313876E-2"/>
    <n v="1.8125362327313876E-2"/>
    <x v="1"/>
  </r>
  <r>
    <s v="Reddick"/>
    <x v="1"/>
    <n v="13.6641812224"/>
    <n v="2.6047538426014847E-2"/>
    <n v="2.6047538426014847E-2"/>
    <x v="1"/>
  </r>
  <r>
    <s v="Reddick"/>
    <x v="2"/>
    <n v="392.983368794"/>
    <n v="4.8032626022742719E-2"/>
    <n v="4.8032626022742719E-2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7">
  <r>
    <s v="Alachua County"/>
    <x v="0"/>
    <x v="0"/>
    <x v="0"/>
    <n v="0.19685886531001281"/>
    <n v="0.19685886531001281"/>
  </r>
  <r>
    <s v="Alachua County"/>
    <x v="1"/>
    <x v="0"/>
    <x v="1"/>
    <n v="0.18664450066775765"/>
    <n v="0.18664450066775765"/>
  </r>
  <r>
    <s v="Alachua County"/>
    <x v="2"/>
    <x v="0"/>
    <x v="2"/>
    <n v="0.9063092229481553"/>
    <n v="0.9063092229481553"/>
  </r>
  <r>
    <s v="Alachua County"/>
    <x v="3"/>
    <x v="0"/>
    <x v="3"/>
    <n v="0.85703285103496285"/>
    <n v="0.85703285103496285"/>
  </r>
  <r>
    <s v="Alachua County"/>
    <x v="4"/>
    <x v="0"/>
    <x v="4"/>
    <n v="0.82334012715347216"/>
    <n v="0.82334012715347216"/>
  </r>
  <r>
    <s v="Alachua County"/>
    <x v="0"/>
    <x v="1"/>
    <x v="5"/>
    <n v="4.5899249383670347E-3"/>
    <n v="4.5899249383670347E-3"/>
  </r>
  <r>
    <s v="Alachua County"/>
    <x v="1"/>
    <x v="1"/>
    <x v="6"/>
    <n v="5.529536099795937E-2"/>
    <n v="5.529536099795937E-2"/>
  </r>
  <r>
    <s v="Alachua County"/>
    <x v="2"/>
    <x v="1"/>
    <x v="7"/>
    <n v="0.12418635816467621"/>
    <n v="0.12418635816467621"/>
  </r>
  <r>
    <s v="Alachua County"/>
    <x v="3"/>
    <x v="1"/>
    <x v="8"/>
    <m/>
    <n v="4.2000000000000003E-2"/>
  </r>
  <r>
    <s v="Alachua County"/>
    <x v="4"/>
    <x v="1"/>
    <x v="9"/>
    <n v="1.9800000000000002E-2"/>
    <n v="1.9800000000000002E-2"/>
  </r>
  <r>
    <s v="Alachua County"/>
    <x v="0"/>
    <x v="2"/>
    <x v="10"/>
    <n v="2.3235595907876615E-2"/>
    <n v="2.3235595907876615E-2"/>
  </r>
  <r>
    <s v="Alachua County"/>
    <x v="1"/>
    <x v="2"/>
    <x v="11"/>
    <n v="0.28926511386799902"/>
    <n v="0.28926511386799902"/>
  </r>
  <r>
    <s v="Alachua County"/>
    <x v="2"/>
    <x v="2"/>
    <x v="12"/>
    <n v="0.80447810508736717"/>
    <n v="0.80447810508736717"/>
  </r>
  <r>
    <s v="Alachua County"/>
    <x v="3"/>
    <x v="2"/>
    <x v="13"/>
    <n v="0.42504367394115811"/>
    <n v="0.42504367394115811"/>
  </r>
  <r>
    <s v="Alachua County"/>
    <x v="4"/>
    <x v="2"/>
    <x v="14"/>
    <n v="8.7611354731086888E-2"/>
    <n v="8.7611354731086888E-2"/>
  </r>
  <r>
    <s v="Gainesville"/>
    <x v="0"/>
    <x v="0"/>
    <x v="15"/>
    <n v="1.8244419810195117E-2"/>
    <n v="1.8244419810195117E-2"/>
  </r>
  <r>
    <s v="Gainesville"/>
    <x v="1"/>
    <x v="0"/>
    <x v="16"/>
    <n v="0.79410873924206038"/>
    <n v="0.79410873924206038"/>
  </r>
  <r>
    <s v="Gainesville"/>
    <x v="2"/>
    <x v="0"/>
    <x v="17"/>
    <n v="4.0695689450241917E-3"/>
    <n v="4.0695689450241917E-3"/>
  </r>
  <r>
    <s v="Gainesville"/>
    <x v="3"/>
    <x v="0"/>
    <x v="18"/>
    <m/>
    <m/>
  </r>
  <r>
    <s v="Gainesville"/>
    <x v="4"/>
    <x v="0"/>
    <x v="19"/>
    <n v="0.16216385145167866"/>
    <n v="0.16216385145167866"/>
  </r>
  <r>
    <s v="Gainesville"/>
    <x v="0"/>
    <x v="1"/>
    <x v="20"/>
    <n v="0.89662845687913872"/>
    <n v="0.89662845687913872"/>
  </r>
  <r>
    <s v="Gainesville"/>
    <x v="1"/>
    <x v="1"/>
    <x v="21"/>
    <n v="0.90371339513457594"/>
    <n v="0.90371339513457594"/>
  </r>
  <r>
    <s v="Gainesville"/>
    <x v="2"/>
    <x v="1"/>
    <x v="22"/>
    <n v="0.60628469659329121"/>
    <n v="0.60628469659329121"/>
  </r>
  <r>
    <s v="Gainesville"/>
    <x v="3"/>
    <x v="1"/>
    <x v="23"/>
    <n v="0.95813058419649066"/>
    <n v="0.95813058419649066"/>
  </r>
  <r>
    <s v="Gainesville"/>
    <x v="4"/>
    <x v="1"/>
    <x v="24"/>
    <n v="0.98020854084838838"/>
    <n v="0.98020854084838838"/>
  </r>
  <r>
    <s v="Gainesville"/>
    <x v="0"/>
    <x v="2"/>
    <x v="25"/>
    <n v="0.14044933687854727"/>
    <n v="0.14044933687854727"/>
  </r>
  <r>
    <s v="Gainesville"/>
    <x v="1"/>
    <x v="2"/>
    <x v="26"/>
    <n v="0.71073488613141966"/>
    <n v="0.71073488613141966"/>
  </r>
  <r>
    <s v="Gainesville"/>
    <x v="2"/>
    <x v="2"/>
    <x v="27"/>
    <n v="0.19552189491029268"/>
    <n v="0.19552189491029268"/>
  </r>
  <r>
    <s v="Gainesville"/>
    <x v="3"/>
    <x v="2"/>
    <x v="28"/>
    <n v="0.57495632605883928"/>
    <n v="0.57495632605883928"/>
  </r>
  <r>
    <s v="Gainesville"/>
    <x v="4"/>
    <x v="2"/>
    <x v="29"/>
    <n v="0.91238864526727081"/>
    <n v="0.91238864526727081"/>
  </r>
  <r>
    <s v="FDOT"/>
    <x v="0"/>
    <x v="0"/>
    <x v="30"/>
    <n v="0.7848967148792263"/>
    <n v="0.7848967148792263"/>
  </r>
  <r>
    <s v="FDOT"/>
    <x v="0"/>
    <x v="1"/>
    <x v="31"/>
    <n v="9.8680754577780805E-2"/>
    <n v="9.8680754577780805E-2"/>
  </r>
  <r>
    <s v="FDOT"/>
    <x v="0"/>
    <x v="2"/>
    <x v="32"/>
    <n v="0.83311596656351183"/>
    <n v="0.83311596656351183"/>
  </r>
  <r>
    <s v="Waldo"/>
    <x v="1"/>
    <x v="0"/>
    <x v="33"/>
    <n v="1.607321131582292E-2"/>
    <n v="1.607321131582292E-2"/>
  </r>
  <r>
    <s v="Waldo"/>
    <x v="2"/>
    <x v="0"/>
    <x v="34"/>
    <n v="8.9605802189255068E-2"/>
    <n v="8.9605802189255068E-2"/>
  </r>
  <r>
    <s v="Waldo"/>
    <x v="3"/>
    <x v="0"/>
    <x v="35"/>
    <n v="0.1429671489644411"/>
    <n v="0.1429671489644411"/>
  </r>
  <r>
    <s v="Waldo"/>
    <x v="4"/>
    <x v="0"/>
    <x v="36"/>
    <n v="1.4496021394555974E-2"/>
    <n v="1.4496021394555974E-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86">
  <r>
    <x v="0"/>
    <x v="0"/>
    <x v="0"/>
    <n v="13"/>
    <n v="13"/>
  </r>
  <r>
    <x v="0"/>
    <x v="0"/>
    <x v="1"/>
    <n v="30"/>
    <n v="30"/>
  </r>
  <r>
    <x v="0"/>
    <x v="0"/>
    <x v="2"/>
    <n v="6"/>
    <n v="6"/>
  </r>
  <r>
    <x v="0"/>
    <x v="0"/>
    <x v="0"/>
    <n v="18"/>
    <n v="18"/>
  </r>
  <r>
    <x v="0"/>
    <x v="0"/>
    <x v="1"/>
    <n v="100"/>
    <n v="100"/>
  </r>
  <r>
    <x v="0"/>
    <x v="0"/>
    <x v="2"/>
    <n v="21"/>
    <n v="21"/>
  </r>
  <r>
    <x v="0"/>
    <x v="0"/>
    <x v="0"/>
    <n v="10"/>
    <n v="10"/>
  </r>
  <r>
    <x v="0"/>
    <x v="0"/>
    <x v="1"/>
    <n v="95"/>
    <n v="95"/>
  </r>
  <r>
    <x v="0"/>
    <x v="0"/>
    <x v="2"/>
    <n v="17"/>
    <n v="17"/>
  </r>
  <r>
    <x v="0"/>
    <x v="0"/>
    <x v="0"/>
    <n v="32"/>
    <n v="32"/>
  </r>
  <r>
    <x v="0"/>
    <x v="0"/>
    <x v="1"/>
    <n v="98"/>
    <n v="98"/>
  </r>
  <r>
    <x v="0"/>
    <x v="0"/>
    <x v="2"/>
    <n v="28"/>
    <n v="28"/>
  </r>
  <r>
    <x v="0"/>
    <x v="0"/>
    <x v="0"/>
    <n v="9"/>
    <n v="9"/>
  </r>
  <r>
    <x v="0"/>
    <x v="0"/>
    <x v="1"/>
    <n v="80"/>
    <n v="80"/>
  </r>
  <r>
    <x v="0"/>
    <x v="0"/>
    <x v="2"/>
    <n v="23"/>
    <n v="23"/>
  </r>
  <r>
    <x v="0"/>
    <x v="1"/>
    <x v="1"/>
    <n v="1"/>
    <n v="1"/>
  </r>
  <r>
    <x v="0"/>
    <x v="1"/>
    <x v="2"/>
    <n v="1"/>
    <n v="1"/>
  </r>
  <r>
    <x v="0"/>
    <x v="0"/>
    <x v="0"/>
    <n v="14"/>
    <n v="14"/>
  </r>
  <r>
    <x v="0"/>
    <x v="0"/>
    <x v="1"/>
    <n v="84"/>
    <n v="84"/>
  </r>
  <r>
    <x v="0"/>
    <x v="0"/>
    <x v="2"/>
    <n v="18"/>
    <n v="18"/>
  </r>
  <r>
    <x v="0"/>
    <x v="0"/>
    <x v="0"/>
    <n v="1"/>
    <n v="1"/>
  </r>
  <r>
    <x v="0"/>
    <x v="0"/>
    <x v="1"/>
    <n v="41"/>
    <n v="41"/>
  </r>
  <r>
    <x v="0"/>
    <x v="0"/>
    <x v="2"/>
    <n v="4"/>
    <n v="4"/>
  </r>
  <r>
    <x v="0"/>
    <x v="1"/>
    <x v="0"/>
    <n v="4"/>
    <n v="4"/>
  </r>
  <r>
    <x v="0"/>
    <x v="1"/>
    <x v="1"/>
    <n v="101"/>
    <n v="101"/>
  </r>
  <r>
    <x v="0"/>
    <x v="1"/>
    <x v="2"/>
    <n v="1"/>
    <n v="1"/>
  </r>
  <r>
    <x v="0"/>
    <x v="0"/>
    <x v="0"/>
    <n v="18"/>
    <n v="18"/>
  </r>
  <r>
    <x v="0"/>
    <x v="0"/>
    <x v="1"/>
    <n v="31"/>
    <n v="31"/>
  </r>
  <r>
    <x v="0"/>
    <x v="0"/>
    <x v="2"/>
    <n v="18"/>
    <n v="18"/>
  </r>
  <r>
    <x v="0"/>
    <x v="0"/>
    <x v="0"/>
    <n v="3"/>
    <n v="3"/>
  </r>
  <r>
    <x v="0"/>
    <x v="0"/>
    <x v="1"/>
    <n v="5"/>
    <n v="5"/>
  </r>
  <r>
    <x v="0"/>
    <x v="0"/>
    <x v="2"/>
    <n v="1"/>
    <n v="1"/>
  </r>
  <r>
    <x v="0"/>
    <x v="0"/>
    <x v="0"/>
    <n v="1"/>
    <n v="1"/>
  </r>
  <r>
    <x v="0"/>
    <x v="0"/>
    <x v="1"/>
    <n v="3"/>
    <n v="3"/>
  </r>
  <r>
    <x v="0"/>
    <x v="0"/>
    <x v="0"/>
    <n v="21"/>
    <n v="21"/>
  </r>
  <r>
    <x v="0"/>
    <x v="0"/>
    <x v="1"/>
    <n v="137"/>
    <n v="137"/>
  </r>
  <r>
    <x v="0"/>
    <x v="0"/>
    <x v="2"/>
    <n v="21"/>
    <n v="21"/>
  </r>
  <r>
    <x v="0"/>
    <x v="0"/>
    <x v="0"/>
    <n v="11"/>
    <n v="11"/>
  </r>
  <r>
    <x v="0"/>
    <x v="0"/>
    <x v="1"/>
    <n v="85"/>
    <n v="85"/>
  </r>
  <r>
    <x v="0"/>
    <x v="0"/>
    <x v="2"/>
    <n v="8"/>
    <n v="8"/>
  </r>
  <r>
    <x v="1"/>
    <x v="0"/>
    <x v="0"/>
    <n v="11"/>
    <n v="11"/>
  </r>
  <r>
    <x v="1"/>
    <x v="0"/>
    <x v="1"/>
    <n v="86"/>
    <n v="86"/>
  </r>
  <r>
    <x v="1"/>
    <x v="0"/>
    <x v="2"/>
    <n v="8"/>
    <n v="8"/>
  </r>
  <r>
    <x v="1"/>
    <x v="2"/>
    <x v="0"/>
    <n v="19"/>
    <n v="19"/>
  </r>
  <r>
    <x v="1"/>
    <x v="2"/>
    <x v="1"/>
    <n v="108"/>
    <n v="108"/>
  </r>
  <r>
    <x v="1"/>
    <x v="2"/>
    <x v="2"/>
    <n v="6"/>
    <n v="6"/>
  </r>
  <r>
    <x v="2"/>
    <x v="0"/>
    <x v="0"/>
    <n v="34"/>
    <n v="34"/>
  </r>
  <r>
    <x v="2"/>
    <x v="0"/>
    <x v="1"/>
    <n v="180"/>
    <n v="180"/>
  </r>
  <r>
    <x v="2"/>
    <x v="0"/>
    <x v="2"/>
    <n v="38"/>
    <n v="38"/>
  </r>
  <r>
    <x v="2"/>
    <x v="3"/>
    <x v="0"/>
    <n v="8"/>
    <n v="8"/>
  </r>
  <r>
    <x v="2"/>
    <x v="3"/>
    <x v="1"/>
    <n v="35"/>
    <n v="35"/>
  </r>
  <r>
    <x v="3"/>
    <x v="0"/>
    <x v="0"/>
    <n v="25"/>
    <n v="25"/>
  </r>
  <r>
    <x v="3"/>
    <x v="0"/>
    <x v="1"/>
    <n v="101"/>
    <n v="101"/>
  </r>
  <r>
    <x v="3"/>
    <x v="0"/>
    <x v="2"/>
    <n v="15"/>
    <n v="15"/>
  </r>
  <r>
    <x v="3"/>
    <x v="4"/>
    <x v="1"/>
    <n v="3"/>
    <n v="3"/>
  </r>
  <r>
    <x v="3"/>
    <x v="4"/>
    <x v="2"/>
    <n v="1"/>
    <n v="1"/>
  </r>
  <r>
    <x v="4"/>
    <x v="0"/>
    <x v="0"/>
    <n v="235"/>
    <n v="235"/>
  </r>
  <r>
    <x v="4"/>
    <x v="0"/>
    <x v="1"/>
    <n v="916"/>
    <n v="916"/>
  </r>
  <r>
    <x v="4"/>
    <x v="0"/>
    <x v="2"/>
    <n v="211"/>
    <n v="211"/>
  </r>
  <r>
    <x v="4"/>
    <x v="4"/>
    <x v="0"/>
    <n v="2"/>
    <n v="2"/>
  </r>
  <r>
    <x v="4"/>
    <x v="4"/>
    <x v="1"/>
    <n v="93"/>
    <n v="93"/>
  </r>
  <r>
    <x v="4"/>
    <x v="4"/>
    <x v="2"/>
    <n v="6"/>
    <n v="6"/>
  </r>
  <r>
    <x v="5"/>
    <x v="0"/>
    <x v="0"/>
    <n v="10"/>
    <n v="10"/>
  </r>
  <r>
    <x v="5"/>
    <x v="0"/>
    <x v="1"/>
    <n v="71"/>
    <n v="71"/>
  </r>
  <r>
    <x v="5"/>
    <x v="0"/>
    <x v="2"/>
    <n v="7"/>
    <n v="7"/>
  </r>
  <r>
    <x v="6"/>
    <x v="0"/>
    <x v="0"/>
    <n v="44"/>
    <n v="44"/>
  </r>
  <r>
    <x v="6"/>
    <x v="0"/>
    <x v="1"/>
    <n v="198"/>
    <n v="198"/>
  </r>
  <r>
    <x v="6"/>
    <x v="0"/>
    <x v="2"/>
    <n v="34"/>
    <n v="34"/>
  </r>
  <r>
    <x v="6"/>
    <x v="5"/>
    <x v="0"/>
    <n v="2807"/>
    <n v="2807"/>
  </r>
  <r>
    <x v="6"/>
    <x v="5"/>
    <x v="1"/>
    <n v="16"/>
    <n v="16"/>
  </r>
  <r>
    <x v="6"/>
    <x v="6"/>
    <x v="0"/>
    <n v="226"/>
    <n v="226"/>
  </r>
  <r>
    <x v="6"/>
    <x v="6"/>
    <x v="1"/>
    <n v="5"/>
    <n v="5"/>
  </r>
  <r>
    <x v="6"/>
    <x v="2"/>
    <x v="0"/>
    <n v="10"/>
    <n v="10"/>
  </r>
  <r>
    <x v="6"/>
    <x v="2"/>
    <x v="1"/>
    <n v="100"/>
    <n v="100"/>
  </r>
  <r>
    <x v="6"/>
    <x v="2"/>
    <x v="2"/>
    <n v="9"/>
    <n v="9"/>
  </r>
  <r>
    <x v="6"/>
    <x v="7"/>
    <x v="0"/>
    <n v="240"/>
    <n v="240"/>
  </r>
  <r>
    <x v="6"/>
    <x v="7"/>
    <x v="1"/>
    <n v="7"/>
    <n v="7"/>
  </r>
  <r>
    <x v="2"/>
    <x v="0"/>
    <x v="0"/>
    <n v="108"/>
    <n v="108"/>
  </r>
  <r>
    <x v="2"/>
    <x v="0"/>
    <x v="1"/>
    <n v="363"/>
    <n v="363"/>
  </r>
  <r>
    <x v="2"/>
    <x v="0"/>
    <x v="2"/>
    <n v="116"/>
    <n v="116"/>
  </r>
  <r>
    <x v="2"/>
    <x v="4"/>
    <x v="0"/>
    <n v="2"/>
    <n v="2"/>
  </r>
  <r>
    <x v="2"/>
    <x v="4"/>
    <x v="1"/>
    <n v="13"/>
    <n v="13"/>
  </r>
  <r>
    <x v="3"/>
    <x v="0"/>
    <x v="1"/>
    <n v="1"/>
    <n v="1"/>
  </r>
  <r>
    <x v="3"/>
    <x v="4"/>
    <x v="0"/>
    <n v="11"/>
    <n v="11"/>
  </r>
  <r>
    <x v="3"/>
    <x v="4"/>
    <x v="1"/>
    <n v="133"/>
    <n v="133"/>
  </r>
  <r>
    <x v="3"/>
    <x v="4"/>
    <x v="2"/>
    <n v="11"/>
    <n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0:D47" firstHeaderRow="1" firstDataRow="2" firstDataCol="1"/>
  <pivotFields count="6"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dataField="1" numFmtId="2" showAll="0"/>
    <pivotField numFmtId="168" showAll="0"/>
    <pivotField numFmtId="164" showAll="0"/>
    <pivotField axis="axisCol" showAll="0">
      <items count="3">
        <item x="0"/>
        <item x="1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5"/>
  </colFields>
  <colItems count="3">
    <i>
      <x/>
    </i>
    <i>
      <x v="1"/>
    </i>
    <i t="grand">
      <x/>
    </i>
  </colItems>
  <dataFields count="1">
    <dataField name="Sum of Acres" fld="2" baseField="0" baseItem="0" numFmtId="2"/>
  </dataFields>
  <formats count="1">
    <format dxfId="1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grandTotalCaption="Grand Total Acres" updatedVersion="5" minRefreshableVersion="3" useAutoFormatting="1" itemPrintTitles="1" createdVersion="5" indent="0" outline="1" outlineData="1" multipleFieldFilters="0">
  <location ref="A47:E54" firstHeaderRow="1" firstDataRow="2" firstDataCol="1"/>
  <pivotFields count="6"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axis="axisCol" showAll="0">
      <items count="4">
        <item n="Hatchet Creek 2009 Acres" x="0"/>
        <item n="Little Hatchet Creek 2009 Acres" x="1"/>
        <item n="Newnans Lake 2009 Acres" x="2"/>
        <item t="default"/>
      </items>
    </pivotField>
    <pivotField dataField="1" showAll="0">
      <items count="38">
        <item x="10"/>
        <item x="36"/>
        <item x="33"/>
        <item x="9"/>
        <item x="5"/>
        <item x="15"/>
        <item x="17"/>
        <item x="8"/>
        <item x="35"/>
        <item x="14"/>
        <item x="25"/>
        <item x="6"/>
        <item x="19"/>
        <item x="1"/>
        <item x="7"/>
        <item x="0"/>
        <item x="11"/>
        <item x="31"/>
        <item x="3"/>
        <item x="32"/>
        <item x="34"/>
        <item x="26"/>
        <item x="16"/>
        <item x="24"/>
        <item x="29"/>
        <item x="4"/>
        <item x="30"/>
        <item x="22"/>
        <item x="27"/>
        <item x="13"/>
        <item x="23"/>
        <item x="28"/>
        <item x="21"/>
        <item x="20"/>
        <item x="12"/>
        <item x="2"/>
        <item x="18"/>
        <item t="default"/>
      </items>
    </pivotField>
    <pivotField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um of Acres" fld="3" baseField="1" baseItem="0" numFmtId="2"/>
  </dataFields>
  <formats count="17">
    <format dxfId="16">
      <pivotArea outline="0" collapsedLevelsAreSubtotals="1" fieldPosition="0"/>
    </format>
    <format dxfId="15">
      <pivotArea collapsedLevelsAreSubtotals="1" fieldPosition="0">
        <references count="2">
          <reference field="1" count="1">
            <x v="0"/>
          </reference>
          <reference field="2" count="1" selected="0">
            <x v="0"/>
          </reference>
        </references>
      </pivotArea>
    </format>
    <format dxfId="14">
      <pivotArea dataOnly="0" labelOnly="1" fieldPosition="0">
        <references count="1">
          <reference field="2" count="1">
            <x v="0"/>
          </reference>
        </references>
      </pivotArea>
    </format>
    <format dxfId="13">
      <pivotArea dataOnly="0" labelOnly="1" fieldPosition="0">
        <references count="1">
          <reference field="2" count="1">
            <x v="0"/>
          </reference>
        </references>
      </pivotArea>
    </format>
    <format dxfId="12">
      <pivotArea dataOnly="0" labelOnly="1" fieldPosition="0">
        <references count="1">
          <reference field="2" count="1">
            <x v="1"/>
          </reference>
        </references>
      </pivotArea>
    </format>
    <format dxfId="11">
      <pivotArea dataOnly="0" labelOnly="1" fieldPosition="0">
        <references count="1">
          <reference field="2" count="1">
            <x v="1"/>
          </reference>
        </references>
      </pivotArea>
    </format>
    <format dxfId="10">
      <pivotArea dataOnly="0" labelOnly="1" fieldPosition="0">
        <references count="1">
          <reference field="2" count="1">
            <x v="1"/>
          </reference>
        </references>
      </pivotArea>
    </format>
    <format dxfId="9">
      <pivotArea dataOnly="0" labelOnly="1" fieldPosition="0">
        <references count="1">
          <reference field="2" count="1">
            <x v="2"/>
          </reference>
        </references>
      </pivotArea>
    </format>
    <format dxfId="8">
      <pivotArea dataOnly="0" labelOnly="1" fieldPosition="0">
        <references count="1">
          <reference field="2" count="1">
            <x v="2"/>
          </reference>
        </references>
      </pivotArea>
    </format>
    <format dxfId="7">
      <pivotArea dataOnly="0" labelOnly="1" grandCol="1" outline="0" fieldPosition="0"/>
    </format>
    <format dxfId="6">
      <pivotArea dataOnly="0" labelOnly="1" grandCol="1" outline="0" fieldPosition="0"/>
    </format>
    <format dxfId="5">
      <pivotArea type="origin" dataOnly="0" labelOnly="1" outline="0" fieldPosition="0"/>
    </format>
    <format dxfId="4">
      <pivotArea field="2" type="button" dataOnly="0" labelOnly="1" outline="0" axis="axisCol" fieldPosition="0"/>
    </format>
    <format dxfId="3">
      <pivotArea type="topRight" dataOnly="0" labelOnly="1" outline="0" fieldPosition="0"/>
    </format>
    <format dxfId="2">
      <pivotArea field="1" type="button" dataOnly="0" labelOnly="1" outline="0" axis="axisRow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:I32" firstHeaderRow="1" firstDataRow="2" firstDataCol="1"/>
  <pivotFields count="5">
    <pivotField axis="axisCol" showAll="0">
      <items count="8">
        <item x="1"/>
        <item x="2"/>
        <item x="3"/>
        <item x="0"/>
        <item x="4"/>
        <item x="5"/>
        <item x="6"/>
        <item t="default"/>
      </items>
    </pivotField>
    <pivotField axis="axisRow" showAll="0">
      <items count="9">
        <item x="0"/>
        <item x="4"/>
        <item x="1"/>
        <item x="5"/>
        <item x="6"/>
        <item x="2"/>
        <item x="7"/>
        <item x="3"/>
        <item t="default"/>
      </items>
    </pivotField>
    <pivotField axis="axisRow" showAll="0">
      <items count="4">
        <item x="0"/>
        <item x="1"/>
        <item x="2"/>
        <item t="default"/>
      </items>
    </pivotField>
    <pivotField numFmtId="1" showAll="0"/>
    <pivotField dataField="1" numFmtId="1" showAll="0"/>
  </pivotFields>
  <rowFields count="2">
    <field x="1"/>
    <field x="2"/>
  </rowFields>
  <rowItems count="29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 r="1">
      <x v="1"/>
    </i>
    <i r="1">
      <x v="2"/>
    </i>
    <i>
      <x v="6"/>
    </i>
    <i r="1">
      <x/>
    </i>
    <i r="1">
      <x v="1"/>
    </i>
    <i>
      <x v="7"/>
    </i>
    <i r="1">
      <x/>
    </i>
    <i r="1">
      <x v="1"/>
    </i>
    <i t="grand">
      <x/>
    </i>
  </rowItems>
  <colFields count="1">
    <field x="0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COUNT_WW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E15" sqref="E15"/>
    </sheetView>
  </sheetViews>
  <sheetFormatPr defaultRowHeight="13.2" x14ac:dyDescent="0.25"/>
  <sheetData>
    <row r="2" spans="1:3" x14ac:dyDescent="0.25">
      <c r="A2" s="71" t="s">
        <v>270</v>
      </c>
      <c r="C2" s="82"/>
    </row>
    <row r="4" spans="1:3" x14ac:dyDescent="0.25">
      <c r="A4" s="19" t="s">
        <v>271</v>
      </c>
    </row>
    <row r="6" spans="1:3" x14ac:dyDescent="0.25">
      <c r="A6" s="19" t="s">
        <v>272</v>
      </c>
    </row>
    <row r="7" spans="1:3" x14ac:dyDescent="0.25">
      <c r="A7" s="19" t="s">
        <v>300</v>
      </c>
    </row>
    <row r="8" spans="1:3" x14ac:dyDescent="0.25">
      <c r="A8" s="19" t="s">
        <v>388</v>
      </c>
    </row>
    <row r="9" spans="1:3" x14ac:dyDescent="0.25">
      <c r="A9" s="19" t="s">
        <v>408</v>
      </c>
    </row>
    <row r="10" spans="1:3" x14ac:dyDescent="0.25">
      <c r="A10" s="19" t="s">
        <v>273</v>
      </c>
    </row>
    <row r="11" spans="1:3" x14ac:dyDescent="0.25">
      <c r="A11" s="19" t="s">
        <v>274</v>
      </c>
    </row>
    <row r="12" spans="1:3" x14ac:dyDescent="0.25">
      <c r="A12" s="19" t="s">
        <v>275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opLeftCell="A35" workbookViewId="0">
      <selection activeCell="B47" sqref="B47"/>
    </sheetView>
  </sheetViews>
  <sheetFormatPr defaultRowHeight="13.2" x14ac:dyDescent="0.25"/>
  <cols>
    <col min="1" max="1" width="21.6640625" customWidth="1"/>
    <col min="2" max="2" width="13.109375" customWidth="1"/>
    <col min="3" max="3" width="15.109375" customWidth="1"/>
    <col min="4" max="4" width="14.44140625" customWidth="1"/>
    <col min="5" max="5" width="13.88671875" customWidth="1"/>
    <col min="6" max="6" width="13.44140625" customWidth="1"/>
    <col min="7" max="7" width="14.5546875" customWidth="1"/>
    <col min="8" max="8" width="13.44140625" customWidth="1"/>
    <col min="9" max="9" width="13.88671875" customWidth="1"/>
    <col min="10" max="10" width="13.44140625" customWidth="1"/>
    <col min="11" max="11" width="12.109375" customWidth="1"/>
    <col min="12" max="12" width="12.88671875" customWidth="1"/>
    <col min="13" max="15" width="12" customWidth="1"/>
    <col min="16" max="16" width="12.33203125" customWidth="1"/>
    <col min="17" max="17" width="12.44140625" customWidth="1"/>
    <col min="18" max="18" width="13.5546875" customWidth="1"/>
    <col min="19" max="19" width="14.109375" customWidth="1"/>
    <col min="20" max="20" width="12.88671875" customWidth="1"/>
  </cols>
  <sheetData>
    <row r="1" spans="1:20" x14ac:dyDescent="0.25">
      <c r="A1" s="393" t="s">
        <v>355</v>
      </c>
      <c r="B1" s="401" t="s">
        <v>389</v>
      </c>
      <c r="C1" s="393"/>
      <c r="D1" s="393"/>
      <c r="E1" s="393"/>
    </row>
    <row r="2" spans="1:20" ht="79.2" x14ac:dyDescent="0.25">
      <c r="A2" s="400" t="s">
        <v>302</v>
      </c>
      <c r="B2" s="367" t="s">
        <v>305</v>
      </c>
      <c r="C2" s="367" t="s">
        <v>303</v>
      </c>
      <c r="D2" s="367" t="s">
        <v>322</v>
      </c>
      <c r="E2" s="367" t="s">
        <v>318</v>
      </c>
      <c r="F2" s="367" t="s">
        <v>313</v>
      </c>
      <c r="G2" s="367" t="s">
        <v>314</v>
      </c>
      <c r="H2" s="367" t="s">
        <v>315</v>
      </c>
      <c r="I2" s="367" t="s">
        <v>316</v>
      </c>
      <c r="J2" s="367" t="s">
        <v>317</v>
      </c>
      <c r="K2" s="367" t="s">
        <v>307</v>
      </c>
      <c r="L2" s="367" t="s">
        <v>308</v>
      </c>
      <c r="M2" s="367" t="s">
        <v>309</v>
      </c>
      <c r="N2" s="367" t="s">
        <v>310</v>
      </c>
      <c r="O2" s="367" t="s">
        <v>311</v>
      </c>
      <c r="P2" s="367" t="s">
        <v>312</v>
      </c>
      <c r="Q2" s="367" t="s">
        <v>306</v>
      </c>
      <c r="R2" s="367" t="s">
        <v>319</v>
      </c>
      <c r="S2" s="367" t="s">
        <v>320</v>
      </c>
      <c r="T2" s="367" t="s">
        <v>321</v>
      </c>
    </row>
    <row r="3" spans="1:20" x14ac:dyDescent="0.25">
      <c r="A3" s="73" t="s">
        <v>62</v>
      </c>
      <c r="B3" s="130">
        <f>'Newnans LU'!D18</f>
        <v>26.675057155499999</v>
      </c>
      <c r="C3" s="215">
        <f>'Newnans LU'!F18</f>
        <v>8.7611354731086888E-2</v>
      </c>
      <c r="D3" s="130">
        <f>C3*'Newnans Lake BMAP TP'!E12</f>
        <v>2.9787860608569541</v>
      </c>
      <c r="E3" s="130">
        <f>'Newnans LU'!D16</f>
        <v>1497.6090124509999</v>
      </c>
      <c r="F3" s="215">
        <f>'Newnans LU'!F16</f>
        <v>0.80447810508736717</v>
      </c>
      <c r="G3" s="130">
        <f>F3*'Newnans Lake BMAP TP'!E$13</f>
        <v>119.86723765801771</v>
      </c>
      <c r="H3" s="130">
        <f>'Newnans LU'!D17</f>
        <v>402.03383048349997</v>
      </c>
      <c r="I3" s="215">
        <f>'Newnans LU'!F17</f>
        <v>0.42504367394115811</v>
      </c>
      <c r="J3" s="130">
        <f>I3*'Newnans Lake BMAP TP'!E14</f>
        <v>89.344180262431422</v>
      </c>
      <c r="K3" s="130">
        <f>'Newnans LU'!D15</f>
        <v>99.526304305800011</v>
      </c>
      <c r="L3" s="215">
        <f>'Newnans LU'!F15</f>
        <v>0.28926511386799902</v>
      </c>
      <c r="M3" s="130">
        <f>L3*'Newnans Lake BMAP TP'!E15</f>
        <v>9.0829245754551682</v>
      </c>
      <c r="N3" s="214">
        <f>'Newnans LU'!D19</f>
        <v>3.33241738471E-2</v>
      </c>
      <c r="O3" s="215">
        <v>1</v>
      </c>
      <c r="P3" s="216">
        <f>O3*'Newnans Lake BMAP TP'!E17</f>
        <v>0</v>
      </c>
      <c r="Q3" s="395">
        <f>'Newnans LU'!D14</f>
        <v>4.7142674067500003</v>
      </c>
      <c r="R3" s="215">
        <f>'Newnans LU'!F14</f>
        <v>2.3235595907876615E-2</v>
      </c>
      <c r="S3" s="130">
        <f>R3*'Newnans Lake BMAP TP'!E$16</f>
        <v>0.7900102608678049</v>
      </c>
      <c r="T3" s="155">
        <f>D3+G3+J3+M3+P3+S3</f>
        <v>222.06313881762904</v>
      </c>
    </row>
    <row r="4" spans="1:20" x14ac:dyDescent="0.25">
      <c r="A4" s="73" t="s">
        <v>120</v>
      </c>
      <c r="B4" s="130" t="s">
        <v>129</v>
      </c>
      <c r="C4" s="215" t="s">
        <v>129</v>
      </c>
      <c r="D4" s="130" t="s">
        <v>129</v>
      </c>
      <c r="E4" s="130" t="s">
        <v>129</v>
      </c>
      <c r="F4" s="215"/>
      <c r="G4" s="396" t="s">
        <v>129</v>
      </c>
      <c r="H4" s="130" t="s">
        <v>129</v>
      </c>
      <c r="I4" s="215" t="s">
        <v>129</v>
      </c>
      <c r="J4" s="130"/>
      <c r="K4" s="130" t="s">
        <v>129</v>
      </c>
      <c r="L4" s="218" t="s">
        <v>129</v>
      </c>
      <c r="M4" s="397" t="s">
        <v>129</v>
      </c>
      <c r="N4" s="216" t="s">
        <v>129</v>
      </c>
      <c r="O4" s="216" t="s">
        <v>129</v>
      </c>
      <c r="P4" s="216" t="s">
        <v>129</v>
      </c>
      <c r="Q4" s="395">
        <f>'Newnans LU'!D38</f>
        <v>169.0308035475</v>
      </c>
      <c r="R4" s="215">
        <f>'Newnans LU'!F38</f>
        <v>0.83578974207068712</v>
      </c>
      <c r="S4" s="130">
        <f>R4*'Newnans Lake BMAP TP'!E$16</f>
        <v>28.416851230403363</v>
      </c>
      <c r="T4" s="155">
        <f>S4</f>
        <v>28.416851230403363</v>
      </c>
    </row>
    <row r="5" spans="1:20" x14ac:dyDescent="0.25">
      <c r="A5" s="167" t="s">
        <v>67</v>
      </c>
      <c r="B5" s="397" t="s">
        <v>129</v>
      </c>
      <c r="C5" s="218" t="s">
        <v>129</v>
      </c>
      <c r="D5" s="397" t="s">
        <v>129</v>
      </c>
      <c r="E5" s="397" t="s">
        <v>129</v>
      </c>
      <c r="F5" s="218" t="s">
        <v>129</v>
      </c>
      <c r="G5" s="397" t="s">
        <v>129</v>
      </c>
      <c r="H5" s="397" t="s">
        <v>129</v>
      </c>
      <c r="I5" s="218" t="s">
        <v>129</v>
      </c>
      <c r="J5" s="397" t="s">
        <v>129</v>
      </c>
      <c r="K5" s="397" t="s">
        <v>129</v>
      </c>
      <c r="L5" s="218" t="s">
        <v>129</v>
      </c>
      <c r="M5" s="397" t="s">
        <v>129</v>
      </c>
      <c r="N5" s="157" t="s">
        <v>129</v>
      </c>
      <c r="O5" s="157" t="s">
        <v>129</v>
      </c>
      <c r="P5" s="157" t="s">
        <v>129</v>
      </c>
      <c r="Q5" s="398" t="s">
        <v>129</v>
      </c>
      <c r="R5" s="215" t="s">
        <v>129</v>
      </c>
      <c r="S5" s="130" t="s">
        <v>129</v>
      </c>
      <c r="T5" s="389" t="s">
        <v>129</v>
      </c>
    </row>
    <row r="6" spans="1:20" x14ac:dyDescent="0.25">
      <c r="A6" s="167" t="s">
        <v>66</v>
      </c>
      <c r="B6" s="130">
        <f>'Newnans LU'!D35</f>
        <v>277.79526221499998</v>
      </c>
      <c r="C6" s="215">
        <f>'Newnans LU'!F35</f>
        <v>0.91238864526727081</v>
      </c>
      <c r="D6" s="130">
        <f>C6*'Newnans Lake BMAP TP'!E12</f>
        <v>31.021213939087207</v>
      </c>
      <c r="E6" s="130">
        <f>'Newnans LU'!D33</f>
        <v>363.98175425464382</v>
      </c>
      <c r="F6" s="215">
        <f>'Newnans LU'!F33</f>
        <v>0.19552189491029268</v>
      </c>
      <c r="G6" s="130">
        <f>F6*'Newnans Lake BMAP TP'!E$13</f>
        <v>29.132762341633608</v>
      </c>
      <c r="H6" s="130">
        <f>'Newnans LU'!D34</f>
        <v>543.8309244384975</v>
      </c>
      <c r="I6" s="215">
        <f>'Newnans LU'!F34</f>
        <v>0.57495632605883928</v>
      </c>
      <c r="J6" s="130">
        <f>I6*'Newnans Lake BMAP TP'!E14</f>
        <v>120.85581973756801</v>
      </c>
      <c r="K6" s="130">
        <f>'Newnans LU'!D32</f>
        <v>244.53974284</v>
      </c>
      <c r="L6" s="215">
        <f>'Newnans LU'!F32</f>
        <v>0.71073488613141966</v>
      </c>
      <c r="M6" s="130">
        <f>L6*'Newnans Lake BMAP TP'!E15</f>
        <v>22.317075424526575</v>
      </c>
      <c r="N6" s="216" t="s">
        <v>129</v>
      </c>
      <c r="O6" s="216" t="s">
        <v>129</v>
      </c>
      <c r="P6" s="216" t="s">
        <v>129</v>
      </c>
      <c r="Q6" s="395">
        <f>'Newnans LU'!D31</f>
        <v>28.495749959299999</v>
      </c>
      <c r="R6" s="215">
        <f>'Newnans LU'!F31</f>
        <v>0.14090009044949839</v>
      </c>
      <c r="S6" s="130">
        <f>R6*'Newnans Lake BMAP TP'!E$16</f>
        <v>4.7906030752829452</v>
      </c>
      <c r="T6" s="155">
        <f>D6+G6+J6+M6+S6</f>
        <v>208.11747451809833</v>
      </c>
    </row>
    <row r="7" spans="1:20" x14ac:dyDescent="0.25">
      <c r="A7" s="73" t="s">
        <v>68</v>
      </c>
      <c r="B7" s="216"/>
      <c r="C7" s="216">
        <v>0.99999999999912725</v>
      </c>
      <c r="D7" s="130">
        <f>SUM(D3:D6)</f>
        <v>33.999999999944158</v>
      </c>
      <c r="E7" s="130"/>
      <c r="F7" s="215">
        <v>1.0000000000007945</v>
      </c>
      <c r="G7" s="130">
        <f>SUM(G3:G6)</f>
        <v>148.99999999965132</v>
      </c>
      <c r="H7" s="130"/>
      <c r="I7" s="215">
        <v>1.0000000000017311</v>
      </c>
      <c r="J7" s="130">
        <f>SUM(J3:J6)</f>
        <v>210.19999999999942</v>
      </c>
      <c r="K7" s="130"/>
      <c r="L7" s="215">
        <v>1.000000000000286</v>
      </c>
      <c r="M7" s="130">
        <f>SUM(M3:M6)</f>
        <v>31.399999999981745</v>
      </c>
      <c r="N7" s="216"/>
      <c r="O7" s="215">
        <f>SUM(O3:O6)</f>
        <v>1</v>
      </c>
      <c r="P7" s="216">
        <v>7</v>
      </c>
      <c r="Q7" s="395"/>
      <c r="R7" s="215">
        <f>SUM(R3:R6)</f>
        <v>0.99992542842806209</v>
      </c>
      <c r="S7" s="130">
        <f>SUM(S3:S6)</f>
        <v>33.997464566554115</v>
      </c>
      <c r="T7" s="155">
        <f>SUM(T3:T6)</f>
        <v>458.59746456613072</v>
      </c>
    </row>
    <row r="8" spans="1:20" x14ac:dyDescent="0.25">
      <c r="B8" s="399"/>
      <c r="C8" s="399"/>
      <c r="D8" s="399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/>
      <c r="P8" s="399"/>
      <c r="Q8" s="399"/>
      <c r="R8" s="399"/>
      <c r="S8" s="399"/>
      <c r="T8" s="399"/>
    </row>
    <row r="9" spans="1:20" x14ac:dyDescent="0.25">
      <c r="B9" s="399"/>
      <c r="C9" s="399"/>
      <c r="D9" s="399"/>
      <c r="E9" s="399"/>
      <c r="F9" s="399"/>
      <c r="G9" s="399"/>
      <c r="H9" s="399"/>
      <c r="I9" s="399"/>
      <c r="J9" s="399"/>
      <c r="K9" s="399"/>
      <c r="L9" s="399"/>
      <c r="M9" s="399"/>
      <c r="N9" s="399"/>
      <c r="O9" s="399"/>
      <c r="P9" s="399"/>
      <c r="Q9" s="399"/>
      <c r="R9" s="399"/>
      <c r="S9" s="399"/>
      <c r="T9" s="399"/>
    </row>
    <row r="10" spans="1:20" x14ac:dyDescent="0.25">
      <c r="A10" s="393" t="s">
        <v>355</v>
      </c>
      <c r="B10" s="477" t="s">
        <v>390</v>
      </c>
      <c r="C10" s="478"/>
      <c r="D10" s="478"/>
      <c r="E10" s="478"/>
      <c r="F10" s="478"/>
      <c r="G10" s="478"/>
      <c r="H10" s="478"/>
      <c r="I10" s="478"/>
      <c r="J10" s="478"/>
      <c r="K10" s="478"/>
      <c r="L10" s="478"/>
      <c r="M10" s="478"/>
      <c r="N10" s="478"/>
      <c r="O10" s="478"/>
      <c r="P10" s="478"/>
      <c r="Q10" s="478"/>
      <c r="R10" s="478"/>
      <c r="S10" s="478"/>
      <c r="T10" s="478"/>
    </row>
    <row r="11" spans="1:20" ht="79.2" x14ac:dyDescent="0.25">
      <c r="A11" s="400" t="s">
        <v>302</v>
      </c>
      <c r="B11" s="367" t="s">
        <v>305</v>
      </c>
      <c r="C11" s="367" t="s">
        <v>303</v>
      </c>
      <c r="D11" s="367" t="s">
        <v>322</v>
      </c>
      <c r="E11" s="367" t="s">
        <v>318</v>
      </c>
      <c r="F11" s="367" t="s">
        <v>313</v>
      </c>
      <c r="G11" s="367" t="s">
        <v>314</v>
      </c>
      <c r="H11" s="367" t="s">
        <v>315</v>
      </c>
      <c r="I11" s="367" t="s">
        <v>316</v>
      </c>
      <c r="J11" s="367" t="s">
        <v>317</v>
      </c>
      <c r="K11" s="367" t="s">
        <v>307</v>
      </c>
      <c r="L11" s="367" t="s">
        <v>308</v>
      </c>
      <c r="M11" s="367" t="s">
        <v>309</v>
      </c>
      <c r="N11" s="367" t="s">
        <v>310</v>
      </c>
      <c r="O11" s="367" t="s">
        <v>311</v>
      </c>
      <c r="P11" s="367" t="s">
        <v>312</v>
      </c>
      <c r="Q11" s="367" t="s">
        <v>306</v>
      </c>
      <c r="R11" s="367" t="s">
        <v>319</v>
      </c>
      <c r="S11" s="367" t="s">
        <v>320</v>
      </c>
      <c r="T11" s="367" t="s">
        <v>321</v>
      </c>
    </row>
    <row r="12" spans="1:20" x14ac:dyDescent="0.25">
      <c r="A12" s="73" t="s">
        <v>62</v>
      </c>
      <c r="B12" s="130">
        <f>'Newnans LU'!D7</f>
        <v>280.83585518500001</v>
      </c>
      <c r="C12" s="215">
        <f>'Newnans LU'!F7</f>
        <v>0.82334012715347216</v>
      </c>
      <c r="D12" s="130">
        <f>C12*'Newnans Lake BMAP TP'!E$26</f>
        <v>26.840888145203195</v>
      </c>
      <c r="E12" s="130">
        <f>'Newnans LU'!D5</f>
        <v>1824.76428687</v>
      </c>
      <c r="F12" s="215">
        <f>'Newnans LU'!F5</f>
        <v>0.9063092229481553</v>
      </c>
      <c r="G12" s="130">
        <f>F12*'Newnans Lake BMAP TP'!E$27</f>
        <v>207.00102652135868</v>
      </c>
      <c r="H12" s="130">
        <f>'Newnans LU'!D6</f>
        <v>143.71898623000001</v>
      </c>
      <c r="I12" s="215">
        <f>'Newnans LU'!F6</f>
        <v>0.85703285103496285</v>
      </c>
      <c r="J12" s="130">
        <f>I12*'Newnans Lake BMAP TP'!E$28</f>
        <v>65.134496678657172</v>
      </c>
      <c r="K12" s="130">
        <f>'Newnans LU'!D4</f>
        <v>59.059930325400003</v>
      </c>
      <c r="L12" s="215">
        <f>'Newnans LU'!F4</f>
        <v>0.18664450066775765</v>
      </c>
      <c r="M12" s="130">
        <f>L12*'Newnans Lake BMAP TP'!E29</f>
        <v>1.7917872064104734</v>
      </c>
      <c r="N12" s="214">
        <f>'Newnans LU'!D8</f>
        <v>15.5313258738</v>
      </c>
      <c r="O12" s="215">
        <v>1</v>
      </c>
      <c r="P12" s="216">
        <f>O12*'Newnans Lake BMAP TP'!E31</f>
        <v>4</v>
      </c>
      <c r="Q12" s="395">
        <f>'Newnans LU'!D3</f>
        <v>71.313836428900004</v>
      </c>
      <c r="R12" s="215">
        <f>'Newnans LU'!F3</f>
        <v>0.19685886531001281</v>
      </c>
      <c r="S12" s="130">
        <f>R12*'Newnans Lake BMAP TP'!E30</f>
        <v>14.016351210072912</v>
      </c>
      <c r="T12" s="155">
        <f>D12+G12+J12+M12+P12+S12</f>
        <v>318.78454976170241</v>
      </c>
    </row>
    <row r="13" spans="1:20" x14ac:dyDescent="0.25">
      <c r="A13" s="73" t="s">
        <v>120</v>
      </c>
      <c r="B13" s="130" t="s">
        <v>129</v>
      </c>
      <c r="C13" s="215" t="s">
        <v>129</v>
      </c>
      <c r="D13" s="130" t="s">
        <v>129</v>
      </c>
      <c r="E13" s="130" t="s">
        <v>129</v>
      </c>
      <c r="F13" s="218" t="s">
        <v>129</v>
      </c>
      <c r="G13" s="396" t="s">
        <v>129</v>
      </c>
      <c r="H13" s="130" t="s">
        <v>129</v>
      </c>
      <c r="I13" s="215" t="s">
        <v>129</v>
      </c>
      <c r="J13" s="397" t="s">
        <v>129</v>
      </c>
      <c r="K13" s="130" t="s">
        <v>129</v>
      </c>
      <c r="L13" s="218" t="s">
        <v>129</v>
      </c>
      <c r="M13" s="397" t="s">
        <v>129</v>
      </c>
      <c r="N13" s="216" t="s">
        <v>129</v>
      </c>
      <c r="O13" s="216" t="s">
        <v>129</v>
      </c>
      <c r="P13" s="216" t="s">
        <v>129</v>
      </c>
      <c r="Q13" s="395">
        <f>'Newnans LU'!D36</f>
        <v>284.33566276190004</v>
      </c>
      <c r="R13" s="215">
        <f>'Newnans LU'!F36</f>
        <v>0.7848967148792263</v>
      </c>
      <c r="S13" s="130">
        <f>R13*'Newnans Lake BMAP TP'!E30</f>
        <v>55.884646099400918</v>
      </c>
      <c r="T13" s="155">
        <f>S13</f>
        <v>55.884646099400918</v>
      </c>
    </row>
    <row r="14" spans="1:20" x14ac:dyDescent="0.25">
      <c r="A14" s="167" t="s">
        <v>67</v>
      </c>
      <c r="B14" s="397">
        <f>'Newnans LU'!D42</f>
        <v>4.9444967284599999</v>
      </c>
      <c r="C14" s="218">
        <v>1.4500000000000001E-2</v>
      </c>
      <c r="D14" s="130">
        <f>C14*'Newnans Lake BMAP TP'!E$26</f>
        <v>0.47270000000000006</v>
      </c>
      <c r="E14" s="397">
        <f>'Newnans LU'!D40</f>
        <v>180.41245039899999</v>
      </c>
      <c r="F14" s="218">
        <f>'Newnans LU'!F40</f>
        <v>8.9605802189255068E-2</v>
      </c>
      <c r="G14" s="130">
        <f>F14*'Newnans Lake BMAP TP'!E$27</f>
        <v>20.465965220025858</v>
      </c>
      <c r="H14" s="397">
        <f>'Newnans LU'!D41</f>
        <v>23.9746862545</v>
      </c>
      <c r="I14" s="218">
        <f>'Newnans LU'!F41</f>
        <v>0.1429671489644411</v>
      </c>
      <c r="J14" s="130">
        <f>I14*'Newnans Lake BMAP TP'!E$28</f>
        <v>10.865503321297524</v>
      </c>
      <c r="K14" s="397">
        <f>'Newnans LU'!D39</f>
        <v>5.0860472021499996</v>
      </c>
      <c r="L14" s="218">
        <f>'Newnans LU'!F39</f>
        <v>1.607321131582292E-2</v>
      </c>
      <c r="M14" s="397">
        <f>L14*'Newnans Lake BMAP TP'!E29</f>
        <v>0.15430282863190004</v>
      </c>
      <c r="N14" s="157" t="s">
        <v>129</v>
      </c>
      <c r="O14" s="157" t="s">
        <v>129</v>
      </c>
      <c r="P14" s="157" t="s">
        <v>129</v>
      </c>
      <c r="Q14" s="398" t="s">
        <v>129</v>
      </c>
      <c r="R14" s="215" t="s">
        <v>129</v>
      </c>
      <c r="S14" s="130" t="s">
        <v>129</v>
      </c>
      <c r="T14" s="389">
        <f>D14+G14+J14+M14</f>
        <v>31.95847136995528</v>
      </c>
    </row>
    <row r="15" spans="1:20" x14ac:dyDescent="0.25">
      <c r="A15" s="167" t="s">
        <v>66</v>
      </c>
      <c r="B15" s="130">
        <f>'Newnans LU'!D24</f>
        <v>55.3130139059</v>
      </c>
      <c r="C15" s="215">
        <f>'Newnans LU'!F24</f>
        <v>0.16216385145167866</v>
      </c>
      <c r="D15" s="130">
        <f>C15*'Newnans Lake BMAP TP'!E$26</f>
        <v>5.2865415573247247</v>
      </c>
      <c r="E15" s="130">
        <f>'Newnans LU'!D22</f>
        <v>8.1936759395200003</v>
      </c>
      <c r="F15" s="215">
        <f>'Newnans LU'!F22</f>
        <v>4.0695689450241917E-3</v>
      </c>
      <c r="G15" s="130">
        <f>F15*'Newnans Lake BMAP TP'!E$27</f>
        <v>0.92948954704352538</v>
      </c>
      <c r="H15" s="130">
        <f>'Newnans LU'!D23</f>
        <v>0</v>
      </c>
      <c r="I15" s="215">
        <f>'Newnans LU'!F43</f>
        <v>0</v>
      </c>
      <c r="J15" s="130">
        <f>I15*'Newnans Lake BMAP TP'!E$28</f>
        <v>0</v>
      </c>
      <c r="K15" s="130">
        <f>'Newnans LU'!D21</f>
        <v>251.2798750707</v>
      </c>
      <c r="L15" s="215">
        <f>'Newnans LU'!F21</f>
        <v>0.79663690531653686</v>
      </c>
      <c r="M15" s="130">
        <f>L15*'Newnans Lake BMAP TP'!E29</f>
        <v>7.6477142910387537</v>
      </c>
      <c r="N15" s="216" t="s">
        <v>129</v>
      </c>
      <c r="O15" s="216" t="s">
        <v>129</v>
      </c>
      <c r="P15" s="216" t="s">
        <v>129</v>
      </c>
      <c r="Q15" s="395">
        <f>'Newnans LU'!D20</f>
        <v>6.6091997839949999</v>
      </c>
      <c r="R15" s="215">
        <f>'Newnans LU'!F20</f>
        <v>1.8244419810195117E-2</v>
      </c>
      <c r="S15" s="130">
        <f>R15*'Newnans Lake BMAP TP'!E30</f>
        <v>1.2990026904858925</v>
      </c>
      <c r="T15" s="155">
        <f>D15+G15+J15+M15+S15</f>
        <v>15.162748085892897</v>
      </c>
    </row>
    <row r="16" spans="1:20" x14ac:dyDescent="0.25">
      <c r="A16" s="73" t="s">
        <v>68</v>
      </c>
      <c r="B16" s="216"/>
      <c r="C16" s="215">
        <f>SUM(C12:C15)</f>
        <v>1.0000039786051507</v>
      </c>
      <c r="D16" s="130">
        <f>SUM(D12:D15)</f>
        <v>32.600129702527923</v>
      </c>
      <c r="E16" s="130"/>
      <c r="F16" s="215">
        <v>1.0000000000007945</v>
      </c>
      <c r="G16" s="130">
        <f>SUM(G12:G15)</f>
        <v>228.39648128842805</v>
      </c>
      <c r="H16" s="130"/>
      <c r="I16" s="215">
        <f>SUM(I12:I15)</f>
        <v>0.99999999999940392</v>
      </c>
      <c r="J16" s="130">
        <f>SUM(J12:J15)</f>
        <v>75.999999999954696</v>
      </c>
      <c r="K16" s="130"/>
      <c r="L16" s="215">
        <f>L12+L14+L15</f>
        <v>0.99935461730011743</v>
      </c>
      <c r="M16" s="130">
        <f>SUM(M12:M15)</f>
        <v>9.593804326081127</v>
      </c>
      <c r="N16" s="216"/>
      <c r="O16" s="215">
        <f>SUM(O12:O15)</f>
        <v>1</v>
      </c>
      <c r="P16" s="216">
        <f>SUM(P12:P15)</f>
        <v>4</v>
      </c>
      <c r="Q16" s="395"/>
      <c r="R16" s="215">
        <f>SUM(R12:R15)</f>
        <v>0.99999999999943423</v>
      </c>
      <c r="S16" s="130">
        <f>SUM(S12:S15)</f>
        <v>71.199999999959729</v>
      </c>
      <c r="T16" s="155">
        <f>SUM(T12:T15)</f>
        <v>421.79041531695151</v>
      </c>
    </row>
    <row r="17" spans="1:20" x14ac:dyDescent="0.25">
      <c r="B17" s="399"/>
      <c r="C17" s="399"/>
      <c r="D17" s="399"/>
      <c r="E17" s="399"/>
      <c r="F17" s="399"/>
      <c r="G17" s="399"/>
      <c r="H17" s="399"/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</row>
    <row r="18" spans="1:20" x14ac:dyDescent="0.25"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  <c r="O18" s="399"/>
      <c r="P18" s="399"/>
      <c r="Q18" s="399"/>
      <c r="R18" s="399"/>
      <c r="S18" s="399"/>
      <c r="T18" s="399"/>
    </row>
    <row r="19" spans="1:20" x14ac:dyDescent="0.25">
      <c r="A19" s="393" t="s">
        <v>355</v>
      </c>
      <c r="B19" s="479" t="s">
        <v>391</v>
      </c>
      <c r="C19" s="480"/>
      <c r="D19" s="480"/>
      <c r="E19" s="480"/>
      <c r="F19" s="480"/>
      <c r="G19" s="480"/>
      <c r="H19" s="480"/>
      <c r="I19" s="480"/>
      <c r="J19" s="480"/>
      <c r="K19" s="480"/>
      <c r="L19" s="480"/>
      <c r="M19" s="480"/>
      <c r="N19" s="480"/>
      <c r="O19" s="480"/>
      <c r="P19" s="480"/>
      <c r="Q19" s="480"/>
      <c r="R19" s="480"/>
      <c r="S19" s="480"/>
      <c r="T19" s="480"/>
    </row>
    <row r="20" spans="1:20" ht="79.2" x14ac:dyDescent="0.25">
      <c r="A20" s="400" t="s">
        <v>302</v>
      </c>
      <c r="B20" s="367" t="s">
        <v>305</v>
      </c>
      <c r="C20" s="367" t="s">
        <v>303</v>
      </c>
      <c r="D20" s="367" t="s">
        <v>322</v>
      </c>
      <c r="E20" s="367" t="s">
        <v>318</v>
      </c>
      <c r="F20" s="367" t="s">
        <v>313</v>
      </c>
      <c r="G20" s="367" t="s">
        <v>314</v>
      </c>
      <c r="H20" s="367" t="s">
        <v>315</v>
      </c>
      <c r="I20" s="367" t="s">
        <v>316</v>
      </c>
      <c r="J20" s="367" t="s">
        <v>317</v>
      </c>
      <c r="K20" s="367" t="s">
        <v>307</v>
      </c>
      <c r="L20" s="367" t="s">
        <v>308</v>
      </c>
      <c r="M20" s="367" t="s">
        <v>309</v>
      </c>
      <c r="N20" s="367" t="s">
        <v>310</v>
      </c>
      <c r="O20" s="367" t="s">
        <v>311</v>
      </c>
      <c r="P20" s="367" t="s">
        <v>312</v>
      </c>
      <c r="Q20" s="367" t="s">
        <v>306</v>
      </c>
      <c r="R20" s="367" t="s">
        <v>319</v>
      </c>
      <c r="S20" s="367" t="s">
        <v>320</v>
      </c>
      <c r="T20" s="367" t="s">
        <v>321</v>
      </c>
    </row>
    <row r="21" spans="1:20" x14ac:dyDescent="0.25">
      <c r="A21" s="73" t="s">
        <v>62</v>
      </c>
      <c r="B21" s="130">
        <f>'Newnans LU'!D13</f>
        <v>5.4897800805200001</v>
      </c>
      <c r="C21" s="215">
        <f>'Newnans LU'!F13</f>
        <v>1.9800000000000002E-2</v>
      </c>
      <c r="D21" s="130">
        <f>C21*'Newnans Lake BMAP TP'!E$40</f>
        <v>0.87120000000000009</v>
      </c>
      <c r="E21" s="130">
        <f>'Newnans LU'!D11</f>
        <v>65.105504725100005</v>
      </c>
      <c r="F21" s="215">
        <f>'Newnans LU'!F11</f>
        <v>0.17000859562576898</v>
      </c>
      <c r="G21" s="130">
        <f>F21*'Newnans Lake BMAP TP'!E$41</f>
        <v>2.0061014283840741</v>
      </c>
      <c r="H21" s="130">
        <f>'Newnans LU'!D12</f>
        <v>23</v>
      </c>
      <c r="I21" s="215">
        <f>'Newnans LU'!F12</f>
        <v>4.2000000000000003E-2</v>
      </c>
      <c r="J21" s="130">
        <f>I21*'Newnans Lake BMAP TP'!E$42</f>
        <v>3.8942400000000004</v>
      </c>
      <c r="K21" s="130">
        <f>'Newnans LU'!D10</f>
        <v>45.293839656199999</v>
      </c>
      <c r="L21" s="215">
        <f>'Newnans LU'!F10</f>
        <v>5.7658869790671162E-2</v>
      </c>
      <c r="M21" s="130">
        <f>L21*'Newnans Lake BMAP TP'!E43</f>
        <v>1.6951707718457321</v>
      </c>
      <c r="N21" s="217" t="s">
        <v>129</v>
      </c>
      <c r="O21" s="218" t="s">
        <v>129</v>
      </c>
      <c r="P21" s="157" t="s">
        <v>129</v>
      </c>
      <c r="Q21" s="395">
        <f>'Newnans LU'!D9</f>
        <v>5.5591097306900004</v>
      </c>
      <c r="R21" s="215">
        <f>'Newnans LU'!F9</f>
        <v>4.5899249383670347E-3</v>
      </c>
      <c r="S21" s="130">
        <f>R21*'Newnans Lake BMAP TP'!E44</f>
        <v>0.85372603853626849</v>
      </c>
      <c r="T21" s="156">
        <f>D21+G21+J21+M21+S21</f>
        <v>9.3204382387660747</v>
      </c>
    </row>
    <row r="22" spans="1:20" x14ac:dyDescent="0.25">
      <c r="A22" s="73" t="s">
        <v>120</v>
      </c>
      <c r="B22" s="130" t="s">
        <v>129</v>
      </c>
      <c r="C22" s="215" t="s">
        <v>129</v>
      </c>
      <c r="D22" s="130" t="s">
        <v>129</v>
      </c>
      <c r="E22" s="130" t="s">
        <v>129</v>
      </c>
      <c r="F22" s="218" t="s">
        <v>129</v>
      </c>
      <c r="G22" s="396" t="s">
        <v>129</v>
      </c>
      <c r="H22" s="130" t="s">
        <v>129</v>
      </c>
      <c r="I22" s="215" t="s">
        <v>129</v>
      </c>
      <c r="J22" s="397" t="s">
        <v>129</v>
      </c>
      <c r="K22" s="130" t="s">
        <v>129</v>
      </c>
      <c r="L22" s="218" t="s">
        <v>129</v>
      </c>
      <c r="M22" s="397" t="s">
        <v>129</v>
      </c>
      <c r="N22" s="216" t="s">
        <v>129</v>
      </c>
      <c r="O22" s="216" t="s">
        <v>129</v>
      </c>
      <c r="P22" s="216" t="s">
        <v>129</v>
      </c>
      <c r="Q22" s="395">
        <f>'Newnans LU'!D37</f>
        <v>119.5176719383</v>
      </c>
      <c r="R22" s="215">
        <f>'Newnans LU'!F37</f>
        <v>9.8680754577780805E-2</v>
      </c>
      <c r="S22" s="130">
        <f>R22*'Newnans Lake BMAP TP'!E44</f>
        <v>18.354620351467229</v>
      </c>
      <c r="T22" s="156">
        <f>S22</f>
        <v>18.354620351467229</v>
      </c>
    </row>
    <row r="23" spans="1:20" x14ac:dyDescent="0.25">
      <c r="A23" s="167" t="s">
        <v>67</v>
      </c>
      <c r="B23" s="397" t="s">
        <v>129</v>
      </c>
      <c r="C23" s="218" t="s">
        <v>129</v>
      </c>
      <c r="D23" s="397" t="s">
        <v>129</v>
      </c>
      <c r="E23" s="397" t="s">
        <v>129</v>
      </c>
      <c r="F23" s="218" t="s">
        <v>129</v>
      </c>
      <c r="G23" s="397" t="s">
        <v>129</v>
      </c>
      <c r="H23" s="397" t="s">
        <v>129</v>
      </c>
      <c r="I23" s="397" t="s">
        <v>129</v>
      </c>
      <c r="J23" s="397" t="s">
        <v>129</v>
      </c>
      <c r="K23" s="397" t="s">
        <v>129</v>
      </c>
      <c r="L23" s="397" t="s">
        <v>129</v>
      </c>
      <c r="M23" s="397" t="s">
        <v>129</v>
      </c>
      <c r="N23" s="397" t="s">
        <v>129</v>
      </c>
      <c r="O23" s="397" t="s">
        <v>129</v>
      </c>
      <c r="P23" s="397" t="s">
        <v>129</v>
      </c>
      <c r="Q23" s="397" t="s">
        <v>129</v>
      </c>
      <c r="R23" s="397" t="s">
        <v>129</v>
      </c>
      <c r="S23" s="397" t="s">
        <v>129</v>
      </c>
      <c r="T23" s="261" t="s">
        <v>129</v>
      </c>
    </row>
    <row r="24" spans="1:20" x14ac:dyDescent="0.25">
      <c r="A24" s="167" t="s">
        <v>66</v>
      </c>
      <c r="B24" s="130">
        <f>'Newnans LU'!D29</f>
        <v>271.89149024099999</v>
      </c>
      <c r="C24" s="215">
        <f>'Newnans LU'!F29</f>
        <v>0.98020854084838838</v>
      </c>
      <c r="D24" s="130">
        <f>C24*'Newnans Lake BMAP TP'!E$40</f>
        <v>43.12917579732909</v>
      </c>
      <c r="E24" s="130">
        <f>'Newnans LU'!D27</f>
        <v>317.84868935820003</v>
      </c>
      <c r="F24" s="215">
        <f>'Newnans LU'!F27</f>
        <v>0.82999140437423102</v>
      </c>
      <c r="G24" s="130">
        <f>F24*'Newnans Lake BMAP TP'!E$41</f>
        <v>9.7938985716159266</v>
      </c>
      <c r="H24" s="130">
        <f>'Newnans LU'!D28</f>
        <v>527.16177037800003</v>
      </c>
      <c r="I24" s="215">
        <f>'Newnans LU'!F28</f>
        <v>0.95813058419649066</v>
      </c>
      <c r="J24" s="130">
        <f>I24*'Newnans Lake BMAP TP'!E$42</f>
        <v>88.837867766698608</v>
      </c>
      <c r="K24" s="130">
        <f>'Newnans LU'!D26</f>
        <v>740.25467734799997</v>
      </c>
      <c r="L24" s="215">
        <f>'Newnans LU'!F26</f>
        <v>0.94234113020932886</v>
      </c>
      <c r="M24" s="130">
        <f>L24*'Newnans Lake BMAP TP'!E43</f>
        <v>27.704829228154267</v>
      </c>
      <c r="N24" s="130">
        <f>'Newnans LU'!D30</f>
        <v>1.7347513595999999</v>
      </c>
      <c r="O24" s="215">
        <v>1</v>
      </c>
      <c r="P24" s="216">
        <f>O24*'Newnans Lake BMAP TP'!E45</f>
        <v>0</v>
      </c>
      <c r="Q24" s="395">
        <f>'Newnans LU'!D25</f>
        <v>1085.9558808436</v>
      </c>
      <c r="R24" s="215">
        <f>'Newnans LU'!F25</f>
        <v>0.89662845687913872</v>
      </c>
      <c r="S24" s="130">
        <f>R24*'Newnans Lake BMAP TP'!E44</f>
        <v>166.77289297951981</v>
      </c>
      <c r="T24" s="156">
        <f>D24+G24+J24+M24+P24+S24</f>
        <v>336.23866434331774</v>
      </c>
    </row>
    <row r="25" spans="1:20" x14ac:dyDescent="0.25">
      <c r="A25" s="73" t="s">
        <v>68</v>
      </c>
      <c r="B25" s="216"/>
      <c r="C25" s="215">
        <f>SUM(C21:C24)</f>
        <v>1.0000085408483883</v>
      </c>
      <c r="D25" s="130">
        <f>SUM(D21:D24)</f>
        <v>44.000375797329092</v>
      </c>
      <c r="E25" s="130"/>
      <c r="F25" s="215">
        <v>1.0000000000007945</v>
      </c>
      <c r="G25" s="130">
        <f>SUM(G21:G24)</f>
        <v>11.8</v>
      </c>
      <c r="H25" s="130"/>
      <c r="I25" s="215">
        <f>SUM(I21:I24)</f>
        <v>1.0001305841964907</v>
      </c>
      <c r="J25" s="130">
        <f>SUM(J21:J24)</f>
        <v>92.732107766698604</v>
      </c>
      <c r="K25" s="130"/>
      <c r="L25" s="215"/>
      <c r="M25" s="130">
        <f>SUM(M21:M24)</f>
        <v>29.4</v>
      </c>
      <c r="N25" s="216"/>
      <c r="O25" s="215">
        <f>SUM(O21:O24)</f>
        <v>1</v>
      </c>
      <c r="P25" s="216">
        <f>SUM(P21:P24)</f>
        <v>0</v>
      </c>
      <c r="Q25" s="395"/>
      <c r="R25" s="215">
        <f>SUM(R21:R24)</f>
        <v>0.9998991363952866</v>
      </c>
      <c r="S25" s="130">
        <f>SUM(S21:S24)</f>
        <v>185.98123936952331</v>
      </c>
      <c r="T25" s="156">
        <f>SUM(T21:T24)</f>
        <v>363.91372293355107</v>
      </c>
    </row>
    <row r="26" spans="1:20" x14ac:dyDescent="0.25">
      <c r="B26" s="399"/>
      <c r="C26" s="399"/>
      <c r="D26" s="399"/>
      <c r="E26" s="399"/>
      <c r="F26" s="399"/>
      <c r="G26" s="399"/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  <c r="T26" s="399"/>
    </row>
    <row r="27" spans="1:20" x14ac:dyDescent="0.25">
      <c r="B27" s="399"/>
      <c r="C27" s="399"/>
      <c r="D27" s="399"/>
      <c r="E27" s="399"/>
      <c r="F27" s="399"/>
      <c r="G27" s="399"/>
      <c r="H27" s="399"/>
      <c r="I27" s="399"/>
      <c r="J27" s="399"/>
      <c r="K27" s="399"/>
      <c r="L27" s="399"/>
      <c r="M27" s="399"/>
      <c r="N27" s="399"/>
      <c r="O27" s="399"/>
      <c r="P27" s="399"/>
      <c r="Q27" s="399"/>
      <c r="R27" s="399"/>
      <c r="S27" s="399"/>
      <c r="T27" s="399"/>
    </row>
    <row r="28" spans="1:20" x14ac:dyDescent="0.25">
      <c r="A28" s="393" t="s">
        <v>356</v>
      </c>
      <c r="B28" s="479" t="s">
        <v>389</v>
      </c>
      <c r="C28" s="480"/>
      <c r="D28" s="480"/>
      <c r="E28" s="480"/>
      <c r="F28" s="480"/>
      <c r="G28" s="480"/>
      <c r="H28" s="480"/>
      <c r="I28" s="480"/>
      <c r="J28" s="480"/>
      <c r="K28" s="480"/>
      <c r="L28" s="480"/>
      <c r="M28" s="480"/>
      <c r="N28" s="480"/>
      <c r="O28" s="480"/>
      <c r="P28" s="480"/>
      <c r="Q28" s="480"/>
      <c r="R28" s="480"/>
      <c r="S28" s="480"/>
      <c r="T28" s="480"/>
    </row>
    <row r="29" spans="1:20" ht="79.2" x14ac:dyDescent="0.25">
      <c r="A29" s="400" t="s">
        <v>302</v>
      </c>
      <c r="B29" s="367" t="s">
        <v>305</v>
      </c>
      <c r="C29" s="367" t="s">
        <v>303</v>
      </c>
      <c r="D29" s="367" t="s">
        <v>363</v>
      </c>
      <c r="E29" s="367" t="s">
        <v>318</v>
      </c>
      <c r="F29" s="367" t="s">
        <v>313</v>
      </c>
      <c r="G29" s="367" t="s">
        <v>362</v>
      </c>
      <c r="H29" s="367" t="s">
        <v>315</v>
      </c>
      <c r="I29" s="367" t="s">
        <v>316</v>
      </c>
      <c r="J29" s="367" t="s">
        <v>361</v>
      </c>
      <c r="K29" s="367" t="s">
        <v>307</v>
      </c>
      <c r="L29" s="367" t="s">
        <v>308</v>
      </c>
      <c r="M29" s="367" t="s">
        <v>360</v>
      </c>
      <c r="N29" s="367" t="s">
        <v>310</v>
      </c>
      <c r="O29" s="367" t="s">
        <v>311</v>
      </c>
      <c r="P29" s="367" t="s">
        <v>359</v>
      </c>
      <c r="Q29" s="367" t="s">
        <v>306</v>
      </c>
      <c r="R29" s="367" t="s">
        <v>319</v>
      </c>
      <c r="S29" s="367" t="s">
        <v>358</v>
      </c>
      <c r="T29" s="367" t="s">
        <v>357</v>
      </c>
    </row>
    <row r="30" spans="1:20" x14ac:dyDescent="0.25">
      <c r="A30" s="73" t="s">
        <v>62</v>
      </c>
      <c r="B30" s="130">
        <v>26.675057155499999</v>
      </c>
      <c r="C30" s="215">
        <v>8.7611354731086888E-2</v>
      </c>
      <c r="D30" s="130">
        <f>C30*'Newnans Lake TN'!E12</f>
        <v>30.40114009168715</v>
      </c>
      <c r="E30" s="210">
        <v>1497.6090124509999</v>
      </c>
      <c r="F30" s="215">
        <v>0.80447810508736717</v>
      </c>
      <c r="G30" s="210">
        <f>F30*'Newnans Lake TN'!E$13</f>
        <v>1078.000660817072</v>
      </c>
      <c r="H30" s="130">
        <v>402.03383048349997</v>
      </c>
      <c r="I30" s="215">
        <v>0.42504367394115811</v>
      </c>
      <c r="J30" s="130">
        <f>I30*'Newnans Lake TN'!E$14</f>
        <v>723.42433304785106</v>
      </c>
      <c r="K30" s="130">
        <v>99.526304305800011</v>
      </c>
      <c r="L30" s="215">
        <v>0.28926511386799902</v>
      </c>
      <c r="M30" s="130">
        <f>L30*'Newnans Lake TN'!E$15</f>
        <v>57.853022773599804</v>
      </c>
      <c r="N30" s="214">
        <v>3.33241738471E-2</v>
      </c>
      <c r="O30" s="215">
        <v>1</v>
      </c>
      <c r="P30" s="216">
        <f>O30*'Newnans Lake TN'!E17</f>
        <v>0</v>
      </c>
      <c r="Q30" s="395">
        <v>4.7142674067500003</v>
      </c>
      <c r="R30" s="215">
        <v>2.3235595907876615E-2</v>
      </c>
      <c r="S30" s="130">
        <f>R30*'Newnans Lake TN'!E$16</f>
        <v>7.2727415191653808</v>
      </c>
      <c r="T30" s="155">
        <f>D30+G30+J30+M30+P30+S30</f>
        <v>1896.9518982493755</v>
      </c>
    </row>
    <row r="31" spans="1:20" x14ac:dyDescent="0.25">
      <c r="A31" s="73" t="s">
        <v>120</v>
      </c>
      <c r="B31" s="130" t="s">
        <v>129</v>
      </c>
      <c r="C31" s="215" t="s">
        <v>129</v>
      </c>
      <c r="D31" s="130" t="s">
        <v>129</v>
      </c>
      <c r="E31" s="130" t="s">
        <v>129</v>
      </c>
      <c r="F31" s="218" t="s">
        <v>129</v>
      </c>
      <c r="G31" s="396" t="s">
        <v>129</v>
      </c>
      <c r="H31" s="130" t="s">
        <v>129</v>
      </c>
      <c r="I31" s="215" t="s">
        <v>129</v>
      </c>
      <c r="J31" s="397" t="s">
        <v>129</v>
      </c>
      <c r="K31" s="130" t="s">
        <v>129</v>
      </c>
      <c r="L31" s="218" t="s">
        <v>129</v>
      </c>
      <c r="M31" s="397" t="s">
        <v>129</v>
      </c>
      <c r="N31" s="216" t="s">
        <v>129</v>
      </c>
      <c r="O31" s="216" t="s">
        <v>129</v>
      </c>
      <c r="P31" s="216" t="s">
        <v>129</v>
      </c>
      <c r="Q31" s="395">
        <v>169.0308035475</v>
      </c>
      <c r="R31" s="215">
        <v>0.83578974207068712</v>
      </c>
      <c r="S31" s="130">
        <f>R31*'Newnans Lake TN'!E$16</f>
        <v>261.60218926812507</v>
      </c>
      <c r="T31" s="155">
        <f>S31</f>
        <v>261.60218926812507</v>
      </c>
    </row>
    <row r="32" spans="1:20" x14ac:dyDescent="0.25">
      <c r="A32" s="167" t="s">
        <v>67</v>
      </c>
      <c r="B32" s="397" t="s">
        <v>129</v>
      </c>
      <c r="C32" s="218" t="s">
        <v>129</v>
      </c>
      <c r="D32" s="397" t="s">
        <v>129</v>
      </c>
      <c r="E32" s="397" t="s">
        <v>129</v>
      </c>
      <c r="F32" s="218" t="s">
        <v>129</v>
      </c>
      <c r="G32" s="397" t="s">
        <v>129</v>
      </c>
      <c r="H32" s="397" t="s">
        <v>129</v>
      </c>
      <c r="I32" s="218" t="s">
        <v>129</v>
      </c>
      <c r="J32" s="397" t="s">
        <v>129</v>
      </c>
      <c r="K32" s="397" t="s">
        <v>129</v>
      </c>
      <c r="L32" s="218" t="s">
        <v>129</v>
      </c>
      <c r="M32" s="397" t="s">
        <v>129</v>
      </c>
      <c r="N32" s="157" t="s">
        <v>129</v>
      </c>
      <c r="O32" s="157" t="s">
        <v>129</v>
      </c>
      <c r="P32" s="157" t="s">
        <v>129</v>
      </c>
      <c r="Q32" s="398" t="s">
        <v>129</v>
      </c>
      <c r="R32" s="215" t="s">
        <v>129</v>
      </c>
      <c r="S32" s="130" t="s">
        <v>129</v>
      </c>
      <c r="T32" s="389" t="s">
        <v>129</v>
      </c>
    </row>
    <row r="33" spans="1:20" x14ac:dyDescent="0.25">
      <c r="A33" s="167" t="s">
        <v>66</v>
      </c>
      <c r="B33" s="130">
        <v>277.79526221499998</v>
      </c>
      <c r="C33" s="215">
        <v>0.91238864526727081</v>
      </c>
      <c r="D33" s="130">
        <f>C33*'Newnans Lake TN'!E12</f>
        <v>316.59885990774296</v>
      </c>
      <c r="E33" s="130">
        <v>363.98175425464382</v>
      </c>
      <c r="F33" s="215">
        <v>0.19552189491029268</v>
      </c>
      <c r="G33" s="130">
        <f>F33*'Newnans Lake TN'!E$13</f>
        <v>261.99933917979217</v>
      </c>
      <c r="H33" s="130">
        <v>543.8309244384975</v>
      </c>
      <c r="I33" s="215">
        <v>0.57495632605883928</v>
      </c>
      <c r="J33" s="130">
        <f>I33*'Newnans Lake TN'!E$14</f>
        <v>978.5756669521445</v>
      </c>
      <c r="K33" s="130">
        <v>244.53974284</v>
      </c>
      <c r="L33" s="215">
        <v>0.71073488613141966</v>
      </c>
      <c r="M33" s="130">
        <f>L33*'Newnans Lake TN'!E$15</f>
        <v>142.14697722628392</v>
      </c>
      <c r="N33" s="216" t="s">
        <v>129</v>
      </c>
      <c r="O33" s="216" t="s">
        <v>129</v>
      </c>
      <c r="P33" s="216" t="s">
        <v>129</v>
      </c>
      <c r="Q33" s="395">
        <v>28.495749959299999</v>
      </c>
      <c r="R33" s="215">
        <v>0.14090009044949839</v>
      </c>
      <c r="S33" s="130">
        <f>R33*'Newnans Lake TN'!E$16</f>
        <v>44.101728310692998</v>
      </c>
      <c r="T33" s="155">
        <f>D33+G33+J33+M33+S33</f>
        <v>1743.4225715766565</v>
      </c>
    </row>
    <row r="34" spans="1:20" x14ac:dyDescent="0.25">
      <c r="A34" s="73" t="s">
        <v>68</v>
      </c>
      <c r="B34" s="216"/>
      <c r="C34" s="215">
        <v>0.99999999999912725</v>
      </c>
      <c r="D34" s="130">
        <f>SUM(D30:D33)</f>
        <v>346.99999999943009</v>
      </c>
      <c r="E34" s="130"/>
      <c r="F34" s="215">
        <v>1.0000000000007945</v>
      </c>
      <c r="G34" s="210">
        <f>SUM(G29:G33)</f>
        <v>1339.9999999968641</v>
      </c>
      <c r="H34" s="130"/>
      <c r="I34" s="215">
        <v>1.0000000000017311</v>
      </c>
      <c r="J34" s="210">
        <f>SUM(J30:J33)</f>
        <v>1701.9999999999955</v>
      </c>
      <c r="K34" s="130"/>
      <c r="L34" s="215">
        <v>1.000000000000286</v>
      </c>
      <c r="M34" s="130">
        <f>SUM(M30:M33)</f>
        <v>199.99999999988373</v>
      </c>
      <c r="N34" s="216"/>
      <c r="O34" s="215">
        <v>1</v>
      </c>
      <c r="P34" s="216">
        <f>SUM(P30:P33)</f>
        <v>0</v>
      </c>
      <c r="Q34" s="395"/>
      <c r="R34" s="215">
        <v>0.99992542842806209</v>
      </c>
      <c r="S34" s="130">
        <f>SUM(S30:S33)</f>
        <v>312.97665909798343</v>
      </c>
      <c r="T34" s="155">
        <f>SUM(T30:T33)</f>
        <v>3901.9766590941572</v>
      </c>
    </row>
    <row r="35" spans="1:20" x14ac:dyDescent="0.25">
      <c r="B35" s="399"/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399"/>
      <c r="P35" s="399"/>
      <c r="Q35" s="399"/>
      <c r="R35" s="399"/>
      <c r="S35" s="399"/>
      <c r="T35" s="399"/>
    </row>
    <row r="36" spans="1:20" x14ac:dyDescent="0.25">
      <c r="B36" s="399"/>
      <c r="C36" s="399"/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  <c r="R36" s="399"/>
      <c r="S36" s="399"/>
      <c r="T36" s="399"/>
    </row>
    <row r="37" spans="1:20" x14ac:dyDescent="0.25">
      <c r="A37" s="393" t="s">
        <v>356</v>
      </c>
      <c r="B37" s="479" t="s">
        <v>390</v>
      </c>
      <c r="C37" s="480"/>
      <c r="D37" s="480"/>
      <c r="E37" s="480"/>
      <c r="F37" s="480"/>
      <c r="G37" s="480"/>
      <c r="H37" s="480"/>
      <c r="I37" s="480"/>
      <c r="J37" s="480"/>
      <c r="K37" s="480"/>
      <c r="L37" s="480"/>
      <c r="M37" s="480"/>
      <c r="N37" s="480"/>
      <c r="O37" s="480"/>
      <c r="P37" s="480"/>
      <c r="Q37" s="480"/>
      <c r="R37" s="480"/>
      <c r="S37" s="480"/>
      <c r="T37" s="480"/>
    </row>
    <row r="38" spans="1:20" ht="79.2" x14ac:dyDescent="0.25">
      <c r="A38" s="400" t="s">
        <v>302</v>
      </c>
      <c r="B38" s="367" t="s">
        <v>305</v>
      </c>
      <c r="C38" s="367" t="s">
        <v>303</v>
      </c>
      <c r="D38" s="367" t="s">
        <v>363</v>
      </c>
      <c r="E38" s="367" t="s">
        <v>318</v>
      </c>
      <c r="F38" s="367" t="s">
        <v>313</v>
      </c>
      <c r="G38" s="367" t="s">
        <v>362</v>
      </c>
      <c r="H38" s="367" t="s">
        <v>315</v>
      </c>
      <c r="I38" s="367" t="s">
        <v>316</v>
      </c>
      <c r="J38" s="367" t="s">
        <v>361</v>
      </c>
      <c r="K38" s="367" t="s">
        <v>307</v>
      </c>
      <c r="L38" s="367" t="s">
        <v>308</v>
      </c>
      <c r="M38" s="367" t="s">
        <v>360</v>
      </c>
      <c r="N38" s="367" t="s">
        <v>310</v>
      </c>
      <c r="O38" s="367" t="s">
        <v>311</v>
      </c>
      <c r="P38" s="367" t="s">
        <v>359</v>
      </c>
      <c r="Q38" s="367" t="s">
        <v>306</v>
      </c>
      <c r="R38" s="367" t="s">
        <v>319</v>
      </c>
      <c r="S38" s="367" t="s">
        <v>358</v>
      </c>
      <c r="T38" s="367" t="s">
        <v>321</v>
      </c>
    </row>
    <row r="39" spans="1:20" x14ac:dyDescent="0.25">
      <c r="A39" s="73" t="s">
        <v>62</v>
      </c>
      <c r="B39" s="130">
        <v>280.83585518500001</v>
      </c>
      <c r="C39" s="215">
        <v>0.82334012715347216</v>
      </c>
      <c r="D39" s="130">
        <f>C39*'Newnans Lake TN'!E$30</f>
        <v>279.60630718131915</v>
      </c>
      <c r="E39" s="210">
        <v>1824.76428687</v>
      </c>
      <c r="F39" s="215">
        <v>0.9063092229481553</v>
      </c>
      <c r="G39" s="210">
        <f>F39*'Newnans Lake TN'!E28</f>
        <v>1898.1740365426165</v>
      </c>
      <c r="H39" s="130">
        <v>143.71898623000001</v>
      </c>
      <c r="I39" s="215">
        <v>0.85703285103496285</v>
      </c>
      <c r="J39" s="130">
        <f>I39*'Newnans Lake TN'!E29</f>
        <v>539.0736633009916</v>
      </c>
      <c r="K39" s="130">
        <v>59.059930325400003</v>
      </c>
      <c r="L39" s="215">
        <v>0.18664450066775765</v>
      </c>
      <c r="M39" s="130">
        <f>L39*'Newnans Lake TN'!E$27</f>
        <v>11.72127464193518</v>
      </c>
      <c r="N39" s="214">
        <v>15.5313258738</v>
      </c>
      <c r="O39" s="215">
        <v>1</v>
      </c>
      <c r="P39" s="216">
        <f>O39*'Newnans Lake TN'!E31</f>
        <v>71</v>
      </c>
      <c r="Q39" s="395">
        <v>71.313836428900004</v>
      </c>
      <c r="R39" s="215">
        <v>0.19685886531001281</v>
      </c>
      <c r="S39" s="130">
        <f>R39*'Newnans Lake TN'!E$26</f>
        <v>128.19449308988035</v>
      </c>
      <c r="T39" s="155">
        <f>D39+G39+J39+M39+P39+S39</f>
        <v>2927.7697747567422</v>
      </c>
    </row>
    <row r="40" spans="1:20" x14ac:dyDescent="0.25">
      <c r="A40" s="73" t="s">
        <v>120</v>
      </c>
      <c r="B40" s="130" t="s">
        <v>129</v>
      </c>
      <c r="C40" s="215" t="s">
        <v>129</v>
      </c>
      <c r="D40" s="130" t="s">
        <v>129</v>
      </c>
      <c r="E40" s="130" t="s">
        <v>129</v>
      </c>
      <c r="F40" s="218" t="s">
        <v>129</v>
      </c>
      <c r="G40" s="396" t="s">
        <v>129</v>
      </c>
      <c r="H40" s="130" t="s">
        <v>129</v>
      </c>
      <c r="I40" s="215" t="s">
        <v>129</v>
      </c>
      <c r="J40" s="397" t="s">
        <v>129</v>
      </c>
      <c r="K40" s="130" t="s">
        <v>129</v>
      </c>
      <c r="L40" s="218" t="s">
        <v>129</v>
      </c>
      <c r="M40" s="397" t="s">
        <v>129</v>
      </c>
      <c r="N40" s="216" t="s">
        <v>129</v>
      </c>
      <c r="O40" s="216" t="s">
        <v>129</v>
      </c>
      <c r="P40" s="216" t="s">
        <v>129</v>
      </c>
      <c r="Q40" s="395">
        <v>284.33566276190004</v>
      </c>
      <c r="R40" s="215">
        <v>0.7848967148792263</v>
      </c>
      <c r="S40" s="130">
        <f>R40*'Newnans Lake TN'!E$26</f>
        <v>511.1247407293522</v>
      </c>
      <c r="T40" s="156">
        <f>S40</f>
        <v>511.1247407293522</v>
      </c>
    </row>
    <row r="41" spans="1:20" x14ac:dyDescent="0.25">
      <c r="A41" s="167" t="s">
        <v>67</v>
      </c>
      <c r="B41" s="397">
        <v>4.9444967284599999</v>
      </c>
      <c r="C41" s="218">
        <v>1.4500000000000001E-2</v>
      </c>
      <c r="D41" s="130">
        <f>C41*'Newnans Lake TN'!E$30</f>
        <v>4.9242000000000008</v>
      </c>
      <c r="E41" s="397">
        <v>180.41245039899999</v>
      </c>
      <c r="F41" s="218">
        <v>8.9605802189255068E-2</v>
      </c>
      <c r="G41" s="130">
        <f>F41*'Newnans Lake TN'!E$28</f>
        <v>187.67039210517584</v>
      </c>
      <c r="H41" s="397">
        <v>23.9746862545</v>
      </c>
      <c r="I41" s="218">
        <v>0.1429671489644411</v>
      </c>
      <c r="J41" s="130">
        <f>I41*'Newnans Lake TN'!E29</f>
        <v>89.926336698633449</v>
      </c>
      <c r="K41" s="397">
        <v>5.0860472021499996</v>
      </c>
      <c r="L41" s="218">
        <v>1.607321131582292E-2</v>
      </c>
      <c r="M41" s="130">
        <f>L41*'Newnans Lake TN'!E$27</f>
        <v>1.0093976706336794</v>
      </c>
      <c r="N41" s="157" t="s">
        <v>129</v>
      </c>
      <c r="O41" s="157" t="s">
        <v>129</v>
      </c>
      <c r="P41" s="157" t="s">
        <v>129</v>
      </c>
      <c r="Q41" s="398" t="s">
        <v>129</v>
      </c>
      <c r="R41" s="215" t="s">
        <v>129</v>
      </c>
      <c r="S41" s="130" t="s">
        <v>129</v>
      </c>
      <c r="T41" s="261">
        <f>D41+G41+J41+M41</f>
        <v>283.53032647444297</v>
      </c>
    </row>
    <row r="42" spans="1:20" x14ac:dyDescent="0.25">
      <c r="A42" s="167" t="s">
        <v>66</v>
      </c>
      <c r="B42" s="130">
        <v>55.3130139059</v>
      </c>
      <c r="C42" s="215">
        <v>0.16216385145167866</v>
      </c>
      <c r="D42" s="130">
        <f>C42*'Newnans Lake TN'!E$30</f>
        <v>55.070843952990082</v>
      </c>
      <c r="E42" s="130">
        <v>8.1936759395200003</v>
      </c>
      <c r="F42" s="215">
        <v>4.0695689450241917E-3</v>
      </c>
      <c r="G42" s="130">
        <f>F42*'Newnans Lake TN'!E$28</f>
        <v>8.523305198458667</v>
      </c>
      <c r="H42" s="397" t="s">
        <v>129</v>
      </c>
      <c r="I42" s="218" t="s">
        <v>129</v>
      </c>
      <c r="J42" s="397" t="s">
        <v>129</v>
      </c>
      <c r="K42" s="130">
        <v>251.2798750707</v>
      </c>
      <c r="L42" s="215">
        <v>0.79663690531653686</v>
      </c>
      <c r="M42" s="130">
        <f>L42*'Newnans Lake TN'!E$27</f>
        <v>50.028797653878513</v>
      </c>
      <c r="N42" s="216" t="s">
        <v>129</v>
      </c>
      <c r="O42" s="216" t="s">
        <v>129</v>
      </c>
      <c r="P42" s="216" t="s">
        <v>129</v>
      </c>
      <c r="Q42" s="395">
        <v>6.6091997839949999</v>
      </c>
      <c r="R42" s="215">
        <v>1.8244419810195117E-2</v>
      </c>
      <c r="S42" s="130">
        <f>R42*'Newnans Lake TN'!E$26</f>
        <v>11.880766180399061</v>
      </c>
      <c r="T42" s="156">
        <f>D42+G42+M42+S42</f>
        <v>125.50371298572632</v>
      </c>
    </row>
    <row r="43" spans="1:20" x14ac:dyDescent="0.25">
      <c r="A43" s="73" t="s">
        <v>68</v>
      </c>
      <c r="B43" s="216"/>
      <c r="C43" s="215">
        <v>1.0000039786051507</v>
      </c>
      <c r="D43" s="130">
        <f>SUM(D39:D42)</f>
        <v>339.6013511343092</v>
      </c>
      <c r="E43" s="130"/>
      <c r="F43" s="215">
        <v>1.0000000000007945</v>
      </c>
      <c r="G43" s="210">
        <f>SUM(G39:G42)</f>
        <v>2094.3677338462512</v>
      </c>
      <c r="H43" s="130"/>
      <c r="I43" s="215">
        <v>0.99999999999940392</v>
      </c>
      <c r="J43" s="130">
        <f>SUM(J39:J42)</f>
        <v>628.99999999962506</v>
      </c>
      <c r="K43" s="130"/>
      <c r="L43" s="215">
        <f>SUM(L39:L42)</f>
        <v>0.99935461730011743</v>
      </c>
      <c r="M43" s="130">
        <f>SUM(M39:M42)</f>
        <v>62.759469966447369</v>
      </c>
      <c r="N43" s="216"/>
      <c r="O43" s="215">
        <v>1</v>
      </c>
      <c r="P43" s="216">
        <f>SUM(P39:P42)</f>
        <v>71</v>
      </c>
      <c r="Q43" s="395"/>
      <c r="R43" s="215">
        <v>0.99999999999943423</v>
      </c>
      <c r="S43" s="130">
        <f>SUM(S39:S42)</f>
        <v>651.19999999963159</v>
      </c>
      <c r="T43" s="155">
        <f>SUM(T39:T42)</f>
        <v>3847.9285549462638</v>
      </c>
    </row>
    <row r="44" spans="1:20" x14ac:dyDescent="0.25">
      <c r="B44" s="399"/>
      <c r="C44" s="399"/>
      <c r="D44" s="399"/>
      <c r="E44" s="399"/>
      <c r="F44" s="399"/>
      <c r="G44" s="399"/>
      <c r="H44" s="399"/>
      <c r="I44" s="399"/>
      <c r="J44" s="399"/>
      <c r="K44" s="399"/>
      <c r="L44" s="399"/>
      <c r="M44" s="399"/>
      <c r="N44" s="399"/>
      <c r="O44" s="399"/>
      <c r="P44" s="399"/>
      <c r="Q44" s="399"/>
      <c r="R44" s="399"/>
      <c r="S44" s="399"/>
      <c r="T44" s="399"/>
    </row>
    <row r="45" spans="1:20" x14ac:dyDescent="0.25">
      <c r="B45" s="399"/>
      <c r="C45" s="399"/>
      <c r="D45" s="399"/>
      <c r="E45" s="399"/>
      <c r="F45" s="399"/>
      <c r="G45" s="399"/>
      <c r="H45" s="399"/>
      <c r="I45" s="399"/>
      <c r="J45" s="399"/>
      <c r="K45" s="399"/>
      <c r="L45" s="399"/>
      <c r="M45" s="399"/>
      <c r="N45" s="399"/>
      <c r="O45" s="399"/>
      <c r="P45" s="399"/>
      <c r="Q45" s="399"/>
      <c r="R45" s="399"/>
      <c r="S45" s="399"/>
      <c r="T45" s="399"/>
    </row>
    <row r="46" spans="1:20" x14ac:dyDescent="0.25">
      <c r="A46" s="393" t="s">
        <v>356</v>
      </c>
      <c r="B46" s="479" t="s">
        <v>391</v>
      </c>
      <c r="C46" s="480"/>
      <c r="D46" s="480"/>
      <c r="E46" s="480"/>
      <c r="F46" s="480"/>
      <c r="G46" s="480"/>
      <c r="H46" s="480"/>
      <c r="I46" s="480"/>
      <c r="J46" s="480"/>
      <c r="K46" s="480"/>
      <c r="L46" s="480"/>
      <c r="M46" s="480"/>
      <c r="N46" s="480"/>
      <c r="O46" s="480"/>
      <c r="P46" s="480"/>
      <c r="Q46" s="480"/>
      <c r="R46" s="480"/>
      <c r="S46" s="480"/>
      <c r="T46" s="480"/>
    </row>
    <row r="47" spans="1:20" ht="79.2" x14ac:dyDescent="0.25">
      <c r="A47" s="400" t="s">
        <v>302</v>
      </c>
      <c r="B47" s="367" t="s">
        <v>305</v>
      </c>
      <c r="C47" s="367" t="s">
        <v>303</v>
      </c>
      <c r="D47" s="367" t="s">
        <v>363</v>
      </c>
      <c r="E47" s="367" t="s">
        <v>318</v>
      </c>
      <c r="F47" s="367" t="s">
        <v>313</v>
      </c>
      <c r="G47" s="367" t="s">
        <v>362</v>
      </c>
      <c r="H47" s="367" t="s">
        <v>315</v>
      </c>
      <c r="I47" s="367" t="s">
        <v>316</v>
      </c>
      <c r="J47" s="367" t="s">
        <v>361</v>
      </c>
      <c r="K47" s="367" t="s">
        <v>307</v>
      </c>
      <c r="L47" s="367" t="s">
        <v>308</v>
      </c>
      <c r="M47" s="367" t="s">
        <v>360</v>
      </c>
      <c r="N47" s="367" t="s">
        <v>310</v>
      </c>
      <c r="O47" s="367" t="s">
        <v>311</v>
      </c>
      <c r="P47" s="367" t="s">
        <v>359</v>
      </c>
      <c r="Q47" s="367" t="s">
        <v>306</v>
      </c>
      <c r="R47" s="367" t="s">
        <v>319</v>
      </c>
      <c r="S47" s="367" t="s">
        <v>358</v>
      </c>
      <c r="T47" s="367" t="s">
        <v>321</v>
      </c>
    </row>
    <row r="48" spans="1:20" x14ac:dyDescent="0.25">
      <c r="A48" s="73" t="s">
        <v>62</v>
      </c>
      <c r="B48" s="130">
        <v>5.4897800805200001</v>
      </c>
      <c r="C48" s="215">
        <v>1.9800000000000002E-2</v>
      </c>
      <c r="D48" s="130">
        <f>C48*'Newnans Lake TN'!E$44</f>
        <v>7.7972400000000013</v>
      </c>
      <c r="E48" s="130">
        <v>65.105504725100005</v>
      </c>
      <c r="F48" s="215">
        <v>0.17000859562576898</v>
      </c>
      <c r="G48" s="130">
        <f>F48*'Newnans Lake TN'!E$42</f>
        <v>16.082813146197743</v>
      </c>
      <c r="H48" s="130">
        <v>23</v>
      </c>
      <c r="I48" s="215">
        <v>4.2000000000000003E-2</v>
      </c>
      <c r="J48" s="130">
        <f>I48*'Newnans Lake TN'!E$43</f>
        <v>28.056000000000001</v>
      </c>
      <c r="K48" s="130">
        <v>45.293839656199999</v>
      </c>
      <c r="L48" s="215">
        <v>5.7658869790671162E-2</v>
      </c>
      <c r="M48" s="130">
        <f>L48*'Newnans Lake TN'!E$41</f>
        <v>9.5829041592095461</v>
      </c>
      <c r="N48" s="217" t="s">
        <v>129</v>
      </c>
      <c r="O48" s="218" t="s">
        <v>129</v>
      </c>
      <c r="P48" s="157" t="s">
        <v>129</v>
      </c>
      <c r="Q48" s="395">
        <v>5.5591097306900004</v>
      </c>
      <c r="R48" s="215">
        <v>4.5899249383670347E-3</v>
      </c>
      <c r="S48" s="130">
        <f>R48*'Newnans Lake TN'!E40</f>
        <v>9.4194439585168279</v>
      </c>
      <c r="T48" s="156">
        <f>D48+G48+J48+M48+S48</f>
        <v>70.938401263924121</v>
      </c>
    </row>
    <row r="49" spans="1:20" x14ac:dyDescent="0.25">
      <c r="A49" s="73" t="s">
        <v>120</v>
      </c>
      <c r="B49" s="130" t="s">
        <v>129</v>
      </c>
      <c r="C49" s="215" t="s">
        <v>129</v>
      </c>
      <c r="D49" s="130" t="s">
        <v>129</v>
      </c>
      <c r="E49" s="130" t="s">
        <v>129</v>
      </c>
      <c r="F49" s="218" t="s">
        <v>129</v>
      </c>
      <c r="G49" s="396" t="s">
        <v>129</v>
      </c>
      <c r="H49" s="130" t="s">
        <v>129</v>
      </c>
      <c r="I49" s="215" t="s">
        <v>129</v>
      </c>
      <c r="J49" s="397" t="s">
        <v>129</v>
      </c>
      <c r="K49" s="130" t="s">
        <v>129</v>
      </c>
      <c r="L49" s="218" t="s">
        <v>129</v>
      </c>
      <c r="M49" s="397" t="s">
        <v>129</v>
      </c>
      <c r="N49" s="216" t="s">
        <v>129</v>
      </c>
      <c r="O49" s="216" t="s">
        <v>129</v>
      </c>
      <c r="P49" s="216" t="s">
        <v>129</v>
      </c>
      <c r="Q49" s="395">
        <v>119.5176719383</v>
      </c>
      <c r="R49" s="215">
        <v>9.8680754577780805E-2</v>
      </c>
      <c r="S49" s="130">
        <f>R49*'Newnans Lake TN'!E40</f>
        <v>202.51264454452175</v>
      </c>
      <c r="T49" s="156">
        <f>S49</f>
        <v>202.51264454452175</v>
      </c>
    </row>
    <row r="50" spans="1:20" x14ac:dyDescent="0.25">
      <c r="A50" s="167" t="s">
        <v>67</v>
      </c>
      <c r="B50" s="397" t="s">
        <v>129</v>
      </c>
      <c r="C50" s="218" t="s">
        <v>129</v>
      </c>
      <c r="D50" s="397" t="s">
        <v>129</v>
      </c>
      <c r="E50" s="397" t="s">
        <v>129</v>
      </c>
      <c r="F50" s="218" t="s">
        <v>129</v>
      </c>
      <c r="G50" s="397" t="s">
        <v>129</v>
      </c>
      <c r="H50" s="397" t="s">
        <v>129</v>
      </c>
      <c r="I50" s="397" t="s">
        <v>129</v>
      </c>
      <c r="J50" s="397" t="s">
        <v>129</v>
      </c>
      <c r="K50" s="397" t="s">
        <v>129</v>
      </c>
      <c r="L50" s="397" t="s">
        <v>129</v>
      </c>
      <c r="M50" s="397" t="s">
        <v>129</v>
      </c>
      <c r="N50" s="397" t="s">
        <v>129</v>
      </c>
      <c r="O50" s="397" t="s">
        <v>129</v>
      </c>
      <c r="P50" s="397" t="s">
        <v>129</v>
      </c>
      <c r="Q50" s="397" t="s">
        <v>129</v>
      </c>
      <c r="R50" s="397" t="s">
        <v>129</v>
      </c>
      <c r="S50" s="397" t="s">
        <v>129</v>
      </c>
      <c r="T50" s="261" t="s">
        <v>129</v>
      </c>
    </row>
    <row r="51" spans="1:20" x14ac:dyDescent="0.25">
      <c r="A51" s="167" t="s">
        <v>66</v>
      </c>
      <c r="B51" s="130">
        <v>271.89149024099999</v>
      </c>
      <c r="C51" s="215">
        <v>0.98020854084838838</v>
      </c>
      <c r="D51" s="130">
        <f>C51*'Newnans Lake TN'!E$44</f>
        <v>386.00612338609534</v>
      </c>
      <c r="E51" s="130">
        <v>317.84868935820003</v>
      </c>
      <c r="F51" s="215">
        <v>0.82999140437423102</v>
      </c>
      <c r="G51" s="130">
        <f>F51*'Newnans Lake TN'!E$42</f>
        <v>78.517186853802244</v>
      </c>
      <c r="H51" s="130">
        <v>527.16177037800003</v>
      </c>
      <c r="I51" s="215">
        <v>0.95813058419649066</v>
      </c>
      <c r="J51" s="130">
        <f>I51*'Newnans Lake TN'!E$43</f>
        <v>640.03123024325578</v>
      </c>
      <c r="K51" s="130">
        <v>740.25467734799997</v>
      </c>
      <c r="L51" s="215">
        <v>0.94234113020932886</v>
      </c>
      <c r="M51" s="130">
        <f>L51*'Newnans Lake TN'!E$41</f>
        <v>156.61709584079045</v>
      </c>
      <c r="N51" s="130">
        <v>1.7347513595999999</v>
      </c>
      <c r="O51" s="215">
        <v>1</v>
      </c>
      <c r="P51" s="216">
        <f>O51*'Newnans Lake TN'!E45</f>
        <v>3</v>
      </c>
      <c r="Q51" s="395">
        <v>1085.9558808436</v>
      </c>
      <c r="R51" s="215">
        <v>0.89662845687913872</v>
      </c>
      <c r="S51" s="210">
        <f>R51*'Newnans Lake TN'!E40</f>
        <v>1840.0609192073682</v>
      </c>
      <c r="T51" s="155">
        <f>D51+G51+J51+M51+P51+S51</f>
        <v>3104.2325555313118</v>
      </c>
    </row>
    <row r="52" spans="1:20" x14ac:dyDescent="0.25">
      <c r="A52" s="73" t="s">
        <v>68</v>
      </c>
      <c r="B52" s="216"/>
      <c r="C52" s="215">
        <v>1.0000085408483883</v>
      </c>
      <c r="D52" s="130">
        <f>SUM(D48:D51)</f>
        <v>393.80336338609533</v>
      </c>
      <c r="E52" s="130"/>
      <c r="F52" s="215">
        <v>1.0000000000007945</v>
      </c>
      <c r="G52" s="130">
        <f>SUM(G48:G51)</f>
        <v>94.6</v>
      </c>
      <c r="H52" s="130"/>
      <c r="I52" s="215">
        <v>1.0001305841964907</v>
      </c>
      <c r="J52" s="130">
        <f>SUM(J48:J51)</f>
        <v>668.08723024325582</v>
      </c>
      <c r="K52" s="130"/>
      <c r="L52" s="215"/>
      <c r="M52" s="130">
        <f>SUM(M48:M51)</f>
        <v>166.2</v>
      </c>
      <c r="N52" s="216"/>
      <c r="O52" s="215">
        <v>1</v>
      </c>
      <c r="P52" s="216">
        <f>SUM(P48:P51)</f>
        <v>3</v>
      </c>
      <c r="Q52" s="395"/>
      <c r="R52" s="215">
        <v>0.9998991363952866</v>
      </c>
      <c r="S52" s="210">
        <f>SUM(S48:S51)</f>
        <v>2051.9930077104068</v>
      </c>
      <c r="T52" s="155">
        <f>SUM(T48:T51)</f>
        <v>3377.6836013397578</v>
      </c>
    </row>
    <row r="54" spans="1:20" x14ac:dyDescent="0.25">
      <c r="A54" s="19" t="s">
        <v>364</v>
      </c>
    </row>
  </sheetData>
  <mergeCells count="5">
    <mergeCell ref="B10:T10"/>
    <mergeCell ref="B19:T19"/>
    <mergeCell ref="B28:T28"/>
    <mergeCell ref="B37:T37"/>
    <mergeCell ref="B46:T4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workbookViewId="0">
      <selection activeCell="D62" sqref="D62"/>
    </sheetView>
  </sheetViews>
  <sheetFormatPr defaultRowHeight="13.2" x14ac:dyDescent="0.25"/>
  <cols>
    <col min="1" max="1" width="30.6640625" customWidth="1"/>
    <col min="2" max="2" width="33.5546875" customWidth="1"/>
    <col min="3" max="3" width="19.109375" customWidth="1"/>
    <col min="4" max="4" width="16.5546875" customWidth="1"/>
    <col min="5" max="5" width="14.33203125" customWidth="1"/>
    <col min="6" max="6" width="15.5546875" customWidth="1"/>
    <col min="7" max="7" width="17" customWidth="1"/>
    <col min="8" max="8" width="18" customWidth="1"/>
    <col min="9" max="9" width="22" customWidth="1"/>
    <col min="10" max="10" width="18.5546875" customWidth="1"/>
    <col min="11" max="11" width="16.88671875" customWidth="1"/>
    <col min="12" max="12" width="15.88671875" customWidth="1"/>
    <col min="13" max="13" width="19.109375" customWidth="1"/>
    <col min="14" max="14" width="13.6640625" customWidth="1"/>
    <col min="15" max="15" width="13.88671875" customWidth="1"/>
    <col min="16" max="16" width="13.33203125" customWidth="1"/>
    <col min="17" max="17" width="14.109375" customWidth="1"/>
  </cols>
  <sheetData>
    <row r="1" spans="1:17" x14ac:dyDescent="0.25">
      <c r="A1" s="182" t="s">
        <v>185</v>
      </c>
    </row>
    <row r="2" spans="1:17" ht="39.6" x14ac:dyDescent="0.25">
      <c r="A2" s="181" t="s">
        <v>56</v>
      </c>
      <c r="B2" s="181" t="s">
        <v>57</v>
      </c>
      <c r="C2" s="181" t="s">
        <v>58</v>
      </c>
      <c r="D2" s="181" t="s">
        <v>59</v>
      </c>
      <c r="E2" s="181" t="s">
        <v>60</v>
      </c>
      <c r="F2" s="181" t="s">
        <v>61</v>
      </c>
      <c r="I2" s="304"/>
      <c r="J2" s="482"/>
      <c r="K2" s="483"/>
    </row>
    <row r="3" spans="1:17" x14ac:dyDescent="0.25">
      <c r="A3" s="73" t="s">
        <v>62</v>
      </c>
      <c r="B3" s="73" t="s">
        <v>42</v>
      </c>
      <c r="C3" s="73" t="s">
        <v>63</v>
      </c>
      <c r="D3" s="159">
        <v>71.313836428900004</v>
      </c>
      <c r="E3" s="160">
        <f>D3/GETPIVOTDATA("Acres",$A$47,"Land Use Category","Communication and Transportation","Major Trib","Hatchet Creek 2009 Acres")</f>
        <v>0.1968588653101242</v>
      </c>
      <c r="F3" s="161">
        <v>0.19685886531001281</v>
      </c>
    </row>
    <row r="4" spans="1:17" x14ac:dyDescent="0.25">
      <c r="A4" s="73" t="s">
        <v>62</v>
      </c>
      <c r="B4" s="73" t="s">
        <v>36</v>
      </c>
      <c r="C4" s="73" t="s">
        <v>63</v>
      </c>
      <c r="D4" s="159">
        <v>59.059930325400003</v>
      </c>
      <c r="E4" s="160">
        <f>D4/GETPIVOTDATA("Acres",$A$47,"Land Use Category","High Density Residential","Major Trib","Hatchet Creek 2009 Acres")</f>
        <v>0.18723871185226898</v>
      </c>
      <c r="F4" s="161">
        <v>0.18664450066775765</v>
      </c>
    </row>
    <row r="5" spans="1:17" x14ac:dyDescent="0.25">
      <c r="A5" s="73" t="s">
        <v>62</v>
      </c>
      <c r="B5" s="73" t="s">
        <v>34</v>
      </c>
      <c r="C5" s="73" t="s">
        <v>63</v>
      </c>
      <c r="D5" s="159">
        <v>1824.76428687</v>
      </c>
      <c r="E5" s="160">
        <v>0.9063092229481553</v>
      </c>
      <c r="F5" s="161">
        <v>0.9063092229481553</v>
      </c>
      <c r="I5" s="148"/>
      <c r="J5" s="149"/>
      <c r="K5" s="149"/>
      <c r="L5" s="149"/>
      <c r="M5" s="149"/>
      <c r="N5" s="149"/>
      <c r="O5" s="149"/>
      <c r="P5" s="149"/>
      <c r="Q5" s="149"/>
    </row>
    <row r="6" spans="1:17" x14ac:dyDescent="0.25">
      <c r="A6" s="73" t="s">
        <v>62</v>
      </c>
      <c r="B6" s="73" t="s">
        <v>35</v>
      </c>
      <c r="C6" s="73" t="s">
        <v>63</v>
      </c>
      <c r="D6" s="159">
        <v>143.71898623000001</v>
      </c>
      <c r="E6" s="160">
        <v>0.85703285103496285</v>
      </c>
      <c r="F6" s="161">
        <v>0.85703285103496285</v>
      </c>
      <c r="I6" s="287"/>
      <c r="J6" s="149"/>
      <c r="K6" s="149"/>
      <c r="L6" s="149"/>
      <c r="M6" s="149"/>
      <c r="N6" s="149"/>
      <c r="O6" s="149"/>
      <c r="P6" s="149"/>
      <c r="Q6" s="149"/>
    </row>
    <row r="7" spans="1:17" x14ac:dyDescent="0.25">
      <c r="A7" s="73" t="s">
        <v>62</v>
      </c>
      <c r="B7" s="73" t="s">
        <v>43</v>
      </c>
      <c r="C7" s="73" t="s">
        <v>63</v>
      </c>
      <c r="D7" s="159">
        <v>280.83585518500001</v>
      </c>
      <c r="E7" s="160">
        <v>0.82334012715347216</v>
      </c>
      <c r="F7" s="161">
        <v>0.82334012715347216</v>
      </c>
      <c r="I7" s="287"/>
      <c r="J7" s="149"/>
      <c r="K7" s="149"/>
      <c r="L7" s="149"/>
      <c r="M7" s="149"/>
      <c r="N7" s="149"/>
      <c r="O7" s="149"/>
      <c r="P7" s="149"/>
      <c r="Q7" s="149"/>
    </row>
    <row r="8" spans="1:17" x14ac:dyDescent="0.25">
      <c r="A8" s="167" t="s">
        <v>62</v>
      </c>
      <c r="B8" s="167" t="s">
        <v>204</v>
      </c>
      <c r="C8" s="167" t="s">
        <v>63</v>
      </c>
      <c r="D8" s="72">
        <v>15.5313258738</v>
      </c>
      <c r="E8" s="160">
        <v>1</v>
      </c>
      <c r="F8" s="161">
        <f>E8</f>
        <v>1</v>
      </c>
      <c r="I8" s="287"/>
      <c r="J8" s="149"/>
      <c r="K8" s="149"/>
      <c r="L8" s="149"/>
      <c r="M8" s="149"/>
      <c r="N8" s="149"/>
      <c r="O8" s="149"/>
      <c r="P8" s="149"/>
      <c r="Q8" s="149"/>
    </row>
    <row r="9" spans="1:17" x14ac:dyDescent="0.25">
      <c r="A9" s="73" t="s">
        <v>62</v>
      </c>
      <c r="B9" s="73" t="s">
        <v>42</v>
      </c>
      <c r="C9" s="73" t="s">
        <v>64</v>
      </c>
      <c r="D9" s="159">
        <v>5.5591097306900004</v>
      </c>
      <c r="E9" s="160">
        <v>4.5899249383670347E-3</v>
      </c>
      <c r="F9" s="161">
        <v>4.5899249383670347E-3</v>
      </c>
      <c r="I9" s="287"/>
      <c r="J9" s="149"/>
      <c r="K9" s="149"/>
      <c r="L9" s="149"/>
      <c r="M9" s="149"/>
      <c r="N9" s="149"/>
      <c r="O9" s="149"/>
      <c r="P9" s="149"/>
      <c r="Q9" s="149"/>
    </row>
    <row r="10" spans="1:17" x14ac:dyDescent="0.25">
      <c r="A10" s="73" t="s">
        <v>62</v>
      </c>
      <c r="B10" s="73" t="s">
        <v>36</v>
      </c>
      <c r="C10" s="73" t="s">
        <v>64</v>
      </c>
      <c r="D10" s="159">
        <v>45.293839656199999</v>
      </c>
      <c r="E10" s="160">
        <f>D10/GETPIVOTDATA("Acres",$A$47,"Land Use Category","High Density Residential","Major Trib","Little Hatchet Creek 2009 Acres")</f>
        <v>5.7658869790671162E-2</v>
      </c>
      <c r="F10" s="161">
        <f>E10</f>
        <v>5.7658869790671162E-2</v>
      </c>
      <c r="G10" s="19"/>
      <c r="I10" s="287"/>
      <c r="J10" s="149"/>
      <c r="K10" s="149"/>
      <c r="L10" s="149"/>
      <c r="M10" s="149"/>
      <c r="N10" s="149"/>
      <c r="O10" s="149"/>
      <c r="P10" s="149"/>
      <c r="Q10" s="149"/>
    </row>
    <row r="11" spans="1:17" x14ac:dyDescent="0.25">
      <c r="A11" s="73" t="s">
        <v>62</v>
      </c>
      <c r="B11" s="73" t="s">
        <v>34</v>
      </c>
      <c r="C11" s="73" t="s">
        <v>64</v>
      </c>
      <c r="D11" s="159">
        <v>65.105504725100005</v>
      </c>
      <c r="E11" s="160">
        <f>D11/GETPIVOTDATA("Acres",$A$47,"Land Use Category","Low Density Residential","Major Trib","Little Hatchet Creek 2009 Acres")</f>
        <v>0.17000859562576898</v>
      </c>
      <c r="F11" s="161">
        <f>E11</f>
        <v>0.17000859562576898</v>
      </c>
      <c r="I11" s="287"/>
      <c r="J11" s="149"/>
      <c r="K11" s="149"/>
      <c r="L11" s="149"/>
      <c r="M11" s="149"/>
      <c r="N11" s="149"/>
      <c r="O11" s="149"/>
      <c r="P11" s="149"/>
      <c r="Q11" s="149"/>
    </row>
    <row r="12" spans="1:17" x14ac:dyDescent="0.25">
      <c r="A12" s="73" t="s">
        <v>62</v>
      </c>
      <c r="B12" s="73" t="s">
        <v>35</v>
      </c>
      <c r="C12" s="73" t="s">
        <v>64</v>
      </c>
      <c r="D12" s="159">
        <v>23</v>
      </c>
      <c r="E12" s="160">
        <f>D12/GETPIVOTDATA("Acres",$A$47,"Land Use Category","Medium Density Residential","Major Trib","Little Hatchet Creek 2009 Acres")</f>
        <v>4.1805885538352426E-2</v>
      </c>
      <c r="F12" s="161">
        <v>4.2000000000000003E-2</v>
      </c>
      <c r="I12" s="287"/>
      <c r="J12" s="149"/>
      <c r="K12" s="149"/>
      <c r="L12" s="149"/>
      <c r="M12" s="149"/>
      <c r="N12" s="149"/>
      <c r="O12" s="149"/>
      <c r="P12" s="149"/>
      <c r="Q12" s="149"/>
    </row>
    <row r="13" spans="1:17" x14ac:dyDescent="0.25">
      <c r="A13" s="73" t="s">
        <v>62</v>
      </c>
      <c r="B13" s="73" t="s">
        <v>43</v>
      </c>
      <c r="C13" s="73" t="s">
        <v>64</v>
      </c>
      <c r="D13" s="159">
        <v>5.4897800805200001</v>
      </c>
      <c r="E13" s="160">
        <v>1.9800000000000002E-2</v>
      </c>
      <c r="F13" s="161">
        <v>1.9800000000000002E-2</v>
      </c>
      <c r="I13" s="287"/>
      <c r="J13" s="149"/>
      <c r="K13" s="149"/>
      <c r="L13" s="149"/>
      <c r="M13" s="149"/>
      <c r="N13" s="149"/>
      <c r="O13" s="149"/>
      <c r="P13" s="149"/>
      <c r="Q13" s="149"/>
    </row>
    <row r="14" spans="1:17" x14ac:dyDescent="0.25">
      <c r="A14" s="73" t="s">
        <v>62</v>
      </c>
      <c r="B14" s="73" t="s">
        <v>42</v>
      </c>
      <c r="C14" s="73" t="s">
        <v>65</v>
      </c>
      <c r="D14" s="159">
        <v>4.7142674067500003</v>
      </c>
      <c r="E14" s="160">
        <f>D14/GETPIVOTDATA("Acres",$A$47,"Land Use Category","Communication and Transportation","Major Trib","Newnans Lake 2009 Acres")</f>
        <v>2.3310167479814396E-2</v>
      </c>
      <c r="F14" s="161">
        <v>2.3235595907876615E-2</v>
      </c>
      <c r="I14" s="287"/>
      <c r="J14" s="149"/>
      <c r="K14" s="149"/>
      <c r="L14" s="149"/>
      <c r="M14" s="149"/>
      <c r="N14" s="149"/>
      <c r="O14" s="149"/>
      <c r="P14" s="149"/>
      <c r="Q14" s="149"/>
    </row>
    <row r="15" spans="1:17" x14ac:dyDescent="0.25">
      <c r="A15" s="73" t="s">
        <v>62</v>
      </c>
      <c r="B15" s="73" t="s">
        <v>36</v>
      </c>
      <c r="C15" s="73" t="s">
        <v>65</v>
      </c>
      <c r="D15" s="77">
        <v>99.526304305800011</v>
      </c>
      <c r="E15" s="160">
        <v>0.28926511386799902</v>
      </c>
      <c r="F15" s="161">
        <v>0.28926511386799902</v>
      </c>
      <c r="I15" s="287"/>
      <c r="J15" s="149"/>
      <c r="K15" s="149"/>
      <c r="L15" s="149"/>
      <c r="M15" s="149"/>
      <c r="N15" s="149"/>
      <c r="O15" s="149"/>
      <c r="P15" s="149"/>
      <c r="Q15" s="149"/>
    </row>
    <row r="16" spans="1:17" x14ac:dyDescent="0.25">
      <c r="A16" s="73" t="s">
        <v>62</v>
      </c>
      <c r="B16" s="73" t="s">
        <v>34</v>
      </c>
      <c r="C16" s="73" t="s">
        <v>65</v>
      </c>
      <c r="D16" s="159">
        <v>1497.6090124509999</v>
      </c>
      <c r="E16" s="160">
        <v>0.80447810508736717</v>
      </c>
      <c r="F16" s="161">
        <v>0.80447810508736717</v>
      </c>
      <c r="I16" s="287"/>
      <c r="J16" s="149"/>
      <c r="K16" s="149"/>
      <c r="L16" s="149"/>
      <c r="M16" s="149"/>
      <c r="N16" s="149"/>
      <c r="O16" s="149"/>
      <c r="P16" s="149"/>
      <c r="Q16" s="149"/>
    </row>
    <row r="17" spans="1:17" x14ac:dyDescent="0.25">
      <c r="A17" s="73" t="s">
        <v>62</v>
      </c>
      <c r="B17" s="73" t="s">
        <v>35</v>
      </c>
      <c r="C17" s="73" t="s">
        <v>65</v>
      </c>
      <c r="D17" s="159">
        <v>402.03383048349997</v>
      </c>
      <c r="E17" s="78">
        <v>0.42504367394115811</v>
      </c>
      <c r="F17" s="161">
        <v>0.42504367394115811</v>
      </c>
      <c r="I17" s="148"/>
      <c r="J17" s="149"/>
      <c r="K17" s="149"/>
      <c r="L17" s="149"/>
      <c r="M17" s="149"/>
      <c r="N17" s="149"/>
      <c r="O17" s="149"/>
      <c r="P17" s="149"/>
      <c r="Q17" s="149"/>
    </row>
    <row r="18" spans="1:17" x14ac:dyDescent="0.25">
      <c r="A18" s="73" t="s">
        <v>62</v>
      </c>
      <c r="B18" s="73" t="s">
        <v>43</v>
      </c>
      <c r="C18" s="73" t="s">
        <v>65</v>
      </c>
      <c r="D18" s="77">
        <v>26.675057155499999</v>
      </c>
      <c r="E18" s="160">
        <v>8.7611354731086888E-2</v>
      </c>
      <c r="F18" s="161">
        <v>8.7611354731086888E-2</v>
      </c>
      <c r="H18" s="80"/>
      <c r="I18" s="287"/>
      <c r="J18" s="149"/>
      <c r="K18" s="149"/>
      <c r="L18" s="149"/>
      <c r="M18" s="149"/>
      <c r="N18" s="149"/>
      <c r="O18" s="149"/>
      <c r="P18" s="149"/>
      <c r="Q18" s="149"/>
    </row>
    <row r="19" spans="1:17" x14ac:dyDescent="0.25">
      <c r="A19" s="167" t="s">
        <v>62</v>
      </c>
      <c r="B19" s="167" t="s">
        <v>204</v>
      </c>
      <c r="C19" s="167" t="s">
        <v>65</v>
      </c>
      <c r="D19" s="80">
        <v>3.33241738471E-2</v>
      </c>
      <c r="E19" s="160">
        <v>1</v>
      </c>
      <c r="F19" s="161">
        <v>1</v>
      </c>
      <c r="H19" s="80"/>
      <c r="I19" s="287"/>
      <c r="J19" s="149"/>
      <c r="K19" s="149"/>
      <c r="L19" s="149"/>
      <c r="M19" s="149"/>
      <c r="N19" s="149"/>
      <c r="O19" s="149"/>
      <c r="P19" s="149"/>
      <c r="Q19" s="149"/>
    </row>
    <row r="20" spans="1:17" x14ac:dyDescent="0.25">
      <c r="A20" s="73" t="s">
        <v>66</v>
      </c>
      <c r="B20" s="73" t="s">
        <v>42</v>
      </c>
      <c r="C20" s="73" t="s">
        <v>63</v>
      </c>
      <c r="D20" s="159">
        <v>6.6091997839949999</v>
      </c>
      <c r="E20" s="160">
        <f>D20/GETPIVOTDATA("Acres",$A$47,"Land Use Category","Communication and Transportation","Major Trib","Hatchet Creek 2009 Acres")</f>
        <v>1.8244419810205439E-2</v>
      </c>
      <c r="F20" s="161">
        <v>1.8244419810195117E-2</v>
      </c>
      <c r="I20" s="287"/>
      <c r="J20" s="149"/>
      <c r="K20" s="149"/>
      <c r="L20" s="149"/>
      <c r="M20" s="149"/>
      <c r="N20" s="149"/>
      <c r="O20" s="149"/>
      <c r="P20" s="149"/>
      <c r="Q20" s="149"/>
    </row>
    <row r="21" spans="1:17" x14ac:dyDescent="0.25">
      <c r="A21" s="73" t="s">
        <v>66</v>
      </c>
      <c r="B21" s="73" t="s">
        <v>36</v>
      </c>
      <c r="C21" s="73" t="s">
        <v>63</v>
      </c>
      <c r="D21" s="159">
        <v>251.2798750707</v>
      </c>
      <c r="E21" s="160">
        <f>D21/GETPIVOTDATA("Acres",$A$47,"Land Use Category","High Density Residential","Major Trib","Hatchet Creek 2009 Acres")</f>
        <v>0.79663690531653686</v>
      </c>
      <c r="F21" s="161">
        <f>E21</f>
        <v>0.79663690531653686</v>
      </c>
      <c r="I21" s="287"/>
      <c r="J21" s="149"/>
      <c r="K21" s="149"/>
      <c r="L21" s="149"/>
      <c r="M21" s="149"/>
      <c r="N21" s="149"/>
      <c r="O21" s="149"/>
      <c r="P21" s="149"/>
      <c r="Q21" s="149"/>
    </row>
    <row r="22" spans="1:17" x14ac:dyDescent="0.25">
      <c r="A22" s="73" t="s">
        <v>66</v>
      </c>
      <c r="B22" s="73" t="s">
        <v>34</v>
      </c>
      <c r="C22" s="73" t="s">
        <v>63</v>
      </c>
      <c r="D22" s="159">
        <v>8.1936759395200003</v>
      </c>
      <c r="E22" s="160">
        <v>4.0695689450241917E-3</v>
      </c>
      <c r="F22" s="161">
        <v>4.0695689450241917E-3</v>
      </c>
      <c r="I22" s="287"/>
      <c r="J22" s="149"/>
      <c r="K22" s="149"/>
      <c r="L22" s="149"/>
      <c r="M22" s="149"/>
      <c r="N22" s="149"/>
      <c r="O22" s="149"/>
      <c r="P22" s="149"/>
      <c r="Q22" s="149"/>
    </row>
    <row r="23" spans="1:17" x14ac:dyDescent="0.25">
      <c r="A23" s="73" t="s">
        <v>66</v>
      </c>
      <c r="B23" s="73" t="s">
        <v>35</v>
      </c>
      <c r="C23" s="73" t="s">
        <v>63</v>
      </c>
      <c r="D23" s="159"/>
      <c r="E23" s="160"/>
      <c r="F23" s="161"/>
      <c r="I23" s="287"/>
      <c r="J23" s="149"/>
      <c r="K23" s="149"/>
      <c r="L23" s="149"/>
      <c r="M23" s="149"/>
      <c r="N23" s="149"/>
      <c r="O23" s="149"/>
      <c r="P23" s="149"/>
      <c r="Q23" s="149"/>
    </row>
    <row r="24" spans="1:17" x14ac:dyDescent="0.25">
      <c r="A24" s="73" t="s">
        <v>66</v>
      </c>
      <c r="B24" s="73" t="s">
        <v>43</v>
      </c>
      <c r="C24" s="73" t="s">
        <v>63</v>
      </c>
      <c r="D24" s="159">
        <v>55.3130139059</v>
      </c>
      <c r="E24" s="160">
        <v>0.16216385145167866</v>
      </c>
      <c r="F24" s="161">
        <v>0.16216385145167866</v>
      </c>
      <c r="I24" s="287"/>
      <c r="J24" s="149"/>
      <c r="K24" s="149"/>
      <c r="L24" s="149"/>
      <c r="M24" s="149"/>
      <c r="N24" s="149"/>
      <c r="O24" s="149"/>
      <c r="P24" s="149"/>
      <c r="Q24" s="149"/>
    </row>
    <row r="25" spans="1:17" x14ac:dyDescent="0.25">
      <c r="A25" s="73" t="s">
        <v>66</v>
      </c>
      <c r="B25" s="73" t="s">
        <v>42</v>
      </c>
      <c r="C25" s="73" t="s">
        <v>64</v>
      </c>
      <c r="D25" s="159">
        <v>1085.9558808436</v>
      </c>
      <c r="E25" s="160">
        <v>0.89662845687913872</v>
      </c>
      <c r="F25" s="161">
        <v>0.89662845687913872</v>
      </c>
      <c r="I25" s="287"/>
      <c r="J25" s="149"/>
      <c r="K25" s="149"/>
      <c r="L25" s="149"/>
      <c r="M25" s="149"/>
      <c r="N25" s="149"/>
      <c r="O25" s="149"/>
      <c r="P25" s="149"/>
      <c r="Q25" s="149"/>
    </row>
    <row r="26" spans="1:17" x14ac:dyDescent="0.25">
      <c r="A26" s="73" t="s">
        <v>66</v>
      </c>
      <c r="B26" s="73" t="s">
        <v>36</v>
      </c>
      <c r="C26" s="73" t="s">
        <v>64</v>
      </c>
      <c r="D26" s="159">
        <v>740.25467734799997</v>
      </c>
      <c r="E26" s="160">
        <f>D26/GETPIVOTDATA("Acres",$A$47,"Land Use Category","High Density Residential","Major Trib","Little Hatchet Creek 2009 Acres")</f>
        <v>0.94234113020932886</v>
      </c>
      <c r="F26" s="161">
        <f>E26</f>
        <v>0.94234113020932886</v>
      </c>
      <c r="G26" s="19"/>
      <c r="I26" s="287"/>
      <c r="J26" s="149"/>
      <c r="K26" s="149"/>
      <c r="L26" s="149"/>
      <c r="M26" s="149"/>
      <c r="N26" s="149"/>
      <c r="O26" s="149"/>
      <c r="P26" s="149"/>
      <c r="Q26" s="149"/>
    </row>
    <row r="27" spans="1:17" x14ac:dyDescent="0.25">
      <c r="A27" s="73" t="s">
        <v>66</v>
      </c>
      <c r="B27" s="73" t="s">
        <v>34</v>
      </c>
      <c r="C27" s="73" t="s">
        <v>64</v>
      </c>
      <c r="D27" s="159">
        <v>317.84868935820003</v>
      </c>
      <c r="E27" s="160">
        <f>D27/GETPIVOTDATA("Acres",$A$47,"Land Use Category","Low Density Residential","Major Trib","Little Hatchet Creek 2009 Acres")</f>
        <v>0.82999140437423102</v>
      </c>
      <c r="F27" s="161">
        <f>E27</f>
        <v>0.82999140437423102</v>
      </c>
      <c r="I27" s="287"/>
      <c r="J27" s="149"/>
      <c r="K27" s="149"/>
      <c r="L27" s="149"/>
      <c r="M27" s="149"/>
      <c r="N27" s="149"/>
      <c r="O27" s="149"/>
      <c r="P27" s="149"/>
      <c r="Q27" s="149"/>
    </row>
    <row r="28" spans="1:17" x14ac:dyDescent="0.25">
      <c r="A28" s="73" t="s">
        <v>66</v>
      </c>
      <c r="B28" s="73" t="s">
        <v>35</v>
      </c>
      <c r="C28" s="73" t="s">
        <v>64</v>
      </c>
      <c r="D28" s="159">
        <v>527.16177037800003</v>
      </c>
      <c r="E28" s="160">
        <v>0.95813058419649066</v>
      </c>
      <c r="F28" s="161">
        <v>0.95813058419649066</v>
      </c>
      <c r="I28" s="287"/>
      <c r="J28" s="149"/>
      <c r="K28" s="149"/>
      <c r="L28" s="149"/>
      <c r="M28" s="149"/>
      <c r="N28" s="149"/>
      <c r="O28" s="149"/>
      <c r="P28" s="149"/>
      <c r="Q28" s="149"/>
    </row>
    <row r="29" spans="1:17" x14ac:dyDescent="0.25">
      <c r="A29" s="73" t="s">
        <v>66</v>
      </c>
      <c r="B29" s="73" t="s">
        <v>43</v>
      </c>
      <c r="C29" s="73" t="s">
        <v>64</v>
      </c>
      <c r="D29" s="159">
        <v>271.89149024099999</v>
      </c>
      <c r="E29" s="160">
        <v>0.98020854084838838</v>
      </c>
      <c r="F29" s="161">
        <v>0.98020854084838838</v>
      </c>
      <c r="I29" s="148"/>
      <c r="J29" s="149"/>
      <c r="K29" s="149"/>
      <c r="L29" s="149"/>
      <c r="M29" s="149"/>
      <c r="N29" s="149"/>
      <c r="O29" s="149"/>
      <c r="P29" s="149"/>
      <c r="Q29" s="149"/>
    </row>
    <row r="30" spans="1:17" x14ac:dyDescent="0.25">
      <c r="A30" s="167" t="s">
        <v>66</v>
      </c>
      <c r="B30" s="167" t="s">
        <v>204</v>
      </c>
      <c r="C30" s="167" t="s">
        <v>64</v>
      </c>
      <c r="D30" s="159">
        <v>1.7347513595999999</v>
      </c>
      <c r="E30" s="160">
        <v>1</v>
      </c>
      <c r="F30" s="161">
        <v>1</v>
      </c>
      <c r="I30" s="148"/>
      <c r="J30" s="149"/>
      <c r="K30" s="149"/>
      <c r="L30" s="149"/>
      <c r="M30" s="149"/>
      <c r="N30" s="149"/>
      <c r="O30" s="149"/>
      <c r="P30" s="149"/>
      <c r="Q30" s="149"/>
    </row>
    <row r="31" spans="1:17" x14ac:dyDescent="0.25">
      <c r="A31" s="73" t="s">
        <v>66</v>
      </c>
      <c r="B31" s="73" t="s">
        <v>42</v>
      </c>
      <c r="C31" s="73" t="s">
        <v>65</v>
      </c>
      <c r="D31" s="159">
        <v>28.495749959299999</v>
      </c>
      <c r="E31" s="160">
        <f>D31/GETPIVOTDATA("Acres",$A$47,"Land Use Category","Communication and Transportation","Major Trib","Newnans Lake 2009 Acres")</f>
        <v>0.14090009044949839</v>
      </c>
      <c r="F31" s="161">
        <f>E31</f>
        <v>0.14090009044949839</v>
      </c>
      <c r="I31" s="287"/>
      <c r="J31" s="149"/>
      <c r="K31" s="149"/>
      <c r="L31" s="149"/>
      <c r="M31" s="149"/>
      <c r="N31" s="149"/>
      <c r="O31" s="149"/>
      <c r="P31" s="149"/>
      <c r="Q31" s="149"/>
    </row>
    <row r="32" spans="1:17" x14ac:dyDescent="0.25">
      <c r="A32" s="73" t="s">
        <v>66</v>
      </c>
      <c r="B32" s="73" t="s">
        <v>36</v>
      </c>
      <c r="C32" s="73" t="s">
        <v>65</v>
      </c>
      <c r="D32" s="159">
        <v>244.53974284</v>
      </c>
      <c r="E32" s="160">
        <v>0.71073488613141966</v>
      </c>
      <c r="F32" s="161">
        <v>0.71073488613141966</v>
      </c>
      <c r="I32" s="287"/>
      <c r="J32" s="149"/>
      <c r="K32" s="149"/>
      <c r="L32" s="149"/>
      <c r="M32" s="149"/>
      <c r="N32" s="149"/>
      <c r="O32" s="149"/>
      <c r="P32" s="149"/>
      <c r="Q32" s="149"/>
    </row>
    <row r="33" spans="1:17" x14ac:dyDescent="0.25">
      <c r="A33" s="73" t="s">
        <v>66</v>
      </c>
      <c r="B33" s="73" t="s">
        <v>34</v>
      </c>
      <c r="C33" s="73" t="s">
        <v>65</v>
      </c>
      <c r="D33" s="159">
        <v>363.98175425464382</v>
      </c>
      <c r="E33" s="160">
        <v>0.19552189491029268</v>
      </c>
      <c r="F33" s="161">
        <v>0.19552189491029268</v>
      </c>
      <c r="I33" s="287"/>
      <c r="J33" s="149"/>
      <c r="K33" s="149"/>
      <c r="L33" s="149"/>
      <c r="M33" s="149"/>
      <c r="N33" s="149"/>
      <c r="O33" s="149"/>
      <c r="P33" s="149"/>
      <c r="Q33" s="149"/>
    </row>
    <row r="34" spans="1:17" x14ac:dyDescent="0.25">
      <c r="A34" s="73" t="s">
        <v>66</v>
      </c>
      <c r="B34" s="73" t="s">
        <v>35</v>
      </c>
      <c r="C34" s="73" t="s">
        <v>65</v>
      </c>
      <c r="D34" s="159">
        <v>543.8309244384975</v>
      </c>
      <c r="E34" s="160">
        <v>0.57495632605883928</v>
      </c>
      <c r="F34" s="161">
        <v>0.57495632605883928</v>
      </c>
      <c r="I34" s="287"/>
      <c r="J34" s="149"/>
      <c r="K34" s="149"/>
      <c r="L34" s="149"/>
      <c r="M34" s="149"/>
      <c r="N34" s="149"/>
      <c r="O34" s="149"/>
      <c r="P34" s="149"/>
      <c r="Q34" s="149"/>
    </row>
    <row r="35" spans="1:17" x14ac:dyDescent="0.25">
      <c r="A35" s="73" t="s">
        <v>66</v>
      </c>
      <c r="B35" s="73" t="s">
        <v>43</v>
      </c>
      <c r="C35" s="73" t="s">
        <v>65</v>
      </c>
      <c r="D35" s="159">
        <v>277.79526221499998</v>
      </c>
      <c r="E35" s="160">
        <v>0.91238864526727081</v>
      </c>
      <c r="F35" s="161">
        <v>0.91238864526727081</v>
      </c>
      <c r="I35" s="287"/>
      <c r="J35" s="149"/>
      <c r="K35" s="149"/>
      <c r="L35" s="149"/>
      <c r="M35" s="149"/>
      <c r="N35" s="149"/>
      <c r="O35" s="149"/>
      <c r="P35" s="149"/>
      <c r="Q35" s="149"/>
    </row>
    <row r="36" spans="1:17" x14ac:dyDescent="0.25">
      <c r="A36" s="167" t="s">
        <v>266</v>
      </c>
      <c r="B36" s="73" t="s">
        <v>42</v>
      </c>
      <c r="C36" s="73" t="s">
        <v>63</v>
      </c>
      <c r="D36" s="159">
        <v>284.33566276190004</v>
      </c>
      <c r="E36" s="160">
        <f>D36/GETPIVOTDATA("Acres",$A$47,"Land Use Category","Communication and Transportation","Major Trib","Hatchet Creek 2009 Acres")</f>
        <v>0.78489671487967039</v>
      </c>
      <c r="F36" s="161">
        <v>0.7848967148792263</v>
      </c>
      <c r="I36" s="148"/>
      <c r="J36" s="149"/>
      <c r="K36" s="149"/>
      <c r="L36" s="149"/>
      <c r="M36" s="149"/>
      <c r="N36" s="149"/>
      <c r="O36" s="149"/>
      <c r="P36" s="149"/>
      <c r="Q36" s="149"/>
    </row>
    <row r="37" spans="1:17" x14ac:dyDescent="0.25">
      <c r="A37" s="167" t="s">
        <v>266</v>
      </c>
      <c r="B37" s="73" t="s">
        <v>42</v>
      </c>
      <c r="C37" s="73" t="s">
        <v>64</v>
      </c>
      <c r="D37" s="159">
        <v>119.5176719383</v>
      </c>
      <c r="E37" s="160">
        <v>9.8680754577780805E-2</v>
      </c>
      <c r="F37" s="161">
        <v>9.8680754577780805E-2</v>
      </c>
    </row>
    <row r="38" spans="1:17" x14ac:dyDescent="0.25">
      <c r="A38" s="167" t="s">
        <v>266</v>
      </c>
      <c r="B38" s="73" t="s">
        <v>42</v>
      </c>
      <c r="C38" s="73" t="s">
        <v>65</v>
      </c>
      <c r="D38" s="159">
        <v>169.0308035475</v>
      </c>
      <c r="E38" s="160">
        <f>D38/GETPIVOTDATA("Acres",$A$47,"Land Use Category","Communication and Transportation","Major Trib","Newnans Lake 2009 Acres")</f>
        <v>0.83578974207068712</v>
      </c>
      <c r="F38" s="161">
        <f>E38</f>
        <v>0.83578974207068712</v>
      </c>
      <c r="I38" s="288"/>
      <c r="L38" s="289"/>
    </row>
    <row r="39" spans="1:17" x14ac:dyDescent="0.25">
      <c r="A39" s="73" t="s">
        <v>67</v>
      </c>
      <c r="B39" s="73" t="s">
        <v>36</v>
      </c>
      <c r="C39" s="73" t="s">
        <v>63</v>
      </c>
      <c r="D39" s="159">
        <v>5.0860472021499996</v>
      </c>
      <c r="E39" s="160">
        <f>D39/GETPIVOTDATA("Acres",$A$47,"Land Use Category","High Density Residential","Major Trib","Hatchet Creek 2009 Acres")</f>
        <v>1.6124382831194151E-2</v>
      </c>
      <c r="F39" s="161">
        <v>1.607321131582292E-2</v>
      </c>
      <c r="I39" s="288"/>
    </row>
    <row r="40" spans="1:17" x14ac:dyDescent="0.25">
      <c r="A40" s="73" t="s">
        <v>67</v>
      </c>
      <c r="B40" s="73" t="s">
        <v>34</v>
      </c>
      <c r="C40" s="73" t="s">
        <v>63</v>
      </c>
      <c r="D40" s="159">
        <v>180.41245039899999</v>
      </c>
      <c r="E40" s="160">
        <v>8.9605802189255068E-2</v>
      </c>
      <c r="F40" s="161">
        <v>8.9605802189255068E-2</v>
      </c>
    </row>
    <row r="41" spans="1:17" x14ac:dyDescent="0.25">
      <c r="A41" s="73" t="s">
        <v>67</v>
      </c>
      <c r="B41" s="73" t="s">
        <v>35</v>
      </c>
      <c r="C41" s="73" t="s">
        <v>63</v>
      </c>
      <c r="D41" s="159">
        <v>23.9746862545</v>
      </c>
      <c r="E41" s="160">
        <v>0.1429671489644411</v>
      </c>
      <c r="F41" s="161">
        <v>0.1429671489644411</v>
      </c>
    </row>
    <row r="42" spans="1:17" x14ac:dyDescent="0.25">
      <c r="A42" s="73" t="s">
        <v>67</v>
      </c>
      <c r="B42" s="73" t="s">
        <v>43</v>
      </c>
      <c r="C42" s="73" t="s">
        <v>63</v>
      </c>
      <c r="D42" s="159">
        <v>4.9444967284599999</v>
      </c>
      <c r="E42" s="160">
        <f>D42/GETPIVOTDATA("Acres",$A$47,"Land Use Category","Urban Open","Major Trib","Hatchet Creek 2009 Acres")</f>
        <v>1.4496021394560224E-2</v>
      </c>
      <c r="F42" s="394">
        <v>1.4496021394555974E-2</v>
      </c>
    </row>
    <row r="44" spans="1:17" x14ac:dyDescent="0.25">
      <c r="A44" s="19" t="s">
        <v>186</v>
      </c>
    </row>
    <row r="45" spans="1:17" x14ac:dyDescent="0.25">
      <c r="I45" s="288"/>
    </row>
    <row r="46" spans="1:17" x14ac:dyDescent="0.25">
      <c r="B46" s="71"/>
      <c r="C46" s="71"/>
      <c r="D46" s="71"/>
      <c r="E46" s="71"/>
    </row>
    <row r="47" spans="1:17" x14ac:dyDescent="0.25">
      <c r="A47" s="294" t="s">
        <v>151</v>
      </c>
      <c r="B47" s="294" t="s">
        <v>152</v>
      </c>
      <c r="C47" s="73"/>
      <c r="D47" s="73"/>
      <c r="E47" s="73"/>
      <c r="F47" s="481" t="s">
        <v>165</v>
      </c>
      <c r="G47" s="481" t="s">
        <v>164</v>
      </c>
      <c r="H47" s="481" t="s">
        <v>166</v>
      </c>
      <c r="I47" s="296"/>
      <c r="J47" s="297"/>
    </row>
    <row r="48" spans="1:17" ht="24.75" customHeight="1" x14ac:dyDescent="0.25">
      <c r="A48" s="294" t="s">
        <v>149</v>
      </c>
      <c r="B48" s="298" t="s">
        <v>231</v>
      </c>
      <c r="C48" s="299" t="s">
        <v>232</v>
      </c>
      <c r="D48" s="299" t="s">
        <v>233</v>
      </c>
      <c r="E48" s="299" t="s">
        <v>187</v>
      </c>
      <c r="F48" s="481"/>
      <c r="G48" s="481"/>
      <c r="H48" s="481"/>
      <c r="I48" s="124" t="s">
        <v>167</v>
      </c>
      <c r="J48" s="124" t="s">
        <v>168</v>
      </c>
    </row>
    <row r="49" spans="1:11" x14ac:dyDescent="0.25">
      <c r="A49" s="148" t="s">
        <v>42</v>
      </c>
      <c r="B49" s="183">
        <v>362.25869897479504</v>
      </c>
      <c r="C49" s="80">
        <v>1211.0326625125899</v>
      </c>
      <c r="D49" s="80">
        <v>202.24082091355001</v>
      </c>
      <c r="E49" s="80">
        <v>1775.5321824009352</v>
      </c>
      <c r="F49" s="80">
        <v>307.35000000000002</v>
      </c>
      <c r="G49" s="80">
        <v>1065.97</v>
      </c>
      <c r="H49" s="80">
        <v>150.24</v>
      </c>
      <c r="I49" s="80">
        <f>SUM(F49:H49)</f>
        <v>1523.5600000000002</v>
      </c>
      <c r="J49" s="80">
        <f>E49-I49</f>
        <v>251.97218240093503</v>
      </c>
    </row>
    <row r="50" spans="1:11" x14ac:dyDescent="0.25">
      <c r="A50" s="148" t="s">
        <v>36</v>
      </c>
      <c r="B50" s="80">
        <v>315.42585259825</v>
      </c>
      <c r="C50" s="80">
        <v>785.54851700419999</v>
      </c>
      <c r="D50" s="80">
        <v>344.06604714579998</v>
      </c>
      <c r="E50" s="80">
        <v>1445.04041674825</v>
      </c>
      <c r="F50" s="80">
        <v>28.83</v>
      </c>
      <c r="G50" s="80">
        <v>83.1</v>
      </c>
      <c r="H50" s="80">
        <v>93.28</v>
      </c>
      <c r="I50" s="80">
        <f t="shared" ref="I50:I53" si="0">SUM(F50:H50)</f>
        <v>205.20999999999998</v>
      </c>
      <c r="J50" s="80">
        <f t="shared" ref="J50:J54" si="1">E50-I50</f>
        <v>1239.8304167482499</v>
      </c>
    </row>
    <row r="51" spans="1:11" x14ac:dyDescent="0.25">
      <c r="A51" s="148" t="s">
        <v>34</v>
      </c>
      <c r="B51" s="80">
        <v>2013.3704132085199</v>
      </c>
      <c r="C51" s="80">
        <v>382.95419408330002</v>
      </c>
      <c r="D51" s="80">
        <v>1861.5907667056438</v>
      </c>
      <c r="E51" s="80">
        <v>4257.9153739974636</v>
      </c>
      <c r="F51" s="80">
        <v>1970.12</v>
      </c>
      <c r="G51" s="80">
        <v>94.59</v>
      </c>
      <c r="H51" s="80">
        <v>1283.3599999999999</v>
      </c>
      <c r="I51" s="80">
        <f t="shared" si="0"/>
        <v>3348.0699999999997</v>
      </c>
      <c r="J51" s="80">
        <f t="shared" si="1"/>
        <v>909.84537399746387</v>
      </c>
    </row>
    <row r="52" spans="1:11" x14ac:dyDescent="0.25">
      <c r="A52" s="148" t="s">
        <v>35</v>
      </c>
      <c r="B52" s="80">
        <v>167.69367248450001</v>
      </c>
      <c r="C52" s="80">
        <v>550.16177037800003</v>
      </c>
      <c r="D52" s="80">
        <v>945.86475492199747</v>
      </c>
      <c r="E52" s="80">
        <v>1663.7201977844975</v>
      </c>
      <c r="F52" s="80">
        <v>386.03</v>
      </c>
      <c r="G52" s="80">
        <v>441.15</v>
      </c>
      <c r="H52" s="80">
        <v>1063.8599999999999</v>
      </c>
      <c r="I52" s="80">
        <f t="shared" si="0"/>
        <v>1891.04</v>
      </c>
      <c r="J52" s="80">
        <f t="shared" si="1"/>
        <v>-227.31980221550248</v>
      </c>
    </row>
    <row r="53" spans="1:11" x14ac:dyDescent="0.25">
      <c r="A53" s="148" t="s">
        <v>43</v>
      </c>
      <c r="B53" s="80">
        <v>341.09336581936003</v>
      </c>
      <c r="C53" s="80">
        <v>277.38127032151999</v>
      </c>
      <c r="D53" s="80">
        <v>304.47031937049996</v>
      </c>
      <c r="E53" s="80">
        <v>922.94495551137993</v>
      </c>
      <c r="F53" s="80">
        <v>734.58</v>
      </c>
      <c r="G53" s="80">
        <v>865.48</v>
      </c>
      <c r="H53" s="80">
        <v>765.77</v>
      </c>
      <c r="I53" s="80">
        <f t="shared" si="0"/>
        <v>2365.83</v>
      </c>
      <c r="J53" s="80">
        <f t="shared" si="1"/>
        <v>-1442.88504448862</v>
      </c>
    </row>
    <row r="54" spans="1:11" x14ac:dyDescent="0.25">
      <c r="A54" s="148" t="s">
        <v>187</v>
      </c>
      <c r="B54" s="80">
        <v>3199.8420030854249</v>
      </c>
      <c r="C54" s="80">
        <v>3207.0784142996099</v>
      </c>
      <c r="D54" s="80">
        <v>3658.2327090574909</v>
      </c>
      <c r="E54" s="80">
        <v>10065.153126442527</v>
      </c>
      <c r="F54" s="169">
        <f>SUM(F49:F53)</f>
        <v>3426.91</v>
      </c>
      <c r="G54" s="169">
        <f t="shared" ref="G54:I54" si="2">SUM(G49:G53)</f>
        <v>2550.29</v>
      </c>
      <c r="H54" s="169">
        <f t="shared" si="2"/>
        <v>3356.5099999999998</v>
      </c>
      <c r="I54" s="169">
        <f t="shared" si="2"/>
        <v>9333.7099999999991</v>
      </c>
      <c r="J54" s="169">
        <f t="shared" si="1"/>
        <v>731.4431264425275</v>
      </c>
    </row>
    <row r="56" spans="1:11" x14ac:dyDescent="0.25">
      <c r="B56" s="72"/>
    </row>
    <row r="57" spans="1:11" x14ac:dyDescent="0.25">
      <c r="A57" s="290"/>
    </row>
    <row r="58" spans="1:11" x14ac:dyDescent="0.25">
      <c r="A58" s="305"/>
      <c r="B58" s="306"/>
      <c r="C58" s="306"/>
      <c r="D58" s="306"/>
      <c r="E58" s="306"/>
      <c r="F58" s="306"/>
      <c r="H58" s="289"/>
      <c r="I58" s="293"/>
      <c r="J58" s="289"/>
      <c r="K58" s="289"/>
    </row>
    <row r="59" spans="1:11" x14ac:dyDescent="0.25">
      <c r="A59" s="307"/>
      <c r="B59" s="179"/>
      <c r="C59" s="180"/>
      <c r="D59" s="308"/>
      <c r="E59" s="154"/>
      <c r="F59" s="154"/>
      <c r="H59" s="19"/>
      <c r="I59" s="2"/>
    </row>
    <row r="60" spans="1:11" x14ac:dyDescent="0.25">
      <c r="A60" s="307"/>
      <c r="B60" s="179"/>
      <c r="C60" s="180"/>
      <c r="D60" s="308"/>
      <c r="E60" s="154"/>
      <c r="F60" s="154"/>
      <c r="H60" s="19"/>
      <c r="I60" s="2"/>
    </row>
    <row r="61" spans="1:11" x14ac:dyDescent="0.25">
      <c r="A61" s="307"/>
      <c r="B61" s="179"/>
      <c r="C61" s="180"/>
      <c r="D61" s="308"/>
      <c r="E61" s="154"/>
      <c r="F61" s="154"/>
      <c r="H61" s="19"/>
      <c r="I61" s="2"/>
    </row>
    <row r="62" spans="1:11" x14ac:dyDescent="0.25">
      <c r="A62" s="307"/>
      <c r="B62" s="179"/>
      <c r="C62" s="180"/>
      <c r="D62" s="308"/>
      <c r="E62" s="154"/>
      <c r="F62" s="154"/>
      <c r="H62" s="19"/>
      <c r="I62" s="2"/>
    </row>
    <row r="63" spans="1:11" x14ac:dyDescent="0.25">
      <c r="A63" s="307"/>
      <c r="B63" s="179"/>
      <c r="C63" s="180"/>
      <c r="D63" s="308"/>
      <c r="E63" s="154"/>
      <c r="F63" s="154"/>
      <c r="H63" s="19"/>
      <c r="I63" s="2"/>
    </row>
    <row r="64" spans="1:11" x14ac:dyDescent="0.25">
      <c r="A64" s="307"/>
      <c r="B64" s="179"/>
      <c r="C64" s="180"/>
      <c r="D64" s="308"/>
      <c r="E64" s="154"/>
      <c r="F64" s="154"/>
      <c r="H64" s="19"/>
    </row>
    <row r="65" spans="1:6" x14ac:dyDescent="0.25">
      <c r="A65" s="307"/>
      <c r="B65" s="179"/>
      <c r="C65" s="180"/>
      <c r="D65" s="308"/>
      <c r="E65" s="154"/>
      <c r="F65" s="154"/>
    </row>
    <row r="66" spans="1:6" x14ac:dyDescent="0.25">
      <c r="A66" s="307"/>
      <c r="B66" s="179"/>
      <c r="C66" s="180"/>
      <c r="D66" s="308"/>
      <c r="E66" s="154"/>
      <c r="F66" s="154"/>
    </row>
    <row r="67" spans="1:6" x14ac:dyDescent="0.25">
      <c r="A67" s="307"/>
      <c r="B67" s="179"/>
      <c r="C67" s="180"/>
      <c r="D67" s="308"/>
      <c r="E67" s="154"/>
      <c r="F67" s="154"/>
    </row>
    <row r="68" spans="1:6" x14ac:dyDescent="0.25">
      <c r="A68" s="307"/>
      <c r="B68" s="179"/>
      <c r="C68" s="180"/>
      <c r="D68" s="308"/>
      <c r="E68" s="154"/>
      <c r="F68" s="154"/>
    </row>
    <row r="69" spans="1:6" x14ac:dyDescent="0.25">
      <c r="A69" s="307"/>
      <c r="B69" s="179"/>
      <c r="C69" s="180"/>
      <c r="D69" s="308"/>
      <c r="E69" s="154"/>
      <c r="F69" s="154"/>
    </row>
    <row r="70" spans="1:6" x14ac:dyDescent="0.25">
      <c r="A70" s="307"/>
      <c r="B70" s="179"/>
      <c r="C70" s="180"/>
      <c r="D70" s="308"/>
      <c r="E70" s="154"/>
      <c r="F70" s="154"/>
    </row>
    <row r="71" spans="1:6" x14ac:dyDescent="0.25">
      <c r="A71" s="307"/>
      <c r="B71" s="179"/>
      <c r="C71" s="180"/>
      <c r="D71" s="308"/>
      <c r="E71" s="154"/>
      <c r="F71" s="154"/>
    </row>
    <row r="72" spans="1:6" x14ac:dyDescent="0.25">
      <c r="A72" s="307"/>
      <c r="B72" s="179"/>
      <c r="C72" s="180"/>
      <c r="D72" s="308"/>
      <c r="E72" s="154"/>
      <c r="F72" s="154"/>
    </row>
    <row r="73" spans="1:6" x14ac:dyDescent="0.25">
      <c r="A73" s="307"/>
      <c r="B73" s="179"/>
      <c r="C73" s="180"/>
      <c r="D73" s="308"/>
      <c r="E73" s="154"/>
      <c r="F73" s="154"/>
    </row>
    <row r="74" spans="1:6" x14ac:dyDescent="0.25">
      <c r="A74" s="307"/>
      <c r="B74" s="179"/>
      <c r="C74" s="180"/>
      <c r="D74" s="308"/>
      <c r="E74" s="154"/>
      <c r="F74" s="154"/>
    </row>
  </sheetData>
  <mergeCells count="4">
    <mergeCell ref="F47:F48"/>
    <mergeCell ref="G47:G48"/>
    <mergeCell ref="H47:H48"/>
    <mergeCell ref="J2:K2"/>
  </mergeCells>
  <pageMargins left="0.7" right="0.7" top="0.75" bottom="0.75" header="0.3" footer="0.3"/>
  <pageSetup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workbookViewId="0">
      <selection activeCell="F60" sqref="F60"/>
    </sheetView>
  </sheetViews>
  <sheetFormatPr defaultRowHeight="13.2" x14ac:dyDescent="0.25"/>
  <cols>
    <col min="1" max="1" width="19" customWidth="1"/>
    <col min="2" max="2" width="17.44140625" customWidth="1"/>
    <col min="3" max="3" width="18.88671875" customWidth="1"/>
    <col min="4" max="4" width="17.5546875" customWidth="1"/>
    <col min="5" max="5" width="14.6640625" customWidth="1"/>
    <col min="6" max="6" width="17.88671875" customWidth="1"/>
    <col min="7" max="7" width="15.33203125" customWidth="1"/>
    <col min="8" max="8" width="14.5546875" customWidth="1"/>
    <col min="9" max="9" width="18" customWidth="1"/>
    <col min="10" max="10" width="12.44140625" customWidth="1"/>
  </cols>
  <sheetData>
    <row r="1" spans="1:10" x14ac:dyDescent="0.25">
      <c r="A1" s="182" t="s">
        <v>267</v>
      </c>
      <c r="B1" s="182" t="s">
        <v>268</v>
      </c>
      <c r="D1" s="19" t="s">
        <v>277</v>
      </c>
    </row>
    <row r="2" spans="1:10" x14ac:dyDescent="0.25">
      <c r="A2" s="147" t="s">
        <v>215</v>
      </c>
      <c r="B2" s="147" t="s">
        <v>152</v>
      </c>
      <c r="J2" t="s">
        <v>278</v>
      </c>
    </row>
    <row r="3" spans="1:10" x14ac:dyDescent="0.25">
      <c r="A3" s="147" t="s">
        <v>149</v>
      </c>
      <c r="B3" t="s">
        <v>234</v>
      </c>
      <c r="C3" t="s">
        <v>75</v>
      </c>
      <c r="D3" t="s">
        <v>49</v>
      </c>
      <c r="E3" t="s">
        <v>217</v>
      </c>
      <c r="F3" t="s">
        <v>65</v>
      </c>
      <c r="G3" t="s">
        <v>218</v>
      </c>
      <c r="H3" t="s">
        <v>96</v>
      </c>
      <c r="I3" t="s">
        <v>150</v>
      </c>
    </row>
    <row r="4" spans="1:10" x14ac:dyDescent="0.25">
      <c r="A4" s="148" t="s">
        <v>220</v>
      </c>
      <c r="B4" s="149">
        <v>105</v>
      </c>
      <c r="C4" s="149">
        <v>839</v>
      </c>
      <c r="D4" s="149">
        <v>142</v>
      </c>
      <c r="E4" s="149">
        <v>1105</v>
      </c>
      <c r="F4" s="149">
        <v>1362</v>
      </c>
      <c r="G4" s="149">
        <v>88</v>
      </c>
      <c r="H4" s="149">
        <v>276</v>
      </c>
      <c r="I4" s="149">
        <v>3917</v>
      </c>
      <c r="J4">
        <f>I4-I7</f>
        <v>3323</v>
      </c>
    </row>
    <row r="5" spans="1:10" x14ac:dyDescent="0.25">
      <c r="A5" s="287" t="s">
        <v>219</v>
      </c>
      <c r="B5" s="149">
        <v>11</v>
      </c>
      <c r="C5" s="149">
        <v>142</v>
      </c>
      <c r="D5" s="149">
        <v>25</v>
      </c>
      <c r="E5" s="149">
        <v>151</v>
      </c>
      <c r="F5" s="149">
        <v>235</v>
      </c>
      <c r="G5" s="149">
        <v>10</v>
      </c>
      <c r="H5" s="149">
        <v>44</v>
      </c>
      <c r="I5" s="149">
        <v>618</v>
      </c>
    </row>
    <row r="6" spans="1:10" x14ac:dyDescent="0.25">
      <c r="A6" s="287" t="s">
        <v>224</v>
      </c>
      <c r="B6" s="149">
        <v>86</v>
      </c>
      <c r="C6" s="149">
        <v>543</v>
      </c>
      <c r="D6" s="149">
        <v>102</v>
      </c>
      <c r="E6" s="149">
        <v>789</v>
      </c>
      <c r="F6" s="149">
        <v>916</v>
      </c>
      <c r="G6" s="149">
        <v>71</v>
      </c>
      <c r="H6" s="149">
        <v>198</v>
      </c>
      <c r="I6" s="149">
        <v>2705</v>
      </c>
    </row>
    <row r="7" spans="1:10" x14ac:dyDescent="0.25">
      <c r="A7" s="287" t="s">
        <v>225</v>
      </c>
      <c r="B7" s="149">
        <v>8</v>
      </c>
      <c r="C7" s="149">
        <v>154</v>
      </c>
      <c r="D7" s="149">
        <v>15</v>
      </c>
      <c r="E7" s="149">
        <v>165</v>
      </c>
      <c r="F7" s="149">
        <v>211</v>
      </c>
      <c r="G7" s="149">
        <v>7</v>
      </c>
      <c r="H7" s="149">
        <v>34</v>
      </c>
      <c r="I7" s="149">
        <v>594</v>
      </c>
    </row>
    <row r="8" spans="1:10" x14ac:dyDescent="0.25">
      <c r="A8" s="148" t="s">
        <v>221</v>
      </c>
      <c r="B8" s="149"/>
      <c r="C8" s="149">
        <v>15</v>
      </c>
      <c r="D8" s="149">
        <v>159</v>
      </c>
      <c r="E8" s="149"/>
      <c r="F8" s="149">
        <v>101</v>
      </c>
      <c r="G8" s="149"/>
      <c r="H8" s="149"/>
      <c r="I8" s="149">
        <v>275</v>
      </c>
      <c r="J8">
        <f>I8-I11</f>
        <v>257</v>
      </c>
    </row>
    <row r="9" spans="1:10" x14ac:dyDescent="0.25">
      <c r="A9" s="287" t="s">
        <v>219</v>
      </c>
      <c r="B9" s="149"/>
      <c r="C9" s="149">
        <v>2</v>
      </c>
      <c r="D9" s="149">
        <v>11</v>
      </c>
      <c r="E9" s="149"/>
      <c r="F9" s="149">
        <v>2</v>
      </c>
      <c r="G9" s="149"/>
      <c r="H9" s="149"/>
      <c r="I9" s="149">
        <v>15</v>
      </c>
    </row>
    <row r="10" spans="1:10" x14ac:dyDescent="0.25">
      <c r="A10" s="287" t="s">
        <v>224</v>
      </c>
      <c r="B10" s="149"/>
      <c r="C10" s="149">
        <v>13</v>
      </c>
      <c r="D10" s="149">
        <v>136</v>
      </c>
      <c r="E10" s="149"/>
      <c r="F10" s="149">
        <v>93</v>
      </c>
      <c r="G10" s="149"/>
      <c r="H10" s="149"/>
      <c r="I10" s="149">
        <v>242</v>
      </c>
    </row>
    <row r="11" spans="1:10" x14ac:dyDescent="0.25">
      <c r="A11" s="287" t="s">
        <v>225</v>
      </c>
      <c r="B11" s="149"/>
      <c r="C11" s="149"/>
      <c r="D11" s="149">
        <v>12</v>
      </c>
      <c r="E11" s="149"/>
      <c r="F11" s="149">
        <v>6</v>
      </c>
      <c r="G11" s="149"/>
      <c r="H11" s="149"/>
      <c r="I11" s="149">
        <v>18</v>
      </c>
    </row>
    <row r="12" spans="1:10" x14ac:dyDescent="0.25">
      <c r="A12" s="148" t="s">
        <v>235</v>
      </c>
      <c r="B12" s="149"/>
      <c r="C12" s="149"/>
      <c r="D12" s="149"/>
      <c r="E12" s="149">
        <v>108</v>
      </c>
      <c r="F12" s="149"/>
      <c r="G12" s="149"/>
      <c r="H12" s="149"/>
      <c r="I12" s="149">
        <v>108</v>
      </c>
      <c r="J12">
        <f>I12-I15</f>
        <v>106</v>
      </c>
    </row>
    <row r="13" spans="1:10" x14ac:dyDescent="0.25">
      <c r="A13" s="287" t="s">
        <v>219</v>
      </c>
      <c r="B13" s="149"/>
      <c r="C13" s="149"/>
      <c r="D13" s="149"/>
      <c r="E13" s="149">
        <v>4</v>
      </c>
      <c r="F13" s="149"/>
      <c r="G13" s="149"/>
      <c r="H13" s="149"/>
      <c r="I13" s="149">
        <v>4</v>
      </c>
    </row>
    <row r="14" spans="1:10" x14ac:dyDescent="0.25">
      <c r="A14" s="287" t="s">
        <v>224</v>
      </c>
      <c r="B14" s="149"/>
      <c r="C14" s="149"/>
      <c r="D14" s="149"/>
      <c r="E14" s="149">
        <v>102</v>
      </c>
      <c r="F14" s="149"/>
      <c r="G14" s="149"/>
      <c r="H14" s="149"/>
      <c r="I14" s="149">
        <v>102</v>
      </c>
    </row>
    <row r="15" spans="1:10" x14ac:dyDescent="0.25">
      <c r="A15" s="287" t="s">
        <v>225</v>
      </c>
      <c r="B15" s="149"/>
      <c r="C15" s="149"/>
      <c r="D15" s="149"/>
      <c r="E15" s="149">
        <v>2</v>
      </c>
      <c r="F15" s="149"/>
      <c r="G15" s="149"/>
      <c r="H15" s="149"/>
      <c r="I15" s="149">
        <v>2</v>
      </c>
    </row>
    <row r="16" spans="1:10" x14ac:dyDescent="0.25">
      <c r="A16" s="148" t="s">
        <v>223</v>
      </c>
      <c r="B16" s="149"/>
      <c r="C16" s="149"/>
      <c r="D16" s="149"/>
      <c r="E16" s="149"/>
      <c r="F16" s="149"/>
      <c r="G16" s="149"/>
      <c r="H16" s="149">
        <v>2823</v>
      </c>
      <c r="I16" s="149">
        <v>2823</v>
      </c>
      <c r="J16">
        <f>I16</f>
        <v>2823</v>
      </c>
    </row>
    <row r="17" spans="1:10" x14ac:dyDescent="0.25">
      <c r="A17" s="287" t="s">
        <v>219</v>
      </c>
      <c r="B17" s="149"/>
      <c r="C17" s="149"/>
      <c r="D17" s="149"/>
      <c r="E17" s="149"/>
      <c r="F17" s="149"/>
      <c r="G17" s="149"/>
      <c r="H17" s="149">
        <v>2807</v>
      </c>
      <c r="I17" s="149">
        <v>2807</v>
      </c>
    </row>
    <row r="18" spans="1:10" x14ac:dyDescent="0.25">
      <c r="A18" s="287" t="s">
        <v>224</v>
      </c>
      <c r="B18" s="149"/>
      <c r="C18" s="149"/>
      <c r="D18" s="149"/>
      <c r="E18" s="149"/>
      <c r="F18" s="149"/>
      <c r="G18" s="149"/>
      <c r="H18" s="149">
        <v>16</v>
      </c>
      <c r="I18" s="149">
        <v>16</v>
      </c>
    </row>
    <row r="19" spans="1:10" x14ac:dyDescent="0.25">
      <c r="A19" s="148" t="s">
        <v>236</v>
      </c>
      <c r="B19" s="149"/>
      <c r="C19" s="149"/>
      <c r="D19" s="149"/>
      <c r="E19" s="149"/>
      <c r="F19" s="149"/>
      <c r="G19" s="149"/>
      <c r="H19" s="149">
        <v>231</v>
      </c>
      <c r="I19" s="149">
        <v>231</v>
      </c>
      <c r="J19">
        <f>I19</f>
        <v>231</v>
      </c>
    </row>
    <row r="20" spans="1:10" x14ac:dyDescent="0.25">
      <c r="A20" s="287" t="s">
        <v>219</v>
      </c>
      <c r="B20" s="149"/>
      <c r="C20" s="149"/>
      <c r="D20" s="149"/>
      <c r="E20" s="149"/>
      <c r="F20" s="149"/>
      <c r="G20" s="149"/>
      <c r="H20" s="149">
        <v>226</v>
      </c>
      <c r="I20" s="149">
        <v>226</v>
      </c>
    </row>
    <row r="21" spans="1:10" x14ac:dyDescent="0.25">
      <c r="A21" s="287" t="s">
        <v>224</v>
      </c>
      <c r="B21" s="149"/>
      <c r="C21" s="149"/>
      <c r="D21" s="149"/>
      <c r="E21" s="149"/>
      <c r="F21" s="149"/>
      <c r="G21" s="149"/>
      <c r="H21" s="149">
        <v>5</v>
      </c>
      <c r="I21" s="149">
        <v>5</v>
      </c>
    </row>
    <row r="22" spans="1:10" x14ac:dyDescent="0.25">
      <c r="A22" s="148" t="s">
        <v>237</v>
      </c>
      <c r="B22" s="149">
        <v>133</v>
      </c>
      <c r="C22" s="149"/>
      <c r="D22" s="149"/>
      <c r="E22" s="149"/>
      <c r="F22" s="149"/>
      <c r="G22" s="149"/>
      <c r="H22" s="149">
        <v>119</v>
      </c>
      <c r="I22" s="149">
        <v>252</v>
      </c>
      <c r="J22">
        <f>I22-I25</f>
        <v>237</v>
      </c>
    </row>
    <row r="23" spans="1:10" x14ac:dyDescent="0.25">
      <c r="A23" s="287" t="s">
        <v>219</v>
      </c>
      <c r="B23" s="149">
        <v>19</v>
      </c>
      <c r="C23" s="149"/>
      <c r="D23" s="149"/>
      <c r="E23" s="149"/>
      <c r="F23" s="149"/>
      <c r="G23" s="149"/>
      <c r="H23" s="149">
        <v>10</v>
      </c>
      <c r="I23" s="149">
        <v>29</v>
      </c>
    </row>
    <row r="24" spans="1:10" x14ac:dyDescent="0.25">
      <c r="A24" s="287" t="s">
        <v>224</v>
      </c>
      <c r="B24" s="149">
        <v>108</v>
      </c>
      <c r="C24" s="149"/>
      <c r="D24" s="149"/>
      <c r="E24" s="149"/>
      <c r="F24" s="149"/>
      <c r="G24" s="149"/>
      <c r="H24" s="149">
        <v>100</v>
      </c>
      <c r="I24" s="149">
        <v>208</v>
      </c>
    </row>
    <row r="25" spans="1:10" x14ac:dyDescent="0.25">
      <c r="A25" s="287" t="s">
        <v>225</v>
      </c>
      <c r="B25" s="149">
        <v>6</v>
      </c>
      <c r="C25" s="149"/>
      <c r="D25" s="149"/>
      <c r="E25" s="149"/>
      <c r="F25" s="149"/>
      <c r="G25" s="149"/>
      <c r="H25" s="149">
        <v>9</v>
      </c>
      <c r="I25" s="149">
        <v>15</v>
      </c>
    </row>
    <row r="26" spans="1:10" x14ac:dyDescent="0.25">
      <c r="A26" s="148" t="s">
        <v>238</v>
      </c>
      <c r="B26" s="149"/>
      <c r="C26" s="149"/>
      <c r="D26" s="149"/>
      <c r="E26" s="149"/>
      <c r="F26" s="149"/>
      <c r="G26" s="149"/>
      <c r="H26" s="149">
        <v>247</v>
      </c>
      <c r="I26" s="149">
        <v>247</v>
      </c>
      <c r="J26">
        <f>I26</f>
        <v>247</v>
      </c>
    </row>
    <row r="27" spans="1:10" x14ac:dyDescent="0.25">
      <c r="A27" s="287" t="s">
        <v>219</v>
      </c>
      <c r="B27" s="149"/>
      <c r="C27" s="149"/>
      <c r="D27" s="149"/>
      <c r="E27" s="149"/>
      <c r="F27" s="149"/>
      <c r="G27" s="149"/>
      <c r="H27" s="149">
        <v>240</v>
      </c>
      <c r="I27" s="149">
        <v>240</v>
      </c>
    </row>
    <row r="28" spans="1:10" x14ac:dyDescent="0.25">
      <c r="A28" s="287" t="s">
        <v>224</v>
      </c>
      <c r="B28" s="149"/>
      <c r="C28" s="149"/>
      <c r="D28" s="149"/>
      <c r="E28" s="149"/>
      <c r="F28" s="149"/>
      <c r="G28" s="149"/>
      <c r="H28" s="149">
        <v>7</v>
      </c>
      <c r="I28" s="149">
        <v>7</v>
      </c>
    </row>
    <row r="29" spans="1:10" x14ac:dyDescent="0.25">
      <c r="A29" s="148" t="s">
        <v>239</v>
      </c>
      <c r="B29" s="149"/>
      <c r="C29" s="149">
        <v>43</v>
      </c>
      <c r="D29" s="149"/>
      <c r="E29" s="149"/>
      <c r="F29" s="149"/>
      <c r="G29" s="149"/>
      <c r="H29" s="149"/>
      <c r="I29" s="149">
        <v>43</v>
      </c>
      <c r="J29">
        <f>I29</f>
        <v>43</v>
      </c>
    </row>
    <row r="30" spans="1:10" x14ac:dyDescent="0.25">
      <c r="A30" s="287" t="s">
        <v>219</v>
      </c>
      <c r="B30" s="149"/>
      <c r="C30" s="149">
        <v>8</v>
      </c>
      <c r="D30" s="149"/>
      <c r="E30" s="149"/>
      <c r="F30" s="149"/>
      <c r="G30" s="149"/>
      <c r="H30" s="149"/>
      <c r="I30" s="149">
        <v>8</v>
      </c>
    </row>
    <row r="31" spans="1:10" x14ac:dyDescent="0.25">
      <c r="A31" s="287" t="s">
        <v>224</v>
      </c>
      <c r="B31" s="149"/>
      <c r="C31" s="149">
        <v>35</v>
      </c>
      <c r="D31" s="149"/>
      <c r="E31" s="149"/>
      <c r="F31" s="149"/>
      <c r="G31" s="149"/>
      <c r="H31" s="149"/>
      <c r="I31" s="149">
        <v>35</v>
      </c>
    </row>
    <row r="32" spans="1:10" x14ac:dyDescent="0.25">
      <c r="A32" s="148" t="s">
        <v>150</v>
      </c>
      <c r="B32" s="149">
        <v>238</v>
      </c>
      <c r="C32" s="149">
        <v>897</v>
      </c>
      <c r="D32" s="149">
        <v>301</v>
      </c>
      <c r="E32" s="149">
        <v>1213</v>
      </c>
      <c r="F32" s="149">
        <v>1463</v>
      </c>
      <c r="G32" s="149">
        <v>88</v>
      </c>
      <c r="H32" s="149">
        <v>3696</v>
      </c>
      <c r="I32" s="149">
        <v>7896</v>
      </c>
      <c r="J32">
        <f>SUM(J4:J30)</f>
        <v>7267</v>
      </c>
    </row>
    <row r="35" spans="1:6" ht="52.8" x14ac:dyDescent="0.25">
      <c r="A35" s="303" t="s">
        <v>227</v>
      </c>
      <c r="B35" s="303" t="s">
        <v>282</v>
      </c>
      <c r="D35" s="367" t="s">
        <v>281</v>
      </c>
      <c r="E35" s="367" t="s">
        <v>280</v>
      </c>
      <c r="F35" s="367" t="s">
        <v>279</v>
      </c>
    </row>
    <row r="36" spans="1:6" x14ac:dyDescent="0.25">
      <c r="A36" s="73" t="s">
        <v>75</v>
      </c>
      <c r="B36" s="216">
        <f>GETPIVOTDATA("COUNT_WW",$A$2,"MODEL_SEGM","Hatchett Creek")-C7</f>
        <v>743</v>
      </c>
      <c r="D36" s="73" t="s">
        <v>75</v>
      </c>
      <c r="E36" s="366">
        <f>C7</f>
        <v>154</v>
      </c>
      <c r="F36" s="126">
        <f>C7/C32</f>
        <v>0.17168338907469341</v>
      </c>
    </row>
    <row r="37" spans="1:6" x14ac:dyDescent="0.25">
      <c r="A37" s="73" t="s">
        <v>49</v>
      </c>
      <c r="B37" s="216">
        <f>GETPIVOTDATA("COUNT_WW",$A$2,"MODEL_SEGM","Little Hatchett Creek")-D7-D11</f>
        <v>274</v>
      </c>
      <c r="D37" s="73" t="s">
        <v>49</v>
      </c>
      <c r="E37" s="366">
        <f>D7+D11</f>
        <v>27</v>
      </c>
      <c r="F37" s="126">
        <f>(D7+D11)/D32</f>
        <v>8.9700996677740868E-2</v>
      </c>
    </row>
    <row r="38" spans="1:6" x14ac:dyDescent="0.25">
      <c r="A38" s="73" t="s">
        <v>65</v>
      </c>
      <c r="B38" s="216">
        <f>GETPIVOTDATA("COUNT_WW",$A$2,"MODEL_SEGM","Newnans Lake")-F7-F11</f>
        <v>1246</v>
      </c>
      <c r="D38" s="73" t="s">
        <v>65</v>
      </c>
      <c r="E38" s="366">
        <f>F7</f>
        <v>211</v>
      </c>
      <c r="F38" s="126">
        <f>F7/F32</f>
        <v>0.14422419685577581</v>
      </c>
    </row>
    <row r="39" spans="1:6" x14ac:dyDescent="0.25">
      <c r="A39" s="73" t="s">
        <v>216</v>
      </c>
      <c r="B39" s="216">
        <f>GETPIVOTDATA("COUNT_WW",$A$2,"MODEL_SEGM","Camps Canal and River Styx")-B7-B25</f>
        <v>224</v>
      </c>
      <c r="D39" s="73" t="s">
        <v>216</v>
      </c>
      <c r="E39" s="366">
        <f>B7+B25</f>
        <v>14</v>
      </c>
      <c r="F39" s="126">
        <f>(B7+B25)/B32</f>
        <v>5.8823529411764705E-2</v>
      </c>
    </row>
    <row r="40" spans="1:6" x14ac:dyDescent="0.25">
      <c r="A40" s="73" t="s">
        <v>96</v>
      </c>
      <c r="B40" s="216">
        <f>GETPIVOTDATA("COUNT_WW",$A$2,"MODEL_SEGM","Orange Lake")-H7-H25</f>
        <v>3653</v>
      </c>
      <c r="D40" s="73" t="s">
        <v>96</v>
      </c>
      <c r="E40" s="366">
        <f>H7+H25</f>
        <v>43</v>
      </c>
      <c r="F40" s="126">
        <f>(H7+H25)/H32</f>
        <v>1.1634199134199134E-2</v>
      </c>
    </row>
    <row r="41" spans="1:6" x14ac:dyDescent="0.25">
      <c r="A41" s="73" t="s">
        <v>217</v>
      </c>
      <c r="B41" s="216">
        <f>GETPIVOTDATA("COUNT_WW",$A$2,"MODEL_SEGM","Lochloosa Lake")-E7-E15</f>
        <v>1046</v>
      </c>
      <c r="D41" s="73" t="s">
        <v>217</v>
      </c>
      <c r="E41" s="366">
        <f>E7+E15</f>
        <v>167</v>
      </c>
      <c r="F41" s="126">
        <f>(E7+E15)/E32</f>
        <v>0.13767518549051938</v>
      </c>
    </row>
    <row r="44" spans="1:6" x14ac:dyDescent="0.25">
      <c r="A44" s="290" t="s">
        <v>229</v>
      </c>
    </row>
    <row r="45" spans="1:6" ht="26.4" x14ac:dyDescent="0.25">
      <c r="A45" s="302" t="s">
        <v>226</v>
      </c>
      <c r="B45" s="303" t="s">
        <v>227</v>
      </c>
      <c r="C45" s="303" t="s">
        <v>228</v>
      </c>
      <c r="D45" s="303" t="s">
        <v>230</v>
      </c>
    </row>
    <row r="46" spans="1:6" x14ac:dyDescent="0.25">
      <c r="A46" s="291" t="s">
        <v>62</v>
      </c>
      <c r="B46" s="167" t="s">
        <v>216</v>
      </c>
      <c r="C46" s="155">
        <f>GETPIVOTDATA("COUNT_WW",$A$2,"MODEL_SEGM","Camps Canal and River Styx","NAMELSAD10","ALACHUA")-B7</f>
        <v>97</v>
      </c>
      <c r="D46" s="215">
        <f>C46/B39</f>
        <v>0.4330357142857143</v>
      </c>
    </row>
    <row r="47" spans="1:6" x14ac:dyDescent="0.25">
      <c r="A47" s="291" t="s">
        <v>62</v>
      </c>
      <c r="B47" s="167" t="s">
        <v>75</v>
      </c>
      <c r="C47" s="155">
        <f>GETPIVOTDATA("COUNT_WW",$A$2,"MODEL_SEGM","Hatchett Creek","NAMELSAD10","ALACHUA")-C7</f>
        <v>685</v>
      </c>
      <c r="D47" s="215">
        <f>C47/B36</f>
        <v>0.92193808882907136</v>
      </c>
    </row>
    <row r="48" spans="1:6" x14ac:dyDescent="0.25">
      <c r="A48" s="291" t="s">
        <v>62</v>
      </c>
      <c r="B48" s="167" t="s">
        <v>49</v>
      </c>
      <c r="C48" s="155">
        <f>GETPIVOTDATA("COUNT_WW",$A$2,"MODEL_SEGM","Little Hatchett Creek","NAMELSAD10","ALACHUA")-D7</f>
        <v>127</v>
      </c>
      <c r="D48" s="215">
        <f>C48/B37</f>
        <v>0.46350364963503649</v>
      </c>
    </row>
    <row r="49" spans="1:4" x14ac:dyDescent="0.25">
      <c r="A49" s="291" t="s">
        <v>62</v>
      </c>
      <c r="B49" s="167" t="s">
        <v>217</v>
      </c>
      <c r="C49" s="155">
        <f>GETPIVOTDATA("COUNT_WW",$A$2,"MODEL_SEGM","Lochloosa Lake","NAMELSAD10","ALACHUA")-E7</f>
        <v>940</v>
      </c>
      <c r="D49" s="215">
        <f>C49/B41</f>
        <v>0.89866156787762907</v>
      </c>
    </row>
    <row r="50" spans="1:4" x14ac:dyDescent="0.25">
      <c r="A50" s="291" t="s">
        <v>62</v>
      </c>
      <c r="B50" s="167" t="s">
        <v>65</v>
      </c>
      <c r="C50" s="155">
        <f>GETPIVOTDATA("COUNT_WW",$A$2,"MODEL_SEGM","Newnans Lake","NAMELSAD10","ALACHUA")-F7</f>
        <v>1151</v>
      </c>
      <c r="D50" s="215">
        <f>C50/B38</f>
        <v>0.9237560192616372</v>
      </c>
    </row>
    <row r="51" spans="1:4" x14ac:dyDescent="0.25">
      <c r="A51" s="291" t="s">
        <v>62</v>
      </c>
      <c r="B51" s="167" t="s">
        <v>96</v>
      </c>
      <c r="C51" s="155">
        <f>GETPIVOTDATA("COUNT_WW",$A$2,"MODEL_SEGM","Orange Lake","NAMELSAD10","ALACHUA")-H7</f>
        <v>242</v>
      </c>
      <c r="D51" s="215">
        <f>C51/B40</f>
        <v>6.6246920339447027E-2</v>
      </c>
    </row>
    <row r="52" spans="1:4" x14ac:dyDescent="0.25">
      <c r="A52" s="291" t="s">
        <v>221</v>
      </c>
      <c r="B52" s="167" t="s">
        <v>75</v>
      </c>
      <c r="C52" s="155">
        <f>GETPIVOTDATA("COUNT_WW",$A$2,"MODEL_SEGM","Hatchett Creek","NAMELSAD10","City of Gainesville")</f>
        <v>15</v>
      </c>
      <c r="D52" s="215">
        <f>C52/B36</f>
        <v>2.0188425302826378E-2</v>
      </c>
    </row>
    <row r="53" spans="1:4" x14ac:dyDescent="0.25">
      <c r="A53" s="291" t="s">
        <v>221</v>
      </c>
      <c r="B53" s="167" t="s">
        <v>49</v>
      </c>
      <c r="C53" s="155">
        <f>GETPIVOTDATA("COUNT_WW",$A$2,"MODEL_SEGM","Little Hatchett Creek","NAMELSAD10","City of Gainesville")-D11</f>
        <v>147</v>
      </c>
      <c r="D53" s="215">
        <f>C53/B37</f>
        <v>0.53649635036496346</v>
      </c>
    </row>
    <row r="54" spans="1:4" x14ac:dyDescent="0.25">
      <c r="A54" s="291" t="s">
        <v>221</v>
      </c>
      <c r="B54" s="167" t="s">
        <v>65</v>
      </c>
      <c r="C54" s="155">
        <f>GETPIVOTDATA("COUNT_WW",$A$2,"MODEL_SEGM","Newnans Lake","NAMELSAD10","City of Gainesville")-GETPIVOTDATA("COUNT_WW",$A$2,"MODEL_SEGM","Newnans Lake","NAMELSAD10","City of Gainesville","WW","SWLSeptic")</f>
        <v>95</v>
      </c>
      <c r="D54" s="215">
        <f>C54/B38</f>
        <v>7.6243980738362763E-2</v>
      </c>
    </row>
    <row r="55" spans="1:4" x14ac:dyDescent="0.25">
      <c r="A55" s="291" t="s">
        <v>222</v>
      </c>
      <c r="B55" s="167" t="s">
        <v>217</v>
      </c>
      <c r="C55" s="155">
        <f>GETPIVOTDATA("COUNT_WW",$A$2,"MODEL_SEGM","Lochloosa Lake","NAMELSAD10","Hawthorne city")-E15</f>
        <v>106</v>
      </c>
      <c r="D55" s="215">
        <f>C55/B41</f>
        <v>0.10133843212237094</v>
      </c>
    </row>
    <row r="56" spans="1:4" x14ac:dyDescent="0.25">
      <c r="A56" s="291" t="s">
        <v>141</v>
      </c>
      <c r="B56" s="167" t="s">
        <v>96</v>
      </c>
      <c r="C56" s="155">
        <f>GETPIVOTDATA("COUNT_WW",$A$2,"MODEL_SEGM","Orange Lake","NAMELSAD10","MARION")</f>
        <v>2823</v>
      </c>
      <c r="D56" s="215">
        <f>C56/B40</f>
        <v>0.77278948809197923</v>
      </c>
    </row>
    <row r="57" spans="1:4" x14ac:dyDescent="0.25">
      <c r="A57" s="291" t="s">
        <v>143</v>
      </c>
      <c r="B57" s="167" t="s">
        <v>96</v>
      </c>
      <c r="C57" s="155">
        <f>GETPIVOTDATA("COUNT_WW",$A$2,"MODEL_SEGM","Orange Lake","NAMELSAD10","McIntosh town")</f>
        <v>231</v>
      </c>
      <c r="D57" s="215">
        <f>C57/B40</f>
        <v>6.3235696687653983E-2</v>
      </c>
    </row>
    <row r="58" spans="1:4" x14ac:dyDescent="0.25">
      <c r="A58" s="291" t="s">
        <v>144</v>
      </c>
      <c r="B58" s="167" t="s">
        <v>216</v>
      </c>
      <c r="C58" s="155">
        <f>GETPIVOTDATA("COUNT_WW",$A$2,"MODEL_SEGM","Camps Canal and River Styx","NAMELSAD10","Micanopy town")-B25</f>
        <v>127</v>
      </c>
      <c r="D58" s="215">
        <f>C58/B39</f>
        <v>0.5669642857142857</v>
      </c>
    </row>
    <row r="59" spans="1:4" x14ac:dyDescent="0.25">
      <c r="A59" s="291" t="s">
        <v>144</v>
      </c>
      <c r="B59" s="167" t="s">
        <v>96</v>
      </c>
      <c r="C59" s="155">
        <f>GETPIVOTDATA("COUNT_WW",$A$2,"MODEL_SEGM","Orange Lake","NAMELSAD10","Micanopy town")-H25</f>
        <v>110</v>
      </c>
      <c r="D59" s="215">
        <f>C59/B40</f>
        <v>3.0112236517930466E-2</v>
      </c>
    </row>
    <row r="60" spans="1:4" x14ac:dyDescent="0.25">
      <c r="A60" s="291" t="s">
        <v>142</v>
      </c>
      <c r="B60" s="167" t="s">
        <v>96</v>
      </c>
      <c r="C60" s="155">
        <f>GETPIVOTDATA("COUNT_WW",$A$2,"MODEL_SEGM","Orange Lake","NAMELSAD10","Reddick town")</f>
        <v>247</v>
      </c>
      <c r="D60" s="215">
        <f>C60/B40</f>
        <v>6.7615658362989328E-2</v>
      </c>
    </row>
    <row r="61" spans="1:4" x14ac:dyDescent="0.25">
      <c r="A61" s="291" t="s">
        <v>67</v>
      </c>
      <c r="B61" s="167" t="s">
        <v>75</v>
      </c>
      <c r="C61" s="155">
        <f>GETPIVOTDATA("COUNT_WW",$A$2,"MODEL_SEGM","Hatchett Creek","NAMELSAD10","Waldo city")</f>
        <v>43</v>
      </c>
      <c r="D61" s="215">
        <f>C61/B36</f>
        <v>5.7873485868102287E-2</v>
      </c>
    </row>
    <row r="63" spans="1:4" x14ac:dyDescent="0.25">
      <c r="A63" s="301" t="s">
        <v>216</v>
      </c>
      <c r="B63" s="3">
        <f>D46+D58</f>
        <v>1</v>
      </c>
    </row>
    <row r="64" spans="1:4" x14ac:dyDescent="0.25">
      <c r="A64" s="301" t="s">
        <v>75</v>
      </c>
      <c r="B64" s="3">
        <f>D47+D52+D61</f>
        <v>1</v>
      </c>
    </row>
    <row r="65" spans="1:2" x14ac:dyDescent="0.25">
      <c r="A65" s="301" t="s">
        <v>49</v>
      </c>
      <c r="B65" s="3">
        <f>D48+D53</f>
        <v>1</v>
      </c>
    </row>
    <row r="66" spans="1:2" x14ac:dyDescent="0.25">
      <c r="A66" s="301" t="s">
        <v>65</v>
      </c>
      <c r="B66" s="3">
        <f>D50+D54</f>
        <v>1</v>
      </c>
    </row>
    <row r="67" spans="1:2" x14ac:dyDescent="0.25">
      <c r="A67" s="301" t="s">
        <v>96</v>
      </c>
      <c r="B67" s="3">
        <f>D51+D56+D59+D60+D57</f>
        <v>1</v>
      </c>
    </row>
    <row r="68" spans="1:2" x14ac:dyDescent="0.25">
      <c r="A68" s="301" t="s">
        <v>240</v>
      </c>
      <c r="B68" s="3">
        <f>D49+D55</f>
        <v>1</v>
      </c>
    </row>
  </sheetData>
  <pageMargins left="0.7" right="0.7" top="0.75" bottom="0.75" header="0.3" footer="0.3"/>
  <pageSetup orientation="portrait" r:id="rId2"/>
  <ignoredErrors>
    <ignoredError sqref="D5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activeCell="H11" sqref="H11"/>
    </sheetView>
  </sheetViews>
  <sheetFormatPr defaultRowHeight="13.2" x14ac:dyDescent="0.25"/>
  <cols>
    <col min="1" max="1" width="19.88671875" customWidth="1"/>
    <col min="2" max="2" width="20.6640625" customWidth="1"/>
    <col min="3" max="3" width="22.88671875" customWidth="1"/>
    <col min="4" max="4" width="13.88671875" customWidth="1"/>
  </cols>
  <sheetData>
    <row r="1" spans="1:4" x14ac:dyDescent="0.25">
      <c r="A1" s="182" t="s">
        <v>392</v>
      </c>
    </row>
    <row r="2" spans="1:4" x14ac:dyDescent="0.25">
      <c r="A2" s="370" t="s">
        <v>283</v>
      </c>
      <c r="B2" s="370" t="s">
        <v>410</v>
      </c>
      <c r="C2" s="370" t="s">
        <v>123</v>
      </c>
      <c r="D2" s="370" t="s">
        <v>409</v>
      </c>
    </row>
    <row r="3" spans="1:4" x14ac:dyDescent="0.25">
      <c r="A3" s="369" t="s">
        <v>217</v>
      </c>
      <c r="B3" s="369" t="s">
        <v>284</v>
      </c>
      <c r="C3" s="369" t="s">
        <v>220</v>
      </c>
      <c r="D3" s="369">
        <v>21</v>
      </c>
    </row>
    <row r="4" spans="1:4" x14ac:dyDescent="0.25">
      <c r="A4" s="369" t="s">
        <v>217</v>
      </c>
      <c r="B4" s="369" t="s">
        <v>285</v>
      </c>
      <c r="C4" s="369" t="s">
        <v>220</v>
      </c>
      <c r="D4" s="369">
        <v>57</v>
      </c>
    </row>
    <row r="5" spans="1:4" x14ac:dyDescent="0.25">
      <c r="A5" s="369" t="s">
        <v>217</v>
      </c>
      <c r="B5" s="369" t="s">
        <v>286</v>
      </c>
      <c r="C5" s="369" t="s">
        <v>220</v>
      </c>
      <c r="D5" s="369">
        <v>35</v>
      </c>
    </row>
    <row r="6" spans="1:4" x14ac:dyDescent="0.25">
      <c r="A6" s="369" t="s">
        <v>217</v>
      </c>
      <c r="B6" s="369" t="s">
        <v>287</v>
      </c>
      <c r="C6" s="369" t="s">
        <v>220</v>
      </c>
      <c r="D6" s="369">
        <v>27</v>
      </c>
    </row>
    <row r="7" spans="1:4" x14ac:dyDescent="0.25">
      <c r="A7" s="369" t="s">
        <v>217</v>
      </c>
      <c r="B7" s="369" t="s">
        <v>288</v>
      </c>
      <c r="C7" s="369" t="s">
        <v>220</v>
      </c>
      <c r="D7" s="369">
        <v>26</v>
      </c>
    </row>
    <row r="8" spans="1:4" x14ac:dyDescent="0.25">
      <c r="A8" s="369" t="s">
        <v>217</v>
      </c>
      <c r="B8" s="369" t="s">
        <v>289</v>
      </c>
      <c r="C8" s="369" t="s">
        <v>220</v>
      </c>
      <c r="D8" s="369">
        <v>30</v>
      </c>
    </row>
    <row r="9" spans="1:4" x14ac:dyDescent="0.25">
      <c r="A9" s="369" t="s">
        <v>217</v>
      </c>
      <c r="B9" s="369" t="s">
        <v>290</v>
      </c>
      <c r="C9" s="369" t="s">
        <v>220</v>
      </c>
      <c r="D9" s="369">
        <v>14</v>
      </c>
    </row>
    <row r="10" spans="1:4" x14ac:dyDescent="0.25">
      <c r="A10" s="369" t="s">
        <v>217</v>
      </c>
      <c r="B10" s="369" t="s">
        <v>290</v>
      </c>
      <c r="C10" s="369" t="s">
        <v>235</v>
      </c>
      <c r="D10" s="369">
        <v>20</v>
      </c>
    </row>
    <row r="11" spans="1:4" x14ac:dyDescent="0.25">
      <c r="A11" s="369" t="s">
        <v>217</v>
      </c>
      <c r="B11" s="369" t="s">
        <v>291</v>
      </c>
      <c r="C11" s="369" t="s">
        <v>220</v>
      </c>
      <c r="D11" s="369">
        <v>10</v>
      </c>
    </row>
    <row r="12" spans="1:4" x14ac:dyDescent="0.25">
      <c r="A12" s="369" t="s">
        <v>217</v>
      </c>
      <c r="B12" s="369" t="s">
        <v>292</v>
      </c>
      <c r="C12" s="369" t="s">
        <v>220</v>
      </c>
      <c r="D12" s="369">
        <v>6</v>
      </c>
    </row>
    <row r="13" spans="1:4" x14ac:dyDescent="0.25">
      <c r="A13" s="369" t="s">
        <v>217</v>
      </c>
      <c r="B13" s="369" t="s">
        <v>293</v>
      </c>
      <c r="C13" s="369" t="s">
        <v>220</v>
      </c>
      <c r="D13" s="369">
        <v>108</v>
      </c>
    </row>
    <row r="14" spans="1:4" x14ac:dyDescent="0.25">
      <c r="A14" s="369" t="s">
        <v>217</v>
      </c>
      <c r="B14" s="369" t="s">
        <v>294</v>
      </c>
      <c r="C14" s="369" t="s">
        <v>220</v>
      </c>
      <c r="D14" s="369">
        <v>69</v>
      </c>
    </row>
    <row r="15" spans="1:4" x14ac:dyDescent="0.25">
      <c r="A15" s="369" t="s">
        <v>65</v>
      </c>
      <c r="B15" s="369" t="s">
        <v>295</v>
      </c>
      <c r="C15" s="369" t="s">
        <v>220</v>
      </c>
      <c r="D15" s="369">
        <v>15</v>
      </c>
    </row>
    <row r="16" spans="1:4" x14ac:dyDescent="0.25">
      <c r="A16" s="369" t="s">
        <v>65</v>
      </c>
      <c r="B16" s="369" t="s">
        <v>296</v>
      </c>
      <c r="C16" s="369" t="s">
        <v>220</v>
      </c>
      <c r="D16" s="369">
        <v>6</v>
      </c>
    </row>
    <row r="17" spans="1:4" x14ac:dyDescent="0.25">
      <c r="A17" s="369" t="s">
        <v>65</v>
      </c>
      <c r="B17" s="369" t="s">
        <v>296</v>
      </c>
      <c r="C17" s="369" t="s">
        <v>221</v>
      </c>
      <c r="D17" s="369">
        <v>2</v>
      </c>
    </row>
    <row r="18" spans="1:4" x14ac:dyDescent="0.25">
      <c r="A18" s="369" t="s">
        <v>65</v>
      </c>
      <c r="B18" s="369" t="s">
        <v>65</v>
      </c>
      <c r="C18" s="369" t="s">
        <v>220</v>
      </c>
      <c r="D18" s="369">
        <v>288</v>
      </c>
    </row>
    <row r="19" spans="1:4" x14ac:dyDescent="0.25">
      <c r="A19" s="369" t="s">
        <v>65</v>
      </c>
      <c r="B19" s="369" t="s">
        <v>65</v>
      </c>
      <c r="C19" s="369" t="s">
        <v>221</v>
      </c>
      <c r="D19" s="369">
        <v>24</v>
      </c>
    </row>
    <row r="20" spans="1:4" x14ac:dyDescent="0.25">
      <c r="A20" s="369" t="s">
        <v>65</v>
      </c>
      <c r="B20" s="369" t="s">
        <v>297</v>
      </c>
      <c r="C20" s="369" t="s">
        <v>220</v>
      </c>
      <c r="D20" s="369">
        <v>122</v>
      </c>
    </row>
    <row r="21" spans="1:4" x14ac:dyDescent="0.25">
      <c r="A21" s="369" t="s">
        <v>65</v>
      </c>
      <c r="B21" s="369" t="s">
        <v>297</v>
      </c>
      <c r="C21" s="369" t="s">
        <v>221</v>
      </c>
      <c r="D21" s="369">
        <v>9</v>
      </c>
    </row>
    <row r="22" spans="1:4" x14ac:dyDescent="0.25">
      <c r="A22" s="369" t="s">
        <v>65</v>
      </c>
      <c r="B22" s="369" t="s">
        <v>298</v>
      </c>
      <c r="C22" s="369" t="s">
        <v>220</v>
      </c>
      <c r="D22" s="369">
        <v>1</v>
      </c>
    </row>
    <row r="23" spans="1:4" x14ac:dyDescent="0.25">
      <c r="A23" s="369" t="s">
        <v>65</v>
      </c>
      <c r="B23" s="369" t="s">
        <v>298</v>
      </c>
      <c r="C23" s="369" t="s">
        <v>221</v>
      </c>
      <c r="D23" s="369">
        <v>41</v>
      </c>
    </row>
    <row r="24" spans="1:4" x14ac:dyDescent="0.25">
      <c r="A24" s="369" t="s">
        <v>96</v>
      </c>
      <c r="B24" s="369" t="s">
        <v>299</v>
      </c>
      <c r="C24" s="369" t="s">
        <v>220</v>
      </c>
      <c r="D24" s="369">
        <v>9</v>
      </c>
    </row>
    <row r="25" spans="1:4" x14ac:dyDescent="0.25">
      <c r="A25" s="369" t="s">
        <v>96</v>
      </c>
      <c r="B25" s="369" t="s">
        <v>218</v>
      </c>
      <c r="C25" s="369" t="s">
        <v>220</v>
      </c>
      <c r="D25" s="369">
        <v>30</v>
      </c>
    </row>
    <row r="26" spans="1:4" x14ac:dyDescent="0.25">
      <c r="A26" s="369" t="s">
        <v>96</v>
      </c>
      <c r="B26" s="369" t="s">
        <v>96</v>
      </c>
      <c r="C26" s="369" t="s">
        <v>220</v>
      </c>
      <c r="D26" s="369">
        <v>54</v>
      </c>
    </row>
    <row r="27" spans="1:4" x14ac:dyDescent="0.25">
      <c r="A27" s="369" t="s">
        <v>96</v>
      </c>
      <c r="B27" s="369" t="s">
        <v>96</v>
      </c>
      <c r="C27" s="369" t="s">
        <v>223</v>
      </c>
      <c r="D27" s="369">
        <v>114</v>
      </c>
    </row>
    <row r="28" spans="1:4" x14ac:dyDescent="0.25">
      <c r="A28" s="369" t="s">
        <v>96</v>
      </c>
      <c r="B28" s="369" t="s">
        <v>96</v>
      </c>
      <c r="C28" s="369" t="s">
        <v>236</v>
      </c>
      <c r="D28" s="369">
        <v>41</v>
      </c>
    </row>
    <row r="29" spans="1:4" x14ac:dyDescent="0.25">
      <c r="A29" s="371" t="s">
        <v>68</v>
      </c>
      <c r="B29" s="354"/>
      <c r="C29" s="354"/>
      <c r="D29" s="375">
        <f>SUM(D3:D28)</f>
        <v>1179</v>
      </c>
    </row>
    <row r="32" spans="1:4" ht="39.6" x14ac:dyDescent="0.25">
      <c r="A32" s="368" t="s">
        <v>227</v>
      </c>
      <c r="B32" s="368" t="s">
        <v>282</v>
      </c>
    </row>
    <row r="33" spans="1:4" x14ac:dyDescent="0.25">
      <c r="A33" s="73" t="s">
        <v>75</v>
      </c>
      <c r="B33" s="369">
        <f>D15+D20+D21</f>
        <v>146</v>
      </c>
    </row>
    <row r="34" spans="1:4" x14ac:dyDescent="0.25">
      <c r="A34" s="73" t="s">
        <v>49</v>
      </c>
      <c r="B34" s="369">
        <f>D16+D17+D22+D23</f>
        <v>50</v>
      </c>
    </row>
    <row r="35" spans="1:4" x14ac:dyDescent="0.25">
      <c r="A35" s="73" t="s">
        <v>65</v>
      </c>
      <c r="B35" s="369">
        <f>D18+D19</f>
        <v>312</v>
      </c>
    </row>
    <row r="36" spans="1:4" x14ac:dyDescent="0.25">
      <c r="A36" s="73" t="s">
        <v>216</v>
      </c>
      <c r="B36" s="369">
        <f>D24</f>
        <v>9</v>
      </c>
    </row>
    <row r="37" spans="1:4" x14ac:dyDescent="0.25">
      <c r="A37" s="73" t="s">
        <v>96</v>
      </c>
      <c r="B37" s="369">
        <f>D26+D27+D28</f>
        <v>209</v>
      </c>
    </row>
    <row r="38" spans="1:4" x14ac:dyDescent="0.25">
      <c r="A38" s="73" t="s">
        <v>217</v>
      </c>
      <c r="B38" s="369">
        <f>D3+D4+D5+D6+D7+D8+D9+D10+D11+D12+D13+D14</f>
        <v>423</v>
      </c>
    </row>
    <row r="41" spans="1:4" x14ac:dyDescent="0.25">
      <c r="A41" s="290" t="s">
        <v>229</v>
      </c>
    </row>
    <row r="42" spans="1:4" ht="39.6" x14ac:dyDescent="0.25">
      <c r="A42" s="302" t="s">
        <v>226</v>
      </c>
      <c r="B42" s="303" t="s">
        <v>227</v>
      </c>
      <c r="C42" s="303" t="s">
        <v>228</v>
      </c>
      <c r="D42" s="303" t="s">
        <v>230</v>
      </c>
    </row>
    <row r="43" spans="1:4" x14ac:dyDescent="0.25">
      <c r="A43" s="291" t="s">
        <v>62</v>
      </c>
      <c r="B43" s="167" t="s">
        <v>216</v>
      </c>
      <c r="C43" s="155">
        <f>D24</f>
        <v>9</v>
      </c>
      <c r="D43" s="215">
        <v>1</v>
      </c>
    </row>
    <row r="44" spans="1:4" x14ac:dyDescent="0.25">
      <c r="A44" s="291" t="s">
        <v>62</v>
      </c>
      <c r="B44" s="167" t="s">
        <v>75</v>
      </c>
      <c r="C44" s="155">
        <f>D15+D20</f>
        <v>137</v>
      </c>
      <c r="D44" s="215">
        <f>C44/B33</f>
        <v>0.93835616438356162</v>
      </c>
    </row>
    <row r="45" spans="1:4" x14ac:dyDescent="0.25">
      <c r="A45" s="291" t="s">
        <v>62</v>
      </c>
      <c r="B45" s="167" t="s">
        <v>49</v>
      </c>
      <c r="C45" s="155">
        <f>D16+D22</f>
        <v>7</v>
      </c>
      <c r="D45" s="215">
        <f>C45/B34</f>
        <v>0.14000000000000001</v>
      </c>
    </row>
    <row r="46" spans="1:4" x14ac:dyDescent="0.25">
      <c r="A46" s="291" t="s">
        <v>62</v>
      </c>
      <c r="B46" s="167" t="s">
        <v>217</v>
      </c>
      <c r="C46" s="155">
        <f>D3+D4+D5+D6+D7+D8+D9+D11+D12+D13+D14</f>
        <v>403</v>
      </c>
      <c r="D46" s="215">
        <f>C46/B38</f>
        <v>0.95271867612293148</v>
      </c>
    </row>
    <row r="47" spans="1:4" x14ac:dyDescent="0.25">
      <c r="A47" s="291" t="s">
        <v>62</v>
      </c>
      <c r="B47" s="167" t="s">
        <v>65</v>
      </c>
      <c r="C47" s="155">
        <f>D18</f>
        <v>288</v>
      </c>
      <c r="D47" s="215">
        <f>C47/B35</f>
        <v>0.92307692307692313</v>
      </c>
    </row>
    <row r="48" spans="1:4" x14ac:dyDescent="0.25">
      <c r="A48" s="291" t="s">
        <v>62</v>
      </c>
      <c r="B48" s="167" t="s">
        <v>96</v>
      </c>
      <c r="C48" s="155">
        <f>D26</f>
        <v>54</v>
      </c>
      <c r="D48" s="215">
        <f>C48/B37</f>
        <v>0.25837320574162681</v>
      </c>
    </row>
    <row r="49" spans="1:4" x14ac:dyDescent="0.25">
      <c r="A49" s="291" t="s">
        <v>221</v>
      </c>
      <c r="B49" s="167" t="s">
        <v>75</v>
      </c>
      <c r="C49" s="155">
        <f>D21</f>
        <v>9</v>
      </c>
      <c r="D49" s="215">
        <f>C49/B33</f>
        <v>6.1643835616438353E-2</v>
      </c>
    </row>
    <row r="50" spans="1:4" x14ac:dyDescent="0.25">
      <c r="A50" s="291" t="s">
        <v>221</v>
      </c>
      <c r="B50" s="167" t="s">
        <v>49</v>
      </c>
      <c r="C50" s="155">
        <f>D17+D23</f>
        <v>43</v>
      </c>
      <c r="D50" s="215">
        <f>C50/B34</f>
        <v>0.86</v>
      </c>
    </row>
    <row r="51" spans="1:4" x14ac:dyDescent="0.25">
      <c r="A51" s="291" t="s">
        <v>221</v>
      </c>
      <c r="B51" s="167" t="s">
        <v>65</v>
      </c>
      <c r="C51" s="155">
        <f>D19</f>
        <v>24</v>
      </c>
      <c r="D51" s="215">
        <f>C51/B35</f>
        <v>7.6923076923076927E-2</v>
      </c>
    </row>
    <row r="52" spans="1:4" x14ac:dyDescent="0.25">
      <c r="A52" s="291" t="s">
        <v>222</v>
      </c>
      <c r="B52" s="167" t="s">
        <v>217</v>
      </c>
      <c r="C52" s="155">
        <f>D10</f>
        <v>20</v>
      </c>
      <c r="D52" s="215">
        <f>C52/B38</f>
        <v>4.7281323877068557E-2</v>
      </c>
    </row>
    <row r="53" spans="1:4" x14ac:dyDescent="0.25">
      <c r="A53" s="291" t="s">
        <v>141</v>
      </c>
      <c r="B53" s="167" t="s">
        <v>96</v>
      </c>
      <c r="C53" s="155">
        <f>D27</f>
        <v>114</v>
      </c>
      <c r="D53" s="215">
        <f>C53/B37</f>
        <v>0.54545454545454541</v>
      </c>
    </row>
    <row r="54" spans="1:4" x14ac:dyDescent="0.25">
      <c r="A54" s="291" t="s">
        <v>143</v>
      </c>
      <c r="B54" s="167" t="s">
        <v>96</v>
      </c>
      <c r="C54" s="155">
        <f>D28</f>
        <v>41</v>
      </c>
      <c r="D54" s="215">
        <f>C54/B37</f>
        <v>0.19617224880382775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7" sqref="K27"/>
    </sheetView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topLeftCell="J91" workbookViewId="0">
      <selection activeCell="L105" sqref="L105"/>
    </sheetView>
  </sheetViews>
  <sheetFormatPr defaultRowHeight="13.2" x14ac:dyDescent="0.25"/>
  <cols>
    <col min="1" max="1" width="50.33203125" customWidth="1"/>
    <col min="2" max="4" width="16.44140625" customWidth="1"/>
    <col min="5" max="5" width="16.5546875" style="3" customWidth="1"/>
    <col min="6" max="6" width="17.6640625" style="3" customWidth="1"/>
    <col min="7" max="7" width="17.109375" style="2" customWidth="1"/>
    <col min="8" max="8" width="17.6640625" style="2" customWidth="1"/>
    <col min="9" max="9" width="16.6640625" customWidth="1"/>
    <col min="10" max="10" width="16.44140625" customWidth="1"/>
    <col min="11" max="11" width="15.33203125" customWidth="1"/>
    <col min="12" max="12" width="14.5546875" customWidth="1"/>
    <col min="13" max="13" width="14.6640625" customWidth="1"/>
    <col min="14" max="15" width="13.88671875" customWidth="1"/>
    <col min="16" max="16" width="14" customWidth="1"/>
    <col min="17" max="18" width="14.6640625" customWidth="1"/>
    <col min="19" max="19" width="14" customWidth="1"/>
    <col min="20" max="20" width="15.6640625" customWidth="1"/>
  </cols>
  <sheetData>
    <row r="1" spans="1:18" x14ac:dyDescent="0.25">
      <c r="A1" s="1"/>
      <c r="B1" s="440"/>
      <c r="C1" s="441"/>
      <c r="D1" s="441"/>
      <c r="E1" s="441"/>
      <c r="F1" s="441"/>
      <c r="G1" s="441"/>
      <c r="H1" s="441"/>
      <c r="I1" s="441"/>
      <c r="J1" s="442"/>
    </row>
    <row r="2" spans="1:18" ht="28.2" thickBot="1" x14ac:dyDescent="0.3">
      <c r="A2" s="81" t="s">
        <v>191</v>
      </c>
      <c r="B2" s="443"/>
      <c r="C2" s="444"/>
      <c r="D2" s="444"/>
      <c r="E2" s="444"/>
      <c r="F2" s="444"/>
      <c r="G2" s="444"/>
      <c r="H2" s="444"/>
      <c r="I2" s="444"/>
      <c r="J2" s="445"/>
    </row>
    <row r="3" spans="1:18" s="4" customFormat="1" ht="40.200000000000003" thickTop="1" x14ac:dyDescent="0.25">
      <c r="A3" s="84" t="s">
        <v>16</v>
      </c>
      <c r="B3" s="22" t="s">
        <v>17</v>
      </c>
      <c r="C3" s="195" t="s">
        <v>31</v>
      </c>
      <c r="D3" s="200" t="s">
        <v>200</v>
      </c>
      <c r="E3" s="23" t="s">
        <v>21</v>
      </c>
      <c r="F3" s="24" t="s">
        <v>23</v>
      </c>
      <c r="G3" s="23" t="s">
        <v>24</v>
      </c>
      <c r="H3" s="22" t="s">
        <v>18</v>
      </c>
      <c r="I3" s="25" t="s">
        <v>19</v>
      </c>
      <c r="J3" s="26" t="s">
        <v>20</v>
      </c>
      <c r="N3"/>
      <c r="O3" s="19"/>
      <c r="P3" s="19"/>
      <c r="Q3" s="20"/>
      <c r="R3" s="3"/>
    </row>
    <row r="4" spans="1:18" s="4" customFormat="1" x14ac:dyDescent="0.25">
      <c r="A4" s="192" t="s">
        <v>194</v>
      </c>
      <c r="B4" s="193">
        <v>351</v>
      </c>
      <c r="C4" s="196">
        <f t="shared" ref="C4:C33" si="0">B4/B$38</f>
        <v>1.2585020598559357E-2</v>
      </c>
      <c r="D4" s="201"/>
      <c r="E4" s="6"/>
      <c r="F4" s="5"/>
      <c r="G4" s="186"/>
      <c r="H4" s="61"/>
      <c r="I4" s="187"/>
      <c r="J4" s="188"/>
      <c r="N4"/>
      <c r="O4" s="19"/>
      <c r="P4" s="19"/>
      <c r="Q4" s="20"/>
      <c r="R4" s="3"/>
    </row>
    <row r="5" spans="1:18" x14ac:dyDescent="0.25">
      <c r="A5" s="189" t="s">
        <v>198</v>
      </c>
      <c r="B5" s="223">
        <f>SUM(B6:B7)</f>
        <v>2574</v>
      </c>
      <c r="C5" s="197">
        <f t="shared" si="0"/>
        <v>9.2290151056101957E-2</v>
      </c>
      <c r="D5" s="224">
        <f>B5</f>
        <v>2574</v>
      </c>
      <c r="E5" s="6"/>
      <c r="F5" s="5"/>
      <c r="G5" s="6"/>
      <c r="H5" s="100"/>
      <c r="I5" s="226">
        <f>D5+H5</f>
        <v>2574</v>
      </c>
      <c r="J5" s="7"/>
      <c r="N5" s="19"/>
      <c r="Q5" s="21"/>
      <c r="R5" s="3"/>
    </row>
    <row r="6" spans="1:18" x14ac:dyDescent="0.25">
      <c r="A6" s="30" t="s">
        <v>5</v>
      </c>
      <c r="B6" s="222">
        <f>'Orange Lake tribs'!H27</f>
        <v>19.166666666666668</v>
      </c>
      <c r="C6" s="225">
        <f t="shared" si="0"/>
        <v>6.8721622451772379E-4</v>
      </c>
      <c r="D6" s="202"/>
      <c r="E6" s="6">
        <v>0</v>
      </c>
      <c r="F6" s="5"/>
      <c r="G6" s="6"/>
      <c r="H6" s="34"/>
      <c r="I6" s="6">
        <f>D6+H6</f>
        <v>0</v>
      </c>
      <c r="J6" s="7"/>
      <c r="N6" s="19"/>
      <c r="Q6" s="21"/>
      <c r="R6" s="72"/>
    </row>
    <row r="7" spans="1:18" x14ac:dyDescent="0.25">
      <c r="A7" s="30" t="s">
        <v>6</v>
      </c>
      <c r="B7" s="222">
        <f>'Orange Lake tribs'!H28</f>
        <v>2554.8333333333335</v>
      </c>
      <c r="C7" s="225">
        <f t="shared" si="0"/>
        <v>9.1602934831584243E-2</v>
      </c>
      <c r="D7" s="202"/>
      <c r="E7" s="6">
        <v>0</v>
      </c>
      <c r="F7" s="5"/>
      <c r="G7" s="6"/>
      <c r="H7" s="34"/>
      <c r="I7" s="6">
        <f>D7+H7</f>
        <v>0</v>
      </c>
      <c r="J7" s="7"/>
      <c r="N7" s="19"/>
      <c r="Q7" s="21"/>
      <c r="R7" s="3"/>
    </row>
    <row r="8" spans="1:18" x14ac:dyDescent="0.25">
      <c r="A8" s="190" t="s">
        <v>199</v>
      </c>
      <c r="B8" s="223">
        <f>SUM(B9:B14)</f>
        <v>893.16666666666663</v>
      </c>
      <c r="C8" s="197">
        <f t="shared" si="0"/>
        <v>3.2024276062525926E-2</v>
      </c>
      <c r="D8" s="224">
        <f>B8</f>
        <v>893.16666666666663</v>
      </c>
      <c r="E8" s="226">
        <f t="shared" ref="E8:E14" si="1">B8</f>
        <v>893.16666666666663</v>
      </c>
      <c r="F8" s="227">
        <f>E8/(D$38-D$5-D$30-D$18-D$34)</f>
        <v>4.2546671133842189E-2</v>
      </c>
      <c r="G8" s="226">
        <f>SUM(G9:G14)</f>
        <v>512.0194044259971</v>
      </c>
      <c r="H8" s="34"/>
      <c r="I8" s="226">
        <f t="shared" ref="I8:I16" si="2">D8+H8</f>
        <v>893.16666666666663</v>
      </c>
      <c r="J8" s="7"/>
      <c r="N8" s="19"/>
      <c r="Q8" s="21"/>
      <c r="R8" s="3"/>
    </row>
    <row r="9" spans="1:18" x14ac:dyDescent="0.25">
      <c r="A9" s="30" t="s">
        <v>7</v>
      </c>
      <c r="B9" s="222">
        <f>'Orange Lake tribs'!H21</f>
        <v>94</v>
      </c>
      <c r="C9" s="225">
        <f t="shared" si="0"/>
        <v>3.3703473967651842E-3</v>
      </c>
      <c r="D9" s="222">
        <v>94</v>
      </c>
      <c r="E9" s="204">
        <f t="shared" si="1"/>
        <v>94</v>
      </c>
      <c r="F9" s="350">
        <f t="shared" ref="F9:F16" si="3">E9/(D$38-D$5-D$30-D$18-D$34)</f>
        <v>4.4777612464054857E-3</v>
      </c>
      <c r="G9" s="204">
        <f>F9*($D$40)</f>
        <v>53.886722167617535</v>
      </c>
      <c r="H9" s="34"/>
      <c r="I9" s="6">
        <f t="shared" si="2"/>
        <v>94</v>
      </c>
      <c r="J9" s="7"/>
      <c r="N9" s="19"/>
      <c r="Q9" s="21"/>
      <c r="R9" s="3"/>
    </row>
    <row r="10" spans="1:18" x14ac:dyDescent="0.25">
      <c r="A10" s="30" t="s">
        <v>8</v>
      </c>
      <c r="B10" s="222">
        <f>'Orange Lake tribs'!H23</f>
        <v>418.16666666666669</v>
      </c>
      <c r="C10" s="225">
        <f t="shared" si="0"/>
        <v>1.4993265280999729E-2</v>
      </c>
      <c r="D10" s="222">
        <v>418.16666666666669</v>
      </c>
      <c r="E10" s="204">
        <f t="shared" si="1"/>
        <v>418.16666666666669</v>
      </c>
      <c r="F10" s="350">
        <f t="shared" si="3"/>
        <v>1.9919686112112346E-2</v>
      </c>
      <c r="G10" s="204">
        <f t="shared" ref="G10:G16" si="4">F10*($D$40)</f>
        <v>239.7194785789936</v>
      </c>
      <c r="H10" s="34"/>
      <c r="I10" s="6">
        <f t="shared" si="2"/>
        <v>418.16666666666669</v>
      </c>
      <c r="J10" s="7"/>
      <c r="N10" s="19"/>
      <c r="Q10" s="21"/>
      <c r="R10" s="3"/>
    </row>
    <row r="11" spans="1:18" x14ac:dyDescent="0.25">
      <c r="A11" s="30" t="s">
        <v>9</v>
      </c>
      <c r="B11" s="222">
        <f>'Orange Lake tribs'!H24</f>
        <v>168.16666666666666</v>
      </c>
      <c r="C11" s="225">
        <f t="shared" si="0"/>
        <v>6.0295753959859408E-3</v>
      </c>
      <c r="D11" s="222">
        <v>168.16666666666666</v>
      </c>
      <c r="E11" s="204">
        <f t="shared" si="1"/>
        <v>168.16666666666666</v>
      </c>
      <c r="F11" s="350">
        <f t="shared" si="3"/>
        <v>8.0107466269913729E-3</v>
      </c>
      <c r="G11" s="204">
        <f t="shared" si="4"/>
        <v>96.403728133202279</v>
      </c>
      <c r="H11" s="34"/>
      <c r="I11" s="6">
        <f t="shared" si="2"/>
        <v>168.16666666666666</v>
      </c>
      <c r="J11" s="7"/>
      <c r="N11" s="19"/>
      <c r="Q11" s="21"/>
      <c r="R11" s="3"/>
    </row>
    <row r="12" spans="1:18" x14ac:dyDescent="0.25">
      <c r="A12" s="30" t="s">
        <v>10</v>
      </c>
      <c r="B12" s="222">
        <f>'Orange Lake tribs'!H25</f>
        <v>4.166666666666667</v>
      </c>
      <c r="C12" s="225">
        <f t="shared" si="0"/>
        <v>1.4939483141689647E-4</v>
      </c>
      <c r="D12" s="222">
        <v>4.166666666666667</v>
      </c>
      <c r="E12" s="204">
        <f t="shared" si="1"/>
        <v>4.166666666666667</v>
      </c>
      <c r="F12" s="350">
        <f t="shared" si="3"/>
        <v>1.9848232475201623E-4</v>
      </c>
      <c r="G12" s="204">
        <f t="shared" si="4"/>
        <v>2.3885958407631889</v>
      </c>
      <c r="H12" s="34"/>
      <c r="I12" s="6">
        <f t="shared" si="2"/>
        <v>4.166666666666667</v>
      </c>
      <c r="J12" s="7"/>
      <c r="N12" s="19"/>
      <c r="Q12" s="21"/>
      <c r="R12" s="3"/>
    </row>
    <row r="13" spans="1:18" x14ac:dyDescent="0.25">
      <c r="A13" s="30" t="s">
        <v>193</v>
      </c>
      <c r="B13" s="222">
        <v>7</v>
      </c>
      <c r="C13" s="225">
        <f t="shared" si="0"/>
        <v>2.5098331678038603E-4</v>
      </c>
      <c r="D13" s="222">
        <v>7</v>
      </c>
      <c r="E13" s="204">
        <f t="shared" si="1"/>
        <v>7</v>
      </c>
      <c r="F13" s="350">
        <f t="shared" si="3"/>
        <v>3.3345030558338721E-4</v>
      </c>
      <c r="G13" s="204">
        <f t="shared" si="4"/>
        <v>4.0128410124821565</v>
      </c>
      <c r="H13" s="34"/>
      <c r="I13" s="6">
        <f t="shared" si="2"/>
        <v>7</v>
      </c>
      <c r="J13" s="7"/>
      <c r="N13" s="19"/>
      <c r="Q13" s="21"/>
      <c r="R13" s="3"/>
    </row>
    <row r="14" spans="1:18" x14ac:dyDescent="0.25">
      <c r="A14" s="30" t="s">
        <v>11</v>
      </c>
      <c r="B14" s="222">
        <f>'Orange Lake tribs'!H26</f>
        <v>201.66666666666666</v>
      </c>
      <c r="C14" s="225">
        <f t="shared" si="0"/>
        <v>7.230709840577788E-3</v>
      </c>
      <c r="D14" s="222">
        <v>201.66666666666666</v>
      </c>
      <c r="E14" s="204">
        <f t="shared" si="1"/>
        <v>201.66666666666666</v>
      </c>
      <c r="F14" s="350">
        <f t="shared" si="3"/>
        <v>9.6065445179975839E-3</v>
      </c>
      <c r="G14" s="204">
        <f t="shared" si="4"/>
        <v>115.60803869293832</v>
      </c>
      <c r="H14" s="34"/>
      <c r="I14" s="6">
        <f t="shared" si="2"/>
        <v>201.66666666666666</v>
      </c>
      <c r="J14" s="7"/>
      <c r="N14" s="19"/>
      <c r="Q14" s="21"/>
      <c r="R14" s="3"/>
    </row>
    <row r="15" spans="1:18" x14ac:dyDescent="0.25">
      <c r="A15" s="33" t="s">
        <v>98</v>
      </c>
      <c r="B15" s="223">
        <f>5986-B29</f>
        <v>5711.833333333333</v>
      </c>
      <c r="C15" s="228">
        <f t="shared" si="0"/>
        <v>0.20479641069953833</v>
      </c>
      <c r="D15" s="224">
        <f>B15</f>
        <v>5711.833333333333</v>
      </c>
      <c r="E15" s="226">
        <f t="shared" ref="E15" si="5">B15</f>
        <v>5711.833333333333</v>
      </c>
      <c r="F15" s="227">
        <f t="shared" si="3"/>
        <v>0.27208751006305387</v>
      </c>
      <c r="G15" s="226">
        <f t="shared" si="4"/>
        <v>3274.3827223518092</v>
      </c>
      <c r="H15" s="229"/>
      <c r="I15" s="226">
        <f t="shared" si="2"/>
        <v>5711.833333333333</v>
      </c>
      <c r="J15" s="7"/>
      <c r="N15" s="19"/>
      <c r="Q15" s="21"/>
      <c r="R15" s="3"/>
    </row>
    <row r="16" spans="1:18" x14ac:dyDescent="0.25">
      <c r="A16" s="27" t="s">
        <v>99</v>
      </c>
      <c r="B16" s="230">
        <f>390-B28</f>
        <v>383.83333333333331</v>
      </c>
      <c r="C16" s="228">
        <f t="shared" si="0"/>
        <v>1.3762251870124502E-2</v>
      </c>
      <c r="D16" s="224">
        <f>B16</f>
        <v>383.83333333333331</v>
      </c>
      <c r="E16" s="226">
        <f>B16</f>
        <v>383.83333333333331</v>
      </c>
      <c r="F16" s="227">
        <f t="shared" si="3"/>
        <v>1.828419175615573E-2</v>
      </c>
      <c r="G16" s="226">
        <f t="shared" si="4"/>
        <v>220.0374488511049</v>
      </c>
      <c r="H16" s="229"/>
      <c r="I16" s="226">
        <f t="shared" si="2"/>
        <v>383.83333333333331</v>
      </c>
      <c r="J16" s="7"/>
      <c r="N16" s="19"/>
      <c r="Q16" s="21"/>
      <c r="R16" s="3"/>
    </row>
    <row r="17" spans="1:18" x14ac:dyDescent="0.25">
      <c r="A17" s="192" t="s">
        <v>195</v>
      </c>
      <c r="B17" s="194">
        <v>243</v>
      </c>
      <c r="C17" s="196">
        <f t="shared" si="0"/>
        <v>8.7127065682334019E-3</v>
      </c>
      <c r="D17" s="201"/>
      <c r="E17" s="6"/>
      <c r="F17" s="5"/>
      <c r="G17" s="6"/>
      <c r="H17" s="34"/>
      <c r="I17" s="6"/>
      <c r="J17" s="7"/>
      <c r="N17" s="19"/>
      <c r="Q17" s="21"/>
      <c r="R17" s="3"/>
    </row>
    <row r="18" spans="1:18" x14ac:dyDescent="0.25">
      <c r="A18" s="191" t="s">
        <v>196</v>
      </c>
      <c r="B18" s="223">
        <f>SUM(B19:B20)</f>
        <v>788.66666666666663</v>
      </c>
      <c r="C18" s="228">
        <f t="shared" si="0"/>
        <v>2.8277453690590159E-2</v>
      </c>
      <c r="D18" s="224">
        <f>B18</f>
        <v>788.66666666666663</v>
      </c>
      <c r="E18" s="6"/>
      <c r="F18" s="5"/>
      <c r="G18" s="6"/>
      <c r="H18" s="34"/>
      <c r="I18" s="6">
        <f t="shared" ref="I18:I25" si="6">D18+H18</f>
        <v>788.66666666666663</v>
      </c>
      <c r="J18" s="7"/>
      <c r="N18" s="19"/>
      <c r="Q18" s="21"/>
      <c r="R18" s="3"/>
    </row>
    <row r="19" spans="1:18" x14ac:dyDescent="0.25">
      <c r="A19" s="30" t="s">
        <v>5</v>
      </c>
      <c r="B19" s="10">
        <f>'Orange Lake tribs'!H13</f>
        <v>5</v>
      </c>
      <c r="C19" s="197">
        <f t="shared" si="0"/>
        <v>1.7927379770027576E-4</v>
      </c>
      <c r="D19" s="202"/>
      <c r="E19" s="6">
        <v>0</v>
      </c>
      <c r="F19" s="5"/>
      <c r="G19" s="6"/>
      <c r="H19" s="34"/>
      <c r="I19" s="6">
        <f t="shared" si="6"/>
        <v>0</v>
      </c>
      <c r="J19" s="7"/>
      <c r="Q19" s="3"/>
      <c r="R19" s="3"/>
    </row>
    <row r="20" spans="1:18" x14ac:dyDescent="0.25">
      <c r="A20" s="30" t="s">
        <v>6</v>
      </c>
      <c r="B20" s="10">
        <f>'Orange Lake tribs'!H14</f>
        <v>783.66666666666663</v>
      </c>
      <c r="C20" s="197">
        <f t="shared" si="0"/>
        <v>2.8098179892889884E-2</v>
      </c>
      <c r="D20" s="202"/>
      <c r="E20" s="6">
        <v>0</v>
      </c>
      <c r="F20" s="5"/>
      <c r="G20" s="6"/>
      <c r="H20" s="34"/>
      <c r="I20" s="6">
        <f t="shared" si="6"/>
        <v>0</v>
      </c>
      <c r="J20" s="7"/>
      <c r="Q20" s="3"/>
      <c r="R20" s="3"/>
    </row>
    <row r="21" spans="1:18" x14ac:dyDescent="0.25">
      <c r="A21" s="33" t="s">
        <v>197</v>
      </c>
      <c r="B21" s="223">
        <f>SUM(B22:B27)</f>
        <v>52.466666666666661</v>
      </c>
      <c r="C21" s="228">
        <f t="shared" si="0"/>
        <v>1.88117971720156E-3</v>
      </c>
      <c r="D21" s="224">
        <f>B21</f>
        <v>52.466666666666661</v>
      </c>
      <c r="E21" s="226">
        <f>B21</f>
        <v>52.466666666666661</v>
      </c>
      <c r="F21" s="227">
        <f t="shared" ref="F21:F25" si="7">E21/(D$38-D$5-D$30-D$18-D$34)</f>
        <v>2.499289433277388E-3</v>
      </c>
      <c r="G21" s="226">
        <f t="shared" ref="G21:G25" si="8">F21*($D$40)</f>
        <v>30.077198826890069</v>
      </c>
      <c r="H21" s="229"/>
      <c r="I21" s="226">
        <f t="shared" si="6"/>
        <v>52.466666666666661</v>
      </c>
      <c r="J21" s="7"/>
      <c r="Q21" s="3"/>
      <c r="R21" s="3"/>
    </row>
    <row r="22" spans="1:18" x14ac:dyDescent="0.25">
      <c r="A22" s="30" t="s">
        <v>7</v>
      </c>
      <c r="B22" s="10">
        <f>'Orange Lake tribs'!H7</f>
        <v>2.5</v>
      </c>
      <c r="C22" s="197">
        <f t="shared" si="0"/>
        <v>8.9636898850137882E-5</v>
      </c>
      <c r="D22" s="202"/>
      <c r="E22" s="6">
        <f>B22</f>
        <v>2.5</v>
      </c>
      <c r="F22" s="5">
        <f t="shared" si="7"/>
        <v>1.1908939485120972E-4</v>
      </c>
      <c r="G22" s="6">
        <f t="shared" si="8"/>
        <v>1.433157504457913</v>
      </c>
      <c r="H22" s="34"/>
      <c r="I22" s="6">
        <f t="shared" si="6"/>
        <v>0</v>
      </c>
      <c r="J22" s="7"/>
    </row>
    <row r="23" spans="1:18" x14ac:dyDescent="0.25">
      <c r="A23" s="30" t="s">
        <v>8</v>
      </c>
      <c r="B23" s="10">
        <f>'Orange Lake tribs'!H9</f>
        <v>24</v>
      </c>
      <c r="C23" s="197">
        <f t="shared" si="0"/>
        <v>8.6051422896132358E-4</v>
      </c>
      <c r="D23" s="202"/>
      <c r="E23" s="6">
        <f>B23</f>
        <v>24</v>
      </c>
      <c r="F23" s="5">
        <f t="shared" si="7"/>
        <v>1.1432581905716133E-3</v>
      </c>
      <c r="G23" s="6">
        <f t="shared" si="8"/>
        <v>13.758312042795964</v>
      </c>
      <c r="H23" s="34"/>
      <c r="I23" s="6">
        <f t="shared" si="6"/>
        <v>0</v>
      </c>
      <c r="J23" s="7"/>
    </row>
    <row r="24" spans="1:18" x14ac:dyDescent="0.25">
      <c r="A24" s="30" t="s">
        <v>9</v>
      </c>
      <c r="B24" s="10">
        <f>'Orange Lake tribs'!H10</f>
        <v>18</v>
      </c>
      <c r="C24" s="197">
        <f t="shared" si="0"/>
        <v>6.4538567172099269E-4</v>
      </c>
      <c r="D24" s="202"/>
      <c r="E24" s="6">
        <f t="shared" ref="E24:E27" si="9">B24</f>
        <v>18</v>
      </c>
      <c r="F24" s="5">
        <f t="shared" si="7"/>
        <v>8.5744364292871E-4</v>
      </c>
      <c r="G24" s="6">
        <f t="shared" si="8"/>
        <v>10.318734032096975</v>
      </c>
      <c r="H24" s="34"/>
      <c r="I24" s="6">
        <f t="shared" si="6"/>
        <v>0</v>
      </c>
      <c r="J24" s="7"/>
    </row>
    <row r="25" spans="1:18" x14ac:dyDescent="0.25">
      <c r="A25" s="30" t="s">
        <v>10</v>
      </c>
      <c r="B25" s="10">
        <f>'Orange Lake tribs'!H11</f>
        <v>0</v>
      </c>
      <c r="C25" s="197">
        <f t="shared" si="0"/>
        <v>0</v>
      </c>
      <c r="D25" s="202"/>
      <c r="E25" s="6">
        <f t="shared" si="9"/>
        <v>0</v>
      </c>
      <c r="F25" s="5">
        <f t="shared" si="7"/>
        <v>0</v>
      </c>
      <c r="G25" s="6">
        <f t="shared" si="8"/>
        <v>0</v>
      </c>
      <c r="H25" s="34"/>
      <c r="I25" s="6">
        <f t="shared" si="6"/>
        <v>0</v>
      </c>
      <c r="J25" s="7"/>
    </row>
    <row r="26" spans="1:18" x14ac:dyDescent="0.25">
      <c r="A26" s="30" t="s">
        <v>193</v>
      </c>
      <c r="B26" s="10">
        <v>0.3</v>
      </c>
      <c r="C26" s="197">
        <f t="shared" si="0"/>
        <v>1.0756427862016545E-5</v>
      </c>
      <c r="D26" s="202"/>
      <c r="E26" s="6">
        <v>0</v>
      </c>
      <c r="F26" s="5">
        <v>0</v>
      </c>
      <c r="G26" s="153">
        <v>0</v>
      </c>
      <c r="H26" s="34"/>
      <c r="I26" s="6">
        <v>0</v>
      </c>
      <c r="J26" s="7"/>
    </row>
    <row r="27" spans="1:18" x14ac:dyDescent="0.25">
      <c r="A27" s="30" t="s">
        <v>11</v>
      </c>
      <c r="B27" s="10">
        <f>'Orange Lake tribs'!H12</f>
        <v>7.666666666666667</v>
      </c>
      <c r="C27" s="197">
        <f t="shared" si="0"/>
        <v>2.7488648980708948E-4</v>
      </c>
      <c r="D27" s="202"/>
      <c r="E27" s="6">
        <f t="shared" si="9"/>
        <v>7.666666666666667</v>
      </c>
      <c r="F27" s="5">
        <f t="shared" ref="F27:F29" si="10">E27/(D$38-D$5-D$30-D$18-D$34)</f>
        <v>3.6520747754370981E-4</v>
      </c>
      <c r="G27" s="6">
        <f t="shared" ref="G27:G29" si="11">F27*($D$40)</f>
        <v>4.3950163470042662</v>
      </c>
      <c r="H27" s="34"/>
      <c r="I27" s="6">
        <f t="shared" ref="I27:I35" si="12">D27+H27</f>
        <v>0</v>
      </c>
      <c r="J27" s="7"/>
    </row>
    <row r="28" spans="1:18" x14ac:dyDescent="0.25">
      <c r="A28" s="27" t="s">
        <v>100</v>
      </c>
      <c r="B28" s="230">
        <f>'Orange Lake tribs'!H15</f>
        <v>6.166666666666667</v>
      </c>
      <c r="C28" s="228">
        <f t="shared" si="0"/>
        <v>2.2110435049700676E-4</v>
      </c>
      <c r="D28" s="224">
        <f>B28</f>
        <v>6.166666666666667</v>
      </c>
      <c r="E28" s="226">
        <f>B28</f>
        <v>6.166666666666667</v>
      </c>
      <c r="F28" s="227">
        <f t="shared" si="10"/>
        <v>2.9375384063298402E-4</v>
      </c>
      <c r="G28" s="226">
        <f t="shared" si="11"/>
        <v>3.5351218443295194</v>
      </c>
      <c r="H28" s="229"/>
      <c r="I28" s="226">
        <f t="shared" si="12"/>
        <v>6.166666666666667</v>
      </c>
      <c r="J28" s="231"/>
    </row>
    <row r="29" spans="1:18" x14ac:dyDescent="0.25">
      <c r="A29" s="33" t="s">
        <v>97</v>
      </c>
      <c r="B29" s="223">
        <f>'Orange Lake tribs'!H8</f>
        <v>274.16666666666669</v>
      </c>
      <c r="C29" s="228">
        <f t="shared" si="0"/>
        <v>9.8301799072317876E-3</v>
      </c>
      <c r="D29" s="224">
        <f>B29</f>
        <v>274.16666666666669</v>
      </c>
      <c r="E29" s="226">
        <f>B29</f>
        <v>274.16666666666669</v>
      </c>
      <c r="F29" s="227">
        <f t="shared" si="10"/>
        <v>1.3060136968682667E-2</v>
      </c>
      <c r="G29" s="226">
        <f t="shared" si="11"/>
        <v>157.16960632221782</v>
      </c>
      <c r="H29" s="229"/>
      <c r="I29" s="226">
        <f t="shared" si="12"/>
        <v>274.16666666666669</v>
      </c>
      <c r="J29" s="7"/>
    </row>
    <row r="30" spans="1:18" x14ac:dyDescent="0.25">
      <c r="A30" s="27" t="s">
        <v>0</v>
      </c>
      <c r="B30" s="230">
        <v>2941</v>
      </c>
      <c r="C30" s="228">
        <f t="shared" si="0"/>
        <v>0.1054488478073022</v>
      </c>
      <c r="D30" s="224">
        <f>B30</f>
        <v>2941</v>
      </c>
      <c r="E30" s="232">
        <v>0</v>
      </c>
      <c r="F30" s="227"/>
      <c r="G30" s="226"/>
      <c r="H30" s="229"/>
      <c r="I30" s="226">
        <f t="shared" si="12"/>
        <v>2941</v>
      </c>
      <c r="J30" s="7"/>
    </row>
    <row r="31" spans="1:18" x14ac:dyDescent="0.25">
      <c r="A31" s="27" t="s">
        <v>1</v>
      </c>
      <c r="B31" s="223">
        <f>SUM(B32:B33)</f>
        <v>13671</v>
      </c>
      <c r="C31" s="228">
        <f t="shared" si="0"/>
        <v>0.49017041767209396</v>
      </c>
      <c r="D31" s="224">
        <f>B31</f>
        <v>13671</v>
      </c>
      <c r="E31" s="232">
        <f>SUM(E32:E33)</f>
        <v>13671</v>
      </c>
      <c r="F31" s="227">
        <f t="shared" ref="F31:F33" si="13">E31/(D$38-D$5-D$30-D$18-D$34)</f>
        <v>0.65122844680435521</v>
      </c>
      <c r="G31" s="226">
        <f t="shared" ref="G31:G33" si="14">F31*($D$40)</f>
        <v>7837.0784973776517</v>
      </c>
      <c r="H31" s="229"/>
      <c r="I31" s="226">
        <f t="shared" si="12"/>
        <v>13671</v>
      </c>
      <c r="J31" s="7"/>
    </row>
    <row r="32" spans="1:18" x14ac:dyDescent="0.25">
      <c r="A32" s="35" t="s">
        <v>89</v>
      </c>
      <c r="B32" s="281">
        <v>10344</v>
      </c>
      <c r="C32" s="284">
        <f t="shared" si="0"/>
        <v>0.37088163268233049</v>
      </c>
      <c r="D32" s="282"/>
      <c r="E32" s="285">
        <f>B32</f>
        <v>10344</v>
      </c>
      <c r="F32" s="286">
        <f t="shared" si="13"/>
        <v>0.49274428013636534</v>
      </c>
      <c r="G32" s="285">
        <f t="shared" si="14"/>
        <v>5929.832490445061</v>
      </c>
      <c r="H32" s="234"/>
      <c r="I32" s="233">
        <f t="shared" si="12"/>
        <v>0</v>
      </c>
      <c r="J32" s="7"/>
    </row>
    <row r="33" spans="1:20" x14ac:dyDescent="0.25">
      <c r="A33" s="35" t="s">
        <v>90</v>
      </c>
      <c r="B33" s="283">
        <v>3327</v>
      </c>
      <c r="C33" s="284">
        <f t="shared" si="0"/>
        <v>0.11928878498976349</v>
      </c>
      <c r="D33" s="282"/>
      <c r="E33" s="285">
        <f>B33</f>
        <v>3327</v>
      </c>
      <c r="F33" s="286">
        <f t="shared" si="13"/>
        <v>0.1584841666679899</v>
      </c>
      <c r="G33" s="285">
        <f t="shared" si="14"/>
        <v>1907.2460069325907</v>
      </c>
      <c r="H33" s="234"/>
      <c r="I33" s="233">
        <f t="shared" si="12"/>
        <v>0</v>
      </c>
      <c r="J33" s="7"/>
    </row>
    <row r="34" spans="1:20" x14ac:dyDescent="0.25">
      <c r="A34" s="33" t="s">
        <v>3</v>
      </c>
      <c r="B34" s="223">
        <v>0</v>
      </c>
      <c r="C34" s="228"/>
      <c r="D34" s="224">
        <f>B34</f>
        <v>0</v>
      </c>
      <c r="E34" s="232">
        <v>0</v>
      </c>
      <c r="F34" s="5"/>
      <c r="G34" s="6">
        <v>0</v>
      </c>
      <c r="H34" s="34"/>
      <c r="I34" s="6">
        <f t="shared" si="12"/>
        <v>0</v>
      </c>
      <c r="J34" s="7"/>
    </row>
    <row r="35" spans="1:20" x14ac:dyDescent="0.25">
      <c r="A35" s="33" t="s">
        <v>13</v>
      </c>
      <c r="B35" s="223">
        <v>0</v>
      </c>
      <c r="C35" s="228"/>
      <c r="D35" s="224">
        <f>B35</f>
        <v>0</v>
      </c>
      <c r="E35" s="232">
        <v>0</v>
      </c>
      <c r="F35" s="5"/>
      <c r="G35" s="204">
        <v>0</v>
      </c>
      <c r="H35" s="205"/>
      <c r="I35" s="6">
        <f t="shared" si="12"/>
        <v>0</v>
      </c>
      <c r="J35" s="7"/>
    </row>
    <row r="36" spans="1:20" x14ac:dyDescent="0.25">
      <c r="A36" s="33"/>
      <c r="B36" s="10"/>
      <c r="C36" s="197"/>
      <c r="D36" s="202"/>
      <c r="E36" s="8"/>
      <c r="F36" s="5"/>
      <c r="G36" s="6"/>
      <c r="H36" s="34"/>
      <c r="I36" s="8"/>
      <c r="J36" s="7"/>
    </row>
    <row r="37" spans="1:20" x14ac:dyDescent="0.25">
      <c r="A37" s="36" t="s">
        <v>4</v>
      </c>
      <c r="B37" s="10"/>
      <c r="C37" s="198"/>
      <c r="D37" s="202"/>
      <c r="E37" s="8"/>
      <c r="F37" s="5"/>
      <c r="G37" s="6"/>
      <c r="H37" s="10"/>
      <c r="I37" s="8"/>
      <c r="J37" s="9"/>
    </row>
    <row r="38" spans="1:20" x14ac:dyDescent="0.25">
      <c r="A38" s="37" t="s">
        <v>22</v>
      </c>
      <c r="B38" s="11">
        <f>B4+B17+B18+B5+B8+B21+B15+B29+B30+B31+B34+B16+B28+B35</f>
        <v>27890.299999999996</v>
      </c>
      <c r="C38" s="197">
        <f>C4+C5+C18+C17+C8+C21+C15+C29+C30+C31+C34+C16+C28+C35</f>
        <v>1</v>
      </c>
      <c r="D38" s="202">
        <f>D8+D15+D16+D21+D28+D29+D31+D35+D30+D18+D5</f>
        <v>27296.3</v>
      </c>
      <c r="E38" s="11">
        <f>E8+E21+E15+E29+E31+E16+E28+E35</f>
        <v>20992.633333333331</v>
      </c>
      <c r="F38" s="12">
        <f>F8+F21+F15+F29+F31+F16+F28+F35</f>
        <v>1</v>
      </c>
      <c r="G38" s="11">
        <f>G8+G21+G15+G29+G31+G16+G28</f>
        <v>12034.300000000001</v>
      </c>
      <c r="H38" s="11">
        <f>H8</f>
        <v>0</v>
      </c>
      <c r="I38" s="11">
        <f>I18+I5+I8+I21+I15+I29+I31+I16+I28+I35+I34+I30+I19+I20+I6+I7</f>
        <v>27296.299999999996</v>
      </c>
      <c r="J38" s="38"/>
    </row>
    <row r="39" spans="1:20" x14ac:dyDescent="0.25">
      <c r="A39" s="39" t="s">
        <v>14</v>
      </c>
      <c r="B39" s="10">
        <v>15262</v>
      </c>
      <c r="C39" s="198"/>
      <c r="D39" s="202">
        <f>B39</f>
        <v>15262</v>
      </c>
      <c r="E39" s="8"/>
      <c r="F39" s="5"/>
      <c r="G39" s="6"/>
      <c r="H39" s="10"/>
      <c r="I39" s="6">
        <f>B39</f>
        <v>15262</v>
      </c>
      <c r="J39" s="7"/>
    </row>
    <row r="40" spans="1:20" x14ac:dyDescent="0.25">
      <c r="A40" s="37" t="s">
        <v>15</v>
      </c>
      <c r="B40" s="11">
        <f>B38-B39</f>
        <v>12628.299999999996</v>
      </c>
      <c r="C40" s="198"/>
      <c r="D40" s="202">
        <f>D38-D39</f>
        <v>12034.3</v>
      </c>
      <c r="E40" s="13"/>
      <c r="F40" s="12"/>
      <c r="G40" s="11"/>
      <c r="H40" s="11"/>
      <c r="I40" s="11">
        <f>I38-I39</f>
        <v>12034.299999999996</v>
      </c>
      <c r="J40" s="38"/>
    </row>
    <row r="41" spans="1:20" ht="13.8" thickBot="1" x14ac:dyDescent="0.3">
      <c r="A41" s="40"/>
      <c r="B41" s="16"/>
      <c r="C41" s="199"/>
      <c r="D41" s="203"/>
      <c r="E41" s="15"/>
      <c r="F41" s="14"/>
      <c r="G41" s="41"/>
      <c r="H41" s="42"/>
      <c r="I41" s="15"/>
      <c r="J41" s="17"/>
    </row>
    <row r="43" spans="1:20" x14ac:dyDescent="0.25">
      <c r="A43" s="19" t="s">
        <v>177</v>
      </c>
    </row>
    <row r="44" spans="1:20" ht="13.8" thickBot="1" x14ac:dyDescent="0.3"/>
    <row r="45" spans="1:20" ht="66" x14ac:dyDescent="0.25">
      <c r="A45" s="74" t="s">
        <v>154</v>
      </c>
      <c r="B45" s="119" t="s">
        <v>69</v>
      </c>
      <c r="C45" s="120" t="s">
        <v>83</v>
      </c>
      <c r="D45" s="120" t="s">
        <v>134</v>
      </c>
      <c r="E45" s="120" t="s">
        <v>70</v>
      </c>
      <c r="F45" s="120" t="s">
        <v>71</v>
      </c>
      <c r="G45" s="150" t="s">
        <v>135</v>
      </c>
      <c r="H45" s="120" t="s">
        <v>76</v>
      </c>
      <c r="I45" s="120" t="s">
        <v>73</v>
      </c>
      <c r="J45" s="120" t="s">
        <v>136</v>
      </c>
      <c r="K45" s="120" t="s">
        <v>77</v>
      </c>
      <c r="L45" s="120" t="s">
        <v>78</v>
      </c>
      <c r="M45" s="120" t="s">
        <v>137</v>
      </c>
      <c r="N45" s="120" t="s">
        <v>79</v>
      </c>
      <c r="O45" s="120" t="s">
        <v>80</v>
      </c>
      <c r="P45" s="120" t="s">
        <v>138</v>
      </c>
      <c r="Q45" s="119" t="s">
        <v>201</v>
      </c>
      <c r="R45" s="120" t="s">
        <v>202</v>
      </c>
      <c r="S45" s="120" t="s">
        <v>203</v>
      </c>
      <c r="T45" s="121" t="s">
        <v>139</v>
      </c>
    </row>
    <row r="46" spans="1:20" x14ac:dyDescent="0.25">
      <c r="A46" s="30" t="s">
        <v>62</v>
      </c>
      <c r="B46" s="127" t="s">
        <v>175</v>
      </c>
      <c r="C46" s="145" t="s">
        <v>175</v>
      </c>
      <c r="D46" s="127" t="s">
        <v>175</v>
      </c>
      <c r="E46" s="127" t="s">
        <v>175</v>
      </c>
      <c r="F46" s="126">
        <f>'Orange Lake LU'!E6</f>
        <v>2.6589464898671488E-2</v>
      </c>
      <c r="G46" s="151">
        <f>F46*G$12</f>
        <v>6.3511485265085516E-2</v>
      </c>
      <c r="H46" s="142">
        <f>'Orange Lake LU'!C7</f>
        <v>698.06436099500002</v>
      </c>
      <c r="I46" s="126">
        <f>'Orange Lake LU'!E7</f>
        <v>8.5321331776393575E-2</v>
      </c>
      <c r="J46" s="142">
        <f>I46*G$10</f>
        <v>20.453185165102386</v>
      </c>
      <c r="K46" s="125">
        <f>'Orange Lake LU'!C8</f>
        <v>15.9160712459</v>
      </c>
      <c r="L46" s="126">
        <f>'Orange Lake LU'!E8</f>
        <v>3.935931749427115E-2</v>
      </c>
      <c r="M46" s="125">
        <f>L46*G$11</f>
        <v>3.7943849432261083</v>
      </c>
      <c r="N46" s="125">
        <f>'Orange Lake LU'!C9</f>
        <v>15.1348113916</v>
      </c>
      <c r="O46" s="126">
        <f>'Orange Lake LU'!E9</f>
        <v>6.9518872620398409E-2</v>
      </c>
      <c r="P46" s="125">
        <f>O46*G$9</f>
        <v>3.7461441743014028</v>
      </c>
      <c r="Q46" s="208">
        <v>1.4202213429499999</v>
      </c>
      <c r="R46" s="209">
        <v>8.0000000000000002E-3</v>
      </c>
      <c r="S46" s="210">
        <f>R46*G$13</f>
        <v>3.2102728099857251E-2</v>
      </c>
      <c r="T46" s="207">
        <f>G46+J46+M46+P46+S46</f>
        <v>28.089328495994842</v>
      </c>
    </row>
    <row r="47" spans="1:20" x14ac:dyDescent="0.25">
      <c r="A47" s="35" t="s">
        <v>120</v>
      </c>
      <c r="B47" s="125">
        <f>'Orange Lake LU'!C13</f>
        <v>72.549159808200002</v>
      </c>
      <c r="C47" s="126">
        <f>'Orange Lake LU'!E13</f>
        <v>8.9812159962319449E-2</v>
      </c>
      <c r="D47" s="125">
        <f>C47*G$14</f>
        <v>10.383007664020193</v>
      </c>
      <c r="E47" s="127" t="s">
        <v>175</v>
      </c>
      <c r="F47" s="127" t="s">
        <v>175</v>
      </c>
      <c r="G47" s="127" t="s">
        <v>175</v>
      </c>
      <c r="H47" s="127" t="s">
        <v>175</v>
      </c>
      <c r="I47" s="127" t="s">
        <v>175</v>
      </c>
      <c r="J47" s="132" t="s">
        <v>175</v>
      </c>
      <c r="K47" s="132" t="s">
        <v>175</v>
      </c>
      <c r="L47" s="132" t="s">
        <v>175</v>
      </c>
      <c r="M47" s="132" t="s">
        <v>175</v>
      </c>
      <c r="N47" s="132" t="s">
        <v>175</v>
      </c>
      <c r="O47" s="132" t="s">
        <v>175</v>
      </c>
      <c r="P47" s="132" t="s">
        <v>175</v>
      </c>
      <c r="Q47" s="157" t="s">
        <v>175</v>
      </c>
      <c r="R47" s="157" t="s">
        <v>175</v>
      </c>
      <c r="S47" s="157" t="s">
        <v>175</v>
      </c>
      <c r="T47" s="137">
        <f>D47</f>
        <v>10.383007664020193</v>
      </c>
    </row>
    <row r="48" spans="1:20" x14ac:dyDescent="0.25">
      <c r="A48" s="35" t="s">
        <v>140</v>
      </c>
      <c r="B48" s="125">
        <f>'Orange Lake LU'!C14</f>
        <v>689.07791322599996</v>
      </c>
      <c r="C48" s="126">
        <f>'Orange Lake LU'!E14</f>
        <v>0.85304331480569162</v>
      </c>
      <c r="D48" s="125">
        <f>C48*G$14</f>
        <v>98.618664544808766</v>
      </c>
      <c r="E48" s="127" t="s">
        <v>175</v>
      </c>
      <c r="F48" s="127" t="s">
        <v>175</v>
      </c>
      <c r="G48" s="127" t="s">
        <v>175</v>
      </c>
      <c r="H48" s="127" t="s">
        <v>175</v>
      </c>
      <c r="I48" s="127" t="s">
        <v>175</v>
      </c>
      <c r="J48" s="132" t="s">
        <v>175</v>
      </c>
      <c r="K48" s="132" t="s">
        <v>175</v>
      </c>
      <c r="L48" s="132" t="s">
        <v>175</v>
      </c>
      <c r="M48" s="132" t="s">
        <v>175</v>
      </c>
      <c r="N48" s="132" t="s">
        <v>175</v>
      </c>
      <c r="O48" s="132" t="s">
        <v>175</v>
      </c>
      <c r="P48" s="132" t="s">
        <v>175</v>
      </c>
      <c r="Q48" s="157" t="s">
        <v>175</v>
      </c>
      <c r="R48" s="157" t="s">
        <v>175</v>
      </c>
      <c r="S48" s="157" t="s">
        <v>175</v>
      </c>
      <c r="T48" s="137">
        <f>D48</f>
        <v>98.618664544808766</v>
      </c>
    </row>
    <row r="49" spans="1:20" x14ac:dyDescent="0.25">
      <c r="A49" s="35" t="s">
        <v>141</v>
      </c>
      <c r="B49" s="125">
        <f>'Orange Lake LU'!C15</f>
        <v>46.160645674199998</v>
      </c>
      <c r="C49" s="126">
        <f>'Orange Lake LU'!E15</f>
        <v>5.7144525232483999E-2</v>
      </c>
      <c r="D49" s="125">
        <f>C49*G$14</f>
        <v>6.6063664841666006</v>
      </c>
      <c r="E49" s="146">
        <f>'Orange Lake LU'!C16</f>
        <v>458.04242434600002</v>
      </c>
      <c r="F49" s="145">
        <f>'Orange Lake LU'!E16</f>
        <v>0.87314984006058682</v>
      </c>
      <c r="G49" s="151">
        <f>F49*G$12</f>
        <v>2.0856020763317611</v>
      </c>
      <c r="H49" s="146">
        <f>'Orange Lake LU'!C17</f>
        <v>6802.71058928</v>
      </c>
      <c r="I49" s="145">
        <f>'Orange Lake LU'!E17</f>
        <v>0.83146534846648901</v>
      </c>
      <c r="J49" s="142">
        <f>I49*G$10</f>
        <v>199.31843979088796</v>
      </c>
      <c r="K49" s="146">
        <f>'Orange Lake LU'!C18</f>
        <v>247.84207916700001</v>
      </c>
      <c r="L49" s="145">
        <f>'Orange Lake LU'!E18</f>
        <v>0.61289591706792046</v>
      </c>
      <c r="M49" s="125">
        <f>L49*G$11</f>
        <v>59.085451362965493</v>
      </c>
      <c r="N49" s="146">
        <f>'Orange Lake LU'!C19</f>
        <v>191.95335717</v>
      </c>
      <c r="O49" s="145">
        <f>'Orange Lake LU'!E19</f>
        <v>0.88170117491952094</v>
      </c>
      <c r="P49" s="125">
        <f>O49*G$9</f>
        <v>47.511986247750173</v>
      </c>
      <c r="Q49" s="214">
        <v>183.351168234</v>
      </c>
      <c r="R49" s="215">
        <v>0.99199999999999999</v>
      </c>
      <c r="S49" s="210">
        <f t="shared" ref="S49:S50" si="15">R49*G$13</f>
        <v>3.9807382843822992</v>
      </c>
      <c r="T49" s="137">
        <f>D49+G49+J49+M49+P49+S49</f>
        <v>318.58858424648434</v>
      </c>
    </row>
    <row r="50" spans="1:20" x14ac:dyDescent="0.25">
      <c r="A50" s="35" t="s">
        <v>143</v>
      </c>
      <c r="B50" s="127" t="s">
        <v>175</v>
      </c>
      <c r="C50" s="145" t="s">
        <v>175</v>
      </c>
      <c r="D50" s="127" t="s">
        <v>175</v>
      </c>
      <c r="E50" s="146">
        <f>'Orange Lake LU'!C21</f>
        <v>30.963419394599999</v>
      </c>
      <c r="F50" s="145">
        <f>'Orange Lake LU'!E21</f>
        <v>5.9024455498256204E-2</v>
      </c>
      <c r="G50" s="151">
        <f>F50*G$12</f>
        <v>0.1409855689064467</v>
      </c>
      <c r="H50" s="146">
        <f>'Orange Lake LU'!C22</f>
        <v>190.45342905800001</v>
      </c>
      <c r="I50" s="145">
        <f>'Orange Lake LU'!E22</f>
        <v>2.3278283660617714E-2</v>
      </c>
      <c r="J50" s="142">
        <f>I50*G$10</f>
        <v>5.5802580213371851</v>
      </c>
      <c r="K50" s="146">
        <f>'Orange Lake LU'!C23</f>
        <v>85.589215754799994</v>
      </c>
      <c r="L50" s="145">
        <f>'Orange Lake LU'!E23</f>
        <v>0.21165607171095302</v>
      </c>
      <c r="M50" s="125">
        <f>L50*G$11</f>
        <v>20.40443439496428</v>
      </c>
      <c r="N50" s="146">
        <f>'Orange Lake LU'!C24</f>
        <v>6.6737480405699996</v>
      </c>
      <c r="O50" s="145">
        <f>'Orange Lake LU'!E24</f>
        <v>3.0654590131894068E-2</v>
      </c>
      <c r="P50" s="125">
        <f>O50*G$9</f>
        <v>1.6518753815995657</v>
      </c>
      <c r="Q50" s="214">
        <v>5.4974549999700001E-2</v>
      </c>
      <c r="R50" s="215">
        <v>2.9999999999999997E-4</v>
      </c>
      <c r="S50" s="210">
        <f t="shared" si="15"/>
        <v>1.2038523037446469E-3</v>
      </c>
      <c r="T50" s="137">
        <f>G50+J50+M50+P50</f>
        <v>27.777553366807478</v>
      </c>
    </row>
    <row r="51" spans="1:20" x14ac:dyDescent="0.25">
      <c r="A51" s="35" t="s">
        <v>144</v>
      </c>
      <c r="B51" s="127" t="s">
        <v>175</v>
      </c>
      <c r="C51" s="145" t="s">
        <v>175</v>
      </c>
      <c r="D51" s="127" t="s">
        <v>175</v>
      </c>
      <c r="E51" s="146">
        <f>'Orange Lake LU'!C28</f>
        <v>7.9677841797499998</v>
      </c>
      <c r="F51" s="145">
        <f>'Orange Lake LU'!E28</f>
        <v>1.5188701116756589E-2</v>
      </c>
      <c r="G51" s="151">
        <f>F51*G$12</f>
        <v>3.6279668314079992E-2</v>
      </c>
      <c r="H51" s="146">
        <f>'Orange Lake LU'!C29</f>
        <v>97.380667999500005</v>
      </c>
      <c r="I51" s="145">
        <f>'Orange Lake LU'!E29</f>
        <v>1.1902410074551398E-2</v>
      </c>
      <c r="J51" s="142">
        <f>I51*G$10</f>
        <v>2.8532395369048218</v>
      </c>
      <c r="K51" s="146">
        <f>'Orange Lake LU'!C30</f>
        <v>55.031374603000003</v>
      </c>
      <c r="L51" s="145">
        <f>'Orange Lake LU'!E30</f>
        <v>0.13608869372858651</v>
      </c>
      <c r="M51" s="125">
        <f>L51*G$11</f>
        <v>13.119457432213284</v>
      </c>
      <c r="N51" s="146">
        <f>'Orange Lake LU'!C31</f>
        <v>3.94603551364</v>
      </c>
      <c r="O51" s="145">
        <f>'Orange Lake LU'!E31</f>
        <v>1.8125362327313876E-2</v>
      </c>
      <c r="P51" s="125">
        <f>O51*G$9</f>
        <v>0.97671636391936445</v>
      </c>
      <c r="Q51" s="157" t="s">
        <v>175</v>
      </c>
      <c r="R51" s="157" t="s">
        <v>175</v>
      </c>
      <c r="S51" s="157" t="s">
        <v>175</v>
      </c>
      <c r="T51" s="137">
        <f>G51+J51+M51+P51</f>
        <v>16.985693001351553</v>
      </c>
    </row>
    <row r="52" spans="1:20" x14ac:dyDescent="0.25">
      <c r="A52" s="35" t="s">
        <v>142</v>
      </c>
      <c r="B52" s="127" t="s">
        <v>175</v>
      </c>
      <c r="C52" s="145" t="s">
        <v>175</v>
      </c>
      <c r="D52" s="127" t="s">
        <v>175</v>
      </c>
      <c r="E52" s="146">
        <f>'Orange Lake LU'!C33</f>
        <v>13.6641812224</v>
      </c>
      <c r="F52" s="145">
        <f>'Orange Lake LU'!E33</f>
        <v>2.6047538426014847E-2</v>
      </c>
      <c r="G52" s="151">
        <f>F52*G$12</f>
        <v>6.2217041946498401E-2</v>
      </c>
      <c r="H52" s="146">
        <f>'Orange Lake LU'!C34</f>
        <v>392.983368794</v>
      </c>
      <c r="I52" s="145">
        <f>'Orange Lake LU'!E34</f>
        <v>4.8032626022742719E-2</v>
      </c>
      <c r="J52" s="142">
        <f>I52*G$10</f>
        <v>11.514356064951684</v>
      </c>
      <c r="K52" s="132" t="s">
        <v>175</v>
      </c>
      <c r="L52" s="145" t="s">
        <v>175</v>
      </c>
      <c r="M52" s="132" t="s">
        <v>175</v>
      </c>
      <c r="N52" s="132" t="s">
        <v>175</v>
      </c>
      <c r="O52" s="132" t="s">
        <v>175</v>
      </c>
      <c r="P52" s="132" t="s">
        <v>175</v>
      </c>
      <c r="Q52" s="157" t="s">
        <v>175</v>
      </c>
      <c r="R52" s="157" t="s">
        <v>175</v>
      </c>
      <c r="S52" s="157" t="s">
        <v>175</v>
      </c>
      <c r="T52" s="137">
        <f>G52+J52</f>
        <v>11.576573106898183</v>
      </c>
    </row>
    <row r="53" spans="1:20" ht="13.8" thickBot="1" x14ac:dyDescent="0.3">
      <c r="A53" s="79" t="s">
        <v>68</v>
      </c>
      <c r="B53" s="128">
        <f>SUM(B46:B52)</f>
        <v>807.78771870840001</v>
      </c>
      <c r="C53" s="129">
        <f>SUM(C47:C52)</f>
        <v>1.0000000000004952</v>
      </c>
      <c r="D53" s="128">
        <f t="shared" ref="D53:S53" si="16">SUM(D46:D52)</f>
        <v>115.60803869299556</v>
      </c>
      <c r="E53" s="128">
        <f t="shared" si="16"/>
        <v>510.63780914275003</v>
      </c>
      <c r="F53" s="129">
        <f t="shared" si="16"/>
        <v>1.000000000000286</v>
      </c>
      <c r="G53" s="152">
        <f t="shared" si="16"/>
        <v>2.3885958407638714</v>
      </c>
      <c r="H53" s="143">
        <f t="shared" si="16"/>
        <v>8181.5924161265002</v>
      </c>
      <c r="I53" s="129">
        <f t="shared" si="16"/>
        <v>1.0000000000007945</v>
      </c>
      <c r="J53" s="143">
        <f t="shared" si="16"/>
        <v>239.71947857918406</v>
      </c>
      <c r="K53" s="128">
        <f t="shared" si="16"/>
        <v>404.37874077070001</v>
      </c>
      <c r="L53" s="129">
        <f t="shared" si="16"/>
        <v>1.0000000000017311</v>
      </c>
      <c r="M53" s="128">
        <f t="shared" si="16"/>
        <v>96.403728133369157</v>
      </c>
      <c r="N53" s="128">
        <f t="shared" si="16"/>
        <v>217.70795211581</v>
      </c>
      <c r="O53" s="129">
        <f t="shared" si="16"/>
        <v>0.99999999999912725</v>
      </c>
      <c r="P53" s="128">
        <f t="shared" si="16"/>
        <v>53.886722167570511</v>
      </c>
      <c r="Q53" s="212">
        <f t="shared" si="16"/>
        <v>184.8263641269497</v>
      </c>
      <c r="R53" s="211">
        <f t="shared" si="16"/>
        <v>1.0003</v>
      </c>
      <c r="S53" s="213">
        <f t="shared" si="16"/>
        <v>4.0140448647859008</v>
      </c>
      <c r="T53" s="140">
        <f t="shared" ref="T53" si="17">SUM(T46:T52)</f>
        <v>512.01940442636533</v>
      </c>
    </row>
    <row r="54" spans="1:20" x14ac:dyDescent="0.25">
      <c r="A54" s="158"/>
      <c r="E54"/>
      <c r="F54"/>
      <c r="G54"/>
      <c r="H54"/>
      <c r="R54" s="2"/>
    </row>
    <row r="55" spans="1:20" ht="13.8" thickBot="1" x14ac:dyDescent="0.3">
      <c r="E55"/>
      <c r="F55"/>
      <c r="G55"/>
      <c r="H55"/>
      <c r="R55" s="2"/>
    </row>
    <row r="56" spans="1:20" ht="66" x14ac:dyDescent="0.25">
      <c r="A56" s="74" t="s">
        <v>155</v>
      </c>
      <c r="B56" s="119" t="s">
        <v>69</v>
      </c>
      <c r="C56" s="120" t="s">
        <v>83</v>
      </c>
      <c r="D56" s="120" t="s">
        <v>134</v>
      </c>
      <c r="E56" s="120" t="s">
        <v>70</v>
      </c>
      <c r="F56" s="120" t="s">
        <v>71</v>
      </c>
      <c r="G56" s="150" t="s">
        <v>135</v>
      </c>
      <c r="H56" s="120" t="s">
        <v>76</v>
      </c>
      <c r="I56" s="120" t="s">
        <v>73</v>
      </c>
      <c r="J56" s="120" t="s">
        <v>136</v>
      </c>
      <c r="K56" s="120" t="s">
        <v>77</v>
      </c>
      <c r="L56" s="120" t="s">
        <v>78</v>
      </c>
      <c r="M56" s="120" t="s">
        <v>137</v>
      </c>
      <c r="N56" s="120" t="s">
        <v>79</v>
      </c>
      <c r="O56" s="120" t="s">
        <v>80</v>
      </c>
      <c r="P56" s="120" t="s">
        <v>138</v>
      </c>
      <c r="Q56" s="119" t="s">
        <v>201</v>
      </c>
      <c r="R56" s="120" t="s">
        <v>202</v>
      </c>
      <c r="S56" s="120" t="s">
        <v>203</v>
      </c>
      <c r="T56" s="121" t="s">
        <v>139</v>
      </c>
    </row>
    <row r="57" spans="1:20" x14ac:dyDescent="0.25">
      <c r="A57" s="30" t="s">
        <v>62</v>
      </c>
      <c r="B57" s="127">
        <f>'Orange Lake LU'!C3</f>
        <v>1.4762225196600001</v>
      </c>
      <c r="C57" s="145">
        <f>'Orange Lake LU'!E3</f>
        <v>5.1007345843512998E-2</v>
      </c>
      <c r="D57" s="127">
        <f>C57*G$27</f>
        <v>0.22417811879953975</v>
      </c>
      <c r="E57" s="125">
        <f>'Orange Lake LU'!C4</f>
        <v>5.4685365097199998</v>
      </c>
      <c r="F57" s="126">
        <f>'Orange Lake LU'!E4</f>
        <v>0.15852974166408262</v>
      </c>
      <c r="G57" s="151">
        <f>F57*G25</f>
        <v>0</v>
      </c>
      <c r="H57" s="142">
        <f>'Orange Lake LU'!C5</f>
        <v>254.372283571</v>
      </c>
      <c r="I57" s="126">
        <f>'Orange Lake LU'!E5</f>
        <v>0.75780365563429364</v>
      </c>
      <c r="J57" s="142">
        <f>I57*G$23</f>
        <v>10.426099161388107</v>
      </c>
      <c r="K57" s="127" t="s">
        <v>175</v>
      </c>
      <c r="L57" s="127" t="s">
        <v>175</v>
      </c>
      <c r="M57" s="127" t="s">
        <v>175</v>
      </c>
      <c r="N57" s="127" t="s">
        <v>175</v>
      </c>
      <c r="O57" s="127" t="s">
        <v>175</v>
      </c>
      <c r="P57" s="127" t="s">
        <v>175</v>
      </c>
      <c r="Q57" s="208">
        <v>2.94360842129</v>
      </c>
      <c r="R57" s="209">
        <v>1</v>
      </c>
      <c r="S57" s="216">
        <f>R57*G$26</f>
        <v>0</v>
      </c>
      <c r="T57" s="133">
        <f>D57+G57+J57</f>
        <v>10.650277280187646</v>
      </c>
    </row>
    <row r="58" spans="1:20" x14ac:dyDescent="0.25">
      <c r="A58" s="35" t="s">
        <v>120</v>
      </c>
      <c r="B58" s="125">
        <f>'Orange Lake LU'!C12</f>
        <v>27.465148478</v>
      </c>
      <c r="C58" s="126">
        <f>'Orange Lake LU'!E12</f>
        <v>0.94899265415856016</v>
      </c>
      <c r="D58" s="127">
        <f>C58*G$27</f>
        <v>4.1708382282138379</v>
      </c>
      <c r="E58" s="132" t="s">
        <v>129</v>
      </c>
      <c r="F58" s="127" t="s">
        <v>175</v>
      </c>
      <c r="G58" s="127" t="s">
        <v>175</v>
      </c>
      <c r="H58" s="127" t="s">
        <v>175</v>
      </c>
      <c r="I58" s="127" t="s">
        <v>175</v>
      </c>
      <c r="J58" s="127" t="s">
        <v>175</v>
      </c>
      <c r="K58" s="127" t="s">
        <v>175</v>
      </c>
      <c r="L58" s="127" t="s">
        <v>175</v>
      </c>
      <c r="M58" s="127" t="s">
        <v>175</v>
      </c>
      <c r="N58" s="127" t="s">
        <v>175</v>
      </c>
      <c r="O58" s="127" t="s">
        <v>175</v>
      </c>
      <c r="P58" s="127" t="s">
        <v>175</v>
      </c>
      <c r="Q58" s="217" t="s">
        <v>175</v>
      </c>
      <c r="R58" s="157" t="s">
        <v>175</v>
      </c>
      <c r="S58" s="157" t="s">
        <v>175</v>
      </c>
      <c r="T58" s="133">
        <f>D58</f>
        <v>4.1708382282138379</v>
      </c>
    </row>
    <row r="59" spans="1:20" x14ac:dyDescent="0.25">
      <c r="A59" s="35" t="s">
        <v>140</v>
      </c>
      <c r="B59" s="127" t="s">
        <v>175</v>
      </c>
      <c r="C59" s="127" t="s">
        <v>175</v>
      </c>
      <c r="D59" s="127" t="s">
        <v>175</v>
      </c>
      <c r="E59" s="127" t="s">
        <v>175</v>
      </c>
      <c r="F59" s="127" t="s">
        <v>175</v>
      </c>
      <c r="G59" s="127" t="s">
        <v>175</v>
      </c>
      <c r="H59" s="127" t="s">
        <v>175</v>
      </c>
      <c r="I59" s="127" t="s">
        <v>175</v>
      </c>
      <c r="J59" s="127" t="s">
        <v>175</v>
      </c>
      <c r="K59" s="127" t="s">
        <v>175</v>
      </c>
      <c r="L59" s="127" t="s">
        <v>175</v>
      </c>
      <c r="M59" s="127" t="s">
        <v>175</v>
      </c>
      <c r="N59" s="127" t="s">
        <v>175</v>
      </c>
      <c r="O59" s="127" t="s">
        <v>175</v>
      </c>
      <c r="P59" s="127" t="s">
        <v>175</v>
      </c>
      <c r="Q59" s="217" t="s">
        <v>175</v>
      </c>
      <c r="R59" s="157" t="s">
        <v>175</v>
      </c>
      <c r="S59" s="157" t="s">
        <v>175</v>
      </c>
      <c r="T59" s="133" t="str">
        <f>D59</f>
        <v>nd</v>
      </c>
    </row>
    <row r="60" spans="1:20" x14ac:dyDescent="0.25">
      <c r="A60" s="35" t="s">
        <v>141</v>
      </c>
      <c r="B60" s="127" t="s">
        <v>175</v>
      </c>
      <c r="C60" s="127" t="s">
        <v>175</v>
      </c>
      <c r="D60" s="127" t="s">
        <v>175</v>
      </c>
      <c r="E60" s="127" t="s">
        <v>175</v>
      </c>
      <c r="F60" s="127" t="s">
        <v>175</v>
      </c>
      <c r="G60" s="127" t="s">
        <v>175</v>
      </c>
      <c r="H60" s="127" t="s">
        <v>175</v>
      </c>
      <c r="I60" s="127" t="s">
        <v>175</v>
      </c>
      <c r="J60" s="127" t="s">
        <v>175</v>
      </c>
      <c r="K60" s="127" t="s">
        <v>175</v>
      </c>
      <c r="L60" s="127" t="s">
        <v>175</v>
      </c>
      <c r="M60" s="127" t="s">
        <v>175</v>
      </c>
      <c r="N60" s="127" t="s">
        <v>175</v>
      </c>
      <c r="O60" s="127" t="s">
        <v>175</v>
      </c>
      <c r="P60" s="127" t="s">
        <v>175</v>
      </c>
      <c r="Q60" s="217" t="s">
        <v>175</v>
      </c>
      <c r="R60" s="218" t="s">
        <v>175</v>
      </c>
      <c r="S60" s="157" t="s">
        <v>175</v>
      </c>
      <c r="T60" s="127" t="s">
        <v>175</v>
      </c>
    </row>
    <row r="61" spans="1:20" x14ac:dyDescent="0.25">
      <c r="A61" s="35" t="s">
        <v>143</v>
      </c>
      <c r="B61" s="127" t="s">
        <v>175</v>
      </c>
      <c r="C61" s="127" t="s">
        <v>175</v>
      </c>
      <c r="D61" s="127" t="s">
        <v>175</v>
      </c>
      <c r="E61" s="127" t="s">
        <v>175</v>
      </c>
      <c r="F61" s="127" t="s">
        <v>175</v>
      </c>
      <c r="G61" s="127" t="s">
        <v>175</v>
      </c>
      <c r="H61" s="127" t="s">
        <v>175</v>
      </c>
      <c r="I61" s="127" t="s">
        <v>175</v>
      </c>
      <c r="J61" s="127" t="s">
        <v>175</v>
      </c>
      <c r="K61" s="127" t="s">
        <v>175</v>
      </c>
      <c r="L61" s="127" t="s">
        <v>175</v>
      </c>
      <c r="M61" s="127" t="s">
        <v>175</v>
      </c>
      <c r="N61" s="127" t="s">
        <v>175</v>
      </c>
      <c r="O61" s="127" t="s">
        <v>175</v>
      </c>
      <c r="P61" s="127" t="s">
        <v>175</v>
      </c>
      <c r="Q61" s="217" t="s">
        <v>175</v>
      </c>
      <c r="R61" s="157" t="s">
        <v>175</v>
      </c>
      <c r="S61" s="157" t="s">
        <v>175</v>
      </c>
      <c r="T61" s="127" t="s">
        <v>175</v>
      </c>
    </row>
    <row r="62" spans="1:20" x14ac:dyDescent="0.25">
      <c r="A62" s="35" t="s">
        <v>144</v>
      </c>
      <c r="B62" s="127" t="s">
        <v>175</v>
      </c>
      <c r="C62" s="127" t="s">
        <v>175</v>
      </c>
      <c r="D62" s="127" t="s">
        <v>175</v>
      </c>
      <c r="E62" s="146">
        <f>'Orange Lake LU'!C25</f>
        <v>29.026798260300001</v>
      </c>
      <c r="F62" s="145">
        <f>'Orange Lake LU'!E25</f>
        <v>0.84147025833359823</v>
      </c>
      <c r="G62" s="151">
        <f>F62*G25</f>
        <v>0</v>
      </c>
      <c r="H62" s="146">
        <f>'Orange Lake LU'!C26</f>
        <v>81.2981525366</v>
      </c>
      <c r="I62" s="145">
        <f>'Orange Lake LU'!E26</f>
        <v>0.2421963443645147</v>
      </c>
      <c r="J62" s="142">
        <f>I62*G$23</f>
        <v>3.3322128813914613</v>
      </c>
      <c r="K62" s="146">
        <f>'Orange Lake LU'!C27</f>
        <v>49.0356364258</v>
      </c>
      <c r="L62" s="145">
        <f>'Orange Lake LU'!E27</f>
        <v>1</v>
      </c>
      <c r="M62" s="125">
        <f>L62*G24</f>
        <v>10.318734032096975</v>
      </c>
      <c r="N62" s="146" t="s">
        <v>129</v>
      </c>
      <c r="O62" s="127" t="s">
        <v>175</v>
      </c>
      <c r="P62" s="127" t="s">
        <v>175</v>
      </c>
      <c r="Q62" s="217" t="s">
        <v>175</v>
      </c>
      <c r="R62" s="218" t="s">
        <v>175</v>
      </c>
      <c r="S62" s="157" t="s">
        <v>175</v>
      </c>
      <c r="T62" s="133">
        <f>G62+J62+M62</f>
        <v>13.650946913488436</v>
      </c>
    </row>
    <row r="63" spans="1:20" x14ac:dyDescent="0.25">
      <c r="A63" s="35" t="s">
        <v>142</v>
      </c>
      <c r="B63" s="127" t="s">
        <v>175</v>
      </c>
      <c r="C63" s="127" t="s">
        <v>175</v>
      </c>
      <c r="D63" s="127" t="s">
        <v>175</v>
      </c>
      <c r="E63" s="127" t="s">
        <v>175</v>
      </c>
      <c r="F63" s="127" t="s">
        <v>175</v>
      </c>
      <c r="G63" s="127" t="s">
        <v>175</v>
      </c>
      <c r="H63" s="127" t="s">
        <v>175</v>
      </c>
      <c r="I63" s="127" t="s">
        <v>175</v>
      </c>
      <c r="J63" s="127" t="s">
        <v>175</v>
      </c>
      <c r="K63" s="127" t="s">
        <v>175</v>
      </c>
      <c r="L63" s="127" t="s">
        <v>175</v>
      </c>
      <c r="M63" s="127" t="s">
        <v>175</v>
      </c>
      <c r="N63" s="127" t="s">
        <v>175</v>
      </c>
      <c r="O63" s="127" t="s">
        <v>175</v>
      </c>
      <c r="P63" s="127" t="s">
        <v>175</v>
      </c>
      <c r="Q63" s="217" t="s">
        <v>175</v>
      </c>
      <c r="R63" s="157" t="s">
        <v>175</v>
      </c>
      <c r="S63" s="157" t="s">
        <v>175</v>
      </c>
      <c r="T63" s="127" t="s">
        <v>175</v>
      </c>
    </row>
    <row r="64" spans="1:20" ht="13.8" thickBot="1" x14ac:dyDescent="0.3">
      <c r="A64" s="79" t="s">
        <v>68</v>
      </c>
      <c r="B64" s="128">
        <f t="shared" ref="B64:C64" si="18">SUM(B57:B63)</f>
        <v>28.941370997659998</v>
      </c>
      <c r="C64" s="129">
        <f t="shared" si="18"/>
        <v>1.0000000000020732</v>
      </c>
      <c r="D64" s="128">
        <f t="shared" ref="D64:M64" si="19">SUM(D57:D63)</f>
        <v>4.3950163470133781</v>
      </c>
      <c r="E64" s="128">
        <f t="shared" si="19"/>
        <v>34.495334770020001</v>
      </c>
      <c r="F64" s="129">
        <f t="shared" si="19"/>
        <v>0.99999999999768086</v>
      </c>
      <c r="G64" s="152">
        <f t="shared" si="19"/>
        <v>0</v>
      </c>
      <c r="H64" s="143">
        <f t="shared" si="19"/>
        <v>335.67043610759998</v>
      </c>
      <c r="I64" s="129">
        <f t="shared" si="19"/>
        <v>0.99999999999880829</v>
      </c>
      <c r="J64" s="143">
        <f t="shared" si="19"/>
        <v>13.758312042779568</v>
      </c>
      <c r="K64" s="128">
        <f t="shared" si="19"/>
        <v>49.0356364258</v>
      </c>
      <c r="L64" s="129">
        <f t="shared" si="19"/>
        <v>1</v>
      </c>
      <c r="M64" s="128">
        <f t="shared" si="19"/>
        <v>10.318734032096975</v>
      </c>
      <c r="N64" s="206" t="s">
        <v>175</v>
      </c>
      <c r="O64" s="206" t="s">
        <v>175</v>
      </c>
      <c r="P64" s="206" t="s">
        <v>175</v>
      </c>
      <c r="Q64" s="219">
        <f>SUM(Q57:Q63)</f>
        <v>2.94360842129</v>
      </c>
      <c r="R64" s="220">
        <f>SUM(R57:R63)</f>
        <v>1</v>
      </c>
      <c r="S64" s="221">
        <f>-SUM(S57:S63)</f>
        <v>0</v>
      </c>
      <c r="T64" s="140">
        <f>SUM(T57:T63)</f>
        <v>28.47206242188992</v>
      </c>
    </row>
    <row r="65" spans="1:10" x14ac:dyDescent="0.25">
      <c r="A65" s="19" t="s">
        <v>206</v>
      </c>
    </row>
    <row r="66" spans="1:10" x14ac:dyDescent="0.25">
      <c r="A66" s="19"/>
    </row>
    <row r="67" spans="1:10" x14ac:dyDescent="0.25">
      <c r="A67" s="309" t="s">
        <v>244</v>
      </c>
    </row>
    <row r="68" spans="1:10" ht="52.8" x14ac:dyDescent="0.25">
      <c r="A68" s="123" t="s">
        <v>123</v>
      </c>
      <c r="B68" s="295" t="s">
        <v>241</v>
      </c>
      <c r="C68" s="295" t="s">
        <v>242</v>
      </c>
      <c r="D68" s="295" t="s">
        <v>243</v>
      </c>
      <c r="E68" s="295" t="s">
        <v>245</v>
      </c>
      <c r="F68" s="295" t="s">
        <v>246</v>
      </c>
      <c r="G68" s="295" t="s">
        <v>247</v>
      </c>
    </row>
    <row r="69" spans="1:10" x14ac:dyDescent="0.25">
      <c r="A69" s="30" t="s">
        <v>62</v>
      </c>
      <c r="B69" s="312">
        <f>'OSTDS-buffer'!C43</f>
        <v>9</v>
      </c>
      <c r="C69" s="313">
        <v>1</v>
      </c>
      <c r="D69" s="318">
        <f>C69*G$28</f>
        <v>3.5351218443295194</v>
      </c>
      <c r="E69" s="312">
        <f>'OSTDS-buffer'!C48</f>
        <v>54</v>
      </c>
      <c r="F69" s="313">
        <f>'OSTDS-buffer'!D48</f>
        <v>0.25837320574162681</v>
      </c>
      <c r="G69" s="312">
        <f>F69*G$16</f>
        <v>56.851781042869213</v>
      </c>
    </row>
    <row r="70" spans="1:10" x14ac:dyDescent="0.25">
      <c r="A70" s="35" t="s">
        <v>141</v>
      </c>
      <c r="B70" s="315">
        <v>0</v>
      </c>
      <c r="C70" s="315">
        <v>0</v>
      </c>
      <c r="D70" s="314"/>
      <c r="E70" s="312">
        <f>'OSTDS-buffer'!C53</f>
        <v>114</v>
      </c>
      <c r="F70" s="313">
        <f>'OSTDS-buffer'!D53</f>
        <v>0.54545454545454541</v>
      </c>
      <c r="G70" s="312">
        <f t="shared" ref="G70:G73" si="20">F70*G$16</f>
        <v>120.0204266460572</v>
      </c>
    </row>
    <row r="71" spans="1:10" x14ac:dyDescent="0.25">
      <c r="A71" s="35" t="s">
        <v>143</v>
      </c>
      <c r="B71" s="315">
        <v>0</v>
      </c>
      <c r="C71" s="315">
        <v>0</v>
      </c>
      <c r="D71" s="314"/>
      <c r="E71" s="312">
        <f>'OSTDS-buffer'!C54</f>
        <v>41</v>
      </c>
      <c r="F71" s="313">
        <f>'OSTDS-buffer'!D54</f>
        <v>0.19617224880382775</v>
      </c>
      <c r="G71" s="312">
        <f t="shared" si="20"/>
        <v>43.165241162178475</v>
      </c>
      <c r="J71" s="388"/>
    </row>
    <row r="72" spans="1:10" x14ac:dyDescent="0.25">
      <c r="A72" s="35" t="s">
        <v>144</v>
      </c>
      <c r="B72" s="315">
        <v>0</v>
      </c>
      <c r="C72" s="313">
        <v>0</v>
      </c>
      <c r="D72" s="314">
        <f>C72*G$28</f>
        <v>0</v>
      </c>
      <c r="E72" s="312">
        <v>119</v>
      </c>
      <c r="F72" s="313">
        <v>0</v>
      </c>
      <c r="G72" s="312">
        <f t="shared" si="20"/>
        <v>0</v>
      </c>
    </row>
    <row r="73" spans="1:10" x14ac:dyDescent="0.25">
      <c r="A73" s="35" t="s">
        <v>142</v>
      </c>
      <c r="B73" s="315">
        <v>0</v>
      </c>
      <c r="C73" s="315">
        <v>0</v>
      </c>
      <c r="D73" s="314"/>
      <c r="E73" s="312">
        <v>247</v>
      </c>
      <c r="F73" s="313">
        <v>0</v>
      </c>
      <c r="G73" s="312">
        <f t="shared" si="20"/>
        <v>0</v>
      </c>
    </row>
    <row r="74" spans="1:10" x14ac:dyDescent="0.25">
      <c r="A74" s="311" t="s">
        <v>68</v>
      </c>
      <c r="B74" s="317">
        <f t="shared" ref="B74:G74" si="21">SUM(B69:B73)</f>
        <v>9</v>
      </c>
      <c r="C74" s="316">
        <f t="shared" si="21"/>
        <v>1</v>
      </c>
      <c r="D74" s="374">
        <f t="shared" si="21"/>
        <v>3.5351218443295194</v>
      </c>
      <c r="E74" s="317">
        <f t="shared" si="21"/>
        <v>575</v>
      </c>
      <c r="F74" s="316">
        <f t="shared" si="21"/>
        <v>1</v>
      </c>
      <c r="G74" s="317">
        <f t="shared" si="21"/>
        <v>220.0374488511049</v>
      </c>
    </row>
    <row r="75" spans="1:10" x14ac:dyDescent="0.25">
      <c r="A75" s="310"/>
      <c r="C75" s="3"/>
      <c r="D75" s="72"/>
    </row>
    <row r="76" spans="1:10" ht="13.8" thickBot="1" x14ac:dyDescent="0.3">
      <c r="A76" s="178"/>
    </row>
    <row r="77" spans="1:10" x14ac:dyDescent="0.25">
      <c r="A77" s="446" t="s">
        <v>178</v>
      </c>
      <c r="B77" s="447"/>
      <c r="C77" s="447"/>
      <c r="D77" s="447"/>
      <c r="E77" s="447"/>
      <c r="F77" s="448"/>
    </row>
    <row r="78" spans="1:10" ht="39.6" x14ac:dyDescent="0.25">
      <c r="A78" s="181" t="s">
        <v>123</v>
      </c>
      <c r="B78" s="295" t="s">
        <v>156</v>
      </c>
      <c r="C78" s="295" t="s">
        <v>157</v>
      </c>
      <c r="D78" s="295" t="s">
        <v>248</v>
      </c>
      <c r="E78" s="185" t="s">
        <v>249</v>
      </c>
      <c r="F78" s="185" t="s">
        <v>250</v>
      </c>
    </row>
    <row r="79" spans="1:10" ht="15" customHeight="1" x14ac:dyDescent="0.25">
      <c r="A79" s="73" t="s">
        <v>62</v>
      </c>
      <c r="B79" s="136">
        <f t="shared" ref="B79:B85" si="22">T46</f>
        <v>28.089328495994842</v>
      </c>
      <c r="C79" s="136">
        <f>T57</f>
        <v>10.650277280187646</v>
      </c>
      <c r="D79" s="136">
        <f t="shared" ref="D79:D86" si="23">SUM(B79:C79)</f>
        <v>38.739605776182486</v>
      </c>
      <c r="E79" s="318">
        <f>ROUND(D69+G69,0)</f>
        <v>60</v>
      </c>
      <c r="F79" s="312">
        <f>D79+E79</f>
        <v>98.739605776182486</v>
      </c>
    </row>
    <row r="80" spans="1:10" ht="15.6" customHeight="1" x14ac:dyDescent="0.25">
      <c r="A80" s="167" t="s">
        <v>120</v>
      </c>
      <c r="B80" s="136">
        <f t="shared" si="22"/>
        <v>10.383007664020193</v>
      </c>
      <c r="C80" s="136">
        <f>T58</f>
        <v>4.1708382282138379</v>
      </c>
      <c r="D80" s="136">
        <f t="shared" si="23"/>
        <v>14.55384589223403</v>
      </c>
      <c r="E80" s="319" t="s">
        <v>175</v>
      </c>
      <c r="F80" s="312">
        <f>D80</f>
        <v>14.55384589223403</v>
      </c>
    </row>
    <row r="81" spans="1:16" ht="16.2" customHeight="1" x14ac:dyDescent="0.25">
      <c r="A81" s="167" t="s">
        <v>140</v>
      </c>
      <c r="B81" s="136">
        <f t="shared" si="22"/>
        <v>98.618664544808766</v>
      </c>
      <c r="C81" s="141" t="s">
        <v>129</v>
      </c>
      <c r="D81" s="136">
        <f t="shared" si="23"/>
        <v>98.618664544808766</v>
      </c>
      <c r="E81" s="319" t="s">
        <v>175</v>
      </c>
      <c r="F81" s="312">
        <f>D81</f>
        <v>98.618664544808766</v>
      </c>
    </row>
    <row r="82" spans="1:16" ht="15" customHeight="1" x14ac:dyDescent="0.25">
      <c r="A82" s="167" t="s">
        <v>141</v>
      </c>
      <c r="B82" s="136">
        <f t="shared" si="22"/>
        <v>318.58858424648434</v>
      </c>
      <c r="C82" s="141" t="s">
        <v>129</v>
      </c>
      <c r="D82" s="136">
        <f t="shared" si="23"/>
        <v>318.58858424648434</v>
      </c>
      <c r="E82" s="318">
        <f>G70</f>
        <v>120.0204266460572</v>
      </c>
      <c r="F82" s="312">
        <f>D82+E82</f>
        <v>438.60901089254156</v>
      </c>
    </row>
    <row r="83" spans="1:16" ht="16.95" customHeight="1" x14ac:dyDescent="0.25">
      <c r="A83" s="167" t="s">
        <v>143</v>
      </c>
      <c r="B83" s="136">
        <f t="shared" si="22"/>
        <v>27.777553366807478</v>
      </c>
      <c r="C83" s="141" t="s">
        <v>129</v>
      </c>
      <c r="D83" s="136">
        <f t="shared" si="23"/>
        <v>27.777553366807478</v>
      </c>
      <c r="E83" s="318">
        <f>G71</f>
        <v>43.165241162178475</v>
      </c>
      <c r="F83" s="312">
        <f>D83+E83</f>
        <v>70.942794528985957</v>
      </c>
    </row>
    <row r="84" spans="1:16" ht="15.6" customHeight="1" x14ac:dyDescent="0.25">
      <c r="A84" s="167" t="s">
        <v>144</v>
      </c>
      <c r="B84" s="155">
        <f t="shared" si="22"/>
        <v>16.985693001351553</v>
      </c>
      <c r="C84" s="156">
        <f>T62</f>
        <v>13.650946913488436</v>
      </c>
      <c r="D84" s="136">
        <f t="shared" si="23"/>
        <v>30.636639914839989</v>
      </c>
      <c r="E84" s="318">
        <f>D72+G72</f>
        <v>0</v>
      </c>
      <c r="F84" s="312">
        <f>D84+E84</f>
        <v>30.636639914839989</v>
      </c>
    </row>
    <row r="85" spans="1:16" ht="16.2" customHeight="1" x14ac:dyDescent="0.25">
      <c r="A85" s="167" t="s">
        <v>142</v>
      </c>
      <c r="B85" s="155">
        <f t="shared" si="22"/>
        <v>11.576573106898183</v>
      </c>
      <c r="C85" s="157" t="s">
        <v>129</v>
      </c>
      <c r="D85" s="136">
        <f t="shared" si="23"/>
        <v>11.576573106898183</v>
      </c>
      <c r="E85" s="318">
        <f>D73+G73</f>
        <v>0</v>
      </c>
      <c r="F85" s="312">
        <f>D85+E85</f>
        <v>11.576573106898183</v>
      </c>
    </row>
    <row r="86" spans="1:16" ht="16.95" customHeight="1" x14ac:dyDescent="0.25">
      <c r="A86" s="320" t="s">
        <v>205</v>
      </c>
      <c r="B86" s="155">
        <f>G15</f>
        <v>3274.3827223518092</v>
      </c>
      <c r="C86" s="155">
        <f>G29</f>
        <v>157.16960632221782</v>
      </c>
      <c r="D86" s="155">
        <f t="shared" si="23"/>
        <v>3431.5523286740272</v>
      </c>
      <c r="E86" s="319" t="s">
        <v>175</v>
      </c>
      <c r="F86" s="312">
        <f>D86</f>
        <v>3431.5523286740272</v>
      </c>
    </row>
    <row r="89" spans="1:16" ht="13.8" x14ac:dyDescent="0.25">
      <c r="A89" s="376" t="s">
        <v>301</v>
      </c>
      <c r="E89"/>
      <c r="F89"/>
      <c r="G89"/>
      <c r="H89"/>
    </row>
    <row r="90" spans="1:16" ht="80.25" customHeight="1" x14ac:dyDescent="0.25">
      <c r="A90" s="386" t="s">
        <v>302</v>
      </c>
      <c r="B90" s="387" t="s">
        <v>333</v>
      </c>
      <c r="C90" s="387" t="s">
        <v>331</v>
      </c>
      <c r="D90" s="387" t="s">
        <v>330</v>
      </c>
      <c r="E90" s="387" t="s">
        <v>329</v>
      </c>
      <c r="F90" s="387" t="s">
        <v>328</v>
      </c>
      <c r="G90" s="387" t="s">
        <v>327</v>
      </c>
      <c r="H90" s="387" t="s">
        <v>332</v>
      </c>
      <c r="I90" s="387" t="s">
        <v>326</v>
      </c>
      <c r="J90" s="387" t="s">
        <v>336</v>
      </c>
      <c r="K90" s="387" t="s">
        <v>325</v>
      </c>
      <c r="L90" s="387" t="s">
        <v>334</v>
      </c>
      <c r="M90" s="387" t="s">
        <v>335</v>
      </c>
      <c r="N90" s="391" t="s">
        <v>321</v>
      </c>
      <c r="O90" s="391" t="s">
        <v>323</v>
      </c>
      <c r="P90" s="391" t="s">
        <v>324</v>
      </c>
    </row>
    <row r="91" spans="1:16" x14ac:dyDescent="0.25">
      <c r="A91" s="73" t="s">
        <v>62</v>
      </c>
      <c r="B91" s="130">
        <f>'Orange Lake education credits'!D3</f>
        <v>6.5347740263174501</v>
      </c>
      <c r="C91" s="155">
        <f>'Orange Lake education credits'!G3</f>
        <v>35.678536904495246</v>
      </c>
      <c r="D91" s="130">
        <f>'Orange Lake education credits'!J3</f>
        <v>6.6189252252865982</v>
      </c>
      <c r="E91" s="130">
        <f>'Orange Lake education credits'!M3</f>
        <v>0.11078943707779787</v>
      </c>
      <c r="F91" s="130">
        <f>'Orange Lake education credits'!P3</f>
        <v>5.6000000000000001E-2</v>
      </c>
      <c r="G91" s="155" t="str">
        <f>'Orange Lake education credits'!S3</f>
        <v>na</v>
      </c>
      <c r="H91" s="155" t="str">
        <f>'Orange Lake education credits'!D15</f>
        <v>na</v>
      </c>
      <c r="I91" s="155">
        <f>'Orange Lake education credits'!G15</f>
        <v>18.187287735223048</v>
      </c>
      <c r="J91" s="216" t="str">
        <f>'Orange Lake education credits'!J15</f>
        <v>na</v>
      </c>
      <c r="K91" s="216">
        <f>'Orange Lake education credits'!M15</f>
        <v>0</v>
      </c>
      <c r="L91" s="216">
        <f>'Orange Lake education credits'!P15</f>
        <v>0</v>
      </c>
      <c r="M91" s="130">
        <f>'Orange Lake education credits'!S15</f>
        <v>0.39105631813359965</v>
      </c>
      <c r="N91" s="130">
        <f>SUM(B91:M91)</f>
        <v>67.577369646533725</v>
      </c>
      <c r="O91" s="390">
        <v>0.06</v>
      </c>
      <c r="P91" s="156">
        <f>N91*O91</f>
        <v>4.0546421787920233</v>
      </c>
    </row>
    <row r="92" spans="1:16" x14ac:dyDescent="0.25">
      <c r="A92" s="167" t="s">
        <v>120</v>
      </c>
      <c r="B92" s="259" t="s">
        <v>129</v>
      </c>
      <c r="C92" s="216">
        <f>'Orange Lake education credits'!F4</f>
        <v>0</v>
      </c>
      <c r="D92" s="130">
        <f>'Orange Lake education credits'!J4</f>
        <v>0</v>
      </c>
      <c r="E92" s="130">
        <f>'Orange Lake education credits'!M4</f>
        <v>0</v>
      </c>
      <c r="F92" s="130" t="str">
        <f>'Orange Lake education credits'!P4</f>
        <v>na</v>
      </c>
      <c r="G92" s="155">
        <f>'Orange Lake education credits'!S4</f>
        <v>18</v>
      </c>
      <c r="H92" s="389" t="s">
        <v>129</v>
      </c>
      <c r="I92" s="216" t="str">
        <f>'Orange Lake education credits'!G16</f>
        <v>na</v>
      </c>
      <c r="J92" s="216" t="str">
        <f>'Orange Lake education credits'!J16</f>
        <v>na</v>
      </c>
      <c r="K92" s="216" t="str">
        <f>'Orange Lake education credits'!M16</f>
        <v>na</v>
      </c>
      <c r="L92" s="216" t="str">
        <f>'Orange Lake education credits'!P16</f>
        <v>na</v>
      </c>
      <c r="M92" s="130">
        <f>'Orange Lake education credits'!S16</f>
        <v>7.2756103485489616</v>
      </c>
      <c r="N92" s="130">
        <f t="shared" ref="N92:N97" si="24">SUM(B92:M92)</f>
        <v>25.275610348548962</v>
      </c>
      <c r="O92" s="390">
        <v>0.02</v>
      </c>
      <c r="P92" s="156">
        <f t="shared" ref="P92:P97" si="25">N92*O92</f>
        <v>0.50551220697097921</v>
      </c>
    </row>
    <row r="93" spans="1:16" x14ac:dyDescent="0.25">
      <c r="A93" s="167" t="s">
        <v>140</v>
      </c>
      <c r="B93" s="259" t="s">
        <v>129</v>
      </c>
      <c r="C93" s="216">
        <f>'Orange Lake education credits'!F5</f>
        <v>0</v>
      </c>
      <c r="D93" s="130">
        <f>'Orange Lake education credits'!J5</f>
        <v>0</v>
      </c>
      <c r="E93" s="130">
        <f>'Orange Lake education credits'!M5</f>
        <v>0</v>
      </c>
      <c r="F93" s="130" t="str">
        <f>'Orange Lake education credits'!P5</f>
        <v>na</v>
      </c>
      <c r="G93" s="155">
        <f>'Orange Lake education credits'!S5</f>
        <v>172.03040181914781</v>
      </c>
      <c r="H93" s="389" t="s">
        <v>129</v>
      </c>
      <c r="I93" s="216" t="str">
        <f>'Orange Lake education credits'!G17</f>
        <v>na</v>
      </c>
      <c r="J93" s="216" t="str">
        <f>'Orange Lake education credits'!J17</f>
        <v>na</v>
      </c>
      <c r="K93" s="216" t="str">
        <f>'Orange Lake education credits'!M17</f>
        <v>na</v>
      </c>
      <c r="L93" s="157" t="s">
        <v>129</v>
      </c>
      <c r="M93" s="216" t="str">
        <f>'Orange Lake education credits'!S17</f>
        <v>na</v>
      </c>
      <c r="N93" s="130">
        <f t="shared" si="24"/>
        <v>172.03040181914781</v>
      </c>
      <c r="O93" s="390">
        <v>5.0000000000000001E-3</v>
      </c>
      <c r="P93" s="156">
        <f t="shared" si="25"/>
        <v>0.86015200909573908</v>
      </c>
    </row>
    <row r="94" spans="1:16" x14ac:dyDescent="0.25">
      <c r="A94" s="167" t="s">
        <v>141</v>
      </c>
      <c r="B94" s="130">
        <v>82.879910442434962</v>
      </c>
      <c r="C94" s="155">
        <f>'Orange Lake education credits'!G6</f>
        <v>347.69109321707015</v>
      </c>
      <c r="D94" s="130">
        <f>'Orange Lake education credits'!J6</f>
        <v>103.06866338692195</v>
      </c>
      <c r="E94" s="130">
        <f>'Orange Lake education credits'!M6</f>
        <v>3.6381243335857785</v>
      </c>
      <c r="F94" s="130">
        <f>'Orange Lake education credits'!P6</f>
        <v>6.944</v>
      </c>
      <c r="G94" s="155">
        <f>'Orange Lake education credits'!S6</f>
        <v>12</v>
      </c>
      <c r="H94" s="389" t="s">
        <v>129</v>
      </c>
      <c r="I94" s="155" t="str">
        <f>'Orange Lake education credits'!G18</f>
        <v>na</v>
      </c>
      <c r="J94" s="216" t="str">
        <f>'Orange Lake education credits'!J18</f>
        <v>na</v>
      </c>
      <c r="K94" s="216" t="str">
        <f>'Orange Lake education credits'!M18</f>
        <v>na</v>
      </c>
      <c r="L94" s="157" t="s">
        <v>129</v>
      </c>
      <c r="M94" s="216" t="str">
        <f>'Orange Lake education credits'!S18</f>
        <v>na</v>
      </c>
      <c r="N94" s="130">
        <f t="shared" si="24"/>
        <v>556.22179138001275</v>
      </c>
      <c r="O94" s="390">
        <v>5.5E-2</v>
      </c>
      <c r="P94" s="156">
        <f t="shared" si="25"/>
        <v>30.592198525900702</v>
      </c>
    </row>
    <row r="95" spans="1:16" x14ac:dyDescent="0.25">
      <c r="A95" s="167" t="s">
        <v>143</v>
      </c>
      <c r="B95" s="130">
        <v>2.8815314723980423</v>
      </c>
      <c r="C95" s="155">
        <f>'Orange Lake education credits'!G7</f>
        <v>9.7342022840816416</v>
      </c>
      <c r="D95" s="130">
        <f>'Orange Lake education credits'!J7</f>
        <v>35.593496059391931</v>
      </c>
      <c r="E95" s="130">
        <f>'Orange Lake education credits'!M7</f>
        <v>0.2459352312427342</v>
      </c>
      <c r="F95" s="130" t="str">
        <f>'Orange Lake education credits'!P7</f>
        <v>na</v>
      </c>
      <c r="G95" s="155" t="str">
        <f>'Orange Lake education credits'!S7</f>
        <v>na</v>
      </c>
      <c r="H95" s="389" t="s">
        <v>129</v>
      </c>
      <c r="I95" s="155" t="str">
        <f>'Orange Lake education credits'!G19</f>
        <v>na</v>
      </c>
      <c r="J95" s="216" t="str">
        <f>'Orange Lake education credits'!J19</f>
        <v>na</v>
      </c>
      <c r="K95" s="216" t="str">
        <f>'Orange Lake education credits'!M19</f>
        <v>na</v>
      </c>
      <c r="L95" s="259" t="s">
        <v>129</v>
      </c>
      <c r="M95" s="216" t="str">
        <f>'Orange Lake education credits'!S19</f>
        <v>na</v>
      </c>
      <c r="N95" s="130">
        <f t="shared" si="24"/>
        <v>48.455165047114349</v>
      </c>
      <c r="O95" s="390">
        <v>0</v>
      </c>
      <c r="P95" s="156">
        <f t="shared" si="25"/>
        <v>0</v>
      </c>
    </row>
    <row r="96" spans="1:16" x14ac:dyDescent="0.25">
      <c r="A96" s="167" t="s">
        <v>144</v>
      </c>
      <c r="B96" s="130">
        <v>1.7037840587675044</v>
      </c>
      <c r="C96" s="155">
        <f>'Orange Lake education credits'!G8</f>
        <v>4.9771911461749099</v>
      </c>
      <c r="D96" s="130">
        <f>'Orange Lake education credits'!J8</f>
        <v>22.885581995357295</v>
      </c>
      <c r="E96" s="130">
        <f>'Orange Lake education credits'!M8</f>
        <v>6.3286254653152463E-2</v>
      </c>
      <c r="F96" s="130">
        <f>'Orange Lake education credits'!P8</f>
        <v>0</v>
      </c>
      <c r="G96" s="155" t="str">
        <f>'Orange Lake education credits'!S8</f>
        <v>na</v>
      </c>
      <c r="H96" s="389" t="s">
        <v>129</v>
      </c>
      <c r="I96" s="155">
        <f>'Orange Lake education credits'!G20</f>
        <v>5.8127122647483525</v>
      </c>
      <c r="J96" s="216">
        <f>'Orange Lake education credits'!J20</f>
        <v>18</v>
      </c>
      <c r="K96" s="216">
        <f>'Orange Lake education credits'!M20</f>
        <v>0</v>
      </c>
      <c r="L96" s="259" t="s">
        <v>129</v>
      </c>
      <c r="M96" s="216" t="str">
        <f>'Orange Lake education credits'!S20</f>
        <v>na</v>
      </c>
      <c r="N96" s="130">
        <f t="shared" si="24"/>
        <v>53.442555719701218</v>
      </c>
      <c r="O96" s="390">
        <v>0</v>
      </c>
      <c r="P96" s="156">
        <f t="shared" si="25"/>
        <v>0</v>
      </c>
    </row>
    <row r="97" spans="1:16" x14ac:dyDescent="0.25">
      <c r="A97" s="167" t="s">
        <v>142</v>
      </c>
      <c r="B97" s="127" t="s">
        <v>129</v>
      </c>
      <c r="C97" s="155">
        <f>'Orange Lake education credits'!G9</f>
        <v>20.085643115176914</v>
      </c>
      <c r="D97" s="130" t="str">
        <f>'Orange Lake education credits'!J9</f>
        <v>na</v>
      </c>
      <c r="E97" s="130">
        <f>'Orange Lake education credits'!M9</f>
        <v>0.1085314101083952</v>
      </c>
      <c r="F97" s="130" t="str">
        <f>'Orange Lake education credits'!P9</f>
        <v>na</v>
      </c>
      <c r="G97" s="155" t="str">
        <f>'Orange Lake education credits'!S9</f>
        <v>na</v>
      </c>
      <c r="H97" s="389" t="s">
        <v>129</v>
      </c>
      <c r="I97" s="155" t="str">
        <f>'Orange Lake education credits'!G21</f>
        <v>na</v>
      </c>
      <c r="J97" s="216" t="str">
        <f>'Orange Lake education credits'!J21</f>
        <v>na</v>
      </c>
      <c r="K97" s="216" t="str">
        <f>'Orange Lake education credits'!M21</f>
        <v>na</v>
      </c>
      <c r="L97" s="259" t="s">
        <v>129</v>
      </c>
      <c r="M97" s="216" t="str">
        <f>'Orange Lake education credits'!S21</f>
        <v>na</v>
      </c>
      <c r="N97" s="130">
        <f t="shared" si="24"/>
        <v>20.194174525285309</v>
      </c>
      <c r="O97" s="390">
        <v>0</v>
      </c>
      <c r="P97" s="156">
        <f t="shared" si="25"/>
        <v>0</v>
      </c>
    </row>
    <row r="100" spans="1:16" ht="13.8" thickBot="1" x14ac:dyDescent="0.3">
      <c r="A100" s="449" t="s">
        <v>393</v>
      </c>
      <c r="B100" s="450"/>
      <c r="C100" s="450"/>
      <c r="D100" s="450"/>
      <c r="E100" s="450"/>
      <c r="F100" s="450"/>
      <c r="G100" s="450"/>
      <c r="H100" s="450"/>
      <c r="I100" s="450"/>
      <c r="J100" s="450"/>
      <c r="K100" s="450"/>
      <c r="L100" s="450"/>
    </row>
    <row r="101" spans="1:16" ht="79.2" x14ac:dyDescent="0.25">
      <c r="A101" s="404" t="s">
        <v>377</v>
      </c>
      <c r="B101" s="404" t="s">
        <v>366</v>
      </c>
      <c r="C101" s="404" t="s">
        <v>373</v>
      </c>
      <c r="D101" s="404" t="s">
        <v>367</v>
      </c>
      <c r="E101" s="404" t="s">
        <v>368</v>
      </c>
      <c r="F101" s="405" t="s">
        <v>376</v>
      </c>
      <c r="G101" s="404" t="s">
        <v>369</v>
      </c>
      <c r="H101" s="404" t="s">
        <v>407</v>
      </c>
      <c r="I101" s="404" t="s">
        <v>370</v>
      </c>
      <c r="J101" s="406" t="s">
        <v>375</v>
      </c>
      <c r="K101" s="407" t="s">
        <v>374</v>
      </c>
      <c r="L101" s="408" t="s">
        <v>371</v>
      </c>
    </row>
    <row r="102" spans="1:16" x14ac:dyDescent="0.25">
      <c r="A102" s="73" t="s">
        <v>62</v>
      </c>
      <c r="B102" s="332">
        <f t="shared" ref="B102:B108" si="26">ROUND(D79,0)</f>
        <v>39</v>
      </c>
      <c r="C102" s="130">
        <f t="shared" ref="C102:C108" si="27">B102*0.5</f>
        <v>19.5</v>
      </c>
      <c r="D102" s="421">
        <f>P91</f>
        <v>4.0546421787920233</v>
      </c>
      <c r="E102" s="130">
        <f>'[1]Project Summary'!H22</f>
        <v>0</v>
      </c>
      <c r="F102" s="410">
        <f>C102-D102-E102</f>
        <v>15.445357821207978</v>
      </c>
      <c r="G102" s="130">
        <f t="shared" ref="G102:G108" si="28">C102</f>
        <v>19.5</v>
      </c>
      <c r="H102" s="73"/>
      <c r="I102" s="125">
        <v>0</v>
      </c>
      <c r="J102" s="411">
        <f>F102+G102-I102-H102</f>
        <v>34.945357821207978</v>
      </c>
      <c r="K102" s="331">
        <f>E79</f>
        <v>60</v>
      </c>
      <c r="L102" s="422">
        <f>J102+K102</f>
        <v>94.945357821207978</v>
      </c>
    </row>
    <row r="103" spans="1:16" x14ac:dyDescent="0.25">
      <c r="A103" s="167" t="s">
        <v>120</v>
      </c>
      <c r="B103" s="332">
        <f t="shared" si="26"/>
        <v>15</v>
      </c>
      <c r="C103" s="130">
        <f t="shared" si="27"/>
        <v>7.5</v>
      </c>
      <c r="D103" s="421">
        <f>P92</f>
        <v>0.50551220697097921</v>
      </c>
      <c r="E103" s="388">
        <v>54.01</v>
      </c>
      <c r="F103" s="410">
        <f t="shared" ref="F103:F108" si="29">C103-D103-E103</f>
        <v>-47.015512206970975</v>
      </c>
      <c r="G103" s="130">
        <f t="shared" si="28"/>
        <v>7.5</v>
      </c>
      <c r="H103" s="73"/>
      <c r="I103" s="125">
        <v>0</v>
      </c>
      <c r="J103" s="411">
        <f t="shared" ref="J103:J108" si="30">F103+G103-I103</f>
        <v>-39.515512206970975</v>
      </c>
      <c r="K103" s="435">
        <v>0</v>
      </c>
      <c r="L103" s="422">
        <v>0</v>
      </c>
    </row>
    <row r="104" spans="1:16" x14ac:dyDescent="0.25">
      <c r="A104" s="167" t="s">
        <v>140</v>
      </c>
      <c r="B104" s="332">
        <f t="shared" si="26"/>
        <v>99</v>
      </c>
      <c r="C104" s="130">
        <f t="shared" si="27"/>
        <v>49.5</v>
      </c>
      <c r="D104" s="421">
        <f>P93</f>
        <v>0.86015200909573908</v>
      </c>
      <c r="E104" s="388">
        <v>2934</v>
      </c>
      <c r="F104" s="410">
        <f t="shared" si="29"/>
        <v>-2885.3601520090956</v>
      </c>
      <c r="G104" s="130">
        <f t="shared" si="28"/>
        <v>49.5</v>
      </c>
      <c r="H104" s="73"/>
      <c r="I104" s="125">
        <v>0</v>
      </c>
      <c r="J104" s="411">
        <f t="shared" si="30"/>
        <v>-2835.8601520090956</v>
      </c>
      <c r="K104" s="435">
        <v>0</v>
      </c>
      <c r="L104" s="422">
        <v>0</v>
      </c>
    </row>
    <row r="105" spans="1:16" x14ac:dyDescent="0.25">
      <c r="A105" s="167" t="s">
        <v>141</v>
      </c>
      <c r="B105" s="332">
        <f t="shared" si="26"/>
        <v>319</v>
      </c>
      <c r="C105" s="130">
        <f t="shared" si="27"/>
        <v>159.5</v>
      </c>
      <c r="D105" s="421">
        <f>P94</f>
        <v>30.592198525900702</v>
      </c>
      <c r="E105" s="130">
        <f>'[1]Project Summary'!H29</f>
        <v>0</v>
      </c>
      <c r="F105" s="410">
        <f t="shared" si="29"/>
        <v>128.9078014740993</v>
      </c>
      <c r="G105" s="130">
        <f t="shared" si="28"/>
        <v>159.5</v>
      </c>
      <c r="H105" s="73"/>
      <c r="I105" s="125">
        <v>0</v>
      </c>
      <c r="J105" s="411">
        <f t="shared" si="30"/>
        <v>288.4078014740993</v>
      </c>
      <c r="K105" s="331">
        <f>E82</f>
        <v>120.0204266460572</v>
      </c>
      <c r="L105" s="422">
        <f t="shared" ref="L105:L108" si="31">J105+K105</f>
        <v>408.42822812015652</v>
      </c>
    </row>
    <row r="106" spans="1:16" x14ac:dyDescent="0.25">
      <c r="A106" s="167" t="s">
        <v>143</v>
      </c>
      <c r="B106" s="332">
        <f t="shared" si="26"/>
        <v>28</v>
      </c>
      <c r="C106" s="130">
        <f t="shared" si="27"/>
        <v>14</v>
      </c>
      <c r="D106" s="409">
        <v>0</v>
      </c>
      <c r="E106" s="130">
        <f>'[1]Project Summary'!H32</f>
        <v>0</v>
      </c>
      <c r="F106" s="410">
        <f t="shared" si="29"/>
        <v>14</v>
      </c>
      <c r="G106" s="130">
        <f t="shared" si="28"/>
        <v>14</v>
      </c>
      <c r="H106" s="73"/>
      <c r="I106" s="125">
        <v>0</v>
      </c>
      <c r="J106" s="411">
        <f t="shared" si="30"/>
        <v>28</v>
      </c>
      <c r="K106" s="331">
        <f>E83</f>
        <v>43.165241162178475</v>
      </c>
      <c r="L106" s="422">
        <f t="shared" si="31"/>
        <v>71.165241162178475</v>
      </c>
    </row>
    <row r="107" spans="1:16" x14ac:dyDescent="0.25">
      <c r="A107" s="167" t="s">
        <v>144</v>
      </c>
      <c r="B107" s="332">
        <f t="shared" si="26"/>
        <v>31</v>
      </c>
      <c r="C107" s="130">
        <f t="shared" si="27"/>
        <v>15.5</v>
      </c>
      <c r="D107" s="409">
        <v>0</v>
      </c>
      <c r="E107" s="130">
        <f>'[1]Project Summary'!H39</f>
        <v>0</v>
      </c>
      <c r="F107" s="410">
        <f t="shared" si="29"/>
        <v>15.5</v>
      </c>
      <c r="G107" s="130">
        <f t="shared" si="28"/>
        <v>15.5</v>
      </c>
      <c r="H107" s="73"/>
      <c r="I107" s="125">
        <v>0</v>
      </c>
      <c r="J107" s="411">
        <f t="shared" si="30"/>
        <v>31</v>
      </c>
      <c r="K107" s="331">
        <f>E84</f>
        <v>0</v>
      </c>
      <c r="L107" s="422">
        <f t="shared" si="31"/>
        <v>31</v>
      </c>
    </row>
    <row r="108" spans="1:16" x14ac:dyDescent="0.25">
      <c r="A108" s="167" t="s">
        <v>142</v>
      </c>
      <c r="B108" s="332">
        <f t="shared" si="26"/>
        <v>12</v>
      </c>
      <c r="C108" s="130">
        <f t="shared" si="27"/>
        <v>6</v>
      </c>
      <c r="D108" s="409">
        <v>0</v>
      </c>
      <c r="E108" s="130">
        <f>'[1]Project Summary'!H42</f>
        <v>0</v>
      </c>
      <c r="F108" s="410">
        <f t="shared" si="29"/>
        <v>6</v>
      </c>
      <c r="G108" s="130">
        <f t="shared" si="28"/>
        <v>6</v>
      </c>
      <c r="H108" s="73"/>
      <c r="I108" s="125">
        <f t="shared" ref="I108" si="32">D108</f>
        <v>0</v>
      </c>
      <c r="J108" s="411">
        <f t="shared" si="30"/>
        <v>12</v>
      </c>
      <c r="K108" s="331">
        <f>E85</f>
        <v>0</v>
      </c>
      <c r="L108" s="422">
        <f t="shared" si="31"/>
        <v>12</v>
      </c>
    </row>
    <row r="109" spans="1:16" ht="13.8" thickBot="1" x14ac:dyDescent="0.3">
      <c r="A109" s="412" t="s">
        <v>133</v>
      </c>
      <c r="B109" s="413">
        <f>SUM(B102:B108)</f>
        <v>543</v>
      </c>
      <c r="C109" s="414">
        <f>SUM(C102:C108)</f>
        <v>271.5</v>
      </c>
      <c r="D109" s="414">
        <f>SUM(D102:D108)</f>
        <v>36.01250492075944</v>
      </c>
      <c r="E109" s="414">
        <f>SUM(E102:E108)</f>
        <v>2988.01</v>
      </c>
      <c r="F109" s="415">
        <f t="shared" ref="F109" si="33">C109-D109-E109</f>
        <v>-2752.5225049207597</v>
      </c>
      <c r="G109" s="414">
        <f>SUM(G102:G108)</f>
        <v>271.5</v>
      </c>
      <c r="H109" s="412"/>
      <c r="I109" s="414">
        <f>SUM(I102:I108)</f>
        <v>0</v>
      </c>
      <c r="J109" s="416">
        <f>SUM(J102:J108)</f>
        <v>-2481.0225049207593</v>
      </c>
      <c r="K109" s="414">
        <f>SUM(K102:K108)</f>
        <v>223.18566780823568</v>
      </c>
      <c r="L109" s="423">
        <f>SUM(L102:L108)</f>
        <v>617.53882710354299</v>
      </c>
    </row>
    <row r="110" spans="1:16" x14ac:dyDescent="0.25">
      <c r="A110" s="417" t="s">
        <v>372</v>
      </c>
      <c r="B110" s="418"/>
      <c r="C110" s="419"/>
      <c r="D110" s="419"/>
      <c r="E110" s="419"/>
      <c r="F110" s="420"/>
      <c r="G110" s="419"/>
      <c r="H110" s="417"/>
      <c r="I110" s="419"/>
      <c r="J110" s="419"/>
      <c r="K110" s="419"/>
      <c r="L110" s="419"/>
    </row>
  </sheetData>
  <mergeCells count="3">
    <mergeCell ref="B1:J2"/>
    <mergeCell ref="A77:F77"/>
    <mergeCell ref="A100:L100"/>
  </mergeCells>
  <phoneticPr fontId="0" type="noConversion"/>
  <printOptions gridLines="1"/>
  <pageMargins left="0.5" right="0.5" top="1" bottom="0.75" header="0.5" footer="0.5"/>
  <pageSetup paperSize="3" scale="75" pageOrder="overThenDown" orientation="landscape" r:id="rId1"/>
  <headerFooter alignWithMargins="0">
    <oddHeader>&amp;L&amp;"Arial,Bold"&amp;14DRAFT Orange Lake Total Phosphorus Loading Reduction Goals by Jurisdiction&amp;RDRAFT</oddHeader>
    <oddFooter xml:space="preserve">&amp;LWater Quality Restoration Program&amp;CFDEP August 23, 2016&amp;R&amp;"Arial,Bold"&amp;14Draft&amp;"Arial,Italic"
&amp;12 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opLeftCell="A3" workbookViewId="0">
      <selection activeCell="T14" sqref="T14"/>
    </sheetView>
  </sheetViews>
  <sheetFormatPr defaultRowHeight="13.2" x14ac:dyDescent="0.25"/>
  <cols>
    <col min="1" max="1" width="16.5546875" customWidth="1"/>
    <col min="2" max="2" width="16.109375" customWidth="1"/>
    <col min="3" max="3" width="16.5546875" customWidth="1"/>
    <col min="4" max="4" width="15.44140625" customWidth="1"/>
    <col min="5" max="5" width="13.6640625" customWidth="1"/>
    <col min="6" max="6" width="14.6640625" customWidth="1"/>
    <col min="7" max="7" width="15.109375" customWidth="1"/>
    <col min="8" max="9" width="14.88671875" customWidth="1"/>
    <col min="10" max="10" width="14.109375" customWidth="1"/>
    <col min="11" max="11" width="13.33203125" customWidth="1"/>
    <col min="12" max="12" width="13.44140625" customWidth="1"/>
    <col min="13" max="13" width="13.33203125" customWidth="1"/>
    <col min="14" max="14" width="13" customWidth="1"/>
    <col min="15" max="15" width="15.109375" customWidth="1"/>
    <col min="16" max="16" width="14.44140625" customWidth="1"/>
    <col min="17" max="17" width="13.88671875" customWidth="1"/>
    <col min="18" max="18" width="15" customWidth="1"/>
    <col min="19" max="19" width="15.5546875" customWidth="1"/>
    <col min="20" max="20" width="13.88671875" customWidth="1"/>
  </cols>
  <sheetData>
    <row r="1" spans="1:20" ht="45.75" customHeight="1" x14ac:dyDescent="0.25">
      <c r="B1" s="451" t="s">
        <v>394</v>
      </c>
      <c r="C1" s="452"/>
      <c r="D1" s="452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4"/>
      <c r="S1" s="455"/>
      <c r="T1" s="378"/>
    </row>
    <row r="2" spans="1:20" ht="76.5" customHeight="1" x14ac:dyDescent="0.25">
      <c r="A2" s="377" t="s">
        <v>302</v>
      </c>
      <c r="B2" s="402" t="s">
        <v>305</v>
      </c>
      <c r="C2" s="385" t="s">
        <v>303</v>
      </c>
      <c r="D2" s="385" t="s">
        <v>304</v>
      </c>
      <c r="E2" s="385" t="s">
        <v>318</v>
      </c>
      <c r="F2" s="385" t="s">
        <v>313</v>
      </c>
      <c r="G2" s="385" t="s">
        <v>314</v>
      </c>
      <c r="H2" s="385" t="s">
        <v>315</v>
      </c>
      <c r="I2" s="385" t="s">
        <v>316</v>
      </c>
      <c r="J2" s="385" t="s">
        <v>317</v>
      </c>
      <c r="K2" s="385" t="s">
        <v>307</v>
      </c>
      <c r="L2" s="385" t="s">
        <v>308</v>
      </c>
      <c r="M2" s="385" t="s">
        <v>309</v>
      </c>
      <c r="N2" s="385" t="s">
        <v>310</v>
      </c>
      <c r="O2" s="385" t="s">
        <v>311</v>
      </c>
      <c r="P2" s="385" t="s">
        <v>312</v>
      </c>
      <c r="Q2" s="385" t="s">
        <v>306</v>
      </c>
      <c r="R2" s="385" t="s">
        <v>319</v>
      </c>
      <c r="S2" s="385" t="s">
        <v>320</v>
      </c>
      <c r="T2" s="385" t="s">
        <v>321</v>
      </c>
    </row>
    <row r="3" spans="1:20" x14ac:dyDescent="0.25">
      <c r="A3" s="73" t="s">
        <v>62</v>
      </c>
      <c r="B3" s="165">
        <f>'Orange Lake LU'!C9</f>
        <v>15.1348113916</v>
      </c>
      <c r="C3" s="126">
        <f>'Orange Lake LU'!E9</f>
        <v>6.9518872620398409E-2</v>
      </c>
      <c r="D3" s="125">
        <f>C3*'Orange Lake BMAP'!E$9</f>
        <v>6.5347740263174501</v>
      </c>
      <c r="E3" s="165">
        <f>'Orange Lake LU'!C7</f>
        <v>698.06436099500002</v>
      </c>
      <c r="F3" s="126">
        <f>'Orange Lake LU'!E7</f>
        <v>8.5321331776393575E-2</v>
      </c>
      <c r="G3" s="136">
        <f>'Orange Lake BMAP'!E$10*F3</f>
        <v>35.678536904495246</v>
      </c>
      <c r="H3" s="165">
        <f>'Orange Lake LU'!C8</f>
        <v>15.9160712459</v>
      </c>
      <c r="I3" s="126">
        <f>'Orange Lake LU'!E8</f>
        <v>3.935931749427115E-2</v>
      </c>
      <c r="J3" s="125">
        <f>'Orange Lake BMAP'!E$11*'Orange Lake education credits'!I3</f>
        <v>6.6189252252865982</v>
      </c>
      <c r="K3" s="165">
        <f>'Orange Lake LU'!C6</f>
        <v>13.948468413400001</v>
      </c>
      <c r="L3" s="126">
        <f>'Orange Lake LU'!E6</f>
        <v>2.6589464898671488E-2</v>
      </c>
      <c r="M3" s="125">
        <f>L3*'Orange Lake BMAP'!E$12</f>
        <v>0.11078943707779787</v>
      </c>
      <c r="N3" s="165">
        <f>'Orange Lake LU'!C10</f>
        <v>1.4202213429499999</v>
      </c>
      <c r="O3" s="126">
        <f>'Orange Lake LU'!E10</f>
        <v>8.0000000000000002E-3</v>
      </c>
      <c r="P3" s="125">
        <f>O3*'Orange Lake BMAP'!E$13</f>
        <v>5.6000000000000001E-2</v>
      </c>
      <c r="Q3" s="132" t="s">
        <v>129</v>
      </c>
      <c r="R3" s="145" t="s">
        <v>129</v>
      </c>
      <c r="S3" s="132" t="s">
        <v>129</v>
      </c>
      <c r="T3" s="210">
        <f>D3+G3+J3+M3+P3</f>
        <v>48.999025593177088</v>
      </c>
    </row>
    <row r="4" spans="1:20" x14ac:dyDescent="0.25">
      <c r="A4" s="167" t="s">
        <v>120</v>
      </c>
      <c r="B4" s="132" t="s">
        <v>129</v>
      </c>
      <c r="C4" s="132" t="s">
        <v>129</v>
      </c>
      <c r="D4" s="382" t="s">
        <v>129</v>
      </c>
      <c r="E4" s="132" t="s">
        <v>129</v>
      </c>
      <c r="F4" s="126"/>
      <c r="G4" s="366"/>
      <c r="H4" s="132" t="s">
        <v>129</v>
      </c>
      <c r="I4" s="145" t="s">
        <v>129</v>
      </c>
      <c r="J4" s="125"/>
      <c r="K4" s="132" t="s">
        <v>129</v>
      </c>
      <c r="L4" s="126"/>
      <c r="M4" s="125"/>
      <c r="N4" s="132" t="s">
        <v>129</v>
      </c>
      <c r="O4" s="145" t="s">
        <v>129</v>
      </c>
      <c r="P4" s="127" t="s">
        <v>129</v>
      </c>
      <c r="Q4" s="165">
        <f>'Orange Lake LU'!C13</f>
        <v>72.549159808200002</v>
      </c>
      <c r="R4" s="126">
        <f>'Orange Lake LU'!E13</f>
        <v>8.9812159962319449E-2</v>
      </c>
      <c r="S4" s="125">
        <v>18</v>
      </c>
      <c r="T4" s="210">
        <f>S4</f>
        <v>18</v>
      </c>
    </row>
    <row r="5" spans="1:20" x14ac:dyDescent="0.25">
      <c r="A5" s="167" t="s">
        <v>140</v>
      </c>
      <c r="B5" s="132" t="s">
        <v>129</v>
      </c>
      <c r="C5" s="132" t="s">
        <v>129</v>
      </c>
      <c r="D5" s="382" t="s">
        <v>129</v>
      </c>
      <c r="E5" s="132" t="s">
        <v>129</v>
      </c>
      <c r="F5" s="126"/>
      <c r="G5" s="366"/>
      <c r="H5" s="132" t="s">
        <v>129</v>
      </c>
      <c r="I5" s="145" t="s">
        <v>129</v>
      </c>
      <c r="J5" s="125"/>
      <c r="K5" s="132" t="s">
        <v>129</v>
      </c>
      <c r="L5" s="126"/>
      <c r="M5" s="125"/>
      <c r="N5" s="132" t="s">
        <v>129</v>
      </c>
      <c r="O5" s="145" t="s">
        <v>129</v>
      </c>
      <c r="P5" s="127" t="s">
        <v>129</v>
      </c>
      <c r="Q5" s="165">
        <f>'Orange Lake LU'!C14</f>
        <v>689.07791322599996</v>
      </c>
      <c r="R5" s="126">
        <f>'Orange Lake LU'!E14</f>
        <v>0.85304331480569162</v>
      </c>
      <c r="S5" s="125">
        <f>R5*'Orange Lake BMAP'!E$14</f>
        <v>172.03040181914781</v>
      </c>
      <c r="T5" s="210">
        <f>S5</f>
        <v>172.03040181914781</v>
      </c>
    </row>
    <row r="6" spans="1:20" x14ac:dyDescent="0.25">
      <c r="A6" s="167" t="s">
        <v>141</v>
      </c>
      <c r="B6" s="165">
        <f>'Orange Lake LU'!C19</f>
        <v>191.95335717</v>
      </c>
      <c r="C6" s="126">
        <f>'Orange Lake LU'!E19</f>
        <v>0.88170117491952094</v>
      </c>
      <c r="D6" s="125">
        <f>C6*'Orange Lake BMAP'!E$9</f>
        <v>82.879910442434962</v>
      </c>
      <c r="E6" s="403">
        <f>'Orange Lake LU'!C17</f>
        <v>6802.71058928</v>
      </c>
      <c r="F6" s="126">
        <f>'Orange Lake LU'!E17</f>
        <v>0.83146534846648901</v>
      </c>
      <c r="G6" s="136">
        <f>'Orange Lake BMAP'!E$10*F6</f>
        <v>347.69109321707015</v>
      </c>
      <c r="H6" s="165">
        <f>'Orange Lake LU'!C18</f>
        <v>247.84207916700001</v>
      </c>
      <c r="I6" s="126">
        <f>'Orange Lake LU'!E18</f>
        <v>0.61289591706792046</v>
      </c>
      <c r="J6" s="125">
        <f>'Orange Lake BMAP'!E$11*'Orange Lake education credits'!I6</f>
        <v>103.06866338692195</v>
      </c>
      <c r="K6" s="165">
        <f>'Orange Lake LU'!C16</f>
        <v>458.04242434600002</v>
      </c>
      <c r="L6" s="126">
        <f>'Orange Lake LU'!E16</f>
        <v>0.87314984006058682</v>
      </c>
      <c r="M6" s="125">
        <f>L6*'Orange Lake BMAP'!E$12</f>
        <v>3.6381243335857785</v>
      </c>
      <c r="N6" s="165">
        <f>'Orange Lake LU'!C20</f>
        <v>183.351168234</v>
      </c>
      <c r="O6" s="126">
        <f>'Orange Lake LU'!E20</f>
        <v>0.99199999999999999</v>
      </c>
      <c r="P6" s="125">
        <f>O6*'Orange Lake BMAP'!E$13</f>
        <v>6.944</v>
      </c>
      <c r="Q6" s="165">
        <f>'Orange Lake LU'!C15</f>
        <v>46.160645674199998</v>
      </c>
      <c r="R6" s="126">
        <f>'Orange Lake LU'!E15</f>
        <v>5.7144525232483999E-2</v>
      </c>
      <c r="S6" s="125">
        <v>12</v>
      </c>
      <c r="T6" s="210">
        <f>D6+G6+J6+M6+P6+S6</f>
        <v>556.22179138001275</v>
      </c>
    </row>
    <row r="7" spans="1:20" x14ac:dyDescent="0.25">
      <c r="A7" s="167" t="s">
        <v>143</v>
      </c>
      <c r="B7" s="165">
        <f>'Orange Lake LU'!C24</f>
        <v>6.6737480405699996</v>
      </c>
      <c r="C7" s="126">
        <f>'Orange Lake LU'!E24</f>
        <v>3.0654590131894068E-2</v>
      </c>
      <c r="D7" s="125">
        <f>C7*'Orange Lake BMAP'!E$9</f>
        <v>2.8815314723980423</v>
      </c>
      <c r="E7" s="165">
        <f>'Orange Lake LU'!C22</f>
        <v>190.45342905800001</v>
      </c>
      <c r="F7" s="126">
        <f>'Orange Lake LU'!E22</f>
        <v>2.3278283660617714E-2</v>
      </c>
      <c r="G7" s="136">
        <f>'Orange Lake BMAP'!E$10*F7</f>
        <v>9.7342022840816416</v>
      </c>
      <c r="H7" s="165">
        <f>'Orange Lake LU'!C23</f>
        <v>85.589215754799994</v>
      </c>
      <c r="I7" s="126">
        <f>'Orange Lake LU'!E23</f>
        <v>0.21165607171095302</v>
      </c>
      <c r="J7" s="125">
        <f>'Orange Lake BMAP'!E$11*'Orange Lake education credits'!I7</f>
        <v>35.593496059391931</v>
      </c>
      <c r="K7" s="165">
        <f>'Orange Lake LU'!C21</f>
        <v>30.963419394599999</v>
      </c>
      <c r="L7" s="126">
        <f>'Orange Lake LU'!E21</f>
        <v>5.9024455498256204E-2</v>
      </c>
      <c r="M7" s="125">
        <f>L7*'Orange Lake BMAP'!E$12</f>
        <v>0.2459352312427342</v>
      </c>
      <c r="N7" s="132" t="s">
        <v>129</v>
      </c>
      <c r="O7" s="145" t="s">
        <v>129</v>
      </c>
      <c r="P7" s="127" t="s">
        <v>129</v>
      </c>
      <c r="Q7" s="132" t="s">
        <v>129</v>
      </c>
      <c r="R7" s="145" t="s">
        <v>129</v>
      </c>
      <c r="S7" s="132" t="s">
        <v>129</v>
      </c>
      <c r="T7" s="210">
        <f>D7+G7+J7+M7</f>
        <v>48.455165047114349</v>
      </c>
    </row>
    <row r="8" spans="1:20" x14ac:dyDescent="0.25">
      <c r="A8" s="167" t="s">
        <v>144</v>
      </c>
      <c r="B8" s="165">
        <f>'Orange Lake LU'!C31</f>
        <v>3.94603551364</v>
      </c>
      <c r="C8" s="126">
        <f>'Orange Lake LU'!E31</f>
        <v>1.8125362327313876E-2</v>
      </c>
      <c r="D8" s="125">
        <f>C8*'Orange Lake BMAP'!E$9</f>
        <v>1.7037840587675044</v>
      </c>
      <c r="E8" s="165">
        <f>'Orange Lake LU'!C29</f>
        <v>97.380667999500005</v>
      </c>
      <c r="F8" s="126">
        <f>'Orange Lake LU'!E29</f>
        <v>1.1902410074551398E-2</v>
      </c>
      <c r="G8" s="136">
        <f>'Orange Lake BMAP'!E$10*F8</f>
        <v>4.9771911461749099</v>
      </c>
      <c r="H8" s="165">
        <f>'Orange Lake LU'!C30</f>
        <v>55.031374603000003</v>
      </c>
      <c r="I8" s="126">
        <f>'Orange Lake LU'!E30</f>
        <v>0.13608869372858651</v>
      </c>
      <c r="J8" s="125">
        <f>'Orange Lake BMAP'!E$11*'Orange Lake education credits'!I8</f>
        <v>22.885581995357295</v>
      </c>
      <c r="K8" s="165">
        <f>'Orange Lake LU'!C28</f>
        <v>7.9677841797499998</v>
      </c>
      <c r="L8" s="126">
        <f>'Orange Lake LU'!E28</f>
        <v>1.5188701116756589E-2</v>
      </c>
      <c r="M8" s="125">
        <f>L8*'Orange Lake BMAP'!E$12</f>
        <v>6.3286254653152463E-2</v>
      </c>
      <c r="N8" s="165">
        <f>'Orange Lake LU'!C32</f>
        <v>5.4974549999700001E-2</v>
      </c>
      <c r="O8" s="126">
        <v>0</v>
      </c>
      <c r="P8" s="125">
        <v>0</v>
      </c>
      <c r="Q8" s="132" t="s">
        <v>129</v>
      </c>
      <c r="R8" s="145" t="s">
        <v>129</v>
      </c>
      <c r="S8" s="132" t="s">
        <v>129</v>
      </c>
      <c r="T8" s="210">
        <f>D8+G8+J8+M8+P8</f>
        <v>29.629843454952862</v>
      </c>
    </row>
    <row r="9" spans="1:20" x14ac:dyDescent="0.25">
      <c r="A9" s="167" t="s">
        <v>142</v>
      </c>
      <c r="B9" s="132" t="s">
        <v>129</v>
      </c>
      <c r="C9" s="132" t="s">
        <v>129</v>
      </c>
      <c r="D9" s="127" t="s">
        <v>129</v>
      </c>
      <c r="E9" s="165">
        <f>'Orange Lake LU'!C34</f>
        <v>392.983368794</v>
      </c>
      <c r="F9" s="126">
        <f>'Orange Lake LU'!E34</f>
        <v>4.8032626022742719E-2</v>
      </c>
      <c r="G9" s="136">
        <f>'Orange Lake BMAP'!E$10*F9</f>
        <v>20.085643115176914</v>
      </c>
      <c r="H9" s="132" t="s">
        <v>129</v>
      </c>
      <c r="I9" s="145" t="s">
        <v>129</v>
      </c>
      <c r="J9" s="132" t="s">
        <v>129</v>
      </c>
      <c r="K9" s="165">
        <f>'Orange Lake LU'!C33</f>
        <v>13.6641812224</v>
      </c>
      <c r="L9" s="126">
        <f>'Orange Lake LU'!E33</f>
        <v>2.6047538426014847E-2</v>
      </c>
      <c r="M9" s="125">
        <f>L9*'Orange Lake BMAP'!E$12</f>
        <v>0.1085314101083952</v>
      </c>
      <c r="N9" s="132" t="s">
        <v>129</v>
      </c>
      <c r="O9" s="145" t="s">
        <v>129</v>
      </c>
      <c r="P9" s="127" t="s">
        <v>129</v>
      </c>
      <c r="Q9" s="132" t="s">
        <v>129</v>
      </c>
      <c r="R9" s="145" t="s">
        <v>129</v>
      </c>
      <c r="S9" s="132" t="s">
        <v>129</v>
      </c>
      <c r="T9" s="210">
        <f>G9+M9</f>
        <v>20.194174525285309</v>
      </c>
    </row>
    <row r="10" spans="1:20" x14ac:dyDescent="0.25">
      <c r="A10" s="379" t="s">
        <v>68</v>
      </c>
      <c r="B10" s="380"/>
      <c r="C10" s="381">
        <f>SUM(C3:C9)</f>
        <v>0.99999999999912725</v>
      </c>
      <c r="D10" s="383">
        <f>SUM(D3:D9)</f>
        <v>93.999999999917961</v>
      </c>
      <c r="E10" s="380"/>
      <c r="F10" s="381">
        <f>SUM(F3:F9)</f>
        <v>1.0000000000007945</v>
      </c>
      <c r="G10" s="384">
        <f>SUM(G3:G9)</f>
        <v>418.16666666699882</v>
      </c>
      <c r="H10" s="380"/>
      <c r="I10" s="381">
        <f>SUM(I3:I9)</f>
        <v>1.0000000000017311</v>
      </c>
      <c r="J10" s="383">
        <f>SUM(J3:J9)</f>
        <v>168.16666666695778</v>
      </c>
      <c r="K10" s="380"/>
      <c r="L10" s="381">
        <f>SUM(L3:L9)</f>
        <v>1.000000000000286</v>
      </c>
      <c r="M10" s="383">
        <f>SUM(M3:M9)</f>
        <v>4.166666666667858</v>
      </c>
      <c r="N10" s="380"/>
      <c r="O10" s="381">
        <f>SUM(O3:O9)</f>
        <v>1</v>
      </c>
      <c r="P10" s="380">
        <f>SUM(P3:P9)</f>
        <v>7</v>
      </c>
      <c r="Q10" s="380"/>
      <c r="R10" s="381">
        <f>SUM(R3:R9)</f>
        <v>1.0000000000004952</v>
      </c>
      <c r="S10" s="383">
        <f>SUM(S3:S9)</f>
        <v>202.03040181914781</v>
      </c>
      <c r="T10" s="438">
        <f>SUM(T3:T9)</f>
        <v>893.53040181969016</v>
      </c>
    </row>
    <row r="13" spans="1:20" x14ac:dyDescent="0.25">
      <c r="B13" s="451" t="s">
        <v>395</v>
      </c>
      <c r="C13" s="452"/>
      <c r="D13" s="452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  <c r="Q13" s="453"/>
      <c r="R13" s="454"/>
      <c r="S13" s="454"/>
      <c r="T13" s="455"/>
    </row>
    <row r="14" spans="1:20" ht="75.75" customHeight="1" x14ac:dyDescent="0.25">
      <c r="A14" s="377" t="s">
        <v>302</v>
      </c>
      <c r="B14" s="385" t="s">
        <v>305</v>
      </c>
      <c r="C14" s="385" t="s">
        <v>303</v>
      </c>
      <c r="D14" s="385" t="s">
        <v>322</v>
      </c>
      <c r="E14" s="385" t="s">
        <v>318</v>
      </c>
      <c r="F14" s="385" t="s">
        <v>313</v>
      </c>
      <c r="G14" s="385" t="s">
        <v>314</v>
      </c>
      <c r="H14" s="385" t="s">
        <v>315</v>
      </c>
      <c r="I14" s="385" t="s">
        <v>316</v>
      </c>
      <c r="J14" s="385" t="s">
        <v>317</v>
      </c>
      <c r="K14" s="385" t="s">
        <v>307</v>
      </c>
      <c r="L14" s="385" t="s">
        <v>308</v>
      </c>
      <c r="M14" s="385" t="s">
        <v>309</v>
      </c>
      <c r="N14" s="385" t="s">
        <v>310</v>
      </c>
      <c r="O14" s="385" t="s">
        <v>311</v>
      </c>
      <c r="P14" s="385" t="s">
        <v>312</v>
      </c>
      <c r="Q14" s="385" t="s">
        <v>306</v>
      </c>
      <c r="R14" s="385" t="s">
        <v>319</v>
      </c>
      <c r="S14" s="385" t="s">
        <v>320</v>
      </c>
      <c r="T14" s="385" t="s">
        <v>133</v>
      </c>
    </row>
    <row r="15" spans="1:20" x14ac:dyDescent="0.25">
      <c r="A15" s="73" t="s">
        <v>62</v>
      </c>
      <c r="B15" s="146" t="s">
        <v>129</v>
      </c>
      <c r="C15" s="145" t="s">
        <v>129</v>
      </c>
      <c r="D15" s="127" t="s">
        <v>129</v>
      </c>
      <c r="E15" s="165">
        <f>'Orange Lake LU'!C5</f>
        <v>254.372283571</v>
      </c>
      <c r="F15" s="126">
        <f>'Orange Lake LU'!E5</f>
        <v>0.75780365563429364</v>
      </c>
      <c r="G15" s="136">
        <f>F15*'Orange Lake BMAP'!E$23</f>
        <v>18.187287735223048</v>
      </c>
      <c r="H15" s="146" t="s">
        <v>129</v>
      </c>
      <c r="I15" s="145" t="s">
        <v>129</v>
      </c>
      <c r="J15" s="127" t="s">
        <v>129</v>
      </c>
      <c r="K15" s="165">
        <f>'Orange Lake LU'!C4</f>
        <v>5.4685365097199998</v>
      </c>
      <c r="L15" s="126">
        <f>'Orange Lake LU'!E4</f>
        <v>0.15852974166408262</v>
      </c>
      <c r="M15" s="125">
        <f>L15*'Orange Lake BMAP'!E25</f>
        <v>0</v>
      </c>
      <c r="N15" s="165">
        <f>'Orange Lake LU'!C11</f>
        <v>2.94360842129</v>
      </c>
      <c r="O15" s="126">
        <f>'Orange Lake LU'!E11</f>
        <v>1</v>
      </c>
      <c r="P15" s="366">
        <f>O15*'Orange Lake BMAP'!E26</f>
        <v>0</v>
      </c>
      <c r="Q15" s="146">
        <f>'Orange Lake LU'!C3</f>
        <v>1.4762225196600001</v>
      </c>
      <c r="R15" s="145">
        <f>'Orange Lake LU'!E3</f>
        <v>5.1007345843512998E-2</v>
      </c>
      <c r="S15" s="127">
        <f>R15*'Orange Lake BMAP'!E$27</f>
        <v>0.39105631813359965</v>
      </c>
      <c r="T15" s="125">
        <f>G15+M15+P15+S15</f>
        <v>18.578344053356648</v>
      </c>
    </row>
    <row r="16" spans="1:20" x14ac:dyDescent="0.25">
      <c r="A16" s="167" t="s">
        <v>120</v>
      </c>
      <c r="B16" s="132" t="s">
        <v>129</v>
      </c>
      <c r="C16" s="132" t="s">
        <v>129</v>
      </c>
      <c r="D16" s="382" t="s">
        <v>129</v>
      </c>
      <c r="E16" s="132" t="s">
        <v>129</v>
      </c>
      <c r="F16" s="145" t="s">
        <v>129</v>
      </c>
      <c r="G16" s="132" t="s">
        <v>129</v>
      </c>
      <c r="H16" s="132" t="s">
        <v>129</v>
      </c>
      <c r="I16" s="145" t="s">
        <v>129</v>
      </c>
      <c r="J16" s="127" t="s">
        <v>129</v>
      </c>
      <c r="K16" s="132" t="s">
        <v>129</v>
      </c>
      <c r="L16" s="145" t="s">
        <v>129</v>
      </c>
      <c r="M16" s="127" t="s">
        <v>129</v>
      </c>
      <c r="N16" s="132" t="s">
        <v>129</v>
      </c>
      <c r="O16" s="145" t="s">
        <v>129</v>
      </c>
      <c r="P16" s="132" t="s">
        <v>129</v>
      </c>
      <c r="Q16" s="146">
        <f>'Orange Lake LU'!C12</f>
        <v>27.465148478</v>
      </c>
      <c r="R16" s="126">
        <f>'Orange Lake LU'!E12</f>
        <v>0.94899265415856016</v>
      </c>
      <c r="S16" s="127">
        <f>R16*'Orange Lake BMAP'!E$27</f>
        <v>7.2756103485489616</v>
      </c>
      <c r="T16" s="125">
        <f>S16</f>
        <v>7.2756103485489616</v>
      </c>
    </row>
    <row r="17" spans="1:20" x14ac:dyDescent="0.25">
      <c r="A17" s="167" t="s">
        <v>140</v>
      </c>
      <c r="B17" s="132" t="s">
        <v>129</v>
      </c>
      <c r="C17" s="132" t="s">
        <v>129</v>
      </c>
      <c r="D17" s="382" t="s">
        <v>129</v>
      </c>
      <c r="E17" s="132" t="s">
        <v>129</v>
      </c>
      <c r="F17" s="145" t="s">
        <v>129</v>
      </c>
      <c r="G17" s="132" t="s">
        <v>129</v>
      </c>
      <c r="H17" s="132" t="s">
        <v>129</v>
      </c>
      <c r="I17" s="145" t="s">
        <v>129</v>
      </c>
      <c r="J17" s="127" t="s">
        <v>129</v>
      </c>
      <c r="K17" s="132" t="s">
        <v>129</v>
      </c>
      <c r="L17" s="145" t="s">
        <v>129</v>
      </c>
      <c r="M17" s="127" t="s">
        <v>129</v>
      </c>
      <c r="N17" s="132" t="s">
        <v>129</v>
      </c>
      <c r="O17" s="145" t="s">
        <v>129</v>
      </c>
      <c r="P17" s="132" t="s">
        <v>129</v>
      </c>
      <c r="Q17" s="146" t="s">
        <v>129</v>
      </c>
      <c r="R17" s="145" t="s">
        <v>129</v>
      </c>
      <c r="S17" s="127" t="s">
        <v>129</v>
      </c>
      <c r="T17" s="127" t="s">
        <v>129</v>
      </c>
    </row>
    <row r="18" spans="1:20" x14ac:dyDescent="0.25">
      <c r="A18" s="167" t="s">
        <v>141</v>
      </c>
      <c r="B18" s="146" t="s">
        <v>129</v>
      </c>
      <c r="C18" s="145" t="s">
        <v>129</v>
      </c>
      <c r="D18" s="127" t="s">
        <v>129</v>
      </c>
      <c r="E18" s="146" t="s">
        <v>129</v>
      </c>
      <c r="F18" s="145" t="s">
        <v>129</v>
      </c>
      <c r="G18" s="141" t="s">
        <v>129</v>
      </c>
      <c r="H18" s="146" t="s">
        <v>129</v>
      </c>
      <c r="I18" s="145" t="s">
        <v>129</v>
      </c>
      <c r="J18" s="127" t="s">
        <v>129</v>
      </c>
      <c r="K18" s="146" t="s">
        <v>129</v>
      </c>
      <c r="L18" s="145" t="s">
        <v>129</v>
      </c>
      <c r="M18" s="127" t="s">
        <v>129</v>
      </c>
      <c r="N18" s="146" t="s">
        <v>129</v>
      </c>
      <c r="O18" s="145" t="s">
        <v>129</v>
      </c>
      <c r="P18" s="132" t="s">
        <v>129</v>
      </c>
      <c r="Q18" s="146" t="s">
        <v>129</v>
      </c>
      <c r="R18" s="145" t="s">
        <v>129</v>
      </c>
      <c r="S18" s="127" t="s">
        <v>129</v>
      </c>
      <c r="T18" s="127" t="s">
        <v>129</v>
      </c>
    </row>
    <row r="19" spans="1:20" x14ac:dyDescent="0.25">
      <c r="A19" s="167" t="s">
        <v>143</v>
      </c>
      <c r="B19" s="146" t="s">
        <v>129</v>
      </c>
      <c r="C19" s="145" t="s">
        <v>129</v>
      </c>
      <c r="D19" s="127" t="s">
        <v>129</v>
      </c>
      <c r="E19" s="146" t="s">
        <v>129</v>
      </c>
      <c r="F19" s="145" t="s">
        <v>129</v>
      </c>
      <c r="G19" s="141" t="s">
        <v>129</v>
      </c>
      <c r="H19" s="146" t="s">
        <v>129</v>
      </c>
      <c r="I19" s="145" t="s">
        <v>129</v>
      </c>
      <c r="J19" s="127" t="s">
        <v>129</v>
      </c>
      <c r="K19" s="146" t="s">
        <v>129</v>
      </c>
      <c r="L19" s="145" t="s">
        <v>129</v>
      </c>
      <c r="M19" s="127" t="s">
        <v>129</v>
      </c>
      <c r="N19" s="132" t="s">
        <v>129</v>
      </c>
      <c r="O19" s="145" t="s">
        <v>129</v>
      </c>
      <c r="P19" s="132" t="s">
        <v>129</v>
      </c>
      <c r="Q19" s="132" t="s">
        <v>129</v>
      </c>
      <c r="R19" s="145" t="s">
        <v>129</v>
      </c>
      <c r="S19" s="132" t="s">
        <v>129</v>
      </c>
      <c r="T19" s="127" t="s">
        <v>129</v>
      </c>
    </row>
    <row r="20" spans="1:20" x14ac:dyDescent="0.25">
      <c r="A20" s="167" t="s">
        <v>144</v>
      </c>
      <c r="B20" s="146" t="s">
        <v>129</v>
      </c>
      <c r="C20" s="145" t="s">
        <v>129</v>
      </c>
      <c r="D20" s="127" t="s">
        <v>129</v>
      </c>
      <c r="E20" s="165">
        <f>'Orange Lake LU'!C26</f>
        <v>81.2981525366</v>
      </c>
      <c r="F20" s="126">
        <f>'Orange Lake LU'!E26</f>
        <v>0.2421963443645147</v>
      </c>
      <c r="G20" s="136">
        <f>F20*'Orange Lake BMAP'!E$23</f>
        <v>5.8127122647483525</v>
      </c>
      <c r="H20" s="165">
        <f>'Orange Lake LU'!C27</f>
        <v>49.0356364258</v>
      </c>
      <c r="I20" s="126">
        <v>1</v>
      </c>
      <c r="J20" s="125">
        <f>I20*'Orange Lake BMAP'!E24</f>
        <v>18</v>
      </c>
      <c r="K20" s="165">
        <f>'Orange Lake LU'!C25</f>
        <v>29.026798260300001</v>
      </c>
      <c r="L20" s="126">
        <f>'Orange Lake LU'!E25</f>
        <v>0.84147025833359823</v>
      </c>
      <c r="M20" s="125">
        <f>L20*'Orange Lake BMAP'!E30</f>
        <v>0</v>
      </c>
      <c r="N20" s="146" t="s">
        <v>129</v>
      </c>
      <c r="O20" s="145" t="s">
        <v>129</v>
      </c>
      <c r="P20" s="132" t="s">
        <v>129</v>
      </c>
      <c r="Q20" s="132" t="s">
        <v>129</v>
      </c>
      <c r="R20" s="145" t="s">
        <v>129</v>
      </c>
      <c r="S20" s="132" t="s">
        <v>129</v>
      </c>
      <c r="T20" s="125">
        <f>G20+J20+M20</f>
        <v>23.812712264748352</v>
      </c>
    </row>
    <row r="21" spans="1:20" x14ac:dyDescent="0.25">
      <c r="A21" s="167" t="s">
        <v>142</v>
      </c>
      <c r="B21" s="132" t="s">
        <v>129</v>
      </c>
      <c r="C21" s="132" t="s">
        <v>129</v>
      </c>
      <c r="D21" s="127" t="s">
        <v>129</v>
      </c>
      <c r="E21" s="146" t="s">
        <v>129</v>
      </c>
      <c r="F21" s="145" t="s">
        <v>129</v>
      </c>
      <c r="G21" s="141" t="s">
        <v>129</v>
      </c>
      <c r="H21" s="132" t="s">
        <v>129</v>
      </c>
      <c r="I21" s="145" t="s">
        <v>129</v>
      </c>
      <c r="J21" s="132" t="s">
        <v>129</v>
      </c>
      <c r="K21" s="146" t="s">
        <v>129</v>
      </c>
      <c r="L21" s="145" t="s">
        <v>129</v>
      </c>
      <c r="M21" s="127" t="s">
        <v>129</v>
      </c>
      <c r="N21" s="132" t="s">
        <v>129</v>
      </c>
      <c r="O21" s="145" t="s">
        <v>129</v>
      </c>
      <c r="P21" s="132" t="s">
        <v>129</v>
      </c>
      <c r="Q21" s="132" t="s">
        <v>129</v>
      </c>
      <c r="R21" s="145" t="s">
        <v>129</v>
      </c>
      <c r="S21" s="132" t="s">
        <v>129</v>
      </c>
      <c r="T21" s="127" t="s">
        <v>129</v>
      </c>
    </row>
    <row r="22" spans="1:20" x14ac:dyDescent="0.25">
      <c r="A22" s="379" t="s">
        <v>68</v>
      </c>
      <c r="B22" s="380"/>
      <c r="C22" s="381">
        <f>SUM(C15:C21)</f>
        <v>0</v>
      </c>
      <c r="D22" s="383">
        <f>SUM(D15:D21)</f>
        <v>0</v>
      </c>
      <c r="E22" s="380"/>
      <c r="F22" s="381">
        <f>SUM(F15:F21)</f>
        <v>0.99999999999880829</v>
      </c>
      <c r="G22" s="384">
        <f>SUM(G15:G21)</f>
        <v>23.999999999971401</v>
      </c>
      <c r="H22" s="380"/>
      <c r="I22" s="381">
        <f>SUM(I15:I21)</f>
        <v>1</v>
      </c>
      <c r="J22" s="383">
        <f>SUM(J15:J21)</f>
        <v>18</v>
      </c>
      <c r="K22" s="380"/>
      <c r="L22" s="381">
        <f>SUM(L15:L21)</f>
        <v>0.99999999999768086</v>
      </c>
      <c r="M22" s="383">
        <f>SUM(M15:M21)</f>
        <v>0</v>
      </c>
      <c r="N22" s="380"/>
      <c r="O22" s="381">
        <f>SUM(O15:O21)</f>
        <v>1</v>
      </c>
      <c r="P22" s="380">
        <f>SUM(P15:P21)</f>
        <v>0</v>
      </c>
      <c r="Q22" s="380"/>
      <c r="R22" s="381">
        <f>SUM(R15:R21)</f>
        <v>1.0000000000020732</v>
      </c>
      <c r="S22" s="383">
        <f>SUM(S15:S21)</f>
        <v>7.6666666666825609</v>
      </c>
      <c r="T22" s="439">
        <f>SUM(T15:T21)</f>
        <v>49.666666666653967</v>
      </c>
    </row>
    <row r="24" spans="1:20" x14ac:dyDescent="0.25">
      <c r="A24" s="19" t="s">
        <v>365</v>
      </c>
    </row>
  </sheetData>
  <mergeCells count="2">
    <mergeCell ref="B1:S1"/>
    <mergeCell ref="B13:T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H22" sqref="H22"/>
    </sheetView>
  </sheetViews>
  <sheetFormatPr defaultRowHeight="13.2" x14ac:dyDescent="0.25"/>
  <cols>
    <col min="1" max="1" width="30.6640625" customWidth="1"/>
    <col min="4" max="4" width="10" bestFit="1" customWidth="1"/>
    <col min="8" max="8" width="10.88671875" customWidth="1"/>
  </cols>
  <sheetData>
    <row r="1" spans="1:8" x14ac:dyDescent="0.25">
      <c r="A1" s="182" t="s">
        <v>267</v>
      </c>
    </row>
    <row r="2" spans="1:8" x14ac:dyDescent="0.25">
      <c r="A2" s="19" t="s">
        <v>189</v>
      </c>
    </row>
    <row r="3" spans="1:8" x14ac:dyDescent="0.25">
      <c r="A3" s="457" t="s">
        <v>190</v>
      </c>
      <c r="B3" s="457"/>
      <c r="C3" s="457"/>
      <c r="D3" s="457"/>
      <c r="E3" s="457"/>
      <c r="F3" s="457"/>
      <c r="G3" s="457"/>
      <c r="H3" s="457"/>
    </row>
    <row r="4" spans="1:8" x14ac:dyDescent="0.25">
      <c r="A4" s="73"/>
      <c r="B4" s="456" t="s">
        <v>92</v>
      </c>
      <c r="C4" s="456"/>
      <c r="D4" s="456"/>
      <c r="E4" s="456"/>
      <c r="F4" s="456"/>
      <c r="G4" s="456"/>
      <c r="H4" s="456"/>
    </row>
    <row r="5" spans="1:8" x14ac:dyDescent="0.25">
      <c r="A5" s="352" t="s">
        <v>91</v>
      </c>
      <c r="B5" s="353">
        <v>1995</v>
      </c>
      <c r="C5" s="353">
        <v>1996</v>
      </c>
      <c r="D5" s="353">
        <v>1997</v>
      </c>
      <c r="E5" s="353">
        <v>1998</v>
      </c>
      <c r="F5" s="353">
        <v>1999</v>
      </c>
      <c r="G5" s="353">
        <v>2000</v>
      </c>
      <c r="H5" s="97" t="s">
        <v>46</v>
      </c>
    </row>
    <row r="6" spans="1:8" x14ac:dyDescent="0.25">
      <c r="A6" s="167" t="s">
        <v>93</v>
      </c>
      <c r="B6" s="73">
        <v>291</v>
      </c>
      <c r="C6" s="73">
        <v>292</v>
      </c>
      <c r="D6" s="73">
        <v>437</v>
      </c>
      <c r="E6" s="73">
        <v>227</v>
      </c>
      <c r="F6" s="73">
        <v>194</v>
      </c>
      <c r="G6" s="73">
        <v>16</v>
      </c>
      <c r="H6" s="356">
        <f>AVERAGE(B6:G6)</f>
        <v>242.83333333333334</v>
      </c>
    </row>
    <row r="7" spans="1:8" x14ac:dyDescent="0.25">
      <c r="A7" s="167" t="s">
        <v>43</v>
      </c>
      <c r="B7" s="73">
        <v>3</v>
      </c>
      <c r="C7" s="73">
        <v>3</v>
      </c>
      <c r="D7" s="73">
        <v>5</v>
      </c>
      <c r="E7" s="73">
        <v>2</v>
      </c>
      <c r="F7" s="73">
        <v>2</v>
      </c>
      <c r="G7" s="73">
        <v>0</v>
      </c>
      <c r="H7" s="356">
        <f t="shared" ref="H7:H15" si="0">AVERAGE(B7:G7)</f>
        <v>2.5</v>
      </c>
    </row>
    <row r="8" spans="1:8" x14ac:dyDescent="0.25">
      <c r="A8" s="167" t="s">
        <v>27</v>
      </c>
      <c r="B8" s="73">
        <v>329</v>
      </c>
      <c r="C8" s="73">
        <v>330</v>
      </c>
      <c r="D8" s="73">
        <v>493</v>
      </c>
      <c r="E8" s="73">
        <v>256</v>
      </c>
      <c r="F8" s="73">
        <v>219</v>
      </c>
      <c r="G8" s="73">
        <v>18</v>
      </c>
      <c r="H8" s="356">
        <f t="shared" si="0"/>
        <v>274.16666666666669</v>
      </c>
    </row>
    <row r="9" spans="1:8" x14ac:dyDescent="0.25">
      <c r="A9" s="167" t="s">
        <v>34</v>
      </c>
      <c r="B9" s="73">
        <v>29</v>
      </c>
      <c r="C9" s="73">
        <v>29</v>
      </c>
      <c r="D9" s="73">
        <v>43</v>
      </c>
      <c r="E9" s="73">
        <v>22</v>
      </c>
      <c r="F9" s="73">
        <v>19</v>
      </c>
      <c r="G9" s="73">
        <v>2</v>
      </c>
      <c r="H9" s="356">
        <f t="shared" si="0"/>
        <v>24</v>
      </c>
    </row>
    <row r="10" spans="1:8" x14ac:dyDescent="0.25">
      <c r="A10" s="167" t="s">
        <v>35</v>
      </c>
      <c r="B10" s="73">
        <v>22</v>
      </c>
      <c r="C10" s="73">
        <v>22</v>
      </c>
      <c r="D10" s="73">
        <v>32</v>
      </c>
      <c r="E10" s="73">
        <v>17</v>
      </c>
      <c r="F10" s="73">
        <v>14</v>
      </c>
      <c r="G10" s="73">
        <v>1</v>
      </c>
      <c r="H10" s="356">
        <f t="shared" si="0"/>
        <v>18</v>
      </c>
    </row>
    <row r="11" spans="1:8" x14ac:dyDescent="0.25">
      <c r="A11" s="167" t="s">
        <v>36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356">
        <f t="shared" si="0"/>
        <v>0</v>
      </c>
    </row>
    <row r="12" spans="1:8" x14ac:dyDescent="0.25">
      <c r="A12" s="167" t="s">
        <v>94</v>
      </c>
      <c r="B12" s="73">
        <v>9</v>
      </c>
      <c r="C12" s="73">
        <v>9</v>
      </c>
      <c r="D12" s="73">
        <v>14</v>
      </c>
      <c r="E12" s="73">
        <v>7</v>
      </c>
      <c r="F12" s="73">
        <v>6</v>
      </c>
      <c r="G12" s="73">
        <v>1</v>
      </c>
      <c r="H12" s="356">
        <f t="shared" si="0"/>
        <v>7.666666666666667</v>
      </c>
    </row>
    <row r="13" spans="1:8" x14ac:dyDescent="0.25">
      <c r="A13" s="167" t="s">
        <v>33</v>
      </c>
      <c r="B13" s="73">
        <v>6</v>
      </c>
      <c r="C13" s="73">
        <v>6</v>
      </c>
      <c r="D13" s="73">
        <v>9</v>
      </c>
      <c r="E13" s="73">
        <v>5</v>
      </c>
      <c r="F13" s="73">
        <v>4</v>
      </c>
      <c r="G13" s="73">
        <v>0</v>
      </c>
      <c r="H13" s="356">
        <f t="shared" si="0"/>
        <v>5</v>
      </c>
    </row>
    <row r="14" spans="1:8" x14ac:dyDescent="0.25">
      <c r="A14" s="167" t="s">
        <v>95</v>
      </c>
      <c r="B14" s="73">
        <v>940</v>
      </c>
      <c r="C14" s="73">
        <v>943</v>
      </c>
      <c r="D14" s="73">
        <v>1411</v>
      </c>
      <c r="E14" s="73">
        <v>731</v>
      </c>
      <c r="F14" s="73">
        <v>626</v>
      </c>
      <c r="G14" s="73">
        <v>51</v>
      </c>
      <c r="H14" s="356">
        <f t="shared" si="0"/>
        <v>783.66666666666663</v>
      </c>
    </row>
    <row r="15" spans="1:8" x14ac:dyDescent="0.25">
      <c r="A15" s="167" t="s">
        <v>37</v>
      </c>
      <c r="B15" s="73">
        <v>7</v>
      </c>
      <c r="C15" s="73">
        <v>8</v>
      </c>
      <c r="D15" s="73">
        <v>11</v>
      </c>
      <c r="E15" s="73">
        <v>6</v>
      </c>
      <c r="F15" s="73">
        <v>5</v>
      </c>
      <c r="G15" s="73">
        <v>0</v>
      </c>
      <c r="H15" s="356">
        <f t="shared" si="0"/>
        <v>6.166666666666667</v>
      </c>
    </row>
    <row r="16" spans="1:8" x14ac:dyDescent="0.25">
      <c r="A16" s="311" t="s">
        <v>133</v>
      </c>
      <c r="B16" s="354"/>
      <c r="C16" s="354"/>
      <c r="D16" s="354"/>
      <c r="E16" s="354"/>
      <c r="F16" s="354"/>
      <c r="G16" s="354"/>
      <c r="H16" s="355">
        <f>SUM(H6:H15)</f>
        <v>1364</v>
      </c>
    </row>
    <row r="17" spans="1:8" x14ac:dyDescent="0.25">
      <c r="A17" s="73"/>
      <c r="B17" s="73"/>
      <c r="C17" s="73"/>
      <c r="D17" s="73"/>
      <c r="E17" s="73"/>
      <c r="F17" s="73"/>
      <c r="G17" s="73"/>
      <c r="H17" s="159"/>
    </row>
    <row r="18" spans="1:8" x14ac:dyDescent="0.25">
      <c r="A18" s="73"/>
      <c r="B18" s="456" t="s">
        <v>92</v>
      </c>
      <c r="C18" s="456"/>
      <c r="D18" s="456"/>
      <c r="E18" s="456"/>
      <c r="F18" s="456"/>
      <c r="G18" s="456"/>
      <c r="H18" s="456"/>
    </row>
    <row r="19" spans="1:8" x14ac:dyDescent="0.25">
      <c r="A19" s="352" t="s">
        <v>96</v>
      </c>
      <c r="B19" s="353">
        <v>1995</v>
      </c>
      <c r="C19" s="353">
        <v>1996</v>
      </c>
      <c r="D19" s="353">
        <v>1997</v>
      </c>
      <c r="E19" s="353">
        <v>1998</v>
      </c>
      <c r="F19" s="353">
        <v>1999</v>
      </c>
      <c r="G19" s="353">
        <v>2000</v>
      </c>
      <c r="H19" s="97" t="s">
        <v>46</v>
      </c>
    </row>
    <row r="20" spans="1:8" x14ac:dyDescent="0.25">
      <c r="A20" s="167" t="s">
        <v>93</v>
      </c>
      <c r="B20" s="73">
        <v>430</v>
      </c>
      <c r="C20" s="73">
        <v>431</v>
      </c>
      <c r="D20" s="73">
        <v>645</v>
      </c>
      <c r="E20" s="73">
        <v>334</v>
      </c>
      <c r="F20" s="73">
        <v>286</v>
      </c>
      <c r="G20" s="73">
        <v>23</v>
      </c>
      <c r="H20" s="355">
        <f>AVERAGE(B20:G20)</f>
        <v>358.16666666666669</v>
      </c>
    </row>
    <row r="21" spans="1:8" x14ac:dyDescent="0.25">
      <c r="A21" s="167" t="s">
        <v>43</v>
      </c>
      <c r="B21" s="73">
        <v>113</v>
      </c>
      <c r="C21" s="73">
        <v>113</v>
      </c>
      <c r="D21" s="73">
        <v>169</v>
      </c>
      <c r="E21" s="73">
        <v>88</v>
      </c>
      <c r="F21" s="73">
        <v>75</v>
      </c>
      <c r="G21" s="73">
        <v>6</v>
      </c>
      <c r="H21" s="355">
        <f t="shared" ref="H21:H29" si="1">AVERAGE(B21:G21)</f>
        <v>94</v>
      </c>
    </row>
    <row r="22" spans="1:8" x14ac:dyDescent="0.25">
      <c r="A22" s="167" t="s">
        <v>27</v>
      </c>
      <c r="B22" s="73">
        <v>6852</v>
      </c>
      <c r="C22" s="73">
        <v>6872</v>
      </c>
      <c r="D22" s="73">
        <v>10283</v>
      </c>
      <c r="E22" s="73">
        <v>5329</v>
      </c>
      <c r="F22" s="73">
        <v>4561</v>
      </c>
      <c r="G22" s="73">
        <v>367</v>
      </c>
      <c r="H22" s="355">
        <f t="shared" si="1"/>
        <v>5710.666666666667</v>
      </c>
    </row>
    <row r="23" spans="1:8" x14ac:dyDescent="0.25">
      <c r="A23" s="167" t="s">
        <v>34</v>
      </c>
      <c r="B23" s="73">
        <v>502</v>
      </c>
      <c r="C23" s="73">
        <v>503</v>
      </c>
      <c r="D23" s="73">
        <v>753</v>
      </c>
      <c r="E23" s="73">
        <v>390</v>
      </c>
      <c r="F23" s="73">
        <v>334</v>
      </c>
      <c r="G23" s="73">
        <v>27</v>
      </c>
      <c r="H23" s="355">
        <f t="shared" si="1"/>
        <v>418.16666666666669</v>
      </c>
    </row>
    <row r="24" spans="1:8" x14ac:dyDescent="0.25">
      <c r="A24" s="167" t="s">
        <v>35</v>
      </c>
      <c r="B24" s="73">
        <v>202</v>
      </c>
      <c r="C24" s="73">
        <v>202</v>
      </c>
      <c r="D24" s="73">
        <v>303</v>
      </c>
      <c r="E24" s="73">
        <v>157</v>
      </c>
      <c r="F24" s="73">
        <v>134</v>
      </c>
      <c r="G24" s="73">
        <v>11</v>
      </c>
      <c r="H24" s="355">
        <f t="shared" si="1"/>
        <v>168.16666666666666</v>
      </c>
    </row>
    <row r="25" spans="1:8" x14ac:dyDescent="0.25">
      <c r="A25" s="167" t="s">
        <v>36</v>
      </c>
      <c r="B25" s="73">
        <v>5</v>
      </c>
      <c r="C25" s="73">
        <v>5</v>
      </c>
      <c r="D25" s="73">
        <v>8</v>
      </c>
      <c r="E25" s="73">
        <v>4</v>
      </c>
      <c r="F25" s="73">
        <v>3</v>
      </c>
      <c r="G25" s="73">
        <v>0</v>
      </c>
      <c r="H25" s="355">
        <f t="shared" si="1"/>
        <v>4.166666666666667</v>
      </c>
    </row>
    <row r="26" spans="1:8" x14ac:dyDescent="0.25">
      <c r="A26" s="167" t="s">
        <v>94</v>
      </c>
      <c r="B26" s="73">
        <v>242</v>
      </c>
      <c r="C26" s="73">
        <v>243</v>
      </c>
      <c r="D26" s="73">
        <v>363</v>
      </c>
      <c r="E26" s="73">
        <v>188</v>
      </c>
      <c r="F26" s="73">
        <v>161</v>
      </c>
      <c r="G26" s="73">
        <v>13</v>
      </c>
      <c r="H26" s="355">
        <f t="shared" si="1"/>
        <v>201.66666666666666</v>
      </c>
    </row>
    <row r="27" spans="1:8" x14ac:dyDescent="0.25">
      <c r="A27" s="167" t="s">
        <v>33</v>
      </c>
      <c r="B27" s="73">
        <v>23</v>
      </c>
      <c r="C27" s="73">
        <v>23</v>
      </c>
      <c r="D27" s="73">
        <v>35</v>
      </c>
      <c r="E27" s="73">
        <v>18</v>
      </c>
      <c r="F27" s="73">
        <v>15</v>
      </c>
      <c r="G27" s="73">
        <v>1</v>
      </c>
      <c r="H27" s="355">
        <f t="shared" si="1"/>
        <v>19.166666666666668</v>
      </c>
    </row>
    <row r="28" spans="1:8" x14ac:dyDescent="0.25">
      <c r="A28" s="167" t="s">
        <v>95</v>
      </c>
      <c r="B28" s="73">
        <v>3066</v>
      </c>
      <c r="C28" s="73">
        <v>3074</v>
      </c>
      <c r="D28" s="73">
        <v>4600</v>
      </c>
      <c r="E28" s="73">
        <v>2384</v>
      </c>
      <c r="F28" s="73">
        <v>2040</v>
      </c>
      <c r="G28" s="73">
        <v>165</v>
      </c>
      <c r="H28" s="355">
        <f t="shared" si="1"/>
        <v>2554.8333333333335</v>
      </c>
    </row>
    <row r="29" spans="1:8" x14ac:dyDescent="0.25">
      <c r="A29" s="167" t="s">
        <v>37</v>
      </c>
      <c r="B29" s="73">
        <v>500</v>
      </c>
      <c r="C29" s="73">
        <v>501</v>
      </c>
      <c r="D29" s="73">
        <v>749</v>
      </c>
      <c r="E29" s="73">
        <v>388</v>
      </c>
      <c r="F29" s="73">
        <v>332</v>
      </c>
      <c r="G29" s="73">
        <v>27</v>
      </c>
      <c r="H29" s="355">
        <f t="shared" si="1"/>
        <v>416.16666666666669</v>
      </c>
    </row>
    <row r="30" spans="1:8" x14ac:dyDescent="0.25">
      <c r="A30" s="311" t="s">
        <v>133</v>
      </c>
      <c r="B30" s="354"/>
      <c r="C30" s="354"/>
      <c r="D30" s="354"/>
      <c r="E30" s="354"/>
      <c r="F30" s="354"/>
      <c r="G30" s="354"/>
      <c r="H30" s="355">
        <f>SUM(H20:H29)</f>
        <v>9945.1666666666679</v>
      </c>
    </row>
    <row r="32" spans="1:8" x14ac:dyDescent="0.25">
      <c r="A32" s="19" t="s">
        <v>214</v>
      </c>
      <c r="B32" s="72">
        <f>H16+H30</f>
        <v>11309.166666666668</v>
      </c>
    </row>
    <row r="34" spans="1:13" x14ac:dyDescent="0.25">
      <c r="H34" s="19"/>
      <c r="I34" s="19"/>
    </row>
    <row r="35" spans="1:13" x14ac:dyDescent="0.25">
      <c r="A35" s="19"/>
      <c r="L35" s="83"/>
      <c r="M35" s="19"/>
    </row>
    <row r="36" spans="1:13" x14ac:dyDescent="0.25">
      <c r="A36" s="19"/>
      <c r="L36" s="82"/>
      <c r="M36" s="19"/>
    </row>
  </sheetData>
  <mergeCells count="3">
    <mergeCell ref="B4:H4"/>
    <mergeCell ref="B18:H18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E32" sqref="E32"/>
    </sheetView>
  </sheetViews>
  <sheetFormatPr defaultRowHeight="13.2" x14ac:dyDescent="0.25"/>
  <cols>
    <col min="1" max="1" width="19.5546875" customWidth="1"/>
    <col min="2" max="2" width="26.109375" customWidth="1"/>
    <col min="3" max="3" width="13.33203125" customWidth="1"/>
    <col min="4" max="4" width="12" customWidth="1"/>
    <col min="5" max="5" width="20.33203125" customWidth="1"/>
    <col min="6" max="6" width="25.88671875" customWidth="1"/>
  </cols>
  <sheetData>
    <row r="1" spans="1:6" x14ac:dyDescent="0.25">
      <c r="A1" s="182" t="s">
        <v>185</v>
      </c>
    </row>
    <row r="2" spans="1:6" ht="24" customHeight="1" x14ac:dyDescent="0.25">
      <c r="A2" s="124" t="s">
        <v>56</v>
      </c>
      <c r="B2" s="124" t="s">
        <v>57</v>
      </c>
      <c r="C2" s="124" t="s">
        <v>59</v>
      </c>
      <c r="D2" s="184" t="s">
        <v>60</v>
      </c>
      <c r="E2" s="185" t="s">
        <v>61</v>
      </c>
      <c r="F2" s="124" t="s">
        <v>58</v>
      </c>
    </row>
    <row r="3" spans="1:6" x14ac:dyDescent="0.25">
      <c r="A3" s="73" t="s">
        <v>62</v>
      </c>
      <c r="B3" s="73" t="s">
        <v>145</v>
      </c>
      <c r="C3" s="165">
        <v>1.4762225196600001</v>
      </c>
      <c r="D3" s="166">
        <v>5.1007345843512998E-2</v>
      </c>
      <c r="E3" s="126">
        <v>5.1007345843512998E-2</v>
      </c>
      <c r="F3" s="73" t="s">
        <v>146</v>
      </c>
    </row>
    <row r="4" spans="1:6" x14ac:dyDescent="0.25">
      <c r="A4" s="73" t="s">
        <v>62</v>
      </c>
      <c r="B4" s="73" t="s">
        <v>36</v>
      </c>
      <c r="C4" s="165">
        <v>5.4685365097199998</v>
      </c>
      <c r="D4" s="166">
        <v>0.15852974166408262</v>
      </c>
      <c r="E4" s="126">
        <v>0.15852974166408262</v>
      </c>
      <c r="F4" s="73" t="s">
        <v>146</v>
      </c>
    </row>
    <row r="5" spans="1:6" x14ac:dyDescent="0.25">
      <c r="A5" s="73" t="s">
        <v>62</v>
      </c>
      <c r="B5" s="73" t="s">
        <v>34</v>
      </c>
      <c r="C5" s="165">
        <v>254.372283571</v>
      </c>
      <c r="D5" s="166">
        <v>0.75780365563429364</v>
      </c>
      <c r="E5" s="126">
        <v>0.75780365563429364</v>
      </c>
      <c r="F5" s="73" t="s">
        <v>146</v>
      </c>
    </row>
    <row r="6" spans="1:6" x14ac:dyDescent="0.25">
      <c r="A6" s="73" t="s">
        <v>62</v>
      </c>
      <c r="B6" s="73" t="s">
        <v>36</v>
      </c>
      <c r="C6" s="165">
        <v>13.948468413400001</v>
      </c>
      <c r="D6" s="166">
        <v>2.6589464898671488E-2</v>
      </c>
      <c r="E6" s="126">
        <v>2.6589464898671488E-2</v>
      </c>
      <c r="F6" s="73" t="s">
        <v>96</v>
      </c>
    </row>
    <row r="7" spans="1:6" x14ac:dyDescent="0.25">
      <c r="A7" s="73" t="s">
        <v>62</v>
      </c>
      <c r="B7" s="73" t="s">
        <v>34</v>
      </c>
      <c r="C7" s="165">
        <v>698.06436099500002</v>
      </c>
      <c r="D7" s="166">
        <v>8.5321331776393575E-2</v>
      </c>
      <c r="E7" s="126">
        <v>8.5321331776393575E-2</v>
      </c>
      <c r="F7" s="73" t="s">
        <v>96</v>
      </c>
    </row>
    <row r="8" spans="1:6" x14ac:dyDescent="0.25">
      <c r="A8" s="73" t="s">
        <v>62</v>
      </c>
      <c r="B8" s="73" t="s">
        <v>35</v>
      </c>
      <c r="C8" s="165">
        <v>15.9160712459</v>
      </c>
      <c r="D8" s="166">
        <v>3.935931749427115E-2</v>
      </c>
      <c r="E8" s="126">
        <v>3.935931749427115E-2</v>
      </c>
      <c r="F8" s="73" t="s">
        <v>96</v>
      </c>
    </row>
    <row r="9" spans="1:6" x14ac:dyDescent="0.25">
      <c r="A9" s="73" t="s">
        <v>62</v>
      </c>
      <c r="B9" s="73" t="s">
        <v>43</v>
      </c>
      <c r="C9" s="165">
        <v>15.1348113916</v>
      </c>
      <c r="D9" s="166">
        <v>6.9518872620398409E-2</v>
      </c>
      <c r="E9" s="126">
        <v>6.9518872620398409E-2</v>
      </c>
      <c r="F9" s="73" t="s">
        <v>96</v>
      </c>
    </row>
    <row r="10" spans="1:6" x14ac:dyDescent="0.25">
      <c r="A10" s="167" t="s">
        <v>62</v>
      </c>
      <c r="B10" s="167" t="s">
        <v>204</v>
      </c>
      <c r="C10" s="165">
        <v>1.4202213429499999</v>
      </c>
      <c r="D10" s="166">
        <v>8.0000000000000002E-3</v>
      </c>
      <c r="E10" s="126">
        <v>8.0000000000000002E-3</v>
      </c>
      <c r="F10" s="167" t="s">
        <v>96</v>
      </c>
    </row>
    <row r="11" spans="1:6" x14ac:dyDescent="0.25">
      <c r="A11" s="167" t="s">
        <v>62</v>
      </c>
      <c r="B11" s="167" t="s">
        <v>204</v>
      </c>
      <c r="C11" s="214">
        <v>2.94360842129</v>
      </c>
      <c r="D11" s="166">
        <v>1</v>
      </c>
      <c r="E11" s="126">
        <v>1</v>
      </c>
      <c r="F11" s="73" t="s">
        <v>146</v>
      </c>
    </row>
    <row r="12" spans="1:6" x14ac:dyDescent="0.25">
      <c r="A12" s="73" t="s">
        <v>147</v>
      </c>
      <c r="B12" s="73" t="s">
        <v>145</v>
      </c>
      <c r="C12" s="165">
        <v>27.465148478</v>
      </c>
      <c r="D12" s="166">
        <v>0.94899265415856016</v>
      </c>
      <c r="E12" s="126">
        <v>0.94899265415856016</v>
      </c>
      <c r="F12" s="73" t="s">
        <v>146</v>
      </c>
    </row>
    <row r="13" spans="1:6" x14ac:dyDescent="0.25">
      <c r="A13" s="73" t="s">
        <v>147</v>
      </c>
      <c r="B13" s="73" t="s">
        <v>145</v>
      </c>
      <c r="C13" s="165">
        <v>72.549159808200002</v>
      </c>
      <c r="D13" s="166">
        <v>8.9812159962319449E-2</v>
      </c>
      <c r="E13" s="126">
        <v>8.9812159962319449E-2</v>
      </c>
      <c r="F13" s="73" t="s">
        <v>96</v>
      </c>
    </row>
    <row r="14" spans="1:6" x14ac:dyDescent="0.25">
      <c r="A14" s="73" t="s">
        <v>148</v>
      </c>
      <c r="B14" s="73" t="s">
        <v>145</v>
      </c>
      <c r="C14" s="165">
        <v>689.07791322599996</v>
      </c>
      <c r="D14" s="166">
        <v>0.85304331480569162</v>
      </c>
      <c r="E14" s="126">
        <v>0.85304331480569162</v>
      </c>
      <c r="F14" s="73" t="s">
        <v>96</v>
      </c>
    </row>
    <row r="15" spans="1:6" x14ac:dyDescent="0.25">
      <c r="A15" s="73" t="s">
        <v>141</v>
      </c>
      <c r="B15" s="73" t="s">
        <v>145</v>
      </c>
      <c r="C15" s="165">
        <v>46.160645674199998</v>
      </c>
      <c r="D15" s="166">
        <v>5.7144525232483999E-2</v>
      </c>
      <c r="E15" s="126">
        <v>5.7144525232483999E-2</v>
      </c>
      <c r="F15" s="73" t="s">
        <v>96</v>
      </c>
    </row>
    <row r="16" spans="1:6" x14ac:dyDescent="0.25">
      <c r="A16" s="73" t="s">
        <v>141</v>
      </c>
      <c r="B16" s="73" t="s">
        <v>36</v>
      </c>
      <c r="C16" s="165">
        <v>458.04242434600002</v>
      </c>
      <c r="D16" s="166">
        <v>0.87314984006058682</v>
      </c>
      <c r="E16" s="126">
        <v>0.87314984006058682</v>
      </c>
      <c r="F16" s="73" t="s">
        <v>96</v>
      </c>
    </row>
    <row r="17" spans="1:6" x14ac:dyDescent="0.25">
      <c r="A17" s="73" t="s">
        <v>141</v>
      </c>
      <c r="B17" s="73" t="s">
        <v>34</v>
      </c>
      <c r="C17" s="165">
        <v>6802.71058928</v>
      </c>
      <c r="D17" s="166">
        <v>0.83146534846648901</v>
      </c>
      <c r="E17" s="126">
        <v>0.83146534846648901</v>
      </c>
      <c r="F17" s="73" t="s">
        <v>96</v>
      </c>
    </row>
    <row r="18" spans="1:6" x14ac:dyDescent="0.25">
      <c r="A18" s="73" t="s">
        <v>141</v>
      </c>
      <c r="B18" s="73" t="s">
        <v>35</v>
      </c>
      <c r="C18" s="165">
        <v>247.84207916700001</v>
      </c>
      <c r="D18" s="166">
        <v>0.61289591706792046</v>
      </c>
      <c r="E18" s="126">
        <v>0.61289591706792046</v>
      </c>
      <c r="F18" s="73" t="s">
        <v>96</v>
      </c>
    </row>
    <row r="19" spans="1:6" x14ac:dyDescent="0.25">
      <c r="A19" s="73" t="s">
        <v>141</v>
      </c>
      <c r="B19" s="73" t="s">
        <v>43</v>
      </c>
      <c r="C19" s="165">
        <v>191.95335717</v>
      </c>
      <c r="D19" s="166">
        <v>0.88170117491952094</v>
      </c>
      <c r="E19" s="126">
        <v>0.88170117491952094</v>
      </c>
      <c r="F19" s="73" t="s">
        <v>96</v>
      </c>
    </row>
    <row r="20" spans="1:6" x14ac:dyDescent="0.25">
      <c r="A20" s="167" t="s">
        <v>141</v>
      </c>
      <c r="B20" s="167" t="s">
        <v>204</v>
      </c>
      <c r="C20" s="165">
        <v>183.351168234</v>
      </c>
      <c r="D20" s="166">
        <v>0.99199999999999999</v>
      </c>
      <c r="E20" s="126">
        <v>0.99199999999999999</v>
      </c>
      <c r="F20" s="167" t="s">
        <v>96</v>
      </c>
    </row>
    <row r="21" spans="1:6" x14ac:dyDescent="0.25">
      <c r="A21" s="73" t="s">
        <v>143</v>
      </c>
      <c r="B21" s="73" t="s">
        <v>36</v>
      </c>
      <c r="C21" s="165">
        <v>30.963419394599999</v>
      </c>
      <c r="D21" s="166">
        <v>5.9024455498256204E-2</v>
      </c>
      <c r="E21" s="126">
        <v>5.9024455498256204E-2</v>
      </c>
      <c r="F21" s="73" t="s">
        <v>96</v>
      </c>
    </row>
    <row r="22" spans="1:6" x14ac:dyDescent="0.25">
      <c r="A22" s="73" t="s">
        <v>143</v>
      </c>
      <c r="B22" s="73" t="s">
        <v>34</v>
      </c>
      <c r="C22" s="165">
        <v>190.45342905800001</v>
      </c>
      <c r="D22" s="166">
        <v>2.3278283660617714E-2</v>
      </c>
      <c r="E22" s="126">
        <v>2.3278283660617714E-2</v>
      </c>
      <c r="F22" s="73" t="s">
        <v>96</v>
      </c>
    </row>
    <row r="23" spans="1:6" x14ac:dyDescent="0.25">
      <c r="A23" s="73" t="s">
        <v>143</v>
      </c>
      <c r="B23" s="73" t="s">
        <v>35</v>
      </c>
      <c r="C23" s="165">
        <v>85.589215754799994</v>
      </c>
      <c r="D23" s="166">
        <v>0.21165607171095302</v>
      </c>
      <c r="E23" s="126">
        <v>0.21165607171095302</v>
      </c>
      <c r="F23" s="73" t="s">
        <v>96</v>
      </c>
    </row>
    <row r="24" spans="1:6" x14ac:dyDescent="0.25">
      <c r="A24" s="73" t="s">
        <v>143</v>
      </c>
      <c r="B24" s="73" t="s">
        <v>43</v>
      </c>
      <c r="C24" s="165">
        <v>6.6737480405699996</v>
      </c>
      <c r="D24" s="166">
        <v>3.0654590131894068E-2</v>
      </c>
      <c r="E24" s="126">
        <v>3.0654590131894068E-2</v>
      </c>
      <c r="F24" s="73" t="s">
        <v>96</v>
      </c>
    </row>
    <row r="25" spans="1:6" x14ac:dyDescent="0.25">
      <c r="A25" s="73" t="s">
        <v>144</v>
      </c>
      <c r="B25" s="73" t="s">
        <v>36</v>
      </c>
      <c r="C25" s="165">
        <v>29.026798260300001</v>
      </c>
      <c r="D25" s="166">
        <v>0.84147025833359823</v>
      </c>
      <c r="E25" s="126">
        <v>0.84147025833359823</v>
      </c>
      <c r="F25" s="73" t="s">
        <v>146</v>
      </c>
    </row>
    <row r="26" spans="1:6" x14ac:dyDescent="0.25">
      <c r="A26" s="73" t="s">
        <v>144</v>
      </c>
      <c r="B26" s="73" t="s">
        <v>34</v>
      </c>
      <c r="C26" s="165">
        <v>81.2981525366</v>
      </c>
      <c r="D26" s="166">
        <v>0.2421963443645147</v>
      </c>
      <c r="E26" s="126">
        <v>0.2421963443645147</v>
      </c>
      <c r="F26" s="73" t="s">
        <v>146</v>
      </c>
    </row>
    <row r="27" spans="1:6" x14ac:dyDescent="0.25">
      <c r="A27" s="73" t="s">
        <v>144</v>
      </c>
      <c r="B27" s="73" t="s">
        <v>35</v>
      </c>
      <c r="C27" s="165">
        <v>49.0356364258</v>
      </c>
      <c r="D27" s="166">
        <v>1</v>
      </c>
      <c r="E27" s="126">
        <v>1</v>
      </c>
      <c r="F27" s="73" t="s">
        <v>146</v>
      </c>
    </row>
    <row r="28" spans="1:6" x14ac:dyDescent="0.25">
      <c r="A28" s="73" t="s">
        <v>144</v>
      </c>
      <c r="B28" s="73" t="s">
        <v>36</v>
      </c>
      <c r="C28" s="165">
        <v>7.9677841797499998</v>
      </c>
      <c r="D28" s="166">
        <v>1.5188701116756589E-2</v>
      </c>
      <c r="E28" s="126">
        <v>1.5188701116756589E-2</v>
      </c>
      <c r="F28" s="73" t="s">
        <v>96</v>
      </c>
    </row>
    <row r="29" spans="1:6" x14ac:dyDescent="0.25">
      <c r="A29" s="73" t="s">
        <v>144</v>
      </c>
      <c r="B29" s="73" t="s">
        <v>34</v>
      </c>
      <c r="C29" s="165">
        <v>97.380667999500005</v>
      </c>
      <c r="D29" s="166">
        <v>1.1902410074551398E-2</v>
      </c>
      <c r="E29" s="126">
        <v>1.1902410074551398E-2</v>
      </c>
      <c r="F29" s="73" t="s">
        <v>96</v>
      </c>
    </row>
    <row r="30" spans="1:6" x14ac:dyDescent="0.25">
      <c r="A30" s="73" t="s">
        <v>144</v>
      </c>
      <c r="B30" s="73" t="s">
        <v>35</v>
      </c>
      <c r="C30" s="165">
        <v>55.031374603000003</v>
      </c>
      <c r="D30" s="166">
        <v>0.13608869372858651</v>
      </c>
      <c r="E30" s="126">
        <v>0.13608869372858651</v>
      </c>
      <c r="F30" s="73" t="s">
        <v>96</v>
      </c>
    </row>
    <row r="31" spans="1:6" x14ac:dyDescent="0.25">
      <c r="A31" s="73" t="s">
        <v>144</v>
      </c>
      <c r="B31" s="73" t="s">
        <v>43</v>
      </c>
      <c r="C31" s="165">
        <v>3.94603551364</v>
      </c>
      <c r="D31" s="166">
        <v>1.8125362327313876E-2</v>
      </c>
      <c r="E31" s="126">
        <v>1.8125362327313876E-2</v>
      </c>
      <c r="F31" s="73" t="s">
        <v>96</v>
      </c>
    </row>
    <row r="32" spans="1:6" x14ac:dyDescent="0.25">
      <c r="A32" s="167" t="s">
        <v>144</v>
      </c>
      <c r="B32" s="167" t="s">
        <v>204</v>
      </c>
      <c r="C32" s="165">
        <v>5.4974549999700001E-2</v>
      </c>
      <c r="D32" s="166"/>
      <c r="E32" s="126">
        <v>0</v>
      </c>
      <c r="F32" s="167" t="s">
        <v>96</v>
      </c>
    </row>
    <row r="33" spans="1:6" x14ac:dyDescent="0.25">
      <c r="A33" s="167" t="s">
        <v>142</v>
      </c>
      <c r="B33" s="73" t="s">
        <v>36</v>
      </c>
      <c r="C33" s="165">
        <v>13.6641812224</v>
      </c>
      <c r="D33" s="166">
        <v>2.6047538426014847E-2</v>
      </c>
      <c r="E33" s="126">
        <v>2.6047538426014847E-2</v>
      </c>
      <c r="F33" s="73" t="s">
        <v>96</v>
      </c>
    </row>
    <row r="34" spans="1:6" x14ac:dyDescent="0.25">
      <c r="A34" s="167" t="s">
        <v>142</v>
      </c>
      <c r="B34" s="73" t="s">
        <v>34</v>
      </c>
      <c r="C34" s="165">
        <v>392.983368794</v>
      </c>
      <c r="D34" s="166">
        <v>4.8032626022742719E-2</v>
      </c>
      <c r="E34" s="126">
        <v>4.8032626022742719E-2</v>
      </c>
      <c r="F34" s="73" t="s">
        <v>96</v>
      </c>
    </row>
    <row r="36" spans="1:6" x14ac:dyDescent="0.25">
      <c r="A36" s="19" t="s">
        <v>186</v>
      </c>
    </row>
    <row r="39" spans="1:6" x14ac:dyDescent="0.25">
      <c r="A39" s="71" t="s">
        <v>163</v>
      </c>
      <c r="B39" s="71" t="s">
        <v>59</v>
      </c>
      <c r="C39" s="71" t="s">
        <v>59</v>
      </c>
      <c r="D39" s="71" t="s">
        <v>59</v>
      </c>
    </row>
    <row r="40" spans="1:6" x14ac:dyDescent="0.25">
      <c r="A40" s="147" t="s">
        <v>151</v>
      </c>
      <c r="B40" s="147" t="s">
        <v>152</v>
      </c>
      <c r="E40" s="168"/>
      <c r="F40" s="458" t="s">
        <v>168</v>
      </c>
    </row>
    <row r="41" spans="1:6" x14ac:dyDescent="0.25">
      <c r="A41" s="147" t="s">
        <v>149</v>
      </c>
      <c r="B41" t="s">
        <v>146</v>
      </c>
      <c r="C41" t="s">
        <v>96</v>
      </c>
      <c r="D41" t="s">
        <v>150</v>
      </c>
      <c r="E41" s="170" t="s">
        <v>153</v>
      </c>
      <c r="F41" s="459"/>
    </row>
    <row r="42" spans="1:6" x14ac:dyDescent="0.25">
      <c r="A42" s="148" t="s">
        <v>145</v>
      </c>
      <c r="B42" s="80">
        <v>28.941370997659998</v>
      </c>
      <c r="C42" s="80">
        <v>807.78771870840001</v>
      </c>
      <c r="D42" s="80">
        <v>836.72908970605999</v>
      </c>
      <c r="E42" s="149">
        <v>826</v>
      </c>
      <c r="F42" s="80">
        <f>D42-E42</f>
        <v>10.729089706059995</v>
      </c>
    </row>
    <row r="43" spans="1:6" x14ac:dyDescent="0.25">
      <c r="A43" s="148" t="s">
        <v>36</v>
      </c>
      <c r="B43" s="80">
        <v>34.495334770020001</v>
      </c>
      <c r="C43" s="80">
        <v>524.58627755615009</v>
      </c>
      <c r="D43" s="80">
        <v>559.0816123261701</v>
      </c>
      <c r="E43" s="149">
        <v>25</v>
      </c>
      <c r="F43" s="80">
        <f t="shared" ref="F43:F46" si="0">D43-E43</f>
        <v>534.0816123261701</v>
      </c>
    </row>
    <row r="44" spans="1:6" x14ac:dyDescent="0.25">
      <c r="A44" s="148" t="s">
        <v>34</v>
      </c>
      <c r="B44" s="80">
        <v>335.67043610759998</v>
      </c>
      <c r="C44" s="80">
        <v>8181.5924161265002</v>
      </c>
      <c r="D44" s="80">
        <v>8517.2628522341001</v>
      </c>
      <c r="E44" s="2">
        <v>5738</v>
      </c>
      <c r="F44" s="80">
        <f t="shared" si="0"/>
        <v>2779.2628522341001</v>
      </c>
    </row>
    <row r="45" spans="1:6" x14ac:dyDescent="0.25">
      <c r="A45" s="148" t="s">
        <v>35</v>
      </c>
      <c r="B45" s="80">
        <v>49.0356364258</v>
      </c>
      <c r="C45" s="80">
        <v>404.37874077070001</v>
      </c>
      <c r="D45" s="80">
        <v>453.41437719650003</v>
      </c>
      <c r="E45" s="2">
        <v>1248</v>
      </c>
      <c r="F45" s="80">
        <f t="shared" si="0"/>
        <v>-794.58562280349997</v>
      </c>
    </row>
    <row r="46" spans="1:6" x14ac:dyDescent="0.25">
      <c r="A46" s="148" t="s">
        <v>43</v>
      </c>
      <c r="B46" s="80"/>
      <c r="C46" s="80">
        <v>217.70795211581</v>
      </c>
      <c r="D46" s="80">
        <v>217.70795211581</v>
      </c>
      <c r="E46" s="2">
        <v>1544</v>
      </c>
      <c r="F46" s="80">
        <f t="shared" si="0"/>
        <v>-1326.29204788419</v>
      </c>
    </row>
    <row r="47" spans="1:6" x14ac:dyDescent="0.25">
      <c r="A47" s="148" t="s">
        <v>150</v>
      </c>
      <c r="B47" s="80">
        <v>448.14277830108</v>
      </c>
      <c r="C47" s="80">
        <v>10136.05310527756</v>
      </c>
      <c r="D47" s="80">
        <v>10584.195883578641</v>
      </c>
      <c r="E47" s="168">
        <f>SUM(E42:E46)</f>
        <v>9381</v>
      </c>
      <c r="F47" s="168"/>
    </row>
  </sheetData>
  <sortState ref="A2:F29">
    <sortCondition ref="A2:A29"/>
    <sortCondition ref="F2:F29"/>
  </sortState>
  <mergeCells count="1">
    <mergeCell ref="F40:F41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topLeftCell="A45" workbookViewId="0">
      <selection activeCell="M115" sqref="M115"/>
    </sheetView>
  </sheetViews>
  <sheetFormatPr defaultRowHeight="13.2" x14ac:dyDescent="0.25"/>
  <cols>
    <col min="1" max="1" width="46" customWidth="1"/>
    <col min="2" max="2" width="15.33203125" customWidth="1"/>
    <col min="3" max="4" width="15.44140625" customWidth="1"/>
    <col min="5" max="5" width="15.33203125" customWidth="1"/>
    <col min="6" max="6" width="14.88671875" customWidth="1"/>
    <col min="7" max="7" width="15.44140625" customWidth="1"/>
    <col min="8" max="8" width="14.5546875" customWidth="1"/>
    <col min="9" max="9" width="15.5546875" customWidth="1"/>
    <col min="10" max="10" width="15" customWidth="1"/>
    <col min="11" max="11" width="13.5546875" customWidth="1"/>
    <col min="12" max="12" width="13" customWidth="1"/>
    <col min="13" max="13" width="14.109375" customWidth="1"/>
    <col min="14" max="15" width="14.6640625" customWidth="1"/>
    <col min="16" max="16" width="14.44140625" customWidth="1"/>
    <col min="17" max="17" width="15" customWidth="1"/>
    <col min="18" max="18" width="14.88671875" customWidth="1"/>
    <col min="19" max="19" width="13.88671875" customWidth="1"/>
    <col min="20" max="20" width="13.5546875" customWidth="1"/>
    <col min="21" max="21" width="11.33203125" customWidth="1"/>
    <col min="22" max="22" width="11.44140625" customWidth="1"/>
  </cols>
  <sheetData>
    <row r="1" spans="1:10" x14ac:dyDescent="0.25">
      <c r="A1" s="43"/>
      <c r="B1" s="460" t="s">
        <v>38</v>
      </c>
      <c r="C1" s="460"/>
      <c r="D1" s="460"/>
      <c r="E1" s="461"/>
      <c r="F1" s="461"/>
      <c r="G1" s="461"/>
      <c r="H1" s="461"/>
      <c r="I1" s="461"/>
      <c r="J1" s="462"/>
    </row>
    <row r="2" spans="1:10" ht="16.2" thickBot="1" x14ac:dyDescent="0.3">
      <c r="A2" s="436" t="s">
        <v>179</v>
      </c>
      <c r="B2" s="463"/>
      <c r="C2" s="463"/>
      <c r="D2" s="463"/>
      <c r="E2" s="463"/>
      <c r="F2" s="463"/>
      <c r="G2" s="463"/>
      <c r="H2" s="463"/>
      <c r="I2" s="463"/>
      <c r="J2" s="464"/>
    </row>
    <row r="3" spans="1:10" ht="54" customHeight="1" thickTop="1" x14ac:dyDescent="0.25">
      <c r="A3" s="49" t="s">
        <v>16</v>
      </c>
      <c r="B3" s="50" t="s">
        <v>17</v>
      </c>
      <c r="C3" s="51" t="s">
        <v>28</v>
      </c>
      <c r="D3" s="200" t="s">
        <v>200</v>
      </c>
      <c r="E3" s="52" t="s">
        <v>21</v>
      </c>
      <c r="F3" s="53" t="s">
        <v>122</v>
      </c>
      <c r="G3" s="52" t="s">
        <v>24</v>
      </c>
      <c r="H3" s="50" t="s">
        <v>18</v>
      </c>
      <c r="I3" s="54" t="s">
        <v>19</v>
      </c>
      <c r="J3" s="45" t="s">
        <v>20</v>
      </c>
    </row>
    <row r="4" spans="1:10" x14ac:dyDescent="0.25">
      <c r="A4" s="27" t="s">
        <v>2</v>
      </c>
      <c r="B4" s="223">
        <v>145</v>
      </c>
      <c r="C4" s="244">
        <f>B4/B$56</f>
        <v>5.6128562436038552E-3</v>
      </c>
      <c r="D4" s="266">
        <f>B4</f>
        <v>145</v>
      </c>
      <c r="E4" s="232">
        <v>145</v>
      </c>
      <c r="F4" s="227">
        <f>E4/(D$56-D$8-D$19-D$22-D$34-D$36-D$50-D$48)</f>
        <v>9.2679077282845444E-3</v>
      </c>
      <c r="G4" s="226">
        <f>F4*($D$58)</f>
        <v>121.80613411919506</v>
      </c>
      <c r="H4" s="223"/>
      <c r="I4" s="245">
        <f>B4+H4</f>
        <v>145</v>
      </c>
      <c r="J4" s="46"/>
    </row>
    <row r="5" spans="1:10" x14ac:dyDescent="0.25">
      <c r="A5" s="44" t="s">
        <v>25</v>
      </c>
      <c r="B5" s="10"/>
      <c r="C5" s="32"/>
      <c r="D5" s="100"/>
      <c r="E5" s="6"/>
      <c r="F5" s="5"/>
      <c r="G5" s="6"/>
      <c r="H5" s="10"/>
      <c r="I5" s="55"/>
      <c r="J5" s="47"/>
    </row>
    <row r="6" spans="1:10" x14ac:dyDescent="0.25">
      <c r="A6" s="29" t="s">
        <v>26</v>
      </c>
      <c r="B6" s="10">
        <v>145</v>
      </c>
      <c r="C6" s="32">
        <f t="shared" ref="C6:C46" si="0">B6/B$56</f>
        <v>5.6128562436038552E-3</v>
      </c>
      <c r="D6" s="100">
        <f>B6</f>
        <v>145</v>
      </c>
      <c r="E6" s="6">
        <v>145</v>
      </c>
      <c r="F6" s="5">
        <f>E6/(D$56-D$8-D$19-D$22-D$34-D$36-D$50-D$48)</f>
        <v>9.2679077282845444E-3</v>
      </c>
      <c r="G6" s="6">
        <f>F6*($D$58)</f>
        <v>121.80613411919506</v>
      </c>
      <c r="H6" s="10"/>
      <c r="I6" s="55">
        <f>B6+H6</f>
        <v>145</v>
      </c>
      <c r="J6" s="47"/>
    </row>
    <row r="7" spans="1:10" x14ac:dyDescent="0.25">
      <c r="A7" s="192" t="s">
        <v>207</v>
      </c>
      <c r="B7" s="246">
        <v>338</v>
      </c>
      <c r="C7" s="247">
        <f t="shared" si="0"/>
        <v>1.3083761450607608E-2</v>
      </c>
      <c r="D7" s="100"/>
      <c r="E7" s="6"/>
      <c r="F7" s="5"/>
      <c r="G7" s="6"/>
      <c r="H7" s="10"/>
      <c r="I7" s="55"/>
      <c r="J7" s="47"/>
    </row>
    <row r="8" spans="1:10" ht="26.4" x14ac:dyDescent="0.25">
      <c r="A8" s="162" t="s">
        <v>106</v>
      </c>
      <c r="B8" s="223">
        <f>SUM(B9:B10)</f>
        <v>1537.6</v>
      </c>
      <c r="C8" s="244">
        <f t="shared" si="0"/>
        <v>5.9519501794243361E-2</v>
      </c>
      <c r="D8" s="266">
        <f>B8</f>
        <v>1537.6</v>
      </c>
      <c r="E8" s="226">
        <v>0</v>
      </c>
      <c r="F8" s="227"/>
      <c r="G8" s="226"/>
      <c r="H8" s="229"/>
      <c r="I8" s="245">
        <f>B8</f>
        <v>1537.6</v>
      </c>
      <c r="J8" s="47"/>
    </row>
    <row r="9" spans="1:10" x14ac:dyDescent="0.25">
      <c r="A9" s="30" t="s">
        <v>5</v>
      </c>
      <c r="B9" s="10">
        <f>'Newnans Lake Tribs'!P45</f>
        <v>97.6</v>
      </c>
      <c r="C9" s="32">
        <f t="shared" si="0"/>
        <v>3.778032892246457E-3</v>
      </c>
      <c r="D9" s="100">
        <f t="shared" ref="D9:D10" si="1">B9</f>
        <v>97.6</v>
      </c>
      <c r="E9" s="6">
        <v>0</v>
      </c>
      <c r="F9" s="5"/>
      <c r="G9" s="6"/>
      <c r="H9" s="34"/>
      <c r="I9" s="55">
        <f t="shared" ref="I9:I10" si="2">B9+H9</f>
        <v>97.6</v>
      </c>
      <c r="J9" s="47"/>
    </row>
    <row r="10" spans="1:10" x14ac:dyDescent="0.25">
      <c r="A10" s="30" t="s">
        <v>6</v>
      </c>
      <c r="B10" s="10">
        <f>'Newnans Lake Tribs'!P46</f>
        <v>1440</v>
      </c>
      <c r="C10" s="32">
        <f t="shared" si="0"/>
        <v>5.574146890199691E-2</v>
      </c>
      <c r="D10" s="100">
        <f t="shared" si="1"/>
        <v>1440</v>
      </c>
      <c r="E10" s="6">
        <v>0</v>
      </c>
      <c r="F10" s="5"/>
      <c r="G10" s="6"/>
      <c r="H10" s="34"/>
      <c r="I10" s="55">
        <f t="shared" si="2"/>
        <v>1440</v>
      </c>
      <c r="J10" s="47"/>
    </row>
    <row r="11" spans="1:10" ht="26.4" x14ac:dyDescent="0.25">
      <c r="A11" s="162" t="s">
        <v>107</v>
      </c>
      <c r="B11" s="223">
        <f>SUM(B12:B17)</f>
        <v>458.59999999999997</v>
      </c>
      <c r="C11" s="244">
        <f t="shared" si="0"/>
        <v>1.7752109471149847E-2</v>
      </c>
      <c r="D11" s="266">
        <f>B11</f>
        <v>458.59999999999997</v>
      </c>
      <c r="E11" s="226">
        <f>SUM(E12:E16)</f>
        <v>458.59999999999997</v>
      </c>
      <c r="F11" s="227">
        <f t="shared" ref="F11:F16" si="3">E11/(D$56-D$8-D$19-D$22-D$34-D$36-D$50-D$48)</f>
        <v>2.9312155063388218E-2</v>
      </c>
      <c r="G11" s="226">
        <f t="shared" ref="G11:G16" si="4">F11*($D$58)</f>
        <v>385.24340073836447</v>
      </c>
      <c r="H11" s="229"/>
      <c r="I11" s="245">
        <f>D11</f>
        <v>458.59999999999997</v>
      </c>
      <c r="J11" s="47"/>
    </row>
    <row r="12" spans="1:10" x14ac:dyDescent="0.25">
      <c r="A12" s="30" t="s">
        <v>7</v>
      </c>
      <c r="B12" s="10">
        <f>'Newnans Lake Tribs'!P41</f>
        <v>34</v>
      </c>
      <c r="C12" s="32">
        <f t="shared" si="0"/>
        <v>1.3161180157415936E-3</v>
      </c>
      <c r="D12" s="100">
        <f t="shared" ref="D12:D17" si="5">B12</f>
        <v>34</v>
      </c>
      <c r="E12" s="6">
        <f t="shared" ref="E12:E18" si="6">B12</f>
        <v>34</v>
      </c>
      <c r="F12" s="5">
        <f t="shared" si="3"/>
        <v>2.173164570770169E-3</v>
      </c>
      <c r="G12" s="6">
        <f t="shared" si="4"/>
        <v>28.561438345190567</v>
      </c>
      <c r="H12" s="34"/>
      <c r="I12" s="55">
        <f t="shared" ref="I12:I16" si="7">B12+H12</f>
        <v>34</v>
      </c>
      <c r="J12" s="47"/>
    </row>
    <row r="13" spans="1:10" x14ac:dyDescent="0.25">
      <c r="A13" s="30" t="s">
        <v>8</v>
      </c>
      <c r="B13" s="10">
        <f>'Newnans Lake Tribs'!P39</f>
        <v>149</v>
      </c>
      <c r="C13" s="32">
        <f t="shared" si="0"/>
        <v>5.7676936572205132E-3</v>
      </c>
      <c r="D13" s="100">
        <f t="shared" si="5"/>
        <v>149</v>
      </c>
      <c r="E13" s="6">
        <f t="shared" si="6"/>
        <v>149</v>
      </c>
      <c r="F13" s="5">
        <f t="shared" si="3"/>
        <v>9.5235741483751524E-3</v>
      </c>
      <c r="G13" s="6">
        <f t="shared" si="4"/>
        <v>125.16630333627631</v>
      </c>
      <c r="H13" s="34"/>
      <c r="I13" s="55">
        <f t="shared" si="7"/>
        <v>149</v>
      </c>
      <c r="J13" s="47"/>
    </row>
    <row r="14" spans="1:10" x14ac:dyDescent="0.25">
      <c r="A14" s="30" t="s">
        <v>9</v>
      </c>
      <c r="B14" s="10">
        <f>'Newnans Lake Tribs'!P40</f>
        <v>210.2</v>
      </c>
      <c r="C14" s="32">
        <f t="shared" si="0"/>
        <v>8.136706085555381E-3</v>
      </c>
      <c r="D14" s="100">
        <f t="shared" si="5"/>
        <v>210.2</v>
      </c>
      <c r="E14" s="6">
        <f t="shared" si="6"/>
        <v>210.2</v>
      </c>
      <c r="F14" s="5">
        <f t="shared" si="3"/>
        <v>1.3435270375761456E-2</v>
      </c>
      <c r="G14" s="6">
        <f t="shared" si="4"/>
        <v>176.57689235761933</v>
      </c>
      <c r="H14" s="34"/>
      <c r="I14" s="55">
        <f t="shared" si="7"/>
        <v>210.2</v>
      </c>
      <c r="J14" s="47"/>
    </row>
    <row r="15" spans="1:10" x14ac:dyDescent="0.25">
      <c r="A15" s="30" t="s">
        <v>10</v>
      </c>
      <c r="B15" s="10">
        <f>'Newnans Lake Tribs'!P38</f>
        <v>31.4</v>
      </c>
      <c r="C15" s="32">
        <f t="shared" si="0"/>
        <v>1.2154736968907659E-3</v>
      </c>
      <c r="D15" s="100">
        <f t="shared" si="5"/>
        <v>31.4</v>
      </c>
      <c r="E15" s="6">
        <f t="shared" si="6"/>
        <v>31.4</v>
      </c>
      <c r="F15" s="5">
        <f t="shared" si="3"/>
        <v>2.0069813977112738E-3</v>
      </c>
      <c r="G15" s="6">
        <f t="shared" si="4"/>
        <v>26.377328354087759</v>
      </c>
      <c r="H15" s="34"/>
      <c r="I15" s="55">
        <f t="shared" si="7"/>
        <v>31.4</v>
      </c>
      <c r="J15" s="47"/>
    </row>
    <row r="16" spans="1:10" x14ac:dyDescent="0.25">
      <c r="A16" s="30" t="s">
        <v>11</v>
      </c>
      <c r="B16" s="10">
        <v>34</v>
      </c>
      <c r="C16" s="32">
        <f t="shared" si="0"/>
        <v>1.3161180157415936E-3</v>
      </c>
      <c r="D16" s="100">
        <f t="shared" si="5"/>
        <v>34</v>
      </c>
      <c r="E16" s="6">
        <f t="shared" si="6"/>
        <v>34</v>
      </c>
      <c r="F16" s="5">
        <f t="shared" si="3"/>
        <v>2.173164570770169E-3</v>
      </c>
      <c r="G16" s="6">
        <f t="shared" si="4"/>
        <v>28.561438345190567</v>
      </c>
      <c r="H16" s="34"/>
      <c r="I16" s="55">
        <f t="shared" si="7"/>
        <v>34</v>
      </c>
      <c r="J16" s="47"/>
    </row>
    <row r="17" spans="1:10" x14ac:dyDescent="0.25">
      <c r="A17" s="35" t="s">
        <v>193</v>
      </c>
      <c r="B17" s="10">
        <v>0</v>
      </c>
      <c r="C17" s="32">
        <f t="shared" si="0"/>
        <v>0</v>
      </c>
      <c r="D17" s="100">
        <f t="shared" si="5"/>
        <v>0</v>
      </c>
      <c r="E17" s="6">
        <v>0</v>
      </c>
      <c r="F17" s="5"/>
      <c r="G17" s="6"/>
      <c r="H17" s="34"/>
      <c r="I17" s="55"/>
      <c r="J17" s="47"/>
    </row>
    <row r="18" spans="1:10" x14ac:dyDescent="0.25">
      <c r="A18" s="33" t="s">
        <v>108</v>
      </c>
      <c r="B18" s="223">
        <f>'Newnans Lake Tribs'!P44</f>
        <v>215</v>
      </c>
      <c r="C18" s="244">
        <f t="shared" si="0"/>
        <v>8.3225109818953723E-3</v>
      </c>
      <c r="D18" s="266">
        <f t="shared" ref="D18:D20" si="8">B18</f>
        <v>215</v>
      </c>
      <c r="E18" s="226">
        <f t="shared" si="6"/>
        <v>215</v>
      </c>
      <c r="F18" s="227">
        <f>E18/(D$56-D$8-D$19-D$22-D$34-D$36-D$50-D$48)</f>
        <v>1.3742070079870185E-2</v>
      </c>
      <c r="G18" s="226">
        <f>F18*($D$58)</f>
        <v>180.60909541811682</v>
      </c>
      <c r="H18" s="229"/>
      <c r="I18" s="245">
        <f>B18+H18</f>
        <v>215</v>
      </c>
      <c r="J18" s="47"/>
    </row>
    <row r="19" spans="1:10" x14ac:dyDescent="0.25">
      <c r="A19" s="33" t="s">
        <v>111</v>
      </c>
      <c r="B19" s="248">
        <f>'Newnans Lake Tribs'!P47</f>
        <v>556</v>
      </c>
      <c r="C19" s="244">
        <f t="shared" si="0"/>
        <v>2.1522400492715473E-2</v>
      </c>
      <c r="D19" s="266">
        <f t="shared" si="8"/>
        <v>556</v>
      </c>
      <c r="E19" s="249"/>
      <c r="F19" s="250"/>
      <c r="G19" s="249"/>
      <c r="H19" s="250"/>
      <c r="I19" s="245">
        <f>B19+H19</f>
        <v>556</v>
      </c>
      <c r="J19" s="87"/>
    </row>
    <row r="20" spans="1:10" x14ac:dyDescent="0.25">
      <c r="A20" s="27" t="s">
        <v>180</v>
      </c>
      <c r="B20" s="230">
        <v>111</v>
      </c>
      <c r="C20" s="244">
        <f t="shared" si="0"/>
        <v>4.2967382278622616E-3</v>
      </c>
      <c r="D20" s="266">
        <f t="shared" si="8"/>
        <v>111</v>
      </c>
      <c r="E20" s="226">
        <f>B20</f>
        <v>111</v>
      </c>
      <c r="F20" s="227">
        <f>E20/(D$56-D$8-D$19-D$22-D$34-D$36-D$50-D$48)</f>
        <v>7.0947431575143754E-3</v>
      </c>
      <c r="G20" s="226">
        <f>F20*($D$58)</f>
        <v>93.244695774004498</v>
      </c>
      <c r="H20" s="229"/>
      <c r="I20" s="245">
        <f t="shared" ref="I20" si="9">B20+H20</f>
        <v>111</v>
      </c>
      <c r="J20" s="47"/>
    </row>
    <row r="21" spans="1:10" x14ac:dyDescent="0.25">
      <c r="A21" s="238" t="s">
        <v>208</v>
      </c>
      <c r="B21" s="251">
        <v>1136.7629036140829</v>
      </c>
      <c r="C21" s="247">
        <f t="shared" si="0"/>
        <v>4.4003356972741742E-2</v>
      </c>
      <c r="D21" s="100"/>
      <c r="E21" s="6"/>
      <c r="F21" s="5"/>
      <c r="G21" s="6"/>
      <c r="H21" s="34"/>
      <c r="I21" s="55"/>
      <c r="J21" s="47"/>
    </row>
    <row r="22" spans="1:10" ht="26.4" x14ac:dyDescent="0.25">
      <c r="A22" s="163" t="s">
        <v>114</v>
      </c>
      <c r="B22" s="230">
        <f>SUM(B23:B24)</f>
        <v>1394</v>
      </c>
      <c r="C22" s="244">
        <f t="shared" si="0"/>
        <v>5.3960838645405344E-2</v>
      </c>
      <c r="D22" s="266">
        <f>B22</f>
        <v>1394</v>
      </c>
      <c r="E22" s="226">
        <v>0</v>
      </c>
      <c r="F22" s="227"/>
      <c r="G22" s="226"/>
      <c r="H22" s="229"/>
      <c r="I22" s="245">
        <f t="shared" ref="I22:I34" si="10">B22+H22</f>
        <v>1394</v>
      </c>
      <c r="J22" s="47"/>
    </row>
    <row r="23" spans="1:10" x14ac:dyDescent="0.25">
      <c r="A23" s="89" t="s">
        <v>5</v>
      </c>
      <c r="B23" s="31">
        <f>'Newnans Lake Tribs'!P13</f>
        <v>98.4</v>
      </c>
      <c r="C23" s="32">
        <f t="shared" si="0"/>
        <v>3.809000374969789E-3</v>
      </c>
      <c r="D23" s="100">
        <f t="shared" ref="D23:D24" si="11">B23</f>
        <v>98.4</v>
      </c>
      <c r="E23" s="6">
        <v>0</v>
      </c>
      <c r="F23" s="5"/>
      <c r="G23" s="6"/>
      <c r="H23" s="34"/>
      <c r="I23" s="55">
        <f t="shared" si="10"/>
        <v>98.4</v>
      </c>
      <c r="J23" s="47"/>
    </row>
    <row r="24" spans="1:10" x14ac:dyDescent="0.25">
      <c r="A24" s="89" t="s">
        <v>6</v>
      </c>
      <c r="B24" s="31">
        <f>'Newnans Lake Tribs'!P14</f>
        <v>1295.5999999999999</v>
      </c>
      <c r="C24" s="32">
        <f t="shared" si="0"/>
        <v>5.0151838270435546E-2</v>
      </c>
      <c r="D24" s="100">
        <f t="shared" si="11"/>
        <v>1295.5999999999999</v>
      </c>
      <c r="E24" s="6">
        <v>0</v>
      </c>
      <c r="F24" s="5"/>
      <c r="G24" s="6"/>
      <c r="H24" s="34"/>
      <c r="I24" s="55">
        <f t="shared" si="10"/>
        <v>1295.5999999999999</v>
      </c>
      <c r="J24" s="47"/>
    </row>
    <row r="25" spans="1:10" ht="26.4" x14ac:dyDescent="0.25">
      <c r="A25" s="163" t="s">
        <v>115</v>
      </c>
      <c r="B25" s="230">
        <f>SUM(B26:B31)</f>
        <v>421.8</v>
      </c>
      <c r="C25" s="244">
        <f t="shared" si="0"/>
        <v>1.6327605265876594E-2</v>
      </c>
      <c r="D25" s="266">
        <f>B25</f>
        <v>421.8</v>
      </c>
      <c r="E25" s="226">
        <f>B25</f>
        <v>421.8</v>
      </c>
      <c r="F25" s="227">
        <f t="shared" ref="F25:F33" si="12">E25/(D$56-D$8-D$19-D$22-D$34-D$36-D$50-D$48)</f>
        <v>2.6960023998554628E-2</v>
      </c>
      <c r="G25" s="226">
        <f t="shared" ref="G25:G33" si="13">F25*($D$58)</f>
        <v>354.32984394121712</v>
      </c>
      <c r="H25" s="229"/>
      <c r="I25" s="245">
        <f t="shared" si="10"/>
        <v>421.8</v>
      </c>
      <c r="J25" s="47"/>
    </row>
    <row r="26" spans="1:10" x14ac:dyDescent="0.25">
      <c r="A26" s="89" t="s">
        <v>7</v>
      </c>
      <c r="B26" s="31">
        <f>'Newnans Lake Tribs'!P9</f>
        <v>32.6</v>
      </c>
      <c r="C26" s="32">
        <f t="shared" si="0"/>
        <v>1.2619249209757633E-3</v>
      </c>
      <c r="D26" s="100">
        <f t="shared" ref="D26:D34" si="14">B26</f>
        <v>32.6</v>
      </c>
      <c r="E26" s="6">
        <f t="shared" ref="E26:E30" si="15">B26</f>
        <v>32.6</v>
      </c>
      <c r="F26" s="5">
        <f t="shared" si="12"/>
        <v>2.0836813237384562E-3</v>
      </c>
      <c r="G26" s="6">
        <f t="shared" si="13"/>
        <v>27.385379119212132</v>
      </c>
      <c r="H26" s="34"/>
      <c r="I26" s="55">
        <f t="shared" si="10"/>
        <v>32.6</v>
      </c>
      <c r="J26" s="47"/>
    </row>
    <row r="27" spans="1:10" x14ac:dyDescent="0.25">
      <c r="A27" s="89" t="s">
        <v>8</v>
      </c>
      <c r="B27" s="31">
        <f>'Newnans Lake Tribs'!P7</f>
        <v>228.4</v>
      </c>
      <c r="C27" s="32">
        <f t="shared" si="0"/>
        <v>8.841216317511176E-3</v>
      </c>
      <c r="D27" s="100">
        <f t="shared" si="14"/>
        <v>228.4</v>
      </c>
      <c r="E27" s="6">
        <f t="shared" si="15"/>
        <v>228.4</v>
      </c>
      <c r="F27" s="5">
        <f t="shared" si="12"/>
        <v>1.4598552587173724E-2</v>
      </c>
      <c r="G27" s="6">
        <f t="shared" si="13"/>
        <v>191.86566229533898</v>
      </c>
      <c r="H27" s="34"/>
      <c r="I27" s="55">
        <f t="shared" si="10"/>
        <v>228.4</v>
      </c>
      <c r="J27" s="47"/>
    </row>
    <row r="28" spans="1:10" x14ac:dyDescent="0.25">
      <c r="A28" s="89" t="s">
        <v>9</v>
      </c>
      <c r="B28" s="31">
        <f>'Newnans Lake Tribs'!P8</f>
        <v>76</v>
      </c>
      <c r="C28" s="32">
        <f t="shared" si="0"/>
        <v>2.9419108587165036E-3</v>
      </c>
      <c r="D28" s="100">
        <f t="shared" si="14"/>
        <v>76</v>
      </c>
      <c r="E28" s="6">
        <f t="shared" si="15"/>
        <v>76</v>
      </c>
      <c r="F28" s="5">
        <f t="shared" si="12"/>
        <v>4.857661981721554E-3</v>
      </c>
      <c r="G28" s="6">
        <f t="shared" si="13"/>
        <v>63.843215124543619</v>
      </c>
      <c r="H28" s="34"/>
      <c r="I28" s="55">
        <f t="shared" si="10"/>
        <v>76</v>
      </c>
      <c r="J28" s="47"/>
    </row>
    <row r="29" spans="1:10" x14ac:dyDescent="0.25">
      <c r="A29" s="89" t="s">
        <v>10</v>
      </c>
      <c r="B29" s="31">
        <f>'Newnans Lake Tribs'!P6</f>
        <v>9.6</v>
      </c>
      <c r="C29" s="32">
        <f t="shared" si="0"/>
        <v>3.7160979267997939E-4</v>
      </c>
      <c r="D29" s="100">
        <f t="shared" si="14"/>
        <v>9.6</v>
      </c>
      <c r="E29" s="6">
        <f t="shared" si="15"/>
        <v>9.6</v>
      </c>
      <c r="F29" s="5">
        <f t="shared" si="12"/>
        <v>6.1359940821745945E-4</v>
      </c>
      <c r="G29" s="6">
        <f t="shared" si="13"/>
        <v>8.0644061209949829</v>
      </c>
      <c r="H29" s="34"/>
      <c r="I29" s="55">
        <f t="shared" si="10"/>
        <v>9.6</v>
      </c>
      <c r="J29" s="47"/>
    </row>
    <row r="30" spans="1:10" x14ac:dyDescent="0.25">
      <c r="A30" s="89" t="s">
        <v>11</v>
      </c>
      <c r="B30" s="31">
        <f>'Newnans Lake Tribs'!P5</f>
        <v>71.2</v>
      </c>
      <c r="C30" s="32">
        <f t="shared" si="0"/>
        <v>2.756105962376514E-3</v>
      </c>
      <c r="D30" s="100">
        <f t="shared" si="14"/>
        <v>71.2</v>
      </c>
      <c r="E30" s="6">
        <f t="shared" si="15"/>
        <v>71.2</v>
      </c>
      <c r="F30" s="5">
        <f t="shared" si="12"/>
        <v>4.5508622776128244E-3</v>
      </c>
      <c r="G30" s="6">
        <f t="shared" si="13"/>
        <v>59.811012064046125</v>
      </c>
      <c r="H30" s="34"/>
      <c r="I30" s="55">
        <f t="shared" si="10"/>
        <v>71.2</v>
      </c>
      <c r="J30" s="47"/>
    </row>
    <row r="31" spans="1:10" x14ac:dyDescent="0.25">
      <c r="A31" s="236" t="s">
        <v>193</v>
      </c>
      <c r="B31" s="31">
        <v>4</v>
      </c>
      <c r="C31" s="32">
        <f t="shared" si="0"/>
        <v>1.5483741361665808E-4</v>
      </c>
      <c r="D31" s="100">
        <f t="shared" si="14"/>
        <v>4</v>
      </c>
      <c r="E31" s="6">
        <f>D31</f>
        <v>4</v>
      </c>
      <c r="F31" s="5">
        <f t="shared" si="12"/>
        <v>2.5566642009060812E-4</v>
      </c>
      <c r="G31" s="6">
        <f t="shared" si="13"/>
        <v>3.3601692170812432</v>
      </c>
      <c r="H31" s="34"/>
      <c r="I31" s="55"/>
      <c r="J31" s="47"/>
    </row>
    <row r="32" spans="1:10" x14ac:dyDescent="0.25">
      <c r="A32" s="88" t="s">
        <v>109</v>
      </c>
      <c r="B32" s="223">
        <f>'Newnans Lake Tribs'!P12</f>
        <v>283.2</v>
      </c>
      <c r="C32" s="244">
        <f t="shared" si="0"/>
        <v>1.0962488884059391E-2</v>
      </c>
      <c r="D32" s="266">
        <f t="shared" si="14"/>
        <v>283.2</v>
      </c>
      <c r="E32" s="226">
        <f>B32</f>
        <v>283.2</v>
      </c>
      <c r="F32" s="227">
        <f t="shared" si="12"/>
        <v>1.8101182542415054E-2</v>
      </c>
      <c r="G32" s="226">
        <f t="shared" si="13"/>
        <v>237.89998056935201</v>
      </c>
      <c r="H32" s="229"/>
      <c r="I32" s="245">
        <f>B32+H32</f>
        <v>283.2</v>
      </c>
      <c r="J32" s="47"/>
    </row>
    <row r="33" spans="1:10" x14ac:dyDescent="0.25">
      <c r="A33" s="88" t="s">
        <v>181</v>
      </c>
      <c r="B33" s="230">
        <f>'Newnans Lake Tribs'!P17</f>
        <v>142.19999999999999</v>
      </c>
      <c r="C33" s="244">
        <f t="shared" si="0"/>
        <v>5.5044700540721947E-3</v>
      </c>
      <c r="D33" s="266">
        <f t="shared" si="14"/>
        <v>142.19999999999999</v>
      </c>
      <c r="E33" s="226">
        <f>B33</f>
        <v>142.19999999999999</v>
      </c>
      <c r="F33" s="227">
        <f t="shared" si="12"/>
        <v>9.0889412342211179E-3</v>
      </c>
      <c r="G33" s="226">
        <f t="shared" si="13"/>
        <v>119.45401566723818</v>
      </c>
      <c r="H33" s="229"/>
      <c r="I33" s="245">
        <f t="shared" si="10"/>
        <v>142.19999999999999</v>
      </c>
      <c r="J33" s="47"/>
    </row>
    <row r="34" spans="1:10" x14ac:dyDescent="0.25">
      <c r="A34" s="88" t="s">
        <v>112</v>
      </c>
      <c r="B34" s="230">
        <f>'Newnans Lake Tribs'!P15</f>
        <v>1004.6</v>
      </c>
      <c r="C34" s="244">
        <f t="shared" si="0"/>
        <v>3.8887416429823678E-2</v>
      </c>
      <c r="D34" s="266">
        <f t="shared" si="14"/>
        <v>1004.6</v>
      </c>
      <c r="E34" s="226"/>
      <c r="F34" s="227"/>
      <c r="G34" s="226"/>
      <c r="H34" s="229"/>
      <c r="I34" s="245">
        <f t="shared" si="10"/>
        <v>1004.6</v>
      </c>
      <c r="J34" s="47"/>
    </row>
    <row r="35" spans="1:10" ht="18" customHeight="1" x14ac:dyDescent="0.25">
      <c r="A35" s="237" t="s">
        <v>209</v>
      </c>
      <c r="B35" s="251">
        <v>292</v>
      </c>
      <c r="C35" s="247">
        <f t="shared" si="0"/>
        <v>1.130313119401604E-2</v>
      </c>
      <c r="D35" s="100"/>
      <c r="E35" s="6"/>
      <c r="F35" s="5"/>
      <c r="G35" s="6"/>
      <c r="H35" s="34"/>
      <c r="I35" s="55"/>
      <c r="J35" s="47"/>
    </row>
    <row r="36" spans="1:10" ht="26.4" x14ac:dyDescent="0.25">
      <c r="A36" s="123" t="s">
        <v>116</v>
      </c>
      <c r="B36" s="223">
        <f>SUM(B37:B38)</f>
        <v>439.6</v>
      </c>
      <c r="C36" s="244">
        <f t="shared" si="0"/>
        <v>1.7016631756470724E-2</v>
      </c>
      <c r="D36" s="266">
        <f t="shared" ref="D36:D50" si="16">B36</f>
        <v>439.6</v>
      </c>
      <c r="E36" s="226">
        <v>0</v>
      </c>
      <c r="F36" s="227"/>
      <c r="G36" s="226"/>
      <c r="H36" s="229"/>
      <c r="I36" s="245">
        <f t="shared" ref="I36:I43" si="17">B36+H36</f>
        <v>439.6</v>
      </c>
      <c r="J36" s="47"/>
    </row>
    <row r="37" spans="1:10" x14ac:dyDescent="0.25">
      <c r="A37" s="92" t="s">
        <v>5</v>
      </c>
      <c r="B37" s="10">
        <f>'Newnans Lake Tribs'!P29</f>
        <v>106.6</v>
      </c>
      <c r="C37" s="32">
        <f t="shared" si="0"/>
        <v>4.1264170728839379E-3</v>
      </c>
      <c r="D37" s="100">
        <f t="shared" si="16"/>
        <v>106.6</v>
      </c>
      <c r="E37" s="6">
        <v>0</v>
      </c>
      <c r="F37" s="5"/>
      <c r="G37" s="6"/>
      <c r="H37" s="34"/>
      <c r="I37" s="55">
        <f t="shared" si="17"/>
        <v>106.6</v>
      </c>
      <c r="J37" s="47"/>
    </row>
    <row r="38" spans="1:10" x14ac:dyDescent="0.25">
      <c r="A38" s="92" t="s">
        <v>6</v>
      </c>
      <c r="B38" s="10">
        <f>'Newnans Lake Tribs'!P30</f>
        <v>333</v>
      </c>
      <c r="C38" s="32">
        <f t="shared" si="0"/>
        <v>1.2890214683586785E-2</v>
      </c>
      <c r="D38" s="100">
        <f t="shared" si="16"/>
        <v>333</v>
      </c>
      <c r="E38" s="6">
        <v>0</v>
      </c>
      <c r="F38" s="5"/>
      <c r="G38" s="6"/>
      <c r="H38" s="34"/>
      <c r="I38" s="55">
        <f t="shared" si="17"/>
        <v>333</v>
      </c>
      <c r="J38" s="47"/>
    </row>
    <row r="39" spans="1:10" ht="26.4" x14ac:dyDescent="0.25">
      <c r="A39" s="123" t="s">
        <v>119</v>
      </c>
      <c r="B39" s="223">
        <f>SUM(B40:B45)</f>
        <v>363.91999999999996</v>
      </c>
      <c r="C39" s="244">
        <f t="shared" si="0"/>
        <v>1.408710789084355E-2</v>
      </c>
      <c r="D39" s="266">
        <f t="shared" si="16"/>
        <v>363.91999999999996</v>
      </c>
      <c r="E39" s="226">
        <f t="shared" ref="E39:E47" si="18">B39</f>
        <v>363.91999999999996</v>
      </c>
      <c r="F39" s="227">
        <f t="shared" ref="F39:F47" si="19">E39/(D$56-D$8-D$19-D$22-D$34-D$36-D$50-D$48)</f>
        <v>2.3260530899843524E-2</v>
      </c>
      <c r="G39" s="226">
        <f t="shared" ref="G39:G47" si="20">F39*($D$58)</f>
        <v>305.7081953700515</v>
      </c>
      <c r="H39" s="229"/>
      <c r="I39" s="245">
        <f t="shared" si="17"/>
        <v>363.91999999999996</v>
      </c>
      <c r="J39" s="47"/>
    </row>
    <row r="40" spans="1:10" x14ac:dyDescent="0.25">
      <c r="A40" s="92" t="s">
        <v>7</v>
      </c>
      <c r="B40" s="10">
        <f>'Newnans Lake Tribs'!P25</f>
        <v>44</v>
      </c>
      <c r="C40" s="32">
        <f t="shared" si="0"/>
        <v>1.7032115497832389E-3</v>
      </c>
      <c r="D40" s="100">
        <f t="shared" si="16"/>
        <v>44</v>
      </c>
      <c r="E40" s="6">
        <f t="shared" si="18"/>
        <v>44</v>
      </c>
      <c r="F40" s="5">
        <f t="shared" si="19"/>
        <v>2.812330620996689E-3</v>
      </c>
      <c r="G40" s="6">
        <f t="shared" si="20"/>
        <v>36.96186138789367</v>
      </c>
      <c r="H40" s="34"/>
      <c r="I40" s="55">
        <f t="shared" si="17"/>
        <v>44</v>
      </c>
      <c r="J40" s="47"/>
    </row>
    <row r="41" spans="1:10" x14ac:dyDescent="0.25">
      <c r="A41" s="92" t="s">
        <v>8</v>
      </c>
      <c r="B41" s="10">
        <f>'Newnans Lake Tribs'!P23</f>
        <v>11.8</v>
      </c>
      <c r="C41" s="32">
        <f t="shared" si="0"/>
        <v>4.5677037016914138E-4</v>
      </c>
      <c r="D41" s="100">
        <f t="shared" si="16"/>
        <v>11.8</v>
      </c>
      <c r="E41" s="6">
        <f t="shared" si="18"/>
        <v>11.8</v>
      </c>
      <c r="F41" s="5">
        <f t="shared" si="19"/>
        <v>7.5421593926729396E-4</v>
      </c>
      <c r="G41" s="6">
        <f t="shared" si="20"/>
        <v>9.9124991903896671</v>
      </c>
      <c r="H41" s="34"/>
      <c r="I41" s="55">
        <f t="shared" si="17"/>
        <v>11.8</v>
      </c>
      <c r="J41" s="47"/>
    </row>
    <row r="42" spans="1:10" x14ac:dyDescent="0.25">
      <c r="A42" s="92" t="s">
        <v>9</v>
      </c>
      <c r="B42" s="10">
        <f>'Newnans Lake Tribs'!P24</f>
        <v>92.72</v>
      </c>
      <c r="C42" s="32">
        <f t="shared" si="0"/>
        <v>3.5891312476341343E-3</v>
      </c>
      <c r="D42" s="100">
        <f t="shared" si="16"/>
        <v>92.72</v>
      </c>
      <c r="E42" s="6">
        <f t="shared" si="18"/>
        <v>92.72</v>
      </c>
      <c r="F42" s="5">
        <f t="shared" si="19"/>
        <v>5.9263476177002956E-3</v>
      </c>
      <c r="G42" s="6">
        <f t="shared" si="20"/>
        <v>77.88872245194321</v>
      </c>
      <c r="H42" s="34"/>
      <c r="I42" s="55">
        <f t="shared" si="17"/>
        <v>92.72</v>
      </c>
      <c r="J42" s="47"/>
    </row>
    <row r="43" spans="1:10" x14ac:dyDescent="0.25">
      <c r="A43" s="92" t="s">
        <v>10</v>
      </c>
      <c r="B43" s="10">
        <f>'Newnans Lake Tribs'!P22</f>
        <v>29.4</v>
      </c>
      <c r="C43" s="32">
        <f t="shared" si="0"/>
        <v>1.1380549900824369E-3</v>
      </c>
      <c r="D43" s="100">
        <f t="shared" si="16"/>
        <v>29.4</v>
      </c>
      <c r="E43" s="6">
        <f t="shared" si="18"/>
        <v>29.4</v>
      </c>
      <c r="F43" s="5">
        <f t="shared" si="19"/>
        <v>1.8791481876659695E-3</v>
      </c>
      <c r="G43" s="6">
        <f t="shared" si="20"/>
        <v>24.697243745547137</v>
      </c>
      <c r="H43" s="34"/>
      <c r="I43" s="55">
        <f t="shared" si="17"/>
        <v>29.4</v>
      </c>
      <c r="J43" s="47"/>
    </row>
    <row r="44" spans="1:10" x14ac:dyDescent="0.25">
      <c r="A44" s="92" t="s">
        <v>11</v>
      </c>
      <c r="B44" s="10">
        <f>'Newnans Lake Tribs'!P21</f>
        <v>186</v>
      </c>
      <c r="C44" s="32">
        <f t="shared" si="0"/>
        <v>7.1999397331746007E-3</v>
      </c>
      <c r="D44" s="100">
        <f t="shared" si="16"/>
        <v>186</v>
      </c>
      <c r="E44" s="6">
        <f t="shared" si="18"/>
        <v>186</v>
      </c>
      <c r="F44" s="5">
        <f t="shared" si="19"/>
        <v>1.1888488534213277E-2</v>
      </c>
      <c r="G44" s="6">
        <f t="shared" si="20"/>
        <v>156.2478685942778</v>
      </c>
      <c r="H44" s="34"/>
      <c r="I44" s="55">
        <f t="shared" ref="I44:I49" si="21">B44+H44</f>
        <v>186</v>
      </c>
      <c r="J44" s="47"/>
    </row>
    <row r="45" spans="1:10" x14ac:dyDescent="0.25">
      <c r="A45" s="235" t="s">
        <v>193</v>
      </c>
      <c r="B45" s="10">
        <v>0</v>
      </c>
      <c r="C45" s="32">
        <f t="shared" si="0"/>
        <v>0</v>
      </c>
      <c r="D45" s="100">
        <f t="shared" si="16"/>
        <v>0</v>
      </c>
      <c r="E45" s="6">
        <f>D45</f>
        <v>0</v>
      </c>
      <c r="F45" s="5">
        <f t="shared" si="19"/>
        <v>0</v>
      </c>
      <c r="G45" s="6">
        <f t="shared" si="20"/>
        <v>0</v>
      </c>
      <c r="H45" s="34"/>
      <c r="I45" s="55"/>
      <c r="J45" s="47"/>
    </row>
    <row r="46" spans="1:10" x14ac:dyDescent="0.25">
      <c r="A46" s="91" t="s">
        <v>110</v>
      </c>
      <c r="B46" s="223">
        <f>'Newnans Lake Tribs'!P28</f>
        <v>24</v>
      </c>
      <c r="C46" s="244">
        <f t="shared" si="0"/>
        <v>9.2902448169994846E-4</v>
      </c>
      <c r="D46" s="266">
        <f t="shared" si="16"/>
        <v>24</v>
      </c>
      <c r="E46" s="226">
        <f t="shared" si="18"/>
        <v>24</v>
      </c>
      <c r="F46" s="227">
        <f t="shared" si="19"/>
        <v>1.5339985205436487E-3</v>
      </c>
      <c r="G46" s="226">
        <f t="shared" si="20"/>
        <v>20.16101530248746</v>
      </c>
      <c r="H46" s="229"/>
      <c r="I46" s="245">
        <f>B46+H46</f>
        <v>24</v>
      </c>
      <c r="J46" s="47"/>
    </row>
    <row r="47" spans="1:10" x14ac:dyDescent="0.25">
      <c r="A47" s="91" t="s">
        <v>174</v>
      </c>
      <c r="B47" s="230">
        <f>'Newnans Lake Tribs'!P33</f>
        <v>2.6666666666666665</v>
      </c>
      <c r="C47" s="244">
        <f t="shared" ref="C47:C48" si="22">B47/B$56</f>
        <v>1.0322494241110538E-4</v>
      </c>
      <c r="D47" s="266">
        <f t="shared" si="16"/>
        <v>2.6666666666666665</v>
      </c>
      <c r="E47" s="226">
        <f t="shared" si="18"/>
        <v>2.6666666666666665</v>
      </c>
      <c r="F47" s="227">
        <f t="shared" si="19"/>
        <v>1.704442800604054E-4</v>
      </c>
      <c r="G47" s="226">
        <f t="shared" si="20"/>
        <v>2.2401128113874953</v>
      </c>
      <c r="H47" s="229"/>
      <c r="I47" s="245">
        <f t="shared" si="21"/>
        <v>2.6666666666666665</v>
      </c>
      <c r="J47" s="47"/>
    </row>
    <row r="48" spans="1:10" x14ac:dyDescent="0.25">
      <c r="A48" s="91" t="s">
        <v>113</v>
      </c>
      <c r="B48" s="230">
        <f>'Newnans Lake Tribs'!P31</f>
        <v>266.60000000000002</v>
      </c>
      <c r="C48" s="244">
        <f t="shared" si="22"/>
        <v>1.0319913617550263E-2</v>
      </c>
      <c r="D48" s="266">
        <f t="shared" si="16"/>
        <v>266.60000000000002</v>
      </c>
      <c r="E48" s="226"/>
      <c r="F48" s="227"/>
      <c r="G48" s="226"/>
      <c r="H48" s="229"/>
      <c r="I48" s="245">
        <f t="shared" si="21"/>
        <v>266.60000000000002</v>
      </c>
      <c r="J48" s="47"/>
    </row>
    <row r="49" spans="1:20" x14ac:dyDescent="0.25">
      <c r="A49" s="33" t="s">
        <v>13</v>
      </c>
      <c r="B49" s="223">
        <v>13478</v>
      </c>
      <c r="C49" s="244">
        <f>B49/B$56</f>
        <v>0.52172466518132943</v>
      </c>
      <c r="D49" s="266">
        <f t="shared" si="16"/>
        <v>13478</v>
      </c>
      <c r="E49" s="226">
        <f>B49</f>
        <v>13478</v>
      </c>
      <c r="F49" s="227">
        <f>E49/(D$56-D$8-D$19-D$22-D$34-D$36-D$50-D$48)</f>
        <v>0.86146800249530397</v>
      </c>
      <c r="G49" s="226">
        <f>F49*($D$58)</f>
        <v>11322.090176955247</v>
      </c>
      <c r="H49" s="229"/>
      <c r="I49" s="245">
        <f t="shared" si="21"/>
        <v>13478</v>
      </c>
      <c r="J49" s="47"/>
    </row>
    <row r="50" spans="1:20" ht="13.8" thickBot="1" x14ac:dyDescent="0.3">
      <c r="A50" s="172" t="s">
        <v>0</v>
      </c>
      <c r="B50" s="252">
        <v>3223</v>
      </c>
      <c r="C50" s="253">
        <f>B50/B$56</f>
        <v>0.12476024602162225</v>
      </c>
      <c r="D50" s="266">
        <f t="shared" si="16"/>
        <v>3223</v>
      </c>
      <c r="E50" s="254">
        <v>0</v>
      </c>
      <c r="F50" s="255"/>
      <c r="G50" s="256"/>
      <c r="H50" s="257"/>
      <c r="I50" s="258">
        <f>B50+H50</f>
        <v>3223</v>
      </c>
      <c r="J50" s="173"/>
    </row>
    <row r="51" spans="1:20" ht="13.8" thickTop="1" x14ac:dyDescent="0.25">
      <c r="A51" s="108" t="s">
        <v>182</v>
      </c>
      <c r="B51" s="174">
        <f>B52+B53</f>
        <v>4342.5866666666661</v>
      </c>
      <c r="C51" s="175">
        <f>B51/B$56</f>
        <v>0.16809872196821277</v>
      </c>
      <c r="D51" s="109"/>
      <c r="E51" s="111"/>
      <c r="F51" s="112">
        <f>E51/(B$56-B$9-B$10-B$19-B$23-B$24-B$34-B$37-B$38-B$50-B$48)</f>
        <v>0</v>
      </c>
      <c r="G51" s="111">
        <f>F51*($B$58)</f>
        <v>0</v>
      </c>
      <c r="H51" s="113"/>
      <c r="I51" s="176">
        <f>B51+H51</f>
        <v>4342.5866666666661</v>
      </c>
      <c r="J51" s="177"/>
    </row>
    <row r="52" spans="1:20" x14ac:dyDescent="0.25">
      <c r="A52" s="86" t="s">
        <v>117</v>
      </c>
      <c r="B52" s="31">
        <f>B32+B22+B25+B33+B34</f>
        <v>3245.7999999999997</v>
      </c>
      <c r="C52" s="32">
        <f>B52/B$56</f>
        <v>0.12564281927923718</v>
      </c>
      <c r="D52" s="100"/>
      <c r="E52" s="6"/>
      <c r="F52" s="5">
        <f>E52/(B$56-B$9-B$10-B$19-B$23-B$24-B$34-B$37-B$38-B$50-B$48)</f>
        <v>0</v>
      </c>
      <c r="G52" s="6">
        <f>F52*($B$58)</f>
        <v>0</v>
      </c>
      <c r="H52" s="34"/>
      <c r="I52" s="55">
        <f>B52+H52</f>
        <v>3245.7999999999997</v>
      </c>
      <c r="J52" s="47"/>
    </row>
    <row r="53" spans="1:20" x14ac:dyDescent="0.25">
      <c r="A53" s="86" t="s">
        <v>118</v>
      </c>
      <c r="B53" s="10">
        <f>B46+B36+B39+B47+B48</f>
        <v>1096.7866666666666</v>
      </c>
      <c r="C53" s="32">
        <f>B53/B$56</f>
        <v>4.2455902688975589E-2</v>
      </c>
      <c r="D53" s="100"/>
      <c r="E53" s="6"/>
      <c r="F53" s="5">
        <f>E53/(B$56-B$9-B$10-B$19-B$23-B$24-B$34-B$37-B$38-B$50-B$48)</f>
        <v>0</v>
      </c>
      <c r="G53" s="6">
        <f>F53*($B$58)</f>
        <v>0</v>
      </c>
      <c r="H53" s="34"/>
      <c r="I53" s="55">
        <f>B53+H53</f>
        <v>1096.7866666666666</v>
      </c>
      <c r="J53" s="47"/>
    </row>
    <row r="54" spans="1:20" x14ac:dyDescent="0.25">
      <c r="A54" s="27"/>
      <c r="B54" s="10"/>
      <c r="C54" s="32"/>
      <c r="D54" s="100"/>
      <c r="E54" s="6"/>
      <c r="F54" s="5"/>
      <c r="G54" s="6"/>
      <c r="H54" s="34"/>
      <c r="I54" s="55"/>
      <c r="J54" s="47"/>
    </row>
    <row r="55" spans="1:20" x14ac:dyDescent="0.25">
      <c r="A55" s="36" t="s">
        <v>4</v>
      </c>
      <c r="B55" s="10"/>
      <c r="C55" s="28"/>
      <c r="D55" s="100"/>
      <c r="E55" s="8"/>
      <c r="F55" s="5"/>
      <c r="G55" s="6"/>
      <c r="H55" s="10"/>
      <c r="I55" s="56"/>
      <c r="J55" s="46"/>
    </row>
    <row r="56" spans="1:20" x14ac:dyDescent="0.25">
      <c r="A56" s="37" t="s">
        <v>22</v>
      </c>
      <c r="B56" s="11">
        <f>B4+B7+B8+B11+B18+B19+B20+B51+B49+B50+B21+B35</f>
        <v>25833.549570280749</v>
      </c>
      <c r="C56" s="32">
        <f>C4+C7+C8+C11+C18+C19+C20+C21+C22+C25+C32+C33+C34+C35+C36+C39+C46+C47+C48+C49+C50</f>
        <v>1</v>
      </c>
      <c r="D56" s="100">
        <f>D4+D8+D11+D18+D19+D20+D22+D25+D32+D33+D34+D36+D39+D46+D47+D48+D50+D49</f>
        <v>24066.786666666667</v>
      </c>
      <c r="E56" s="11">
        <f>(E4+E11+E20+E18+E49+E32+E33+E39+E46+E47+E25)</f>
        <v>15645.386666666667</v>
      </c>
      <c r="F56" s="12">
        <f>(F4+F11+F18+F20+F25+F32+F33+F39+F46+F47+F49)</f>
        <v>0.99999999999999967</v>
      </c>
      <c r="G56" s="11">
        <f>G4+G11+G18+G20+G25+G32+G33+G39+G46+G47+G49</f>
        <v>13142.786666666661</v>
      </c>
      <c r="H56" s="11"/>
      <c r="I56" s="11">
        <f>I4+I8+I11+I18+I19+I20+I51+I49+I50</f>
        <v>24066.786666666667</v>
      </c>
      <c r="J56" s="48"/>
    </row>
    <row r="57" spans="1:20" x14ac:dyDescent="0.25">
      <c r="A57" s="39" t="s">
        <v>14</v>
      </c>
      <c r="B57" s="10">
        <f>386+10538</f>
        <v>10924</v>
      </c>
      <c r="C57" s="28"/>
      <c r="D57" s="100">
        <f>B57</f>
        <v>10924</v>
      </c>
      <c r="E57" s="8"/>
      <c r="F57" s="5"/>
      <c r="G57" s="6"/>
      <c r="H57" s="10"/>
      <c r="I57" s="55">
        <v>10924</v>
      </c>
      <c r="J57" s="47"/>
    </row>
    <row r="58" spans="1:20" x14ac:dyDescent="0.25">
      <c r="A58" s="37" t="s">
        <v>39</v>
      </c>
      <c r="B58" s="11">
        <f>B56-B57</f>
        <v>14909.549570280749</v>
      </c>
      <c r="C58" s="28"/>
      <c r="D58" s="100">
        <f>D56-D57</f>
        <v>13142.786666666667</v>
      </c>
      <c r="E58" s="13"/>
      <c r="F58" s="12"/>
      <c r="G58" s="11"/>
      <c r="H58" s="11"/>
      <c r="I58" s="38">
        <f>I56-I57</f>
        <v>13142.786666666667</v>
      </c>
      <c r="J58" s="48"/>
    </row>
    <row r="59" spans="1:20" x14ac:dyDescent="0.25">
      <c r="E59" s="3"/>
      <c r="F59" s="3"/>
      <c r="G59" s="2"/>
      <c r="H59" s="2"/>
    </row>
    <row r="60" spans="1:20" x14ac:dyDescent="0.25">
      <c r="A60" s="18"/>
    </row>
    <row r="61" spans="1:20" ht="13.8" thickBot="1" x14ac:dyDescent="0.3">
      <c r="A61" s="2"/>
    </row>
    <row r="62" spans="1:20" ht="66" x14ac:dyDescent="0.25">
      <c r="A62" s="164" t="s">
        <v>160</v>
      </c>
      <c r="B62" s="119" t="s">
        <v>69</v>
      </c>
      <c r="C62" s="120" t="s">
        <v>83</v>
      </c>
      <c r="D62" s="120" t="s">
        <v>134</v>
      </c>
      <c r="E62" s="120" t="s">
        <v>70</v>
      </c>
      <c r="F62" s="120" t="s">
        <v>71</v>
      </c>
      <c r="G62" s="120" t="s">
        <v>135</v>
      </c>
      <c r="H62" s="120" t="s">
        <v>76</v>
      </c>
      <c r="I62" s="120" t="s">
        <v>73</v>
      </c>
      <c r="J62" s="120" t="s">
        <v>136</v>
      </c>
      <c r="K62" s="120" t="s">
        <v>77</v>
      </c>
      <c r="L62" s="120" t="s">
        <v>78</v>
      </c>
      <c r="M62" s="120" t="s">
        <v>137</v>
      </c>
      <c r="N62" s="120" t="s">
        <v>79</v>
      </c>
      <c r="O62" s="120" t="s">
        <v>80</v>
      </c>
      <c r="P62" s="120" t="s">
        <v>138</v>
      </c>
      <c r="Q62" s="119" t="s">
        <v>201</v>
      </c>
      <c r="R62" s="120" t="s">
        <v>202</v>
      </c>
      <c r="S62" s="120" t="s">
        <v>203</v>
      </c>
      <c r="T62" s="121" t="s">
        <v>139</v>
      </c>
    </row>
    <row r="63" spans="1:20" x14ac:dyDescent="0.25">
      <c r="A63" s="30" t="s">
        <v>62</v>
      </c>
      <c r="B63" s="125">
        <f>'Newnans LU'!D3</f>
        <v>71.313836428900004</v>
      </c>
      <c r="C63" s="126">
        <f>'Newnans LU'!F3</f>
        <v>0.19685886531001281</v>
      </c>
      <c r="D63" s="125">
        <f>C63*G$30</f>
        <v>11.774327967971608</v>
      </c>
      <c r="E63" s="125">
        <v>60.064136551590003</v>
      </c>
      <c r="F63" s="126">
        <v>0.18981804944477132</v>
      </c>
      <c r="G63" s="127">
        <f>F63*G$29</f>
        <v>1.5307698398177421</v>
      </c>
      <c r="H63" s="142">
        <f>'Newnans LU'!D5</f>
        <v>1824.76428687</v>
      </c>
      <c r="I63" s="126">
        <f>'Newnans LU'!F5</f>
        <v>0.9063092229481553</v>
      </c>
      <c r="J63" s="125">
        <f>I63*G$27</f>
        <v>173.88961930532184</v>
      </c>
      <c r="K63" s="125">
        <f>'Newnans LU'!D6</f>
        <v>143.71898623000001</v>
      </c>
      <c r="L63" s="126">
        <f>'Newnans LU'!F6</f>
        <v>0.85703285103496285</v>
      </c>
      <c r="M63" s="125">
        <f>L63*G$28</f>
        <v>54.715732677426075</v>
      </c>
      <c r="N63" s="125">
        <f>'Newnans LU'!D7</f>
        <v>280.83585518500001</v>
      </c>
      <c r="O63" s="126">
        <f>'Newnans LU'!F7</f>
        <v>0.82334012715347216</v>
      </c>
      <c r="P63" s="125">
        <f>O63*G$26</f>
        <v>22.547481526158158</v>
      </c>
      <c r="Q63" s="214">
        <v>3.33241738471E-2</v>
      </c>
      <c r="R63" s="215">
        <v>1</v>
      </c>
      <c r="S63" s="130">
        <f>R63*G31</f>
        <v>3.3601692170812432</v>
      </c>
      <c r="T63" s="133">
        <f>S63+D63+G63+J63+M63+P63</f>
        <v>267.81810053377666</v>
      </c>
    </row>
    <row r="64" spans="1:20" x14ac:dyDescent="0.25">
      <c r="A64" s="30" t="s">
        <v>66</v>
      </c>
      <c r="B64" s="125">
        <f>'Newnans LU'!D20</f>
        <v>6.6091997839949999</v>
      </c>
      <c r="C64" s="126">
        <f>'Newnans LU'!F20</f>
        <v>1.8244419810195117E-2</v>
      </c>
      <c r="D64" s="125">
        <f>C64*G$30</f>
        <v>1.0912172133691023</v>
      </c>
      <c r="E64" s="125">
        <f>'Newnans LU'!D21</f>
        <v>251.2798750707</v>
      </c>
      <c r="F64" s="126">
        <f>'Newnans LU'!F21</f>
        <v>0.79663690531653686</v>
      </c>
      <c r="G64" s="127">
        <f>F64*G$29</f>
        <v>6.4244035354451805</v>
      </c>
      <c r="H64" s="125">
        <f>'Newnans LU'!D22</f>
        <v>8.1936759395200003</v>
      </c>
      <c r="I64" s="126">
        <f>'Newnans LU'!F22</f>
        <v>4.0695689450241917E-3</v>
      </c>
      <c r="J64" s="125">
        <f>I64*G$27</f>
        <v>0.78081054089361046</v>
      </c>
      <c r="K64" s="125">
        <f>'Newnans LU'!D23</f>
        <v>0</v>
      </c>
      <c r="L64" s="126">
        <f>'Newnans LU'!F23</f>
        <v>0</v>
      </c>
      <c r="M64" s="125">
        <f>L64*G$29</f>
        <v>0</v>
      </c>
      <c r="N64" s="125">
        <f>'Newnans LU'!D24</f>
        <v>55.3130139059</v>
      </c>
      <c r="O64" s="126">
        <f>'Newnans LU'!F24</f>
        <v>0.16216385145167866</v>
      </c>
      <c r="P64" s="125">
        <f>O64*G$26</f>
        <v>4.4409185514358187</v>
      </c>
      <c r="Q64" s="216" t="s">
        <v>175</v>
      </c>
      <c r="R64" s="216" t="s">
        <v>175</v>
      </c>
      <c r="S64" s="216" t="s">
        <v>175</v>
      </c>
      <c r="T64" s="133">
        <v>12.716961683177811</v>
      </c>
    </row>
    <row r="65" spans="1:20" x14ac:dyDescent="0.25">
      <c r="A65" s="35" t="s">
        <v>120</v>
      </c>
      <c r="B65" s="125">
        <f>'Newnans LU'!D36</f>
        <v>284.33566276190004</v>
      </c>
      <c r="C65" s="126">
        <f>'Newnans LU'!F36</f>
        <v>0.7848967148792263</v>
      </c>
      <c r="D65" s="125">
        <f>C65*G$30</f>
        <v>46.945466882671575</v>
      </c>
      <c r="E65" s="132" t="s">
        <v>175</v>
      </c>
      <c r="F65" s="132" t="s">
        <v>175</v>
      </c>
      <c r="G65" s="132" t="s">
        <v>175</v>
      </c>
      <c r="H65" s="132" t="s">
        <v>175</v>
      </c>
      <c r="I65" s="132" t="s">
        <v>175</v>
      </c>
      <c r="J65" s="132" t="s">
        <v>175</v>
      </c>
      <c r="K65" s="132" t="s">
        <v>175</v>
      </c>
      <c r="L65" s="132" t="s">
        <v>175</v>
      </c>
      <c r="M65" s="132" t="s">
        <v>175</v>
      </c>
      <c r="N65" s="132" t="s">
        <v>175</v>
      </c>
      <c r="O65" s="132" t="s">
        <v>175</v>
      </c>
      <c r="P65" s="132" t="s">
        <v>175</v>
      </c>
      <c r="Q65" s="216" t="s">
        <v>175</v>
      </c>
      <c r="R65" s="216" t="s">
        <v>175</v>
      </c>
      <c r="S65" s="216" t="s">
        <v>175</v>
      </c>
      <c r="T65" s="133">
        <v>46.945466882671575</v>
      </c>
    </row>
    <row r="66" spans="1:20" x14ac:dyDescent="0.25">
      <c r="A66" s="30" t="s">
        <v>67</v>
      </c>
      <c r="B66" s="132" t="s">
        <v>175</v>
      </c>
      <c r="C66" s="132" t="s">
        <v>175</v>
      </c>
      <c r="D66" s="132" t="s">
        <v>175</v>
      </c>
      <c r="E66" s="125">
        <f>'Newnans LU'!D39</f>
        <v>5.0860472021499996</v>
      </c>
      <c r="F66" s="126">
        <f>'Newnans LU'!F39</f>
        <v>1.607321131582292E-2</v>
      </c>
      <c r="G66" s="127">
        <f>F66*G$29</f>
        <v>0.12962090371936819</v>
      </c>
      <c r="H66" s="125">
        <f>'Newnans LU'!D40</f>
        <v>180.41245039899999</v>
      </c>
      <c r="I66" s="126">
        <f>'Newnans LU'!F40</f>
        <v>8.9605802189255068E-2</v>
      </c>
      <c r="J66" s="125">
        <f>I66*G$27</f>
        <v>17.192276582546558</v>
      </c>
      <c r="K66" s="125">
        <f>'Newnans LU'!D41</f>
        <v>23.9746862545</v>
      </c>
      <c r="L66" s="126">
        <f>'Newnans LU'!F41</f>
        <v>0.1429671489644411</v>
      </c>
      <c r="M66" s="125">
        <f>L66*G$28</f>
        <v>9.1274824470794869</v>
      </c>
      <c r="N66" s="125">
        <f>'Newnans LU'!D42</f>
        <v>4.9444967284599999</v>
      </c>
      <c r="O66" s="126">
        <f>'Newnans LU'!F42</f>
        <v>1.4496021394555974E-2</v>
      </c>
      <c r="P66" s="125">
        <f>O66*G$26</f>
        <v>0.39697904161012548</v>
      </c>
      <c r="Q66" s="216" t="s">
        <v>175</v>
      </c>
      <c r="R66" s="216" t="s">
        <v>175</v>
      </c>
      <c r="S66" s="216" t="s">
        <v>175</v>
      </c>
      <c r="T66" s="133">
        <v>26.846358974955539</v>
      </c>
    </row>
    <row r="67" spans="1:20" ht="13.8" thickBot="1" x14ac:dyDescent="0.3">
      <c r="A67" s="79" t="s">
        <v>68</v>
      </c>
      <c r="B67" s="128">
        <f>SUM(B63:B66)</f>
        <v>362.25869897479504</v>
      </c>
      <c r="C67" s="129">
        <f>SUM(C63:C65)</f>
        <v>0.99999999999943423</v>
      </c>
      <c r="D67" s="128">
        <f t="shared" ref="D67:P67" si="23">SUM(D63:D66)</f>
        <v>59.811012064012289</v>
      </c>
      <c r="E67" s="128">
        <f t="shared" si="23"/>
        <v>316.43005882443998</v>
      </c>
      <c r="F67" s="129">
        <f t="shared" si="23"/>
        <v>1.002528166077131</v>
      </c>
      <c r="G67" s="128">
        <f t="shared" si="23"/>
        <v>8.0847942789822902</v>
      </c>
      <c r="H67" s="143">
        <f t="shared" si="23"/>
        <v>2013.3704132085199</v>
      </c>
      <c r="I67" s="129">
        <f t="shared" si="23"/>
        <v>0.99998459408243456</v>
      </c>
      <c r="J67" s="128">
        <f t="shared" si="23"/>
        <v>191.86270642876201</v>
      </c>
      <c r="K67" s="128">
        <f t="shared" si="23"/>
        <v>167.69367248450001</v>
      </c>
      <c r="L67" s="129">
        <f t="shared" si="23"/>
        <v>0.99999999999940392</v>
      </c>
      <c r="M67" s="128">
        <f t="shared" si="23"/>
        <v>63.843215124505562</v>
      </c>
      <c r="N67" s="128">
        <f t="shared" si="23"/>
        <v>341.09336581936003</v>
      </c>
      <c r="O67" s="129">
        <f t="shared" si="23"/>
        <v>0.99999999999970679</v>
      </c>
      <c r="P67" s="128">
        <f t="shared" si="23"/>
        <v>27.385379119204103</v>
      </c>
      <c r="Q67" s="264">
        <v>0.03</v>
      </c>
      <c r="R67" s="265">
        <v>1</v>
      </c>
      <c r="S67" s="331">
        <v>3.3601692170812432</v>
      </c>
      <c r="T67" s="134">
        <v>350.96671885750033</v>
      </c>
    </row>
    <row r="68" spans="1:20" x14ac:dyDescent="0.25">
      <c r="R68" s="21"/>
    </row>
    <row r="69" spans="1:20" ht="13.8" thickBot="1" x14ac:dyDescent="0.3">
      <c r="R69" s="21"/>
    </row>
    <row r="70" spans="1:20" ht="66" x14ac:dyDescent="0.25">
      <c r="A70" s="164" t="s">
        <v>161</v>
      </c>
      <c r="B70" s="119" t="s">
        <v>69</v>
      </c>
      <c r="C70" s="120" t="s">
        <v>128</v>
      </c>
      <c r="D70" s="120" t="s">
        <v>134</v>
      </c>
      <c r="E70" s="120" t="s">
        <v>70</v>
      </c>
      <c r="F70" s="120" t="s">
        <v>71</v>
      </c>
      <c r="G70" s="120" t="s">
        <v>135</v>
      </c>
      <c r="H70" s="120" t="s">
        <v>76</v>
      </c>
      <c r="I70" s="120" t="s">
        <v>73</v>
      </c>
      <c r="J70" s="120" t="s">
        <v>136</v>
      </c>
      <c r="K70" s="120" t="s">
        <v>77</v>
      </c>
      <c r="L70" s="120" t="s">
        <v>78</v>
      </c>
      <c r="M70" s="120" t="s">
        <v>137</v>
      </c>
      <c r="N70" s="120" t="s">
        <v>79</v>
      </c>
      <c r="O70" s="120" t="s">
        <v>80</v>
      </c>
      <c r="P70" s="120" t="s">
        <v>138</v>
      </c>
      <c r="Q70" s="119" t="s">
        <v>201</v>
      </c>
      <c r="R70" s="120" t="s">
        <v>202</v>
      </c>
      <c r="S70" s="120" t="s">
        <v>203</v>
      </c>
      <c r="T70" s="121" t="s">
        <v>139</v>
      </c>
    </row>
    <row r="71" spans="1:20" x14ac:dyDescent="0.25">
      <c r="A71" s="30" t="s">
        <v>62</v>
      </c>
      <c r="B71" s="125">
        <f>'Newnans LU'!D9</f>
        <v>5.5591097306900004</v>
      </c>
      <c r="C71" s="126">
        <f>'Newnans LU'!F9</f>
        <v>4.5899249383670347E-3</v>
      </c>
      <c r="D71" s="125">
        <f>C71*G$44</f>
        <v>0.71716598862757108</v>
      </c>
      <c r="E71" s="130">
        <v>78.870812362799995</v>
      </c>
      <c r="F71" s="126">
        <v>9.6286604865179842E-2</v>
      </c>
      <c r="G71" s="127">
        <f>F71*G$43</f>
        <v>2.3780137497865312</v>
      </c>
      <c r="H71" s="125">
        <f>[2]OCB_allocate_citys!$G$59+[2]OCB_allocate_citys!$G$81</f>
        <v>206.40780456909999</v>
      </c>
      <c r="I71" s="126">
        <v>0.39371530340537381</v>
      </c>
      <c r="J71" s="125">
        <f>I71*G$41</f>
        <v>3.9027026262497899</v>
      </c>
      <c r="K71" s="125">
        <f>'Newnans LU'!D12</f>
        <v>23</v>
      </c>
      <c r="L71" s="126">
        <f>'Newnans LU'!F12</f>
        <v>4.2000000000000003E-2</v>
      </c>
      <c r="M71" s="125">
        <f>L71*G$42</f>
        <v>3.2713263429816148</v>
      </c>
      <c r="N71" s="125">
        <f>'Newnans LU'!D13</f>
        <v>5.4897800805200001</v>
      </c>
      <c r="O71" s="126">
        <f>'Newnans LU'!F13</f>
        <v>1.9800000000000002E-2</v>
      </c>
      <c r="P71" s="125">
        <f>O71*38</f>
        <v>0.75240000000000007</v>
      </c>
      <c r="Q71" s="261" t="s">
        <v>175</v>
      </c>
      <c r="R71" s="157" t="s">
        <v>175</v>
      </c>
      <c r="S71" s="216" t="s">
        <v>175</v>
      </c>
      <c r="T71" s="260">
        <f>D71+G71+J71+M71+P71</f>
        <v>11.021608707645507</v>
      </c>
    </row>
    <row r="72" spans="1:20" x14ac:dyDescent="0.25">
      <c r="A72" s="30" t="s">
        <v>66</v>
      </c>
      <c r="B72" s="142">
        <f>'Newnans LU'!D25</f>
        <v>1085.9558808436</v>
      </c>
      <c r="C72" s="126">
        <f>'Newnans LU'!F25</f>
        <v>0.89662845687913872</v>
      </c>
      <c r="D72" s="125">
        <f>C72*G$44</f>
        <v>140.09628530834175</v>
      </c>
      <c r="E72" s="125">
        <f>'Newnans LU'!D26</f>
        <v>740.25467734799997</v>
      </c>
      <c r="F72" s="126">
        <f>'Newnans LU'!F26</f>
        <v>0.94234113020932886</v>
      </c>
      <c r="G72" s="127">
        <f>F72*G$43</f>
        <v>23.273228584234168</v>
      </c>
      <c r="H72" s="125">
        <f>'Newnans LU'!D27</f>
        <v>317.84868935820003</v>
      </c>
      <c r="I72" s="126">
        <v>0.60628469659329121</v>
      </c>
      <c r="J72" s="125">
        <f>I72*G$41</f>
        <v>6.0097965641266438</v>
      </c>
      <c r="K72" s="125">
        <f>'Newnans LU'!D28</f>
        <v>527.16177037800003</v>
      </c>
      <c r="L72" s="126">
        <f>'Newnans LU'!F28</f>
        <v>0.95813058419649066</v>
      </c>
      <c r="M72" s="125">
        <f>L72*G$42</f>
        <v>74.627567145198668</v>
      </c>
      <c r="N72" s="131">
        <v>271.89149024099999</v>
      </c>
      <c r="O72" s="126">
        <f>'Newnans LU'!F29</f>
        <v>0.98020854084838838</v>
      </c>
      <c r="P72" s="125">
        <f>O72*38</f>
        <v>37.247924552238757</v>
      </c>
      <c r="Q72" s="214">
        <v>1.7347513595999999</v>
      </c>
      <c r="R72" s="215">
        <v>1</v>
      </c>
      <c r="S72" s="216">
        <f>R72*G45</f>
        <v>0</v>
      </c>
      <c r="T72" s="260">
        <f>D72+G72+J72+M72+P72</f>
        <v>281.25480215414001</v>
      </c>
    </row>
    <row r="73" spans="1:20" x14ac:dyDescent="0.25">
      <c r="A73" s="35" t="s">
        <v>120</v>
      </c>
      <c r="B73" s="125">
        <f>'Newnans LU'!D37</f>
        <v>119.5176719383</v>
      </c>
      <c r="C73" s="126">
        <f>'Newnans LU'!F37</f>
        <v>9.8680754577780805E-2</v>
      </c>
      <c r="D73" s="125">
        <f>C73*G$44</f>
        <v>15.418657574053274</v>
      </c>
      <c r="E73" s="132" t="s">
        <v>175</v>
      </c>
      <c r="F73" s="132" t="s">
        <v>175</v>
      </c>
      <c r="G73" s="132" t="s">
        <v>175</v>
      </c>
      <c r="H73" s="132" t="s">
        <v>175</v>
      </c>
      <c r="I73" s="132" t="s">
        <v>175</v>
      </c>
      <c r="J73" s="132" t="s">
        <v>175</v>
      </c>
      <c r="K73" s="132" t="s">
        <v>175</v>
      </c>
      <c r="L73" s="132" t="s">
        <v>175</v>
      </c>
      <c r="M73" s="132" t="s">
        <v>175</v>
      </c>
      <c r="N73" s="132" t="s">
        <v>175</v>
      </c>
      <c r="O73" s="132" t="s">
        <v>175</v>
      </c>
      <c r="P73" s="132" t="s">
        <v>175</v>
      </c>
      <c r="Q73" s="261" t="s">
        <v>175</v>
      </c>
      <c r="R73" s="259" t="s">
        <v>175</v>
      </c>
      <c r="S73" s="216" t="s">
        <v>175</v>
      </c>
      <c r="T73" s="260">
        <f>D73</f>
        <v>15.418657574053274</v>
      </c>
    </row>
    <row r="74" spans="1:20" x14ac:dyDescent="0.25">
      <c r="A74" s="30" t="s">
        <v>67</v>
      </c>
      <c r="B74" s="132" t="s">
        <v>175</v>
      </c>
      <c r="C74" s="132" t="s">
        <v>175</v>
      </c>
      <c r="D74" s="132" t="s">
        <v>175</v>
      </c>
      <c r="E74" s="132" t="s">
        <v>175</v>
      </c>
      <c r="F74" s="132" t="s">
        <v>175</v>
      </c>
      <c r="G74" s="132" t="s">
        <v>175</v>
      </c>
      <c r="H74" s="132" t="s">
        <v>175</v>
      </c>
      <c r="I74" s="132" t="s">
        <v>175</v>
      </c>
      <c r="J74" s="132" t="s">
        <v>175</v>
      </c>
      <c r="K74" s="132" t="s">
        <v>175</v>
      </c>
      <c r="L74" s="132" t="s">
        <v>175</v>
      </c>
      <c r="M74" s="132" t="s">
        <v>175</v>
      </c>
      <c r="N74" s="132" t="s">
        <v>175</v>
      </c>
      <c r="O74" s="132" t="s">
        <v>175</v>
      </c>
      <c r="P74" s="132" t="s">
        <v>175</v>
      </c>
      <c r="Q74" s="261" t="s">
        <v>175</v>
      </c>
      <c r="R74" s="157" t="s">
        <v>175</v>
      </c>
      <c r="S74" s="216" t="s">
        <v>175</v>
      </c>
      <c r="T74" s="135" t="s">
        <v>175</v>
      </c>
    </row>
    <row r="75" spans="1:20" ht="13.8" thickBot="1" x14ac:dyDescent="0.3">
      <c r="A75" s="79" t="s">
        <v>68</v>
      </c>
      <c r="B75" s="143">
        <v>1211.0999999999999</v>
      </c>
      <c r="C75" s="129">
        <f>SUM(C71:C73)</f>
        <v>0.9998991363952866</v>
      </c>
      <c r="D75" s="128">
        <f t="shared" ref="D75:P75" si="24">SUM(D71:D74)</f>
        <v>156.2321088710226</v>
      </c>
      <c r="E75" s="128">
        <f t="shared" si="24"/>
        <v>819.12548971079991</v>
      </c>
      <c r="F75" s="129">
        <f t="shared" si="24"/>
        <v>1.0386277350745088</v>
      </c>
      <c r="G75" s="128">
        <f t="shared" si="24"/>
        <v>25.651242334020701</v>
      </c>
      <c r="H75" s="128">
        <f t="shared" si="24"/>
        <v>524.25649392729997</v>
      </c>
      <c r="I75" s="129">
        <f t="shared" si="24"/>
        <v>0.99999999999866507</v>
      </c>
      <c r="J75" s="128">
        <f t="shared" si="24"/>
        <v>9.9124991903764332</v>
      </c>
      <c r="K75" s="128">
        <f t="shared" si="24"/>
        <v>550.16177037800003</v>
      </c>
      <c r="L75" s="129">
        <f t="shared" si="24"/>
        <v>1.0001305841964907</v>
      </c>
      <c r="M75" s="128">
        <f t="shared" si="24"/>
        <v>77.898893488180278</v>
      </c>
      <c r="N75" s="128">
        <f t="shared" si="24"/>
        <v>277.38127032151999</v>
      </c>
      <c r="O75" s="129">
        <f t="shared" si="24"/>
        <v>1.0000085408483883</v>
      </c>
      <c r="P75" s="128">
        <f t="shared" si="24"/>
        <v>38.000324552238759</v>
      </c>
      <c r="Q75" s="262">
        <v>1.73</v>
      </c>
      <c r="R75" s="265">
        <v>1</v>
      </c>
      <c r="S75" s="264">
        <v>0</v>
      </c>
      <c r="T75" s="262">
        <f>SUM(T71:T74)</f>
        <v>307.69506843583878</v>
      </c>
    </row>
    <row r="76" spans="1:20" x14ac:dyDescent="0.25">
      <c r="R76" s="21"/>
    </row>
    <row r="77" spans="1:20" ht="13.8" thickBot="1" x14ac:dyDescent="0.3">
      <c r="R77" s="21"/>
    </row>
    <row r="78" spans="1:20" ht="66" x14ac:dyDescent="0.25">
      <c r="A78" s="164" t="s">
        <v>162</v>
      </c>
      <c r="B78" s="119" t="s">
        <v>69</v>
      </c>
      <c r="C78" s="120" t="s">
        <v>83</v>
      </c>
      <c r="D78" s="120" t="s">
        <v>134</v>
      </c>
      <c r="E78" s="120" t="s">
        <v>70</v>
      </c>
      <c r="F78" s="120" t="s">
        <v>71</v>
      </c>
      <c r="G78" s="120" t="s">
        <v>135</v>
      </c>
      <c r="H78" s="120" t="s">
        <v>76</v>
      </c>
      <c r="I78" s="120" t="s">
        <v>73</v>
      </c>
      <c r="J78" s="120" t="s">
        <v>136</v>
      </c>
      <c r="K78" s="120" t="s">
        <v>77</v>
      </c>
      <c r="L78" s="120" t="s">
        <v>78</v>
      </c>
      <c r="M78" s="120" t="s">
        <v>137</v>
      </c>
      <c r="N78" s="120" t="s">
        <v>79</v>
      </c>
      <c r="O78" s="120" t="s">
        <v>80</v>
      </c>
      <c r="P78" s="120" t="s">
        <v>138</v>
      </c>
      <c r="Q78" s="119" t="s">
        <v>201</v>
      </c>
      <c r="R78" s="120" t="s">
        <v>202</v>
      </c>
      <c r="S78" s="120" t="s">
        <v>203</v>
      </c>
      <c r="T78" s="121" t="s">
        <v>139</v>
      </c>
    </row>
    <row r="79" spans="1:20" x14ac:dyDescent="0.25">
      <c r="A79" s="30" t="s">
        <v>62</v>
      </c>
      <c r="B79" s="125">
        <v>5.3633325736269999</v>
      </c>
      <c r="C79" s="126">
        <v>2.6434696560045504E-2</v>
      </c>
      <c r="D79" s="125">
        <f>C79*G$16</f>
        <v>0.75501295597356077</v>
      </c>
      <c r="E79" s="125">
        <f>'Newnans LU'!D15</f>
        <v>99.526304305800011</v>
      </c>
      <c r="F79" s="126">
        <f>'Newnans LU'!F15</f>
        <v>0.28926511386799902</v>
      </c>
      <c r="G79" s="127">
        <f>F79*G$15</f>
        <v>7.6300408898787948</v>
      </c>
      <c r="H79" s="125">
        <f>'Newnans LU'!D16</f>
        <v>1497.6090124509999</v>
      </c>
      <c r="I79" s="126">
        <f>'Newnans LU'!F16</f>
        <v>0.80447810508736717</v>
      </c>
      <c r="J79" s="125">
        <f>I79*G$13</f>
        <v>100.69355052875817</v>
      </c>
      <c r="K79" s="125">
        <f>'Newnans LU'!D17</f>
        <v>402.03383048349997</v>
      </c>
      <c r="L79" s="126">
        <f>'Newnans LU'!F17</f>
        <v>0.42504367394115811</v>
      </c>
      <c r="M79" s="125">
        <f>L79*G$14</f>
        <v>75.05289106079492</v>
      </c>
      <c r="N79" s="125">
        <f>'Newnans LU'!D18</f>
        <v>26.675057155499999</v>
      </c>
      <c r="O79" s="126">
        <f>'Newnans LU'!F18</f>
        <v>8.7611354731086888E-2</v>
      </c>
      <c r="P79" s="125">
        <f>O79*G$12</f>
        <v>2.5023063064905582</v>
      </c>
      <c r="Q79" s="214">
        <v>3.33241738471E-2</v>
      </c>
      <c r="R79" s="215">
        <v>1</v>
      </c>
      <c r="S79" s="216">
        <f>R79*G17</f>
        <v>0</v>
      </c>
      <c r="T79" s="156">
        <f>D79+G79+J79+M79+P79+S79</f>
        <v>186.63380174189601</v>
      </c>
    </row>
    <row r="80" spans="1:20" x14ac:dyDescent="0.25">
      <c r="A80" s="30" t="s">
        <v>66</v>
      </c>
      <c r="B80" s="125">
        <f>'Newnans LU'!D31</f>
        <v>28.495749959299999</v>
      </c>
      <c r="C80" s="126">
        <f>'Newnans LU'!F31</f>
        <v>0.14090009044949839</v>
      </c>
      <c r="D80" s="125">
        <f>C80*G$16</f>
        <v>4.0243092462051226</v>
      </c>
      <c r="E80" s="125">
        <f>'Newnans LU'!D32</f>
        <v>244.53974284</v>
      </c>
      <c r="F80" s="126">
        <f>'Newnans LU'!F32</f>
        <v>0.71073488613141966</v>
      </c>
      <c r="G80" s="127">
        <f>F80*G$15</f>
        <v>18.747287464193629</v>
      </c>
      <c r="H80" s="125">
        <f>'Newnans LU'!D33</f>
        <v>363.98175425464382</v>
      </c>
      <c r="I80" s="126">
        <f>'Newnans LU'!F33</f>
        <v>0.19552189491029268</v>
      </c>
      <c r="J80" s="125">
        <f>I80*G$13</f>
        <v>24.472752807225234</v>
      </c>
      <c r="K80" s="125">
        <f>'Newnans LU'!D34</f>
        <v>543.8309244384975</v>
      </c>
      <c r="L80" s="126">
        <f>'Newnans LU'!F34</f>
        <v>0.57495632605883928</v>
      </c>
      <c r="M80" s="125">
        <f>L80*G$14</f>
        <v>101.52400129682394</v>
      </c>
      <c r="N80" s="125">
        <f>'Newnans LU'!D35</f>
        <v>277.79526221499998</v>
      </c>
      <c r="O80" s="126">
        <f>'Newnans LU'!F35</f>
        <v>0.91238864526727081</v>
      </c>
      <c r="P80" s="125">
        <f>O80*G$12</f>
        <v>26.059132038653104</v>
      </c>
      <c r="Q80" s="261" t="s">
        <v>175</v>
      </c>
      <c r="R80" s="261" t="s">
        <v>175</v>
      </c>
      <c r="S80" s="261" t="s">
        <v>175</v>
      </c>
      <c r="T80" s="156">
        <f>D80+G80+J80+M80+P80</f>
        <v>174.82748285310103</v>
      </c>
    </row>
    <row r="81" spans="1:20" x14ac:dyDescent="0.25">
      <c r="A81" s="35" t="s">
        <v>120</v>
      </c>
      <c r="B81" s="125">
        <f>'Newnans LU'!D38</f>
        <v>169.0308035475</v>
      </c>
      <c r="C81" s="126">
        <f>'Newnans LU'!F38</f>
        <v>0.83578974207068712</v>
      </c>
      <c r="D81" s="125">
        <f>C81*G$16</f>
        <v>23.871357187694656</v>
      </c>
      <c r="E81" s="132" t="s">
        <v>175</v>
      </c>
      <c r="F81" s="132" t="s">
        <v>175</v>
      </c>
      <c r="G81" s="132" t="s">
        <v>175</v>
      </c>
      <c r="H81" s="132" t="s">
        <v>175</v>
      </c>
      <c r="I81" s="132" t="s">
        <v>175</v>
      </c>
      <c r="J81" s="132" t="s">
        <v>175</v>
      </c>
      <c r="K81" s="132" t="s">
        <v>175</v>
      </c>
      <c r="L81" s="132" t="s">
        <v>175</v>
      </c>
      <c r="M81" s="132" t="s">
        <v>175</v>
      </c>
      <c r="N81" s="132" t="s">
        <v>175</v>
      </c>
      <c r="O81" s="132" t="s">
        <v>175</v>
      </c>
      <c r="P81" s="132" t="s">
        <v>175</v>
      </c>
      <c r="Q81" s="261" t="s">
        <v>175</v>
      </c>
      <c r="R81" s="261" t="s">
        <v>175</v>
      </c>
      <c r="S81" s="261" t="s">
        <v>175</v>
      </c>
      <c r="T81" s="156">
        <f>D81</f>
        <v>23.871357187694656</v>
      </c>
    </row>
    <row r="82" spans="1:20" x14ac:dyDescent="0.25">
      <c r="A82" s="30" t="s">
        <v>67</v>
      </c>
      <c r="B82" s="132" t="s">
        <v>175</v>
      </c>
      <c r="C82" s="132" t="s">
        <v>175</v>
      </c>
      <c r="D82" s="132" t="s">
        <v>175</v>
      </c>
      <c r="E82" s="132" t="s">
        <v>175</v>
      </c>
      <c r="F82" s="132" t="s">
        <v>175</v>
      </c>
      <c r="G82" s="132" t="s">
        <v>175</v>
      </c>
      <c r="H82" s="132" t="s">
        <v>175</v>
      </c>
      <c r="I82" s="132" t="s">
        <v>175</v>
      </c>
      <c r="J82" s="132" t="s">
        <v>175</v>
      </c>
      <c r="K82" s="132" t="s">
        <v>175</v>
      </c>
      <c r="L82" s="132" t="s">
        <v>175</v>
      </c>
      <c r="M82" s="132" t="s">
        <v>175</v>
      </c>
      <c r="N82" s="132" t="s">
        <v>175</v>
      </c>
      <c r="O82" s="132" t="s">
        <v>175</v>
      </c>
      <c r="P82" s="132" t="s">
        <v>175</v>
      </c>
      <c r="Q82" s="261" t="s">
        <v>175</v>
      </c>
      <c r="R82" s="261" t="s">
        <v>175</v>
      </c>
      <c r="S82" s="261" t="s">
        <v>175</v>
      </c>
      <c r="T82" s="157" t="s">
        <v>175</v>
      </c>
    </row>
    <row r="83" spans="1:20" ht="13.8" thickBot="1" x14ac:dyDescent="0.3">
      <c r="A83" s="79" t="s">
        <v>68</v>
      </c>
      <c r="B83" s="128">
        <f>SUM(B79:B82)</f>
        <v>202.889886080427</v>
      </c>
      <c r="C83" s="129">
        <f>SUM(C79:C81)</f>
        <v>1.0031245290802311</v>
      </c>
      <c r="D83" s="128">
        <f t="shared" ref="D83:P83" si="25">SUM(D79:D82)</f>
        <v>28.650679389873339</v>
      </c>
      <c r="E83" s="128">
        <f t="shared" si="25"/>
        <v>344.06604714579998</v>
      </c>
      <c r="F83" s="129">
        <f t="shared" si="25"/>
        <v>0.99999999999941869</v>
      </c>
      <c r="G83" s="128">
        <f t="shared" si="25"/>
        <v>26.377328354072425</v>
      </c>
      <c r="H83" s="128">
        <f t="shared" si="25"/>
        <v>1861.5907667056438</v>
      </c>
      <c r="I83" s="129">
        <f t="shared" si="25"/>
        <v>0.99999999999765987</v>
      </c>
      <c r="J83" s="128">
        <f t="shared" si="25"/>
        <v>125.1663033359834</v>
      </c>
      <c r="K83" s="128">
        <f t="shared" si="25"/>
        <v>945.86475492199747</v>
      </c>
      <c r="L83" s="129">
        <f t="shared" si="25"/>
        <v>0.99999999999999734</v>
      </c>
      <c r="M83" s="128">
        <f t="shared" si="25"/>
        <v>176.57689235761887</v>
      </c>
      <c r="N83" s="128">
        <f t="shared" si="25"/>
        <v>304.47031937049996</v>
      </c>
      <c r="O83" s="129">
        <f t="shared" si="25"/>
        <v>0.99999999999835776</v>
      </c>
      <c r="P83" s="128">
        <f t="shared" si="25"/>
        <v>28.561438345143664</v>
      </c>
      <c r="Q83" s="264">
        <v>0.03</v>
      </c>
      <c r="R83" s="265">
        <v>1</v>
      </c>
      <c r="S83" s="264">
        <v>0</v>
      </c>
      <c r="T83" s="263">
        <f>SUM(T79:T82)</f>
        <v>385.33264178269167</v>
      </c>
    </row>
    <row r="84" spans="1:20" s="118" customFormat="1" ht="18.75" customHeight="1" x14ac:dyDescent="0.25">
      <c r="A84" s="115"/>
      <c r="B84" s="321"/>
      <c r="C84" s="322"/>
      <c r="D84" s="321"/>
      <c r="E84" s="321"/>
      <c r="F84" s="322"/>
      <c r="G84" s="321"/>
      <c r="H84" s="321"/>
      <c r="I84" s="322"/>
      <c r="J84" s="321"/>
      <c r="K84" s="321"/>
      <c r="L84" s="322"/>
      <c r="M84" s="321"/>
      <c r="N84" s="321"/>
      <c r="O84" s="322"/>
      <c r="P84" s="321"/>
      <c r="Q84" s="323"/>
      <c r="R84" s="324"/>
      <c r="S84" s="323"/>
      <c r="T84" s="325"/>
    </row>
    <row r="85" spans="1:20" s="118" customFormat="1" x14ac:dyDescent="0.25">
      <c r="A85" s="115"/>
      <c r="B85" s="321"/>
      <c r="C85" s="322"/>
      <c r="D85" s="321"/>
      <c r="E85" s="321"/>
      <c r="F85" s="322"/>
      <c r="G85" s="321"/>
      <c r="H85" s="321"/>
      <c r="I85" s="322"/>
      <c r="J85" s="321"/>
      <c r="K85" s="321"/>
      <c r="L85" s="322"/>
      <c r="M85" s="321"/>
      <c r="N85" s="321"/>
      <c r="O85" s="322"/>
      <c r="P85" s="321"/>
      <c r="Q85" s="323"/>
      <c r="R85" s="324"/>
      <c r="S85" s="323"/>
      <c r="T85" s="325"/>
    </row>
    <row r="86" spans="1:20" s="118" customFormat="1" ht="62.25" customHeight="1" x14ac:dyDescent="0.25">
      <c r="A86" s="326" t="s">
        <v>123</v>
      </c>
      <c r="B86" s="300" t="s">
        <v>251</v>
      </c>
      <c r="C86" s="300" t="s">
        <v>252</v>
      </c>
      <c r="D86" s="300" t="s">
        <v>253</v>
      </c>
      <c r="E86" s="300" t="s">
        <v>254</v>
      </c>
      <c r="F86" s="300" t="s">
        <v>255</v>
      </c>
      <c r="G86" s="300" t="s">
        <v>256</v>
      </c>
      <c r="H86" s="300" t="s">
        <v>257</v>
      </c>
      <c r="I86" s="300" t="s">
        <v>258</v>
      </c>
      <c r="J86" s="300" t="s">
        <v>259</v>
      </c>
      <c r="K86" s="321"/>
      <c r="L86" s="322"/>
      <c r="M86" s="321"/>
      <c r="N86" s="321"/>
      <c r="O86" s="322"/>
      <c r="P86" s="321"/>
      <c r="Q86" s="323"/>
      <c r="R86" s="324"/>
      <c r="S86" s="323"/>
      <c r="T86" s="325"/>
    </row>
    <row r="87" spans="1:20" s="118" customFormat="1" x14ac:dyDescent="0.25">
      <c r="A87" s="327" t="s">
        <v>62</v>
      </c>
      <c r="B87" s="332">
        <f>'OSTDS-buffer'!C44</f>
        <v>137</v>
      </c>
      <c r="C87" s="333">
        <f>'OSTDS-buffer'!D44</f>
        <v>0.93835616438356162</v>
      </c>
      <c r="D87" s="334">
        <f>C87*G$33</f>
        <v>112.09041196172349</v>
      </c>
      <c r="E87" s="332">
        <f>'OSTDS-buffer'!C45</f>
        <v>7</v>
      </c>
      <c r="F87" s="333">
        <f>'OSTDS-buffer'!D45</f>
        <v>0.14000000000000001</v>
      </c>
      <c r="G87" s="334">
        <f>F87*G$47</f>
        <v>0.31361579359424935</v>
      </c>
      <c r="H87" s="335">
        <f>'OSTDS-buffer'!C47</f>
        <v>288</v>
      </c>
      <c r="I87" s="333">
        <f>'OSTDS-buffer'!D47</f>
        <v>0.92307692307692313</v>
      </c>
      <c r="J87" s="334">
        <f>I87*G$20</f>
        <v>86.072026868311852</v>
      </c>
      <c r="K87" s="321"/>
      <c r="L87" s="322"/>
      <c r="M87" s="321"/>
      <c r="N87" s="321"/>
      <c r="O87" s="322"/>
      <c r="P87" s="321"/>
      <c r="Q87" s="323"/>
      <c r="R87" s="324"/>
      <c r="S87" s="323"/>
      <c r="T87" s="325"/>
    </row>
    <row r="88" spans="1:20" s="118" customFormat="1" x14ac:dyDescent="0.25">
      <c r="A88" s="327" t="s">
        <v>66</v>
      </c>
      <c r="B88" s="332">
        <f>'OSTDS-buffer'!C49</f>
        <v>9</v>
      </c>
      <c r="C88" s="333">
        <f>'OSTDS-buffer'!D49</f>
        <v>6.1643835616438353E-2</v>
      </c>
      <c r="D88" s="334">
        <f t="shared" ref="D88:D89" si="26">C88*G$33</f>
        <v>7.3636037055146817</v>
      </c>
      <c r="E88" s="332">
        <f>'OSTDS-buffer'!C50</f>
        <v>43</v>
      </c>
      <c r="F88" s="333">
        <f>'OSTDS-buffer'!D50</f>
        <v>0.86</v>
      </c>
      <c r="G88" s="334">
        <f>F88*G$47</f>
        <v>1.9264970177932459</v>
      </c>
      <c r="H88" s="335">
        <f>'OSTDS-buffer'!C51</f>
        <v>24</v>
      </c>
      <c r="I88" s="333">
        <f>'OSTDS-buffer'!D51</f>
        <v>7.6923076923076927E-2</v>
      </c>
      <c r="J88" s="334">
        <f>I88*G$20</f>
        <v>7.172668905692654</v>
      </c>
      <c r="K88" s="321"/>
      <c r="L88" s="322"/>
      <c r="M88" s="321"/>
      <c r="N88" s="321"/>
      <c r="O88" s="322"/>
      <c r="P88" s="321"/>
      <c r="Q88" s="323"/>
      <c r="R88" s="324"/>
      <c r="S88" s="323"/>
      <c r="T88" s="325"/>
    </row>
    <row r="89" spans="1:20" s="118" customFormat="1" x14ac:dyDescent="0.25">
      <c r="A89" s="327" t="s">
        <v>67</v>
      </c>
      <c r="B89" s="332">
        <v>0</v>
      </c>
      <c r="C89" s="333">
        <v>0</v>
      </c>
      <c r="D89" s="334">
        <f t="shared" si="26"/>
        <v>0</v>
      </c>
      <c r="E89" s="332">
        <f>0</f>
        <v>0</v>
      </c>
      <c r="F89" s="333">
        <v>0</v>
      </c>
      <c r="G89" s="334">
        <v>0</v>
      </c>
      <c r="H89" s="335">
        <v>0</v>
      </c>
      <c r="I89" s="333">
        <v>0</v>
      </c>
      <c r="J89" s="334">
        <v>0</v>
      </c>
      <c r="K89" s="321"/>
      <c r="L89" s="322"/>
      <c r="M89" s="321"/>
      <c r="N89" s="321"/>
      <c r="O89" s="322"/>
      <c r="P89" s="321"/>
      <c r="Q89" s="323"/>
      <c r="R89" s="324"/>
      <c r="S89" s="323"/>
      <c r="T89" s="325"/>
    </row>
    <row r="90" spans="1:20" s="118" customFormat="1" ht="13.8" thickBot="1" x14ac:dyDescent="0.3">
      <c r="A90" s="79" t="s">
        <v>68</v>
      </c>
      <c r="B90" s="262">
        <f t="shared" ref="B90:J90" si="27">SUM(B87:B89)</f>
        <v>146</v>
      </c>
      <c r="C90" s="339">
        <f t="shared" si="27"/>
        <v>1</v>
      </c>
      <c r="D90" s="340">
        <f t="shared" si="27"/>
        <v>119.45401566723817</v>
      </c>
      <c r="E90" s="262">
        <f t="shared" si="27"/>
        <v>50</v>
      </c>
      <c r="F90" s="339">
        <f t="shared" si="27"/>
        <v>1</v>
      </c>
      <c r="G90" s="340">
        <f t="shared" si="27"/>
        <v>2.2401128113874953</v>
      </c>
      <c r="H90" s="341">
        <f t="shared" si="27"/>
        <v>312</v>
      </c>
      <c r="I90" s="339">
        <f t="shared" si="27"/>
        <v>1</v>
      </c>
      <c r="J90" s="340">
        <f t="shared" si="27"/>
        <v>93.244695774004512</v>
      </c>
      <c r="K90" s="321"/>
      <c r="L90" s="322"/>
      <c r="M90" s="321"/>
      <c r="N90" s="321"/>
      <c r="O90" s="322"/>
      <c r="P90" s="321"/>
      <c r="Q90" s="323"/>
      <c r="R90" s="324"/>
      <c r="S90" s="323"/>
      <c r="T90" s="325"/>
    </row>
    <row r="91" spans="1:20" s="118" customFormat="1" x14ac:dyDescent="0.25">
      <c r="A91" s="115"/>
      <c r="B91" s="321"/>
      <c r="C91" s="322"/>
      <c r="D91" s="321"/>
      <c r="E91" s="321"/>
      <c r="F91" s="322"/>
      <c r="G91" s="321"/>
      <c r="H91" s="321"/>
      <c r="I91" s="322"/>
      <c r="J91" s="321"/>
      <c r="K91" s="321"/>
      <c r="L91" s="322"/>
      <c r="M91" s="321"/>
      <c r="N91" s="321"/>
      <c r="O91" s="322"/>
      <c r="P91" s="321"/>
      <c r="Q91" s="323"/>
      <c r="R91" s="324"/>
      <c r="S91" s="323"/>
      <c r="T91" s="325"/>
    </row>
    <row r="92" spans="1:20" ht="13.8" thickBot="1" x14ac:dyDescent="0.3">
      <c r="A92" s="115"/>
      <c r="B92" s="116"/>
      <c r="C92" s="117"/>
      <c r="D92" s="117"/>
      <c r="E92" s="116"/>
      <c r="F92" s="116"/>
      <c r="G92" s="117"/>
      <c r="H92" s="116"/>
      <c r="I92" s="116"/>
      <c r="J92" s="117"/>
      <c r="K92" s="116"/>
      <c r="L92" s="116"/>
      <c r="M92" s="117"/>
      <c r="N92" s="116"/>
      <c r="O92" s="116"/>
      <c r="P92" s="117"/>
      <c r="Q92" s="116"/>
      <c r="R92" s="116"/>
    </row>
    <row r="93" spans="1:20" x14ac:dyDescent="0.25">
      <c r="A93" s="465" t="s">
        <v>159</v>
      </c>
      <c r="B93" s="466"/>
      <c r="C93" s="466"/>
      <c r="D93" s="466"/>
      <c r="E93" s="467"/>
      <c r="F93" s="122"/>
    </row>
    <row r="94" spans="1:20" ht="39.6" x14ac:dyDescent="0.25">
      <c r="A94" s="123" t="s">
        <v>123</v>
      </c>
      <c r="B94" s="124" t="s">
        <v>130</v>
      </c>
      <c r="C94" s="124" t="s">
        <v>131</v>
      </c>
      <c r="D94" s="124" t="s">
        <v>132</v>
      </c>
      <c r="E94" s="338" t="s">
        <v>248</v>
      </c>
      <c r="F94" s="185" t="s">
        <v>249</v>
      </c>
      <c r="G94" s="185" t="s">
        <v>250</v>
      </c>
    </row>
    <row r="95" spans="1:20" ht="16.5" customHeight="1" x14ac:dyDescent="0.25">
      <c r="A95" s="30" t="s">
        <v>62</v>
      </c>
      <c r="B95" s="136">
        <f>T79</f>
        <v>186.63380174189601</v>
      </c>
      <c r="C95" s="136" t="str">
        <f>Q71</f>
        <v>nd</v>
      </c>
      <c r="D95" s="136">
        <f>T71</f>
        <v>11.021608707645507</v>
      </c>
      <c r="E95" s="336">
        <f>SUM(B95:D95)</f>
        <v>197.65541044954151</v>
      </c>
      <c r="F95" s="318">
        <f>D87+G87+J87</f>
        <v>198.47605462362958</v>
      </c>
      <c r="G95" s="312">
        <f>E95+F95</f>
        <v>396.13146507317106</v>
      </c>
    </row>
    <row r="96" spans="1:20" ht="16.5" customHeight="1" x14ac:dyDescent="0.25">
      <c r="A96" s="30" t="s">
        <v>66</v>
      </c>
      <c r="B96" s="136">
        <f>T80</f>
        <v>174.82748285310103</v>
      </c>
      <c r="C96" s="136">
        <f>Q72</f>
        <v>1.7347513595999999</v>
      </c>
      <c r="D96" s="136">
        <f>T72</f>
        <v>281.25480215414001</v>
      </c>
      <c r="E96" s="336">
        <f>SUM(B96:D96)</f>
        <v>457.81703636684108</v>
      </c>
      <c r="F96" s="318">
        <f>D88+G88+J88</f>
        <v>16.462769629000583</v>
      </c>
      <c r="G96" s="312">
        <f>E96+F96</f>
        <v>474.27980599584168</v>
      </c>
    </row>
    <row r="97" spans="1:22" ht="17.25" customHeight="1" x14ac:dyDescent="0.25">
      <c r="A97" s="35" t="s">
        <v>120</v>
      </c>
      <c r="B97" s="136">
        <f>T81</f>
        <v>23.871357187694656</v>
      </c>
      <c r="C97" s="136" t="str">
        <f>Q73</f>
        <v>nd</v>
      </c>
      <c r="D97" s="136">
        <f>T73</f>
        <v>15.418657574053274</v>
      </c>
      <c r="E97" s="336">
        <f>SUM(B97:D97)</f>
        <v>39.290014761747926</v>
      </c>
      <c r="F97" s="347" t="s">
        <v>175</v>
      </c>
      <c r="G97" s="312">
        <f>E97</f>
        <v>39.290014761747926</v>
      </c>
    </row>
    <row r="98" spans="1:22" ht="15.75" customHeight="1" x14ac:dyDescent="0.25">
      <c r="A98" s="30" t="s">
        <v>67</v>
      </c>
      <c r="B98" s="136" t="str">
        <f>T82</f>
        <v>nd</v>
      </c>
      <c r="C98" s="136">
        <f>T66</f>
        <v>26.846358974955539</v>
      </c>
      <c r="D98" s="136" t="str">
        <f>T74</f>
        <v>nd</v>
      </c>
      <c r="E98" s="336">
        <f>SUM(B98:D98)</f>
        <v>26.846358974955539</v>
      </c>
      <c r="F98" s="318">
        <f>D89+G89+J89</f>
        <v>0</v>
      </c>
      <c r="G98" s="312">
        <f>E98+F98</f>
        <v>26.846358974955539</v>
      </c>
    </row>
    <row r="99" spans="1:22" ht="18" customHeight="1" thickBot="1" x14ac:dyDescent="0.3">
      <c r="A99" s="144" t="s">
        <v>205</v>
      </c>
      <c r="B99" s="138">
        <f>G18</f>
        <v>180.60909541811682</v>
      </c>
      <c r="C99" s="138">
        <f>G32</f>
        <v>237.89998056935201</v>
      </c>
      <c r="D99" s="138">
        <f>G46</f>
        <v>20.16101530248746</v>
      </c>
      <c r="E99" s="337">
        <f>SUM(B99:D99)</f>
        <v>438.67009128995625</v>
      </c>
      <c r="F99" s="348" t="s">
        <v>175</v>
      </c>
      <c r="G99" s="349">
        <f>E99</f>
        <v>438.67009128995625</v>
      </c>
    </row>
    <row r="101" spans="1:22" x14ac:dyDescent="0.25">
      <c r="A101" s="19" t="s">
        <v>176</v>
      </c>
    </row>
    <row r="103" spans="1:22" x14ac:dyDescent="0.25">
      <c r="A103" s="393" t="s">
        <v>301</v>
      </c>
    </row>
    <row r="104" spans="1:22" ht="105.6" x14ac:dyDescent="0.25">
      <c r="A104" s="387" t="s">
        <v>302</v>
      </c>
      <c r="B104" s="387" t="s">
        <v>337</v>
      </c>
      <c r="C104" s="387" t="s">
        <v>338</v>
      </c>
      <c r="D104" s="387" t="s">
        <v>339</v>
      </c>
      <c r="E104" s="387" t="s">
        <v>340</v>
      </c>
      <c r="F104" s="387" t="s">
        <v>341</v>
      </c>
      <c r="G104" s="387" t="s">
        <v>342</v>
      </c>
      <c r="H104" s="387" t="s">
        <v>343</v>
      </c>
      <c r="I104" s="387" t="s">
        <v>344</v>
      </c>
      <c r="J104" s="387" t="s">
        <v>345</v>
      </c>
      <c r="K104" s="387" t="s">
        <v>346</v>
      </c>
      <c r="L104" s="387" t="s">
        <v>347</v>
      </c>
      <c r="M104" s="387" t="s">
        <v>348</v>
      </c>
      <c r="N104" s="387" t="s">
        <v>349</v>
      </c>
      <c r="O104" s="387" t="s">
        <v>350</v>
      </c>
      <c r="P104" s="387" t="s">
        <v>351</v>
      </c>
      <c r="Q104" s="387" t="s">
        <v>352</v>
      </c>
      <c r="R104" s="387" t="s">
        <v>353</v>
      </c>
      <c r="S104" s="387" t="s">
        <v>354</v>
      </c>
      <c r="T104" s="392" t="s">
        <v>321</v>
      </c>
      <c r="U104" s="392" t="s">
        <v>323</v>
      </c>
      <c r="V104" s="392" t="s">
        <v>324</v>
      </c>
    </row>
    <row r="105" spans="1:22" x14ac:dyDescent="0.25">
      <c r="A105" s="73" t="s">
        <v>62</v>
      </c>
      <c r="B105" s="424">
        <f>'Newnans Lake Educ Credit'!D3</f>
        <v>2.9787860608569541</v>
      </c>
      <c r="C105" s="210">
        <v>35.678536904495246</v>
      </c>
      <c r="D105" s="210">
        <v>6.6189252252865982</v>
      </c>
      <c r="E105" s="210">
        <v>0.11078943707779787</v>
      </c>
      <c r="F105" s="210">
        <v>5.6000000000000001E-2</v>
      </c>
      <c r="G105" s="210" t="s">
        <v>129</v>
      </c>
      <c r="H105" s="210" t="s">
        <v>129</v>
      </c>
      <c r="I105" s="210">
        <v>18.187287735223048</v>
      </c>
      <c r="J105" s="210" t="s">
        <v>129</v>
      </c>
      <c r="K105" s="210">
        <v>0</v>
      </c>
      <c r="L105" s="210">
        <v>0</v>
      </c>
      <c r="M105" s="210">
        <v>0.39105631813359965</v>
      </c>
      <c r="N105" s="210">
        <f>'Newnans Lake Educ Credit'!D21</f>
        <v>0.87120000000000009</v>
      </c>
      <c r="O105" s="210">
        <f>'Newnans Lake Educ Credit'!G21</f>
        <v>2.0061014283840741</v>
      </c>
      <c r="P105" s="210">
        <f>'Newnans Lake Educ Credit'!J21</f>
        <v>3.8942400000000004</v>
      </c>
      <c r="Q105" s="210">
        <f>'Newnans Lake Educ Credit'!M21</f>
        <v>1.6951707718457321</v>
      </c>
      <c r="R105" s="210" t="str">
        <f>'Newnans Lake Educ Credit'!P21</f>
        <v>na</v>
      </c>
      <c r="S105" s="210">
        <f>'Newnans Lake Educ Credit'!S21</f>
        <v>0.85372603853626849</v>
      </c>
      <c r="T105" s="424">
        <f>SUM(B105:S105)</f>
        <v>73.34181991983931</v>
      </c>
      <c r="U105" s="390">
        <v>0.06</v>
      </c>
      <c r="V105" s="210">
        <f>T105*U105</f>
        <v>4.4005091951903585</v>
      </c>
    </row>
    <row r="106" spans="1:22" x14ac:dyDescent="0.25">
      <c r="A106" s="73" t="s">
        <v>120</v>
      </c>
      <c r="B106" s="424" t="s">
        <v>129</v>
      </c>
      <c r="C106" s="210">
        <v>0</v>
      </c>
      <c r="D106" s="210">
        <v>0</v>
      </c>
      <c r="E106" s="210">
        <v>0</v>
      </c>
      <c r="F106" s="210" t="s">
        <v>129</v>
      </c>
      <c r="G106" s="210">
        <v>18</v>
      </c>
      <c r="H106" s="210" t="s">
        <v>129</v>
      </c>
      <c r="I106" s="210" t="s">
        <v>129</v>
      </c>
      <c r="J106" s="210" t="s">
        <v>129</v>
      </c>
      <c r="K106" s="210" t="s">
        <v>129</v>
      </c>
      <c r="L106" s="210" t="s">
        <v>129</v>
      </c>
      <c r="M106" s="210">
        <v>7.2756103485489616</v>
      </c>
      <c r="N106" s="210" t="str">
        <f>'Newnans Lake Educ Credit'!D22</f>
        <v>na</v>
      </c>
      <c r="O106" s="210" t="str">
        <f>'Newnans Lake Educ Credit'!G22</f>
        <v>na</v>
      </c>
      <c r="P106" s="210" t="str">
        <f>'Newnans Lake Educ Credit'!J22</f>
        <v>na</v>
      </c>
      <c r="Q106" s="210" t="str">
        <f>'Newnans Lake Educ Credit'!M22</f>
        <v>na</v>
      </c>
      <c r="R106" s="210" t="str">
        <f>'Newnans Lake Educ Credit'!P22</f>
        <v>na</v>
      </c>
      <c r="S106" s="210">
        <f>'Newnans Lake Educ Credit'!S22</f>
        <v>18.354620351467229</v>
      </c>
      <c r="T106" s="424">
        <f t="shared" ref="T106:T108" si="28">SUM(B106:S106)</f>
        <v>43.630230700016192</v>
      </c>
      <c r="U106" s="390">
        <v>0.02</v>
      </c>
      <c r="V106" s="210">
        <f t="shared" ref="V106:V108" si="29">T106*U106</f>
        <v>0.87260461400032385</v>
      </c>
    </row>
    <row r="107" spans="1:22" x14ac:dyDescent="0.25">
      <c r="A107" s="73" t="s">
        <v>67</v>
      </c>
      <c r="B107" s="424" t="s">
        <v>129</v>
      </c>
      <c r="C107" s="210">
        <v>4.9771911461749099</v>
      </c>
      <c r="D107" s="210">
        <v>22.885581995357295</v>
      </c>
      <c r="E107" s="210">
        <v>6.3286254653152463E-2</v>
      </c>
      <c r="F107" s="210">
        <v>0</v>
      </c>
      <c r="G107" s="210" t="s">
        <v>129</v>
      </c>
      <c r="H107" s="210" t="s">
        <v>129</v>
      </c>
      <c r="I107" s="210">
        <v>5.8127122647483525</v>
      </c>
      <c r="J107" s="210">
        <v>18</v>
      </c>
      <c r="K107" s="210">
        <v>0</v>
      </c>
      <c r="L107" s="210" t="s">
        <v>129</v>
      </c>
      <c r="M107" s="210" t="s">
        <v>129</v>
      </c>
      <c r="N107" s="210" t="str">
        <f>'Newnans Lake Educ Credit'!D23</f>
        <v>na</v>
      </c>
      <c r="O107" s="210" t="str">
        <f>'Newnans Lake Educ Credit'!G23</f>
        <v>na</v>
      </c>
      <c r="P107" s="210" t="str">
        <f>'Newnans Lake Educ Credit'!J23</f>
        <v>na</v>
      </c>
      <c r="Q107" s="210" t="str">
        <f>'Newnans Lake Educ Credit'!M23</f>
        <v>na</v>
      </c>
      <c r="R107" s="210" t="str">
        <f>'Newnans Lake Educ Credit'!P23</f>
        <v>na</v>
      </c>
      <c r="S107" s="210" t="str">
        <f>'Newnans Lake Educ Credit'!S23</f>
        <v>na</v>
      </c>
      <c r="T107" s="424">
        <f t="shared" si="28"/>
        <v>51.738771660933708</v>
      </c>
      <c r="U107" s="390">
        <v>0</v>
      </c>
      <c r="V107" s="210">
        <f t="shared" si="29"/>
        <v>0</v>
      </c>
    </row>
    <row r="108" spans="1:22" x14ac:dyDescent="0.25">
      <c r="A108" s="73" t="s">
        <v>66</v>
      </c>
      <c r="B108" s="210">
        <f>'Newnans Lake Educ Credit'!D6</f>
        <v>31.021213939087207</v>
      </c>
      <c r="C108" s="210">
        <v>20.085643115176914</v>
      </c>
      <c r="D108" s="210" t="s">
        <v>129</v>
      </c>
      <c r="E108" s="210">
        <v>0.1085314101083952</v>
      </c>
      <c r="F108" s="210" t="s">
        <v>129</v>
      </c>
      <c r="G108" s="210" t="s">
        <v>129</v>
      </c>
      <c r="H108" s="210" t="s">
        <v>129</v>
      </c>
      <c r="I108" s="210" t="s">
        <v>129</v>
      </c>
      <c r="J108" s="210" t="s">
        <v>129</v>
      </c>
      <c r="K108" s="210" t="s">
        <v>129</v>
      </c>
      <c r="L108" s="210" t="s">
        <v>129</v>
      </c>
      <c r="M108" s="210" t="s">
        <v>129</v>
      </c>
      <c r="N108" s="210">
        <f>'Newnans Lake Educ Credit'!D24</f>
        <v>43.12917579732909</v>
      </c>
      <c r="O108" s="210">
        <f>'Newnans Lake Educ Credit'!G24</f>
        <v>9.7938985716159266</v>
      </c>
      <c r="P108" s="210">
        <f>'Newnans Lake Educ Credit'!J24</f>
        <v>88.837867766698608</v>
      </c>
      <c r="Q108" s="210">
        <f>'Newnans Lake Educ Credit'!M24</f>
        <v>27.704829228154267</v>
      </c>
      <c r="R108" s="210">
        <f>'Newnans Lake Educ Credit'!P24</f>
        <v>0</v>
      </c>
      <c r="S108" s="210">
        <f>'Newnans Lake Educ Credit'!S24</f>
        <v>166.77289297951981</v>
      </c>
      <c r="T108" s="424">
        <f t="shared" si="28"/>
        <v>387.45405280769023</v>
      </c>
      <c r="U108" s="390">
        <v>0.06</v>
      </c>
      <c r="V108" s="210">
        <f t="shared" si="29"/>
        <v>23.247243168461413</v>
      </c>
    </row>
    <row r="111" spans="1:22" ht="13.8" thickBot="1" x14ac:dyDescent="0.3">
      <c r="A111" s="449" t="s">
        <v>379</v>
      </c>
      <c r="B111" s="450"/>
      <c r="C111" s="450"/>
      <c r="D111" s="450"/>
      <c r="E111" s="450"/>
      <c r="F111" s="450"/>
      <c r="G111" s="450"/>
      <c r="H111" s="450"/>
      <c r="I111" s="450"/>
      <c r="J111" s="450"/>
      <c r="K111" s="450"/>
      <c r="L111" s="450"/>
    </row>
    <row r="112" spans="1:22" ht="105.6" x14ac:dyDescent="0.25">
      <c r="A112" s="404" t="s">
        <v>378</v>
      </c>
      <c r="B112" s="404" t="s">
        <v>366</v>
      </c>
      <c r="C112" s="404" t="s">
        <v>373</v>
      </c>
      <c r="D112" s="404" t="s">
        <v>367</v>
      </c>
      <c r="E112" s="404" t="s">
        <v>368</v>
      </c>
      <c r="F112" s="405" t="s">
        <v>376</v>
      </c>
      <c r="G112" s="404" t="s">
        <v>369</v>
      </c>
      <c r="H112" s="404" t="s">
        <v>407</v>
      </c>
      <c r="I112" s="404" t="s">
        <v>370</v>
      </c>
      <c r="J112" s="406" t="s">
        <v>375</v>
      </c>
      <c r="K112" s="407" t="s">
        <v>374</v>
      </c>
      <c r="L112" s="408" t="s">
        <v>371</v>
      </c>
    </row>
    <row r="113" spans="1:12" x14ac:dyDescent="0.25">
      <c r="A113" s="30" t="s">
        <v>62</v>
      </c>
      <c r="B113" s="332">
        <f>E95</f>
        <v>197.65541044954151</v>
      </c>
      <c r="C113" s="130">
        <f>ROUND(B113*0.5,0)</f>
        <v>99</v>
      </c>
      <c r="D113" s="421">
        <f>V105</f>
        <v>4.4005091951903585</v>
      </c>
      <c r="E113" s="125">
        <v>43</v>
      </c>
      <c r="F113" s="425">
        <f>C113-D113-E113</f>
        <v>51.599490804809648</v>
      </c>
      <c r="G113" s="130">
        <f t="shared" ref="G113:G116" si="30">C113</f>
        <v>99</v>
      </c>
      <c r="H113" s="73"/>
      <c r="I113" s="125">
        <v>0</v>
      </c>
      <c r="J113" s="427">
        <f>F113+G113-I113-H113</f>
        <v>150.59949080480965</v>
      </c>
      <c r="K113" s="263">
        <f>F95</f>
        <v>198.47605462362958</v>
      </c>
      <c r="L113" s="422">
        <f>J113+K113</f>
        <v>349.07554542843923</v>
      </c>
    </row>
    <row r="114" spans="1:12" x14ac:dyDescent="0.25">
      <c r="A114" s="30" t="s">
        <v>66</v>
      </c>
      <c r="B114" s="332">
        <f>E96</f>
        <v>457.81703636684108</v>
      </c>
      <c r="C114" s="130">
        <f t="shared" ref="C114:C116" si="31">ROUND(B114*0.5,0)</f>
        <v>229</v>
      </c>
      <c r="D114" s="421">
        <f>V108</f>
        <v>23.247243168461413</v>
      </c>
      <c r="E114" s="125">
        <v>131.6</v>
      </c>
      <c r="F114" s="425">
        <f t="shared" ref="F114:F117" si="32">C114-D114-E114</f>
        <v>74.152756831538596</v>
      </c>
      <c r="G114" s="130">
        <f t="shared" si="30"/>
        <v>229</v>
      </c>
      <c r="H114" s="73"/>
      <c r="I114" s="125">
        <v>0</v>
      </c>
      <c r="J114" s="427">
        <f t="shared" ref="J114:J116" si="33">F114+G114-I114</f>
        <v>303.15275683153857</v>
      </c>
      <c r="K114" s="263">
        <f>F96</f>
        <v>16.462769629000583</v>
      </c>
      <c r="L114" s="422">
        <f t="shared" ref="L114:L116" si="34">J114+K114</f>
        <v>319.61552646053917</v>
      </c>
    </row>
    <row r="115" spans="1:12" x14ac:dyDescent="0.25">
      <c r="A115" s="35" t="s">
        <v>120</v>
      </c>
      <c r="B115" s="332">
        <f>E97</f>
        <v>39.290014761747926</v>
      </c>
      <c r="C115" s="130">
        <f t="shared" si="31"/>
        <v>20</v>
      </c>
      <c r="D115" s="421">
        <f>V106</f>
        <v>0.87260461400032385</v>
      </c>
      <c r="E115" s="125">
        <v>524.70000000000005</v>
      </c>
      <c r="F115" s="425">
        <f t="shared" si="32"/>
        <v>-505.5726046140004</v>
      </c>
      <c r="G115" s="130">
        <f t="shared" si="30"/>
        <v>20</v>
      </c>
      <c r="H115" s="73"/>
      <c r="I115" s="125">
        <v>0</v>
      </c>
      <c r="J115" s="427">
        <f t="shared" si="33"/>
        <v>-485.5726046140004</v>
      </c>
      <c r="K115" s="263">
        <v>0</v>
      </c>
      <c r="L115" s="422">
        <v>0</v>
      </c>
    </row>
    <row r="116" spans="1:12" x14ac:dyDescent="0.25">
      <c r="A116" s="30" t="s">
        <v>67</v>
      </c>
      <c r="B116" s="332">
        <f>E98</f>
        <v>26.846358974955539</v>
      </c>
      <c r="C116" s="130">
        <f t="shared" si="31"/>
        <v>13</v>
      </c>
      <c r="D116" s="421">
        <f>V107</f>
        <v>0</v>
      </c>
      <c r="E116" s="130">
        <f>'[1]Project Summary'!H40</f>
        <v>0</v>
      </c>
      <c r="F116" s="425">
        <f t="shared" si="32"/>
        <v>13</v>
      </c>
      <c r="G116" s="130">
        <f t="shared" si="30"/>
        <v>13</v>
      </c>
      <c r="H116" s="73"/>
      <c r="I116" s="125">
        <v>0</v>
      </c>
      <c r="J116" s="427">
        <f t="shared" si="33"/>
        <v>26</v>
      </c>
      <c r="K116" s="263">
        <f>F98</f>
        <v>0</v>
      </c>
      <c r="L116" s="422">
        <f t="shared" si="34"/>
        <v>26</v>
      </c>
    </row>
    <row r="117" spans="1:12" ht="13.8" thickBot="1" x14ac:dyDescent="0.3">
      <c r="A117" s="412" t="s">
        <v>133</v>
      </c>
      <c r="B117" s="413">
        <f>SUM(B113:B116)</f>
        <v>721.60882055308605</v>
      </c>
      <c r="C117" s="414">
        <f>SUM(C113:C116)</f>
        <v>361</v>
      </c>
      <c r="D117" s="428">
        <v>28</v>
      </c>
      <c r="E117" s="414">
        <f>SUM(E113:E116)</f>
        <v>699.30000000000007</v>
      </c>
      <c r="F117" s="426">
        <f t="shared" si="32"/>
        <v>-366.30000000000007</v>
      </c>
      <c r="G117" s="414">
        <f>SUM(G113:G116)</f>
        <v>361</v>
      </c>
      <c r="H117" s="412"/>
      <c r="I117" s="414">
        <f>SUM(I113:I116)</f>
        <v>0</v>
      </c>
      <c r="J117" s="423">
        <f>SUM(J113:J116)</f>
        <v>-5.8203569776521817</v>
      </c>
      <c r="K117" s="428">
        <f>SUM(K113:K116)</f>
        <v>214.93882425263016</v>
      </c>
      <c r="L117" s="423">
        <f>SUM(L113:L116)</f>
        <v>694.6910718889784</v>
      </c>
    </row>
    <row r="118" spans="1:12" x14ac:dyDescent="0.25">
      <c r="A118" s="417" t="s">
        <v>372</v>
      </c>
      <c r="B118" s="418"/>
      <c r="C118" s="419"/>
      <c r="D118" s="419"/>
      <c r="E118" s="419"/>
      <c r="F118" s="420"/>
      <c r="G118" s="419"/>
      <c r="H118" s="417"/>
      <c r="I118" s="419"/>
      <c r="J118" s="419"/>
      <c r="K118" s="419"/>
      <c r="L118" s="419"/>
    </row>
  </sheetData>
  <mergeCells count="3">
    <mergeCell ref="B1:J2"/>
    <mergeCell ref="A93:E93"/>
    <mergeCell ref="A111:L111"/>
  </mergeCells>
  <printOptions gridLines="1"/>
  <pageMargins left="0.45" right="0.45" top="0.75" bottom="0.75" header="0.3" footer="0.3"/>
  <pageSetup paperSize="5" scale="85" pageOrder="overThenDown" orientation="landscape" r:id="rId1"/>
  <headerFooter>
    <oddHeader>&amp;LDraft Newnans Lake Total Phosphorus Loading Reduction Goals by Jurisdiction&amp;R&amp;"Arial,Bold"&amp;14DRAFT</oddHeader>
    <oddFooter>&amp;L Water Quality Restoration Program&amp;RDRAFT FDEP August 23, 2016</oddFooter>
  </headerFooter>
  <ignoredErrors>
    <ignoredError sqref="G98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tabSelected="1" topLeftCell="A7" zoomScaleNormal="100" workbookViewId="0">
      <selection activeCell="B16" sqref="B16"/>
    </sheetView>
  </sheetViews>
  <sheetFormatPr defaultRowHeight="13.2" x14ac:dyDescent="0.25"/>
  <cols>
    <col min="1" max="1" width="44.33203125" customWidth="1"/>
    <col min="2" max="2" width="15.109375" customWidth="1"/>
    <col min="3" max="3" width="16.33203125" customWidth="1"/>
    <col min="4" max="4" width="15.44140625" customWidth="1"/>
    <col min="5" max="5" width="17.109375" customWidth="1"/>
    <col min="6" max="6" width="17.44140625" customWidth="1"/>
    <col min="7" max="7" width="17" customWidth="1"/>
    <col min="8" max="8" width="16.109375" customWidth="1"/>
    <col min="9" max="9" width="17.109375" customWidth="1"/>
    <col min="10" max="10" width="16.44140625" customWidth="1"/>
    <col min="11" max="11" width="15.109375" customWidth="1"/>
    <col min="12" max="12" width="14.88671875" customWidth="1"/>
    <col min="13" max="13" width="16.44140625" customWidth="1"/>
    <col min="14" max="14" width="15" customWidth="1"/>
    <col min="15" max="15" width="14.44140625" customWidth="1"/>
    <col min="16" max="16" width="14.109375" customWidth="1"/>
    <col min="17" max="17" width="14" customWidth="1"/>
    <col min="18" max="19" width="15.109375" customWidth="1"/>
    <col min="20" max="20" width="14.109375" customWidth="1"/>
    <col min="21" max="21" width="13" customWidth="1"/>
    <col min="22" max="22" width="12.5546875" customWidth="1"/>
  </cols>
  <sheetData>
    <row r="1" spans="1:10" x14ac:dyDescent="0.25">
      <c r="A1" s="43"/>
      <c r="B1" s="460" t="s">
        <v>29</v>
      </c>
      <c r="C1" s="460"/>
      <c r="D1" s="460"/>
      <c r="E1" s="461"/>
      <c r="F1" s="461"/>
      <c r="G1" s="461"/>
      <c r="H1" s="461"/>
      <c r="I1" s="461"/>
      <c r="J1" s="462"/>
    </row>
    <row r="2" spans="1:10" ht="16.2" thickBot="1" x14ac:dyDescent="0.3">
      <c r="A2" s="437" t="s">
        <v>188</v>
      </c>
      <c r="B2" s="468"/>
      <c r="C2" s="468"/>
      <c r="D2" s="468"/>
      <c r="E2" s="468"/>
      <c r="F2" s="468"/>
      <c r="G2" s="468"/>
      <c r="H2" s="468"/>
      <c r="I2" s="468"/>
      <c r="J2" s="464"/>
    </row>
    <row r="3" spans="1:10" ht="40.200000000000003" thickTop="1" x14ac:dyDescent="0.25">
      <c r="A3" s="171" t="s">
        <v>40</v>
      </c>
      <c r="B3" s="61" t="s">
        <v>41</v>
      </c>
      <c r="C3" s="62" t="s">
        <v>121</v>
      </c>
      <c r="D3" s="200" t="s">
        <v>200</v>
      </c>
      <c r="E3" s="63" t="s">
        <v>21</v>
      </c>
      <c r="F3" s="64" t="s">
        <v>23</v>
      </c>
      <c r="G3" s="63" t="s">
        <v>24</v>
      </c>
      <c r="H3" s="61" t="s">
        <v>18</v>
      </c>
      <c r="I3" s="65" t="s">
        <v>85</v>
      </c>
      <c r="J3" s="66" t="s">
        <v>86</v>
      </c>
    </row>
    <row r="4" spans="1:10" x14ac:dyDescent="0.25">
      <c r="A4" s="27" t="s">
        <v>2</v>
      </c>
      <c r="B4" s="10">
        <v>655</v>
      </c>
      <c r="C4" s="67">
        <f>B4/B$56</f>
        <v>2.0670572300297029E-3</v>
      </c>
      <c r="D4" s="100">
        <f>B4</f>
        <v>655</v>
      </c>
      <c r="E4" s="6">
        <v>655</v>
      </c>
      <c r="F4" s="5">
        <f>E4/(D$56-D$8-D$49-D$19-D$22-D$33-D$36-D$47)</f>
        <v>2.68706924844109E-3</v>
      </c>
      <c r="G4" s="6">
        <f>F4*($D$58)</f>
        <v>546.23979734164755</v>
      </c>
      <c r="H4" s="10"/>
      <c r="I4" s="6">
        <f>B4+H4</f>
        <v>655</v>
      </c>
      <c r="J4" s="9"/>
    </row>
    <row r="5" spans="1:10" x14ac:dyDescent="0.25">
      <c r="A5" s="44" t="s">
        <v>25</v>
      </c>
      <c r="B5" s="10"/>
      <c r="C5" s="67"/>
      <c r="D5" s="100"/>
      <c r="E5" s="6"/>
      <c r="F5" s="5"/>
      <c r="G5" s="6"/>
      <c r="H5" s="10"/>
      <c r="I5" s="6">
        <f t="shared" ref="I5:I6" si="0">B5+H5</f>
        <v>0</v>
      </c>
      <c r="J5" s="7"/>
    </row>
    <row r="6" spans="1:10" x14ac:dyDescent="0.25">
      <c r="A6" s="29" t="s">
        <v>26</v>
      </c>
      <c r="B6" s="10">
        <v>655</v>
      </c>
      <c r="C6" s="67">
        <f t="shared" ref="C6:C44" si="1">B6/B$56</f>
        <v>2.0670572300297029E-3</v>
      </c>
      <c r="D6" s="100">
        <f>B6</f>
        <v>655</v>
      </c>
      <c r="E6" s="6">
        <v>655</v>
      </c>
      <c r="F6" s="5">
        <f>E6/(D$56-D$8-D$49-D$19-D$22-D$33-D$36-D$47)</f>
        <v>2.68706924844109E-3</v>
      </c>
      <c r="G6" s="6">
        <f>F6*($D$58)</f>
        <v>546.23979734164755</v>
      </c>
      <c r="H6" s="10"/>
      <c r="I6" s="6">
        <f t="shared" si="0"/>
        <v>655</v>
      </c>
      <c r="J6" s="7"/>
    </row>
    <row r="7" spans="1:10" x14ac:dyDescent="0.25">
      <c r="A7" s="192" t="s">
        <v>207</v>
      </c>
      <c r="B7" s="10">
        <v>5335</v>
      </c>
      <c r="C7" s="67">
        <f t="shared" si="1"/>
        <v>1.6836260033906054E-2</v>
      </c>
      <c r="D7" s="100"/>
      <c r="E7" s="6"/>
      <c r="F7" s="5"/>
      <c r="G7" s="6"/>
      <c r="H7" s="10"/>
      <c r="I7" s="6"/>
      <c r="J7" s="7"/>
    </row>
    <row r="8" spans="1:10" ht="26.4" x14ac:dyDescent="0.25">
      <c r="A8" s="162" t="s">
        <v>106</v>
      </c>
      <c r="B8" s="10">
        <f>SUM(B9:B10)</f>
        <v>14694</v>
      </c>
      <c r="C8" s="67">
        <f t="shared" si="1"/>
        <v>4.6371509829093827E-2</v>
      </c>
      <c r="D8" s="100">
        <f>B8</f>
        <v>14694</v>
      </c>
      <c r="E8" s="6">
        <v>0</v>
      </c>
      <c r="F8" s="5"/>
      <c r="G8" s="6"/>
      <c r="H8" s="34"/>
      <c r="I8" s="6">
        <f>B8+H8</f>
        <v>14694</v>
      </c>
      <c r="J8" s="7"/>
    </row>
    <row r="9" spans="1:10" x14ac:dyDescent="0.25">
      <c r="A9" s="30" t="s">
        <v>5</v>
      </c>
      <c r="B9" s="10">
        <v>657</v>
      </c>
      <c r="C9" s="67">
        <f t="shared" si="1"/>
        <v>2.0733688551595646E-3</v>
      </c>
      <c r="D9" s="100">
        <f>B9</f>
        <v>657</v>
      </c>
      <c r="E9" s="6">
        <v>0</v>
      </c>
      <c r="F9" s="5"/>
      <c r="G9" s="6"/>
      <c r="H9" s="34"/>
      <c r="I9" s="6">
        <f t="shared" ref="I9:I10" si="2">B9+H9</f>
        <v>657</v>
      </c>
      <c r="J9" s="7"/>
    </row>
    <row r="10" spans="1:10" x14ac:dyDescent="0.25">
      <c r="A10" s="30" t="s">
        <v>6</v>
      </c>
      <c r="B10" s="10">
        <v>14037</v>
      </c>
      <c r="C10" s="67">
        <f t="shared" si="1"/>
        <v>4.4298140973934259E-2</v>
      </c>
      <c r="D10" s="100">
        <f>B10</f>
        <v>14037</v>
      </c>
      <c r="E10" s="6">
        <v>0</v>
      </c>
      <c r="F10" s="5"/>
      <c r="G10" s="6"/>
      <c r="H10" s="34"/>
      <c r="I10" s="6">
        <f t="shared" si="2"/>
        <v>14037</v>
      </c>
      <c r="J10" s="7"/>
    </row>
    <row r="11" spans="1:10" ht="26.4" x14ac:dyDescent="0.25">
      <c r="A11" s="162" t="s">
        <v>107</v>
      </c>
      <c r="B11" s="10">
        <f>SUM(B12:B17)</f>
        <v>3902</v>
      </c>
      <c r="C11" s="67">
        <f t="shared" si="1"/>
        <v>1.2313980628360154E-2</v>
      </c>
      <c r="D11" s="100">
        <f t="shared" ref="D11:D20" si="3">B11</f>
        <v>3902</v>
      </c>
      <c r="E11" s="6">
        <f t="shared" ref="E11:E18" si="4">B11</f>
        <v>3902</v>
      </c>
      <c r="F11" s="5">
        <f t="shared" ref="F11:F18" si="5">E11/(D$56-D$8-D$49-D$19-D$22-D$33-D$36-D$47)</f>
        <v>1.6007548408270431E-2</v>
      </c>
      <c r="G11" s="6">
        <f t="shared" ref="G11:G20" si="6">F11*($D$58)</f>
        <v>3254.0880751558911</v>
      </c>
      <c r="H11" s="34"/>
      <c r="I11" s="6">
        <f t="shared" ref="I11:I50" si="7">B11+H11</f>
        <v>3902</v>
      </c>
      <c r="J11" s="7"/>
    </row>
    <row r="12" spans="1:10" x14ac:dyDescent="0.25">
      <c r="A12" s="30" t="s">
        <v>7</v>
      </c>
      <c r="B12" s="10">
        <v>347</v>
      </c>
      <c r="C12" s="67">
        <f t="shared" si="1"/>
        <v>1.0950669600310031E-3</v>
      </c>
      <c r="D12" s="100">
        <f t="shared" si="3"/>
        <v>347</v>
      </c>
      <c r="E12" s="6">
        <f t="shared" si="4"/>
        <v>347</v>
      </c>
      <c r="F12" s="5">
        <f t="shared" si="5"/>
        <v>1.4235313423039057E-3</v>
      </c>
      <c r="G12" s="6">
        <f t="shared" si="6"/>
        <v>289.38199950771252</v>
      </c>
      <c r="H12" s="34"/>
      <c r="I12" s="6">
        <f t="shared" si="7"/>
        <v>347</v>
      </c>
      <c r="J12" s="7"/>
    </row>
    <row r="13" spans="1:10" x14ac:dyDescent="0.25">
      <c r="A13" s="30" t="s">
        <v>8</v>
      </c>
      <c r="B13" s="10">
        <v>1340</v>
      </c>
      <c r="C13" s="67">
        <f t="shared" si="1"/>
        <v>4.2287888370073313E-3</v>
      </c>
      <c r="D13" s="100">
        <f t="shared" si="3"/>
        <v>1340</v>
      </c>
      <c r="E13" s="6">
        <f t="shared" si="4"/>
        <v>1340</v>
      </c>
      <c r="F13" s="5">
        <f t="shared" si="5"/>
        <v>5.4972103708565813E-3</v>
      </c>
      <c r="G13" s="6">
        <f t="shared" si="6"/>
        <v>1117.4982113554317</v>
      </c>
      <c r="H13" s="34"/>
      <c r="I13" s="6">
        <f t="shared" si="7"/>
        <v>1340</v>
      </c>
      <c r="J13" s="7"/>
    </row>
    <row r="14" spans="1:10" x14ac:dyDescent="0.25">
      <c r="A14" s="30" t="s">
        <v>9</v>
      </c>
      <c r="B14" s="10">
        <v>1702</v>
      </c>
      <c r="C14" s="67">
        <f t="shared" si="1"/>
        <v>5.3711929855122971E-3</v>
      </c>
      <c r="D14" s="100">
        <f t="shared" si="3"/>
        <v>1702</v>
      </c>
      <c r="E14" s="6">
        <f t="shared" si="4"/>
        <v>1702</v>
      </c>
      <c r="F14" s="5">
        <f t="shared" si="5"/>
        <v>6.9822776501476868E-3</v>
      </c>
      <c r="G14" s="6">
        <f t="shared" si="6"/>
        <v>1419.3895191992124</v>
      </c>
      <c r="H14" s="34"/>
      <c r="I14" s="6">
        <f t="shared" si="7"/>
        <v>1702</v>
      </c>
      <c r="J14" s="7"/>
    </row>
    <row r="15" spans="1:10" x14ac:dyDescent="0.25">
      <c r="A15" s="30" t="s">
        <v>10</v>
      </c>
      <c r="B15" s="10">
        <v>200</v>
      </c>
      <c r="C15" s="67">
        <f t="shared" si="1"/>
        <v>6.3116251298616884E-4</v>
      </c>
      <c r="D15" s="100">
        <f t="shared" si="3"/>
        <v>200</v>
      </c>
      <c r="E15" s="6">
        <f t="shared" si="4"/>
        <v>200</v>
      </c>
      <c r="F15" s="5">
        <f t="shared" si="5"/>
        <v>8.2047915982934045E-4</v>
      </c>
      <c r="G15" s="6">
        <f t="shared" si="6"/>
        <v>166.79077781424351</v>
      </c>
      <c r="H15" s="34"/>
      <c r="I15" s="6">
        <f t="shared" si="7"/>
        <v>200</v>
      </c>
      <c r="J15" s="7"/>
    </row>
    <row r="16" spans="1:10" x14ac:dyDescent="0.25">
      <c r="A16" s="30" t="s">
        <v>11</v>
      </c>
      <c r="B16" s="10">
        <v>313</v>
      </c>
      <c r="C16" s="67">
        <f t="shared" si="1"/>
        <v>9.8776933282335427E-4</v>
      </c>
      <c r="D16" s="100">
        <f t="shared" si="3"/>
        <v>313</v>
      </c>
      <c r="E16" s="6">
        <f t="shared" si="4"/>
        <v>313</v>
      </c>
      <c r="F16" s="5">
        <f t="shared" si="5"/>
        <v>1.2840498851329177E-3</v>
      </c>
      <c r="G16" s="6">
        <f t="shared" si="6"/>
        <v>261.02756727929108</v>
      </c>
      <c r="H16" s="34"/>
      <c r="I16" s="6">
        <f t="shared" si="7"/>
        <v>313</v>
      </c>
      <c r="J16" s="7"/>
    </row>
    <row r="17" spans="1:10" x14ac:dyDescent="0.25">
      <c r="A17" s="35" t="s">
        <v>192</v>
      </c>
      <c r="B17" s="10">
        <v>0</v>
      </c>
      <c r="C17" s="67">
        <f t="shared" si="1"/>
        <v>0</v>
      </c>
      <c r="D17" s="100">
        <f t="shared" si="3"/>
        <v>0</v>
      </c>
      <c r="E17" s="6">
        <f t="shared" si="4"/>
        <v>0</v>
      </c>
      <c r="F17" s="5">
        <f t="shared" si="5"/>
        <v>0</v>
      </c>
      <c r="G17" s="6">
        <f t="shared" si="6"/>
        <v>0</v>
      </c>
      <c r="H17" s="34"/>
      <c r="I17" s="6">
        <f t="shared" si="7"/>
        <v>0</v>
      </c>
      <c r="J17" s="7"/>
    </row>
    <row r="18" spans="1:10" x14ac:dyDescent="0.25">
      <c r="A18" s="33" t="s">
        <v>108</v>
      </c>
      <c r="B18" s="10">
        <f>'Newnans Lake Tribs'!G44</f>
        <v>1482.6</v>
      </c>
      <c r="C18" s="67">
        <f t="shared" si="1"/>
        <v>4.6788077087664692E-3</v>
      </c>
      <c r="D18" s="100">
        <f t="shared" si="3"/>
        <v>1482.6</v>
      </c>
      <c r="E18" s="6">
        <f t="shared" si="4"/>
        <v>1482.6</v>
      </c>
      <c r="F18" s="5">
        <f t="shared" si="5"/>
        <v>6.0822120118149007E-3</v>
      </c>
      <c r="G18" s="6">
        <f t="shared" si="6"/>
        <v>1236.4200359369872</v>
      </c>
      <c r="H18" s="34"/>
      <c r="I18" s="6">
        <f t="shared" si="7"/>
        <v>1482.6</v>
      </c>
      <c r="J18" s="7"/>
    </row>
    <row r="19" spans="1:10" x14ac:dyDescent="0.25">
      <c r="A19" s="33" t="s">
        <v>105</v>
      </c>
      <c r="B19" s="10">
        <f>'Newnans Lake Tribs'!G47</f>
        <v>2038</v>
      </c>
      <c r="C19" s="67">
        <f t="shared" si="1"/>
        <v>6.4315460073290608E-3</v>
      </c>
      <c r="D19" s="100">
        <f t="shared" si="3"/>
        <v>2038</v>
      </c>
      <c r="E19" s="6">
        <v>0</v>
      </c>
      <c r="F19" s="5"/>
      <c r="G19" s="6">
        <f t="shared" si="6"/>
        <v>0</v>
      </c>
      <c r="H19" s="34"/>
      <c r="I19" s="6">
        <f>B19+H19</f>
        <v>2038</v>
      </c>
      <c r="J19" s="7"/>
    </row>
    <row r="20" spans="1:10" x14ac:dyDescent="0.25">
      <c r="A20" s="27" t="s">
        <v>180</v>
      </c>
      <c r="B20" s="31">
        <f>'Newnans Lake Tribs'!G49</f>
        <v>818.4</v>
      </c>
      <c r="C20" s="67">
        <f t="shared" si="1"/>
        <v>2.5827170031394028E-3</v>
      </c>
      <c r="D20" s="100">
        <f t="shared" si="3"/>
        <v>818.4</v>
      </c>
      <c r="E20" s="6">
        <f>B20</f>
        <v>818.4</v>
      </c>
      <c r="F20" s="5">
        <f>E20/(D$56-D$8-D$49-D$19-D$22-D$33-D$36-D$47)</f>
        <v>3.3574007220216607E-3</v>
      </c>
      <c r="G20" s="6">
        <f t="shared" si="6"/>
        <v>682.50786281588444</v>
      </c>
      <c r="H20" s="34"/>
      <c r="I20" s="6">
        <f>B20+H20</f>
        <v>818.4</v>
      </c>
      <c r="J20" s="7"/>
    </row>
    <row r="21" spans="1:10" x14ac:dyDescent="0.25">
      <c r="A21" s="238" t="s">
        <v>208</v>
      </c>
      <c r="B21" s="31">
        <v>18925</v>
      </c>
      <c r="C21" s="67">
        <f t="shared" si="1"/>
        <v>5.9723752791316226E-2</v>
      </c>
      <c r="D21" s="100"/>
      <c r="E21" s="6"/>
      <c r="F21" s="5"/>
      <c r="G21" s="6"/>
      <c r="H21" s="34"/>
      <c r="I21" s="6"/>
      <c r="J21" s="7"/>
    </row>
    <row r="22" spans="1:10" ht="26.4" x14ac:dyDescent="0.25">
      <c r="A22" s="163" t="s">
        <v>172</v>
      </c>
      <c r="B22" s="31">
        <f>SUM(B23:B24)</f>
        <v>13638.800000000001</v>
      </c>
      <c r="C22" s="67">
        <f t="shared" si="1"/>
        <v>4.3041496410578806E-2</v>
      </c>
      <c r="D22" s="100">
        <f t="shared" ref="D22:D34" si="8">B22</f>
        <v>13638.800000000001</v>
      </c>
      <c r="E22" s="6">
        <v>0</v>
      </c>
      <c r="F22" s="5"/>
      <c r="G22" s="6"/>
      <c r="H22" s="34"/>
      <c r="I22" s="6">
        <f>B22</f>
        <v>13638.800000000001</v>
      </c>
      <c r="J22" s="7"/>
    </row>
    <row r="23" spans="1:10" x14ac:dyDescent="0.25">
      <c r="A23" s="89" t="s">
        <v>5</v>
      </c>
      <c r="B23" s="31">
        <f>'Newnans Lake Tribs'!G13</f>
        <v>679.6</v>
      </c>
      <c r="C23" s="67">
        <f t="shared" si="1"/>
        <v>2.144690219127002E-3</v>
      </c>
      <c r="D23" s="100">
        <f t="shared" si="8"/>
        <v>679.6</v>
      </c>
      <c r="E23" s="6">
        <v>0</v>
      </c>
      <c r="F23" s="5"/>
      <c r="G23" s="6"/>
      <c r="H23" s="34"/>
      <c r="I23" s="6">
        <f t="shared" ref="I23:I24" si="9">B23+H23</f>
        <v>679.6</v>
      </c>
      <c r="J23" s="7"/>
    </row>
    <row r="24" spans="1:10" x14ac:dyDescent="0.25">
      <c r="A24" s="89" t="s">
        <v>6</v>
      </c>
      <c r="B24" s="31">
        <f>'Newnans Lake Tribs'!G14</f>
        <v>12959.2</v>
      </c>
      <c r="C24" s="67">
        <f t="shared" si="1"/>
        <v>4.08968061914518E-2</v>
      </c>
      <c r="D24" s="100">
        <f t="shared" si="8"/>
        <v>12959.2</v>
      </c>
      <c r="E24" s="6">
        <v>0</v>
      </c>
      <c r="F24" s="5"/>
      <c r="G24" s="6"/>
      <c r="H24" s="34"/>
      <c r="I24" s="6">
        <f t="shared" si="9"/>
        <v>12959.2</v>
      </c>
      <c r="J24" s="7"/>
    </row>
    <row r="25" spans="1:10" ht="26.4" x14ac:dyDescent="0.25">
      <c r="A25" s="163" t="s">
        <v>171</v>
      </c>
      <c r="B25" s="98">
        <f>SUM(B26:B31)</f>
        <v>3848</v>
      </c>
      <c r="C25" s="67">
        <f t="shared" si="1"/>
        <v>1.2143566749853889E-2</v>
      </c>
      <c r="D25" s="100">
        <f t="shared" si="8"/>
        <v>3848</v>
      </c>
      <c r="E25" s="6">
        <f>B25</f>
        <v>3848</v>
      </c>
      <c r="F25" s="5">
        <f t="shared" ref="F25:F32" si="10">E25/(D$56-D$8-D$49-D$19-D$22-D$33-D$36-D$47)</f>
        <v>1.5786019035116509E-2</v>
      </c>
      <c r="G25" s="6">
        <f t="shared" ref="G25:G32" si="11">F25*($D$58)</f>
        <v>3209.0545651460452</v>
      </c>
      <c r="H25" s="34"/>
      <c r="I25" s="6">
        <f t="shared" si="7"/>
        <v>3848</v>
      </c>
      <c r="J25" s="7"/>
    </row>
    <row r="26" spans="1:10" x14ac:dyDescent="0.25">
      <c r="A26" s="90" t="s">
        <v>50</v>
      </c>
      <c r="B26" s="87">
        <v>651.20000000000005</v>
      </c>
      <c r="C26" s="67">
        <f t="shared" si="1"/>
        <v>2.0550651422829658E-3</v>
      </c>
      <c r="D26" s="100">
        <f t="shared" si="8"/>
        <v>651.20000000000005</v>
      </c>
      <c r="E26" s="6">
        <f t="shared" ref="E26:E31" si="12">B26</f>
        <v>651.20000000000005</v>
      </c>
      <c r="F26" s="5">
        <f t="shared" si="10"/>
        <v>2.6714801444043326E-3</v>
      </c>
      <c r="G26" s="6">
        <f t="shared" si="11"/>
        <v>543.07077256317689</v>
      </c>
      <c r="H26" s="34"/>
      <c r="I26" s="6">
        <f t="shared" si="7"/>
        <v>651.20000000000005</v>
      </c>
      <c r="J26" s="7"/>
    </row>
    <row r="27" spans="1:10" x14ac:dyDescent="0.25">
      <c r="A27" s="90" t="s">
        <v>51</v>
      </c>
      <c r="B27" s="87">
        <v>62.8</v>
      </c>
      <c r="C27" s="67">
        <f t="shared" si="1"/>
        <v>1.98185029077657E-4</v>
      </c>
      <c r="D27" s="100">
        <f t="shared" si="8"/>
        <v>62.8</v>
      </c>
      <c r="E27" s="6">
        <f t="shared" si="12"/>
        <v>62.8</v>
      </c>
      <c r="F27" s="5">
        <f t="shared" si="10"/>
        <v>2.5763045618641288E-4</v>
      </c>
      <c r="G27" s="6">
        <f t="shared" si="11"/>
        <v>52.372304233672459</v>
      </c>
      <c r="H27" s="34"/>
      <c r="I27" s="6">
        <f t="shared" si="7"/>
        <v>62.8</v>
      </c>
      <c r="J27" s="7"/>
    </row>
    <row r="28" spans="1:10" x14ac:dyDescent="0.25">
      <c r="A28" s="95" t="s">
        <v>52</v>
      </c>
      <c r="B28" s="364">
        <v>2094.4</v>
      </c>
      <c r="C28" s="67">
        <f t="shared" si="1"/>
        <v>6.6095338359911607E-3</v>
      </c>
      <c r="D28" s="100">
        <f t="shared" si="8"/>
        <v>2094.4</v>
      </c>
      <c r="E28" s="6">
        <f t="shared" si="12"/>
        <v>2094.4</v>
      </c>
      <c r="F28" s="5">
        <f t="shared" si="10"/>
        <v>8.592057761732854E-3</v>
      </c>
      <c r="G28" s="6">
        <f t="shared" si="11"/>
        <v>1746.6330252707583</v>
      </c>
      <c r="H28" s="34"/>
      <c r="I28" s="6">
        <f t="shared" si="7"/>
        <v>2094.4</v>
      </c>
      <c r="J28" s="7"/>
    </row>
    <row r="29" spans="1:10" x14ac:dyDescent="0.25">
      <c r="A29" s="95" t="s">
        <v>54</v>
      </c>
      <c r="B29" s="87">
        <v>629</v>
      </c>
      <c r="C29" s="67">
        <f t="shared" si="1"/>
        <v>1.9850061033415013E-3</v>
      </c>
      <c r="D29" s="100">
        <f t="shared" si="8"/>
        <v>629</v>
      </c>
      <c r="E29" s="6">
        <f t="shared" si="12"/>
        <v>629</v>
      </c>
      <c r="F29" s="5">
        <f t="shared" si="10"/>
        <v>2.5804069576632759E-3</v>
      </c>
      <c r="G29" s="6">
        <f t="shared" si="11"/>
        <v>524.55699622579596</v>
      </c>
      <c r="H29" s="34"/>
      <c r="I29" s="6">
        <f t="shared" si="7"/>
        <v>629</v>
      </c>
      <c r="J29" s="7"/>
    </row>
    <row r="30" spans="1:10" x14ac:dyDescent="0.25">
      <c r="A30" s="95" t="s">
        <v>55</v>
      </c>
      <c r="B30" s="87">
        <v>339.6</v>
      </c>
      <c r="C30" s="67">
        <f t="shared" si="1"/>
        <v>1.0717139470505148E-3</v>
      </c>
      <c r="D30" s="100">
        <f t="shared" si="8"/>
        <v>339.6</v>
      </c>
      <c r="E30" s="6">
        <f t="shared" si="12"/>
        <v>339.6</v>
      </c>
      <c r="F30" s="5">
        <f t="shared" si="10"/>
        <v>1.3931736133902201E-3</v>
      </c>
      <c r="G30" s="6">
        <f t="shared" si="11"/>
        <v>283.21074072858551</v>
      </c>
      <c r="H30" s="34"/>
      <c r="I30" s="6">
        <f t="shared" si="7"/>
        <v>339.6</v>
      </c>
      <c r="J30" s="7"/>
    </row>
    <row r="31" spans="1:10" x14ac:dyDescent="0.25">
      <c r="A31" s="95" t="s">
        <v>210</v>
      </c>
      <c r="B31" s="87">
        <v>71</v>
      </c>
      <c r="C31" s="67">
        <f t="shared" si="1"/>
        <v>2.2406269211008994E-4</v>
      </c>
      <c r="D31" s="100">
        <f t="shared" si="8"/>
        <v>71</v>
      </c>
      <c r="E31" s="6">
        <f t="shared" si="12"/>
        <v>71</v>
      </c>
      <c r="F31" s="5">
        <f t="shared" si="10"/>
        <v>2.9127010173941588E-4</v>
      </c>
      <c r="G31" s="6">
        <f t="shared" si="11"/>
        <v>59.210726124056457</v>
      </c>
      <c r="H31" s="34"/>
      <c r="I31" s="6">
        <f t="shared" si="7"/>
        <v>71</v>
      </c>
      <c r="J31" s="7"/>
    </row>
    <row r="32" spans="1:10" x14ac:dyDescent="0.25">
      <c r="A32" s="96" t="s">
        <v>109</v>
      </c>
      <c r="B32" s="99">
        <f>'Newnans Lake Tribs'!G12</f>
        <v>1954</v>
      </c>
      <c r="C32" s="67">
        <f t="shared" si="1"/>
        <v>6.1664577518748698E-3</v>
      </c>
      <c r="D32" s="100">
        <f t="shared" si="8"/>
        <v>1954</v>
      </c>
      <c r="E32" s="6">
        <f>B32</f>
        <v>1954</v>
      </c>
      <c r="F32" s="5">
        <f t="shared" si="10"/>
        <v>8.0160813915326565E-3</v>
      </c>
      <c r="G32" s="6">
        <f t="shared" si="11"/>
        <v>1629.5458992451593</v>
      </c>
      <c r="H32" s="34"/>
      <c r="I32" s="6">
        <f>B32+H32</f>
        <v>1954</v>
      </c>
      <c r="J32" s="7"/>
    </row>
    <row r="33" spans="1:10" x14ac:dyDescent="0.25">
      <c r="A33" s="88" t="s">
        <v>103</v>
      </c>
      <c r="B33" s="100">
        <f>'Newnans Lake Tribs'!G15</f>
        <v>3682.6</v>
      </c>
      <c r="C33" s="67">
        <f t="shared" si="1"/>
        <v>1.1621595351614326E-2</v>
      </c>
      <c r="D33" s="100">
        <f t="shared" si="8"/>
        <v>3682.6</v>
      </c>
      <c r="E33" s="204">
        <v>0</v>
      </c>
      <c r="F33" s="5"/>
      <c r="G33" s="6"/>
      <c r="H33" s="34"/>
      <c r="I33" s="6">
        <f>B33+H33</f>
        <v>3682.6</v>
      </c>
      <c r="J33" s="7"/>
    </row>
    <row r="34" spans="1:10" x14ac:dyDescent="0.25">
      <c r="A34" s="88" t="s">
        <v>181</v>
      </c>
      <c r="B34" s="98">
        <f>'Newnans Lake Tribs'!G17</f>
        <v>1042.2</v>
      </c>
      <c r="C34" s="67">
        <f t="shared" si="1"/>
        <v>3.288987855170926E-3</v>
      </c>
      <c r="D34" s="100">
        <f t="shared" si="8"/>
        <v>1042.2</v>
      </c>
      <c r="E34" s="6">
        <f>B34</f>
        <v>1042.2</v>
      </c>
      <c r="F34" s="5">
        <f>E34/(D$56-D$8-D$49-D$19-D$22-D$33-D$36-D$47)</f>
        <v>4.2755169018706927E-3</v>
      </c>
      <c r="G34" s="6">
        <f>F34*($D$58)</f>
        <v>869.1467431900229</v>
      </c>
      <c r="H34" s="34"/>
      <c r="I34" s="6">
        <f>B34+H34</f>
        <v>1042.2</v>
      </c>
      <c r="J34" s="7"/>
    </row>
    <row r="35" spans="1:10" x14ac:dyDescent="0.25">
      <c r="A35" s="237" t="s">
        <v>209</v>
      </c>
      <c r="B35" s="98">
        <v>3861</v>
      </c>
      <c r="C35" s="67">
        <f t="shared" si="1"/>
        <v>1.2184592313197989E-2</v>
      </c>
      <c r="D35" s="100"/>
      <c r="E35" s="6"/>
      <c r="F35" s="5"/>
      <c r="G35" s="6"/>
      <c r="H35" s="34"/>
      <c r="I35" s="6"/>
      <c r="J35" s="7"/>
    </row>
    <row r="36" spans="1:10" ht="26.4" x14ac:dyDescent="0.25">
      <c r="A36" s="123" t="s">
        <v>173</v>
      </c>
      <c r="B36" s="100">
        <f>SUM(B37:B38)</f>
        <v>3517.6000000000004</v>
      </c>
      <c r="C36" s="67">
        <f t="shared" si="1"/>
        <v>1.1100886278400739E-2</v>
      </c>
      <c r="D36" s="100">
        <f t="shared" ref="D36:D50" si="13">B36</f>
        <v>3517.6000000000004</v>
      </c>
      <c r="E36" s="6">
        <v>0</v>
      </c>
      <c r="F36" s="5"/>
      <c r="G36" s="6"/>
      <c r="H36" s="34"/>
      <c r="I36" s="6">
        <f>B36+H36</f>
        <v>3517.6000000000004</v>
      </c>
      <c r="J36" s="7"/>
    </row>
    <row r="37" spans="1:10" x14ac:dyDescent="0.25">
      <c r="A37" s="92" t="s">
        <v>5</v>
      </c>
      <c r="B37" s="100">
        <f>'Newnans Lake Tribs'!G29</f>
        <v>640.79999999999995</v>
      </c>
      <c r="C37" s="67">
        <f t="shared" si="1"/>
        <v>2.022244691607685E-3</v>
      </c>
      <c r="D37" s="100">
        <f t="shared" si="13"/>
        <v>640.79999999999995</v>
      </c>
      <c r="E37" s="6">
        <v>0</v>
      </c>
      <c r="F37" s="5"/>
      <c r="G37" s="6"/>
      <c r="H37" s="34"/>
      <c r="I37" s="6">
        <f t="shared" ref="I37:I38" si="14">B37+H37</f>
        <v>640.79999999999995</v>
      </c>
      <c r="J37" s="7"/>
    </row>
    <row r="38" spans="1:10" x14ac:dyDescent="0.25">
      <c r="A38" s="92" t="s">
        <v>6</v>
      </c>
      <c r="B38" s="100">
        <f>'Newnans Lake Tribs'!G30</f>
        <v>2876.8</v>
      </c>
      <c r="C38" s="67">
        <f t="shared" si="1"/>
        <v>9.0786415867930535E-3</v>
      </c>
      <c r="D38" s="100">
        <f t="shared" si="13"/>
        <v>2876.8</v>
      </c>
      <c r="E38" s="6">
        <v>0</v>
      </c>
      <c r="F38" s="5"/>
      <c r="G38" s="6"/>
      <c r="H38" s="34"/>
      <c r="I38" s="6">
        <f t="shared" si="14"/>
        <v>2876.8</v>
      </c>
      <c r="J38" s="7"/>
    </row>
    <row r="39" spans="1:10" ht="26.4" x14ac:dyDescent="0.25">
      <c r="A39" s="123" t="s">
        <v>119</v>
      </c>
      <c r="B39" s="100">
        <f>SUM(B40:B45)</f>
        <v>3377.7999999999997</v>
      </c>
      <c r="C39" s="67">
        <f t="shared" si="1"/>
        <v>1.0659703681823405E-2</v>
      </c>
      <c r="D39" s="100">
        <f t="shared" si="13"/>
        <v>3377.7999999999997</v>
      </c>
      <c r="E39" s="6">
        <f>B39</f>
        <v>3377.7999999999997</v>
      </c>
      <c r="F39" s="5">
        <f t="shared" ref="F39:F45" si="15">E39/(D$56-D$8-D$49-D$19-D$22-D$33-D$36-D$47)</f>
        <v>1.385707253035773E-2</v>
      </c>
      <c r="G39" s="6">
        <f t="shared" ref="G39:G45" si="16">F39*($D$58)</f>
        <v>2816.9294465047587</v>
      </c>
      <c r="H39" s="34"/>
      <c r="I39" s="6">
        <f t="shared" ref="I39:I45" si="17">B39+H39</f>
        <v>3377.7999999999997</v>
      </c>
      <c r="J39" s="7"/>
    </row>
    <row r="40" spans="1:10" x14ac:dyDescent="0.25">
      <c r="A40" s="93" t="s">
        <v>50</v>
      </c>
      <c r="B40" s="100">
        <f>'Newnans Lake Tribs'!G21</f>
        <v>2052.1999999999998</v>
      </c>
      <c r="C40" s="67">
        <f t="shared" si="1"/>
        <v>6.4763585457510778E-3</v>
      </c>
      <c r="D40" s="100">
        <f t="shared" si="13"/>
        <v>2052.1999999999998</v>
      </c>
      <c r="E40" s="6">
        <f t="shared" ref="E40:E44" si="18">B40</f>
        <v>2052.1999999999998</v>
      </c>
      <c r="F40" s="5">
        <f t="shared" si="15"/>
        <v>8.4189366590088615E-3</v>
      </c>
      <c r="G40" s="6">
        <f t="shared" si="16"/>
        <v>1711.4401711519527</v>
      </c>
      <c r="H40" s="34"/>
      <c r="I40" s="6">
        <f t="shared" si="17"/>
        <v>2052.1999999999998</v>
      </c>
      <c r="J40" s="7"/>
    </row>
    <row r="41" spans="1:10" x14ac:dyDescent="0.25">
      <c r="A41" s="94" t="s">
        <v>51</v>
      </c>
      <c r="B41" s="99">
        <f>'Newnans Lake Tribs'!G22</f>
        <v>166.2</v>
      </c>
      <c r="C41" s="67">
        <f t="shared" si="1"/>
        <v>5.2449604829150627E-4</v>
      </c>
      <c r="D41" s="100">
        <f t="shared" si="13"/>
        <v>166.2</v>
      </c>
      <c r="E41" s="6">
        <f t="shared" si="18"/>
        <v>166.2</v>
      </c>
      <c r="F41" s="5">
        <f t="shared" si="15"/>
        <v>6.8181818181818187E-4</v>
      </c>
      <c r="G41" s="6">
        <f t="shared" si="16"/>
        <v>138.60313636363637</v>
      </c>
      <c r="H41" s="34"/>
      <c r="I41" s="6">
        <f t="shared" si="17"/>
        <v>166.2</v>
      </c>
      <c r="J41" s="7"/>
    </row>
    <row r="42" spans="1:10" x14ac:dyDescent="0.25">
      <c r="A42" s="97" t="s">
        <v>52</v>
      </c>
      <c r="B42" s="99">
        <f>'Newnans Lake Tribs'!G23</f>
        <v>94.6</v>
      </c>
      <c r="C42" s="67">
        <f t="shared" si="1"/>
        <v>2.9853986864245783E-4</v>
      </c>
      <c r="D42" s="100">
        <f t="shared" si="13"/>
        <v>94.6</v>
      </c>
      <c r="E42" s="6">
        <f t="shared" si="18"/>
        <v>94.6</v>
      </c>
      <c r="F42" s="5">
        <f t="shared" si="15"/>
        <v>3.8808664259927799E-4</v>
      </c>
      <c r="G42" s="6">
        <f t="shared" si="16"/>
        <v>78.892037906137176</v>
      </c>
      <c r="H42" s="34"/>
      <c r="I42" s="6">
        <f t="shared" si="17"/>
        <v>94.6</v>
      </c>
      <c r="J42" s="7"/>
    </row>
    <row r="43" spans="1:10" x14ac:dyDescent="0.25">
      <c r="A43" s="97" t="s">
        <v>54</v>
      </c>
      <c r="B43" s="99">
        <f>'Newnans Lake Tribs'!G24</f>
        <v>668</v>
      </c>
      <c r="C43" s="67">
        <f t="shared" si="1"/>
        <v>2.108082793373804E-3</v>
      </c>
      <c r="D43" s="100">
        <f t="shared" si="13"/>
        <v>668</v>
      </c>
      <c r="E43" s="6">
        <f t="shared" si="18"/>
        <v>668</v>
      </c>
      <c r="F43" s="5">
        <f t="shared" si="15"/>
        <v>2.7404003938299969E-3</v>
      </c>
      <c r="G43" s="6">
        <f t="shared" si="16"/>
        <v>557.08119789957334</v>
      </c>
      <c r="H43" s="34"/>
      <c r="I43" s="6">
        <f t="shared" si="17"/>
        <v>668</v>
      </c>
      <c r="J43" s="7"/>
    </row>
    <row r="44" spans="1:10" x14ac:dyDescent="0.25">
      <c r="A44" s="97" t="s">
        <v>55</v>
      </c>
      <c r="B44" s="99">
        <f>'Newnans Lake Tribs'!G25</f>
        <v>393.8</v>
      </c>
      <c r="C44" s="67">
        <f t="shared" si="1"/>
        <v>1.2427589880697665E-3</v>
      </c>
      <c r="D44" s="100">
        <f t="shared" si="13"/>
        <v>393.8</v>
      </c>
      <c r="E44" s="6">
        <f t="shared" si="18"/>
        <v>393.8</v>
      </c>
      <c r="F44" s="5">
        <f t="shared" si="15"/>
        <v>1.6155234657039713E-3</v>
      </c>
      <c r="G44" s="6">
        <f t="shared" si="16"/>
        <v>328.41104151624546</v>
      </c>
      <c r="H44" s="34"/>
      <c r="I44" s="6">
        <f t="shared" si="17"/>
        <v>393.8</v>
      </c>
      <c r="J44" s="7"/>
    </row>
    <row r="45" spans="1:10" x14ac:dyDescent="0.25">
      <c r="A45" s="267" t="s">
        <v>210</v>
      </c>
      <c r="B45" s="99">
        <v>3</v>
      </c>
      <c r="C45" s="67">
        <v>1.3641373892114678E-3</v>
      </c>
      <c r="D45" s="100">
        <f t="shared" si="13"/>
        <v>3</v>
      </c>
      <c r="E45" s="6">
        <v>3</v>
      </c>
      <c r="F45" s="5">
        <f t="shared" si="15"/>
        <v>1.2307187397440106E-5</v>
      </c>
      <c r="G45" s="6">
        <f t="shared" si="16"/>
        <v>2.5018616672136527</v>
      </c>
      <c r="H45" s="34"/>
      <c r="I45" s="6">
        <f t="shared" si="17"/>
        <v>3</v>
      </c>
      <c r="J45" s="7"/>
    </row>
    <row r="46" spans="1:10" x14ac:dyDescent="0.25">
      <c r="A46" s="268" t="s">
        <v>110</v>
      </c>
      <c r="B46" s="99">
        <f>'Newnans Lake Tribs'!G28</f>
        <v>143.4</v>
      </c>
      <c r="C46" s="67">
        <f t="shared" ref="C46:C48" si="19">B46/B$56</f>
        <v>4.5254352181108308E-4</v>
      </c>
      <c r="D46" s="100">
        <f t="shared" si="13"/>
        <v>143.4</v>
      </c>
      <c r="E46" s="6">
        <f>B46</f>
        <v>143.4</v>
      </c>
      <c r="F46" s="5">
        <f>E46/(D$56-D$8-D$49-D$19-D$22-D$33-D$36-D$47)</f>
        <v>5.8828355759763711E-4</v>
      </c>
      <c r="G46" s="6">
        <f>F46*($D$58)</f>
        <v>119.58898769281261</v>
      </c>
      <c r="H46" s="34"/>
      <c r="I46" s="6">
        <f>B46+H46</f>
        <v>143.4</v>
      </c>
      <c r="J46" s="7"/>
    </row>
    <row r="47" spans="1:10" x14ac:dyDescent="0.25">
      <c r="A47" s="91" t="s">
        <v>104</v>
      </c>
      <c r="B47" s="100">
        <f>'Newnans Lake Tribs'!G31</f>
        <v>977.6</v>
      </c>
      <c r="C47" s="67">
        <f t="shared" si="19"/>
        <v>3.0851223634763936E-3</v>
      </c>
      <c r="D47" s="100">
        <f t="shared" si="13"/>
        <v>977.6</v>
      </c>
      <c r="E47" s="6">
        <v>0</v>
      </c>
      <c r="F47" s="5"/>
      <c r="G47" s="6"/>
      <c r="H47" s="34"/>
      <c r="I47" s="6">
        <f t="shared" ref="I47:I48" si="20">B47+H47</f>
        <v>977.6</v>
      </c>
      <c r="J47" s="7"/>
    </row>
    <row r="48" spans="1:10" x14ac:dyDescent="0.25">
      <c r="A48" s="91" t="s">
        <v>174</v>
      </c>
      <c r="B48" s="98">
        <f>'Newnans Lake Tribs'!G33</f>
        <v>9.6</v>
      </c>
      <c r="C48" s="67">
        <f t="shared" si="19"/>
        <v>3.0295800623336105E-5</v>
      </c>
      <c r="D48" s="100">
        <f t="shared" si="13"/>
        <v>9.6</v>
      </c>
      <c r="E48" s="6">
        <f>B48</f>
        <v>9.6</v>
      </c>
      <c r="F48" s="5">
        <f>E48/(D$56-D$8-D$49-D$19-D$22-D$33-D$36-D$47)</f>
        <v>3.9382999671808342E-5</v>
      </c>
      <c r="G48" s="6">
        <f>F48*($D$58)</f>
        <v>8.0059573350836892</v>
      </c>
      <c r="H48" s="34"/>
      <c r="I48" s="6">
        <f t="shared" si="20"/>
        <v>9.6</v>
      </c>
      <c r="J48" s="7"/>
    </row>
    <row r="49" spans="1:20" x14ac:dyDescent="0.25">
      <c r="A49" s="27" t="s">
        <v>0</v>
      </c>
      <c r="B49" s="98">
        <v>6446</v>
      </c>
      <c r="C49" s="67">
        <f>B49/B$56</f>
        <v>2.0342367793544223E-2</v>
      </c>
      <c r="D49" s="100">
        <f t="shared" si="13"/>
        <v>6446</v>
      </c>
      <c r="E49" s="6">
        <v>0</v>
      </c>
      <c r="F49" s="5"/>
      <c r="G49" s="6"/>
      <c r="H49" s="34"/>
      <c r="I49" s="6">
        <f>B49+H49</f>
        <v>6446</v>
      </c>
      <c r="J49" s="7"/>
    </row>
    <row r="50" spans="1:20" ht="13.8" thickBot="1" x14ac:dyDescent="0.3">
      <c r="A50" s="101" t="s">
        <v>13</v>
      </c>
      <c r="B50" s="102">
        <v>226527</v>
      </c>
      <c r="C50" s="103">
        <f>B50/B$56</f>
        <v>0.71487675289608943</v>
      </c>
      <c r="D50" s="100">
        <f t="shared" si="13"/>
        <v>226527</v>
      </c>
      <c r="E50" s="104">
        <f>B50</f>
        <v>226527</v>
      </c>
      <c r="F50" s="5">
        <f>E50/(D$56-D$8-D$49-D$19-D$22-D$33-D$36-D$47)</f>
        <v>0.92930341319330501</v>
      </c>
      <c r="G50" s="6">
        <f>F50*($D$58)</f>
        <v>188913.07262963572</v>
      </c>
      <c r="H50" s="106"/>
      <c r="I50" s="105">
        <f t="shared" si="7"/>
        <v>226527</v>
      </c>
      <c r="J50" s="107"/>
    </row>
    <row r="51" spans="1:20" ht="13.8" thickTop="1" x14ac:dyDescent="0.25">
      <c r="A51" s="278" t="s">
        <v>182</v>
      </c>
      <c r="B51" s="109">
        <f>SUM(B52:B53)</f>
        <v>32191.600000000002</v>
      </c>
      <c r="C51" s="110">
        <f>B51/B$56</f>
        <v>0.10159065576522777</v>
      </c>
      <c r="D51" s="109"/>
      <c r="E51" s="111">
        <f>B51</f>
        <v>32191.600000000002</v>
      </c>
      <c r="F51" s="112"/>
      <c r="G51" s="111"/>
      <c r="H51" s="113"/>
      <c r="I51" s="111">
        <f>B51+H51</f>
        <v>32191.600000000002</v>
      </c>
      <c r="J51" s="114"/>
    </row>
    <row r="52" spans="1:20" x14ac:dyDescent="0.25">
      <c r="A52" s="279" t="s">
        <v>12</v>
      </c>
      <c r="B52" s="239">
        <f>B22+B25+B32+B33+B34</f>
        <v>24165.600000000002</v>
      </c>
      <c r="C52" s="240">
        <f>B52/B$56</f>
        <v>7.6262104119092816E-2</v>
      </c>
      <c r="D52" s="243"/>
      <c r="E52" s="241">
        <f>B52</f>
        <v>24165.600000000002</v>
      </c>
      <c r="F52" s="242"/>
      <c r="G52" s="241"/>
      <c r="H52" s="234"/>
      <c r="I52" s="241">
        <f>B52+H52</f>
        <v>24165.600000000002</v>
      </c>
      <c r="J52" s="7"/>
    </row>
    <row r="53" spans="1:20" x14ac:dyDescent="0.25">
      <c r="A53" s="280" t="s">
        <v>53</v>
      </c>
      <c r="B53" s="243">
        <f>B36+B39+B46+B47+B48</f>
        <v>8026</v>
      </c>
      <c r="C53" s="240">
        <f>B53/B$56</f>
        <v>2.5328551646134956E-2</v>
      </c>
      <c r="D53" s="243"/>
      <c r="E53" s="241">
        <f>B53</f>
        <v>8026</v>
      </c>
      <c r="F53" s="242"/>
      <c r="G53" s="241"/>
      <c r="H53" s="234"/>
      <c r="I53" s="241">
        <f>B53+H53</f>
        <v>8026</v>
      </c>
      <c r="J53" s="7"/>
    </row>
    <row r="54" spans="1:20" x14ac:dyDescent="0.25">
      <c r="A54" s="85"/>
      <c r="B54" s="100"/>
      <c r="C54" s="67"/>
      <c r="D54" s="100"/>
      <c r="E54" s="6"/>
      <c r="F54" s="5"/>
      <c r="G54" s="6"/>
      <c r="H54" s="34"/>
      <c r="I54" s="6"/>
      <c r="J54" s="7"/>
    </row>
    <row r="55" spans="1:20" x14ac:dyDescent="0.25">
      <c r="A55" s="36" t="s">
        <v>4</v>
      </c>
      <c r="B55" s="100"/>
      <c r="C55" s="68"/>
      <c r="D55" s="100"/>
      <c r="E55" s="6"/>
      <c r="F55" s="5"/>
      <c r="G55" s="6"/>
      <c r="H55" s="10"/>
      <c r="I55" s="8"/>
      <c r="J55" s="9"/>
    </row>
    <row r="56" spans="1:20" x14ac:dyDescent="0.25">
      <c r="A56" s="69" t="s">
        <v>30</v>
      </c>
      <c r="B56" s="11">
        <f>B4+B7+B8+B11+B18+B49+B50+B19+B20+B21+B22+B25+B32+B33+B34+B35+B36+B39++B46+B47+B48</f>
        <v>316875.59999999992</v>
      </c>
      <c r="C56" s="32">
        <f>C4+C7+C8+C11+C18+C19+C20+C21+C22+C25+C32+C33+C34+C35+C36+C39+C46+C47+C48+C49+C50</f>
        <v>1.0000000000000004</v>
      </c>
      <c r="D56" s="100">
        <f>D4+D8+D11+D18+D19+D20+D22+D25+D32+D33+D34+D36+D39+D46+D47+D48+D50+D49</f>
        <v>288754.59999999998</v>
      </c>
      <c r="E56" s="11">
        <f>(E4+E11+E18+E20+E50+E25+E32+E34+E39+E46+E48)</f>
        <v>243760</v>
      </c>
      <c r="F56" s="12">
        <f>(F4+F11+F18+F20+F25+F32+F34+F39+F46+F48+F50)</f>
        <v>1.0000000000000002</v>
      </c>
      <c r="G56" s="11">
        <f>G4+G11+G18+G20+G50+G25+G32+G34+G39+G46+G48</f>
        <v>203284.6</v>
      </c>
      <c r="H56" s="11"/>
      <c r="I56" s="6">
        <f>I4+I8+I11+I18+I49+I51+I19+I20+I50</f>
        <v>288754.59999999998</v>
      </c>
      <c r="J56" s="38"/>
    </row>
    <row r="57" spans="1:20" x14ac:dyDescent="0.25">
      <c r="A57" s="39" t="s">
        <v>14</v>
      </c>
      <c r="B57" s="10">
        <v>85470</v>
      </c>
      <c r="C57" s="68"/>
      <c r="D57" s="100">
        <f>B57</f>
        <v>85470</v>
      </c>
      <c r="E57" s="6"/>
      <c r="F57" s="5"/>
      <c r="G57" s="6"/>
      <c r="H57" s="10"/>
      <c r="I57" s="6">
        <f>B57</f>
        <v>85470</v>
      </c>
      <c r="J57" s="7"/>
    </row>
    <row r="58" spans="1:20" ht="13.8" thickBot="1" x14ac:dyDescent="0.3">
      <c r="A58" s="57" t="s">
        <v>15</v>
      </c>
      <c r="B58" s="58">
        <f>B56-B57</f>
        <v>231405.59999999992</v>
      </c>
      <c r="C58" s="70"/>
      <c r="D58" s="58">
        <f>D56-D57</f>
        <v>203284.59999999998</v>
      </c>
      <c r="E58" s="58"/>
      <c r="F58" s="59"/>
      <c r="G58" s="58"/>
      <c r="H58" s="58"/>
      <c r="I58" s="58">
        <f>I56-I57</f>
        <v>203284.59999999998</v>
      </c>
      <c r="J58" s="60"/>
    </row>
    <row r="59" spans="1:20" x14ac:dyDescent="0.25">
      <c r="A59" s="19" t="s">
        <v>169</v>
      </c>
    </row>
    <row r="60" spans="1:20" x14ac:dyDescent="0.25">
      <c r="A60" s="19" t="s">
        <v>170</v>
      </c>
    </row>
    <row r="61" spans="1:20" ht="13.8" thickBot="1" x14ac:dyDescent="0.3"/>
    <row r="62" spans="1:20" ht="55.95" customHeight="1" x14ac:dyDescent="0.25">
      <c r="A62" s="74" t="s">
        <v>75</v>
      </c>
      <c r="B62" s="119" t="s">
        <v>69</v>
      </c>
      <c r="C62" s="120" t="s">
        <v>83</v>
      </c>
      <c r="D62" s="120" t="s">
        <v>82</v>
      </c>
      <c r="E62" s="120" t="s">
        <v>70</v>
      </c>
      <c r="F62" s="120" t="s">
        <v>71</v>
      </c>
      <c r="G62" s="120" t="s">
        <v>72</v>
      </c>
      <c r="H62" s="120" t="s">
        <v>76</v>
      </c>
      <c r="I62" s="120" t="s">
        <v>73</v>
      </c>
      <c r="J62" s="120" t="s">
        <v>74</v>
      </c>
      <c r="K62" s="120" t="s">
        <v>77</v>
      </c>
      <c r="L62" s="120" t="s">
        <v>78</v>
      </c>
      <c r="M62" s="120" t="s">
        <v>81</v>
      </c>
      <c r="N62" s="120" t="s">
        <v>79</v>
      </c>
      <c r="O62" s="120" t="s">
        <v>80</v>
      </c>
      <c r="P62" s="120" t="s">
        <v>84</v>
      </c>
      <c r="Q62" s="120" t="s">
        <v>201</v>
      </c>
      <c r="R62" s="120" t="s">
        <v>202</v>
      </c>
      <c r="S62" s="120" t="s">
        <v>212</v>
      </c>
      <c r="T62" s="121" t="s">
        <v>213</v>
      </c>
    </row>
    <row r="63" spans="1:20" x14ac:dyDescent="0.25">
      <c r="A63" s="30" t="s">
        <v>62</v>
      </c>
      <c r="B63" s="125">
        <f>'Newnans LU'!D3</f>
        <v>71.313836428900004</v>
      </c>
      <c r="C63" s="126">
        <f>'Newnans LU'!F3</f>
        <v>0.19685886531001281</v>
      </c>
      <c r="D63" s="125">
        <f>C63*G$26</f>
        <v>106.90829606981904</v>
      </c>
      <c r="E63" s="125">
        <v>60.064136551590003</v>
      </c>
      <c r="F63" s="126">
        <v>0.18981804944477132</v>
      </c>
      <c r="G63" s="127">
        <f>F63*G$27</f>
        <v>9.9412086345638446</v>
      </c>
      <c r="H63" s="142">
        <f>'Newnans LU'!D5</f>
        <v>1824.76428687</v>
      </c>
      <c r="I63" s="126">
        <f>'Newnans LU'!F5</f>
        <v>0.9063092229481553</v>
      </c>
      <c r="J63" s="142">
        <f>I63*G$28</f>
        <v>1582.9896199087266</v>
      </c>
      <c r="K63" s="125">
        <f>'Newnans LU'!D6</f>
        <v>143.71898623000001</v>
      </c>
      <c r="L63" s="126">
        <f>'Newnans LU'!F6</f>
        <v>0.85703285103496285</v>
      </c>
      <c r="M63" s="125">
        <f>L63*G$29</f>
        <v>449.56257800573013</v>
      </c>
      <c r="N63" s="125">
        <f>'Newnans LU'!D7</f>
        <v>280.83585518500001</v>
      </c>
      <c r="O63" s="126">
        <f>'Newnans LU'!F7</f>
        <v>0.82334012715347216</v>
      </c>
      <c r="P63" s="125">
        <f>O63*G$30</f>
        <v>233.17876728270264</v>
      </c>
      <c r="Q63" s="214">
        <v>3.33241738471E-2</v>
      </c>
      <c r="R63" s="215">
        <v>1</v>
      </c>
      <c r="S63" s="130">
        <f>R63*G31</f>
        <v>59.210726124056457</v>
      </c>
      <c r="T63" s="270">
        <v>2442</v>
      </c>
    </row>
    <row r="64" spans="1:20" x14ac:dyDescent="0.25">
      <c r="A64" s="30" t="s">
        <v>66</v>
      </c>
      <c r="B64" s="125">
        <f>'Newnans LU'!D20</f>
        <v>6.6091997839949999</v>
      </c>
      <c r="C64" s="126">
        <f>'Newnans LU'!F20</f>
        <v>1.8244419810195117E-2</v>
      </c>
      <c r="D64" s="125">
        <f>C64*G$26</f>
        <v>9.9080111612895916</v>
      </c>
      <c r="E64" s="125">
        <f>'Newnans LU'!D21</f>
        <v>251.2798750707</v>
      </c>
      <c r="F64" s="126">
        <f>'Newnans LU'!F21</f>
        <v>0.79663690531653686</v>
      </c>
      <c r="G64" s="127">
        <f>F64*G$27</f>
        <v>41.721710369008989</v>
      </c>
      <c r="H64" s="125">
        <f>'Newnans LU'!D22</f>
        <v>8.1936759395200003</v>
      </c>
      <c r="I64" s="126">
        <f>'Newnans LU'!F22</f>
        <v>4.0695689450241917E-3</v>
      </c>
      <c r="J64" s="125">
        <f>I64*G$28</f>
        <v>7.1080435179955321</v>
      </c>
      <c r="K64" s="125">
        <f>'Newnans LU'!D23</f>
        <v>0</v>
      </c>
      <c r="L64" s="126">
        <f>'Newnans LU'!F23</f>
        <v>0</v>
      </c>
      <c r="M64" s="125">
        <f>L64*G$29</f>
        <v>0</v>
      </c>
      <c r="N64" s="125">
        <f>'Newnans LU'!D24</f>
        <v>55.3130139059</v>
      </c>
      <c r="O64" s="126">
        <f>'Newnans LU'!F24</f>
        <v>0.16216385145167866</v>
      </c>
      <c r="P64" s="125">
        <f>O64*G$30</f>
        <v>45.926544489030221</v>
      </c>
      <c r="Q64" s="216" t="s">
        <v>175</v>
      </c>
      <c r="R64" s="216" t="s">
        <v>175</v>
      </c>
      <c r="S64" s="216" t="s">
        <v>175</v>
      </c>
      <c r="T64" s="137">
        <f>D64+G64+J64+M64+P64</f>
        <v>104.66430953732433</v>
      </c>
    </row>
    <row r="65" spans="1:20" x14ac:dyDescent="0.25">
      <c r="A65" s="35" t="s">
        <v>120</v>
      </c>
      <c r="B65" s="125">
        <f>'Newnans LU'!D36</f>
        <v>284.33566276190004</v>
      </c>
      <c r="C65" s="126">
        <f>'Newnans LU'!F36</f>
        <v>0.7848967148792263</v>
      </c>
      <c r="D65" s="125">
        <f>C65*G$26</f>
        <v>426.25446533176103</v>
      </c>
      <c r="E65" s="132" t="s">
        <v>175</v>
      </c>
      <c r="F65" s="132" t="s">
        <v>175</v>
      </c>
      <c r="G65" s="132" t="s">
        <v>175</v>
      </c>
      <c r="H65" s="132" t="s">
        <v>175</v>
      </c>
      <c r="I65" s="132" t="s">
        <v>175</v>
      </c>
      <c r="J65" s="132" t="s">
        <v>175</v>
      </c>
      <c r="K65" s="132" t="s">
        <v>175</v>
      </c>
      <c r="L65" s="132" t="s">
        <v>175</v>
      </c>
      <c r="M65" s="132" t="s">
        <v>175</v>
      </c>
      <c r="N65" s="132" t="s">
        <v>175</v>
      </c>
      <c r="O65" s="132" t="s">
        <v>175</v>
      </c>
      <c r="P65" s="132" t="s">
        <v>175</v>
      </c>
      <c r="Q65" s="216" t="s">
        <v>175</v>
      </c>
      <c r="R65" s="216" t="s">
        <v>175</v>
      </c>
      <c r="S65" s="216" t="s">
        <v>175</v>
      </c>
      <c r="T65" s="137">
        <f>D65</f>
        <v>426.25446533176103</v>
      </c>
    </row>
    <row r="66" spans="1:20" x14ac:dyDescent="0.25">
      <c r="A66" s="30" t="s">
        <v>67</v>
      </c>
      <c r="B66" s="132" t="s">
        <v>175</v>
      </c>
      <c r="C66" s="132" t="s">
        <v>175</v>
      </c>
      <c r="D66" s="132" t="s">
        <v>175</v>
      </c>
      <c r="E66" s="125">
        <f>'Newnans LU'!D39</f>
        <v>5.0860472021499996</v>
      </c>
      <c r="F66" s="126">
        <f>'Newnans LU'!F39</f>
        <v>1.607321131582292E-2</v>
      </c>
      <c r="G66" s="127">
        <f>F66*G$27</f>
        <v>0.84179111304438481</v>
      </c>
      <c r="H66" s="125">
        <f>'Newnans LU'!D40</f>
        <v>180.41245039899999</v>
      </c>
      <c r="I66" s="126">
        <f>'Newnans LU'!F40</f>
        <v>8.9605802189255068E-2</v>
      </c>
      <c r="J66" s="125">
        <f>I66*G$28</f>
        <v>156.50845335963172</v>
      </c>
      <c r="K66" s="125">
        <f>'Newnans LU'!D41</f>
        <v>23.9746862545</v>
      </c>
      <c r="L66" s="126">
        <f>'Newnans LU'!F41</f>
        <v>0.1429671489644411</v>
      </c>
      <c r="M66" s="125">
        <f>L66*G$29</f>
        <v>74.994418219753143</v>
      </c>
      <c r="N66" s="125">
        <f>'Newnans LU'!D42</f>
        <v>4.9444967284599999</v>
      </c>
      <c r="O66" s="126">
        <f>'Newnans LU'!F42</f>
        <v>1.4496021394555974E-2</v>
      </c>
      <c r="P66" s="125">
        <f>O66*G$30</f>
        <v>4.1054289567696207</v>
      </c>
      <c r="Q66" s="216" t="s">
        <v>175</v>
      </c>
      <c r="R66" s="216" t="s">
        <v>175</v>
      </c>
      <c r="S66" s="216" t="s">
        <v>175</v>
      </c>
      <c r="T66" s="137">
        <f>G66+J66+M66+P66</f>
        <v>236.4500916491989</v>
      </c>
    </row>
    <row r="67" spans="1:20" ht="13.8" thickBot="1" x14ac:dyDescent="0.3">
      <c r="A67" s="79" t="s">
        <v>68</v>
      </c>
      <c r="B67" s="128">
        <f>SUM(B63:B66)</f>
        <v>362.25869897479504</v>
      </c>
      <c r="C67" s="129">
        <f>SUM(C63:C65)</f>
        <v>0.99999999999943423</v>
      </c>
      <c r="D67" s="128">
        <f t="shared" ref="D67:P67" si="21">SUM(D63:D66)</f>
        <v>543.07077256286971</v>
      </c>
      <c r="E67" s="128">
        <f t="shared" si="21"/>
        <v>316.43005882443998</v>
      </c>
      <c r="F67" s="129">
        <f t="shared" si="21"/>
        <v>1.002528166077131</v>
      </c>
      <c r="G67" s="128">
        <f t="shared" si="21"/>
        <v>52.504710116617218</v>
      </c>
      <c r="H67" s="143">
        <f t="shared" si="21"/>
        <v>2013.3704132085199</v>
      </c>
      <c r="I67" s="129">
        <f t="shared" si="21"/>
        <v>0.99998459408243456</v>
      </c>
      <c r="J67" s="143">
        <f t="shared" si="21"/>
        <v>1746.6061167863538</v>
      </c>
      <c r="K67" s="128">
        <f t="shared" si="21"/>
        <v>167.69367248450001</v>
      </c>
      <c r="L67" s="129">
        <f t="shared" si="21"/>
        <v>0.99999999999940392</v>
      </c>
      <c r="M67" s="128">
        <f t="shared" si="21"/>
        <v>524.55699622548332</v>
      </c>
      <c r="N67" s="128">
        <f t="shared" si="21"/>
        <v>341.09336581936003</v>
      </c>
      <c r="O67" s="129">
        <f t="shared" si="21"/>
        <v>0.99999999999970679</v>
      </c>
      <c r="P67" s="128">
        <f t="shared" si="21"/>
        <v>283.21074072850251</v>
      </c>
      <c r="Q67" s="271">
        <v>0.03</v>
      </c>
      <c r="R67" s="272">
        <v>1</v>
      </c>
      <c r="S67" s="273">
        <f>S63</f>
        <v>59.210726124056457</v>
      </c>
      <c r="T67" s="274">
        <f>SUM(T63:T66)</f>
        <v>3209.368866518284</v>
      </c>
    </row>
    <row r="68" spans="1:20" x14ac:dyDescent="0.25">
      <c r="R68" s="2"/>
    </row>
    <row r="69" spans="1:20" ht="13.8" thickBot="1" x14ac:dyDescent="0.3">
      <c r="R69" s="2"/>
    </row>
    <row r="70" spans="1:20" ht="58.95" customHeight="1" x14ac:dyDescent="0.25">
      <c r="A70" s="74" t="s">
        <v>49</v>
      </c>
      <c r="B70" s="119" t="s">
        <v>69</v>
      </c>
      <c r="C70" s="120" t="s">
        <v>128</v>
      </c>
      <c r="D70" s="120" t="s">
        <v>82</v>
      </c>
      <c r="E70" s="120" t="s">
        <v>70</v>
      </c>
      <c r="F70" s="120" t="s">
        <v>71</v>
      </c>
      <c r="G70" s="120" t="s">
        <v>72</v>
      </c>
      <c r="H70" s="120" t="s">
        <v>76</v>
      </c>
      <c r="I70" s="120" t="s">
        <v>73</v>
      </c>
      <c r="J70" s="120" t="s">
        <v>74</v>
      </c>
      <c r="K70" s="120" t="s">
        <v>77</v>
      </c>
      <c r="L70" s="120" t="s">
        <v>78</v>
      </c>
      <c r="M70" s="120" t="s">
        <v>81</v>
      </c>
      <c r="N70" s="120" t="s">
        <v>79</v>
      </c>
      <c r="O70" s="120" t="s">
        <v>80</v>
      </c>
      <c r="P70" s="120" t="s">
        <v>84</v>
      </c>
      <c r="Q70" s="120" t="s">
        <v>201</v>
      </c>
      <c r="R70" s="120" t="s">
        <v>202</v>
      </c>
      <c r="S70" s="120" t="s">
        <v>212</v>
      </c>
      <c r="T70" s="121" t="s">
        <v>213</v>
      </c>
    </row>
    <row r="71" spans="1:20" x14ac:dyDescent="0.25">
      <c r="A71" s="30" t="s">
        <v>62</v>
      </c>
      <c r="B71" s="125">
        <f>'Newnans LU'!D9</f>
        <v>5.5591097306900004</v>
      </c>
      <c r="C71" s="126">
        <f>'Newnans LU'!F9</f>
        <v>4.5899249383670347E-3</v>
      </c>
      <c r="D71" s="125">
        <f>C71*G$40</f>
        <v>7.8553819220934935</v>
      </c>
      <c r="E71" s="130">
        <v>78.870812362799995</v>
      </c>
      <c r="F71" s="126">
        <v>9.6286604865179842E-2</v>
      </c>
      <c r="G71" s="127">
        <f>F71*G$41</f>
        <v>13.345625424120094</v>
      </c>
      <c r="H71" s="125">
        <f>[2]OCB_allocate_citys!$G$59+[2]OCB_allocate_citys!$G$81</f>
        <v>206.40780456909999</v>
      </c>
      <c r="I71" s="126">
        <v>0.39371530340537381</v>
      </c>
      <c r="J71" s="125">
        <f>I71*G$42</f>
        <v>31.06100264048305</v>
      </c>
      <c r="K71" s="125">
        <f>'Newnans LU'!D12</f>
        <v>23</v>
      </c>
      <c r="L71" s="126">
        <f>'Newnans LU'!F12</f>
        <v>4.2000000000000003E-2</v>
      </c>
      <c r="M71" s="125">
        <f>L71*G$43</f>
        <v>23.397410311782082</v>
      </c>
      <c r="N71" s="125">
        <f>'Newnans LU'!D13</f>
        <v>5.4897800805200001</v>
      </c>
      <c r="O71" s="126">
        <f>'Newnans LU'!F13</f>
        <v>1.9800000000000002E-2</v>
      </c>
      <c r="P71" s="125">
        <f>O71*G$44</f>
        <v>6.5025386220216603</v>
      </c>
      <c r="Q71" s="261" t="s">
        <v>175</v>
      </c>
      <c r="R71" s="157" t="s">
        <v>175</v>
      </c>
      <c r="S71" s="216" t="s">
        <v>175</v>
      </c>
      <c r="T71" s="137">
        <f>D71+G71+J71+M71+P71</f>
        <v>82.161958920500382</v>
      </c>
    </row>
    <row r="72" spans="1:20" x14ac:dyDescent="0.25">
      <c r="A72" s="30" t="s">
        <v>66</v>
      </c>
      <c r="B72" s="142">
        <f>'Newnans LU'!D25</f>
        <v>1085.9558808436</v>
      </c>
      <c r="C72" s="126">
        <f>'Newnans LU'!F25</f>
        <v>0.89662845687913872</v>
      </c>
      <c r="D72" s="142">
        <f>C72*G$40</f>
        <v>1534.5259597009444</v>
      </c>
      <c r="E72" s="125">
        <f>'Newnans LU'!D26</f>
        <v>740.25467734799997</v>
      </c>
      <c r="F72" s="126">
        <f>'Newnans LU'!F26</f>
        <v>0.94234113020932886</v>
      </c>
      <c r="G72" s="127">
        <f>F72*G$41</f>
        <v>130.61143617146683</v>
      </c>
      <c r="H72" s="125">
        <f>'Newnans LU'!D27</f>
        <v>317.84868935820003</v>
      </c>
      <c r="I72" s="126">
        <v>0.60628469659329121</v>
      </c>
      <c r="J72" s="125">
        <f>I72*G$42</f>
        <v>47.831035265548806</v>
      </c>
      <c r="K72" s="125">
        <f>'Newnans LU'!D28</f>
        <v>527.16177037800003</v>
      </c>
      <c r="L72" s="126">
        <f>'Newnans LU'!F28</f>
        <v>0.95813058419649066</v>
      </c>
      <c r="M72" s="125">
        <f>L72*G$43</f>
        <v>533.75653358839907</v>
      </c>
      <c r="N72" s="131">
        <v>271.89149024099999</v>
      </c>
      <c r="O72" s="126">
        <f>'Newnans LU'!F29</f>
        <v>0.98020854084838838</v>
      </c>
      <c r="P72" s="125">
        <f>O72*G$44</f>
        <v>321.91130780313847</v>
      </c>
      <c r="Q72" s="214">
        <v>1.7347513595999999</v>
      </c>
      <c r="R72" s="215">
        <v>1</v>
      </c>
      <c r="S72" s="156">
        <f>R72*G45</f>
        <v>2.5018616672136527</v>
      </c>
      <c r="T72" s="137">
        <f>D72+G72+J72+M72+P72+S72</f>
        <v>2571.1381341967112</v>
      </c>
    </row>
    <row r="73" spans="1:20" x14ac:dyDescent="0.25">
      <c r="A73" s="35" t="s">
        <v>120</v>
      </c>
      <c r="B73" s="125">
        <f>'Newnans LU'!D37</f>
        <v>119.5176719383</v>
      </c>
      <c r="C73" s="126">
        <f>'Newnans LU'!F37</f>
        <v>9.8680754577780805E-2</v>
      </c>
      <c r="D73" s="125">
        <f>C73*G$40</f>
        <v>168.88620750400102</v>
      </c>
      <c r="E73" s="132" t="s">
        <v>175</v>
      </c>
      <c r="F73" s="132" t="s">
        <v>175</v>
      </c>
      <c r="G73" s="132" t="s">
        <v>175</v>
      </c>
      <c r="H73" s="132" t="s">
        <v>175</v>
      </c>
      <c r="I73" s="132" t="s">
        <v>175</v>
      </c>
      <c r="J73" s="132" t="s">
        <v>175</v>
      </c>
      <c r="K73" s="132" t="s">
        <v>175</v>
      </c>
      <c r="L73" s="132" t="s">
        <v>175</v>
      </c>
      <c r="M73" s="132" t="s">
        <v>175</v>
      </c>
      <c r="N73" s="132" t="s">
        <v>175</v>
      </c>
      <c r="O73" s="132" t="s">
        <v>175</v>
      </c>
      <c r="P73" s="132" t="s">
        <v>175</v>
      </c>
      <c r="Q73" s="261" t="s">
        <v>175</v>
      </c>
      <c r="R73" s="259" t="s">
        <v>175</v>
      </c>
      <c r="S73" s="216" t="s">
        <v>175</v>
      </c>
      <c r="T73" s="137">
        <f>D73</f>
        <v>168.88620750400102</v>
      </c>
    </row>
    <row r="74" spans="1:20" x14ac:dyDescent="0.25">
      <c r="A74" s="30" t="s">
        <v>67</v>
      </c>
      <c r="B74" s="132" t="s">
        <v>175</v>
      </c>
      <c r="C74" s="132" t="s">
        <v>175</v>
      </c>
      <c r="D74" s="132" t="s">
        <v>175</v>
      </c>
      <c r="E74" s="132" t="s">
        <v>175</v>
      </c>
      <c r="F74" s="132" t="s">
        <v>175</v>
      </c>
      <c r="G74" s="132" t="s">
        <v>175</v>
      </c>
      <c r="H74" s="132" t="s">
        <v>175</v>
      </c>
      <c r="I74" s="132" t="s">
        <v>175</v>
      </c>
      <c r="J74" s="132" t="s">
        <v>175</v>
      </c>
      <c r="K74" s="132" t="s">
        <v>175</v>
      </c>
      <c r="L74" s="132" t="s">
        <v>175</v>
      </c>
      <c r="M74" s="132" t="s">
        <v>175</v>
      </c>
      <c r="N74" s="132" t="s">
        <v>175</v>
      </c>
      <c r="O74" s="132" t="s">
        <v>175</v>
      </c>
      <c r="P74" s="132" t="s">
        <v>175</v>
      </c>
      <c r="Q74" s="261" t="s">
        <v>175</v>
      </c>
      <c r="R74" s="157" t="s">
        <v>175</v>
      </c>
      <c r="S74" s="216" t="s">
        <v>175</v>
      </c>
      <c r="T74" s="275" t="s">
        <v>175</v>
      </c>
    </row>
    <row r="75" spans="1:20" ht="13.8" thickBot="1" x14ac:dyDescent="0.3">
      <c r="A75" s="79" t="s">
        <v>68</v>
      </c>
      <c r="B75" s="143">
        <v>1211.0999999999999</v>
      </c>
      <c r="C75" s="129">
        <f>SUM(C71:C73)</f>
        <v>0.9998991363952866</v>
      </c>
      <c r="D75" s="143">
        <f t="shared" ref="D75:P75" si="22">SUM(D71:D74)</f>
        <v>1711.267549127039</v>
      </c>
      <c r="E75" s="128">
        <f t="shared" si="22"/>
        <v>819.12548971079991</v>
      </c>
      <c r="F75" s="129">
        <f t="shared" si="22"/>
        <v>1.0386277350745088</v>
      </c>
      <c r="G75" s="128">
        <f t="shared" si="22"/>
        <v>143.95706159558694</v>
      </c>
      <c r="H75" s="128">
        <f t="shared" si="22"/>
        <v>524.25649392729997</v>
      </c>
      <c r="I75" s="129">
        <f t="shared" si="22"/>
        <v>0.99999999999866507</v>
      </c>
      <c r="J75" s="128">
        <f t="shared" si="22"/>
        <v>78.89203790603186</v>
      </c>
      <c r="K75" s="128">
        <f t="shared" si="22"/>
        <v>550.16177037800003</v>
      </c>
      <c r="L75" s="129">
        <f t="shared" si="22"/>
        <v>1.0001305841964907</v>
      </c>
      <c r="M75" s="128">
        <f t="shared" si="22"/>
        <v>557.15394390018116</v>
      </c>
      <c r="N75" s="128">
        <f t="shared" si="22"/>
        <v>277.38127032151999</v>
      </c>
      <c r="O75" s="129">
        <f t="shared" si="22"/>
        <v>1.0000085408483883</v>
      </c>
      <c r="P75" s="128">
        <f t="shared" si="22"/>
        <v>328.41384642516016</v>
      </c>
      <c r="Q75" s="276">
        <v>1.73</v>
      </c>
      <c r="R75" s="272">
        <v>1</v>
      </c>
      <c r="S75" s="271">
        <v>0</v>
      </c>
      <c r="T75" s="140">
        <f>SUM(T71:T74)</f>
        <v>2822.1863006212125</v>
      </c>
    </row>
    <row r="76" spans="1:20" x14ac:dyDescent="0.25">
      <c r="R76" s="2"/>
    </row>
    <row r="77" spans="1:20" ht="13.8" thickBot="1" x14ac:dyDescent="0.3">
      <c r="R77" s="2"/>
    </row>
    <row r="78" spans="1:20" ht="60" customHeight="1" x14ac:dyDescent="0.25">
      <c r="A78" s="74" t="s">
        <v>65</v>
      </c>
      <c r="B78" s="75" t="s">
        <v>69</v>
      </c>
      <c r="C78" s="76" t="s">
        <v>83</v>
      </c>
      <c r="D78" s="120" t="s">
        <v>82</v>
      </c>
      <c r="E78" s="120" t="s">
        <v>70</v>
      </c>
      <c r="F78" s="120" t="s">
        <v>71</v>
      </c>
      <c r="G78" s="120" t="s">
        <v>72</v>
      </c>
      <c r="H78" s="120" t="s">
        <v>76</v>
      </c>
      <c r="I78" s="120" t="s">
        <v>73</v>
      </c>
      <c r="J78" s="120" t="s">
        <v>74</v>
      </c>
      <c r="K78" s="120" t="s">
        <v>77</v>
      </c>
      <c r="L78" s="120" t="s">
        <v>78</v>
      </c>
      <c r="M78" s="120" t="s">
        <v>81</v>
      </c>
      <c r="N78" s="120" t="s">
        <v>79</v>
      </c>
      <c r="O78" s="120" t="s">
        <v>80</v>
      </c>
      <c r="P78" s="120" t="s">
        <v>84</v>
      </c>
      <c r="Q78" s="120" t="s">
        <v>201</v>
      </c>
      <c r="R78" s="120" t="s">
        <v>202</v>
      </c>
      <c r="S78" s="120" t="s">
        <v>212</v>
      </c>
      <c r="T78" s="121" t="s">
        <v>213</v>
      </c>
    </row>
    <row r="79" spans="1:20" x14ac:dyDescent="0.25">
      <c r="A79" s="30" t="s">
        <v>62</v>
      </c>
      <c r="B79" s="125">
        <v>5.3633325736269999</v>
      </c>
      <c r="C79" s="126">
        <v>2.6434696560045504E-2</v>
      </c>
      <c r="D79" s="125">
        <f>C79*G$16</f>
        <v>6.9001845348349224</v>
      </c>
      <c r="E79" s="125">
        <f>'Newnans LU'!D15</f>
        <v>99.526304305800011</v>
      </c>
      <c r="F79" s="126">
        <f>'Newnans LU'!F15</f>
        <v>0.28926511386799902</v>
      </c>
      <c r="G79" s="127">
        <f>F79*G$15</f>
        <v>48.246753336569277</v>
      </c>
      <c r="H79" s="142">
        <f>'Newnans LU'!D16</f>
        <v>1497.6090124509999</v>
      </c>
      <c r="I79" s="126">
        <f>'Newnans LU'!F16</f>
        <v>0.80447810508736717</v>
      </c>
      <c r="J79" s="125">
        <f>I79*G$13</f>
        <v>899.00284350973982</v>
      </c>
      <c r="K79" s="125">
        <f>'Newnans LU'!D17</f>
        <v>402.03383048349997</v>
      </c>
      <c r="L79" s="126">
        <f>'Newnans LU'!F17</f>
        <v>0.42504367394115811</v>
      </c>
      <c r="M79" s="125">
        <f>L79*G$14</f>
        <v>603.30253599400714</v>
      </c>
      <c r="N79" s="125">
        <f>'Newnans LU'!D18</f>
        <v>26.675057155499999</v>
      </c>
      <c r="O79" s="126">
        <f>'Newnans LU'!F18</f>
        <v>8.7611354731086888E-2</v>
      </c>
      <c r="P79" s="125">
        <f>O79*G$12</f>
        <v>25.353149011661412</v>
      </c>
      <c r="Q79" s="214">
        <v>3.33241738471E-2</v>
      </c>
      <c r="R79" s="215">
        <v>1</v>
      </c>
      <c r="S79" s="216">
        <f>R79*G17</f>
        <v>0</v>
      </c>
      <c r="T79" s="137">
        <f>D79+G79+J79+M79+P79+S79</f>
        <v>1582.8054663868127</v>
      </c>
    </row>
    <row r="80" spans="1:20" x14ac:dyDescent="0.25">
      <c r="A80" s="30" t="s">
        <v>66</v>
      </c>
      <c r="B80" s="125">
        <f>'Newnans LU'!D31</f>
        <v>28.495749959299999</v>
      </c>
      <c r="C80" s="126">
        <f>'Newnans LU'!F31</f>
        <v>0.14090009044949839</v>
      </c>
      <c r="D80" s="125">
        <f>C80*G$16</f>
        <v>36.77880783946464</v>
      </c>
      <c r="E80" s="125">
        <f>'Newnans LU'!D32</f>
        <v>244.53974284</v>
      </c>
      <c r="F80" s="126">
        <f>'Newnans LU'!F32</f>
        <v>0.71073488613141966</v>
      </c>
      <c r="G80" s="127">
        <f>F80*G$15</f>
        <v>118.54402447757728</v>
      </c>
      <c r="H80" s="125">
        <f>'Newnans LU'!D33</f>
        <v>363.98175425464382</v>
      </c>
      <c r="I80" s="126">
        <f>'Newnans LU'!F33</f>
        <v>0.19552189491029268</v>
      </c>
      <c r="J80" s="125">
        <f>I80*G$13</f>
        <v>218.49536784307676</v>
      </c>
      <c r="K80" s="125">
        <f>'Newnans LU'!D34</f>
        <v>543.8309244384975</v>
      </c>
      <c r="L80" s="126">
        <f>'Newnans LU'!F34</f>
        <v>0.57495632605883928</v>
      </c>
      <c r="M80" s="125">
        <f>L80*G$14</f>
        <v>816.08698320520148</v>
      </c>
      <c r="N80" s="125">
        <f>'Newnans LU'!D35</f>
        <v>277.79526221499998</v>
      </c>
      <c r="O80" s="126">
        <f>'Newnans LU'!F35</f>
        <v>0.91238864526727081</v>
      </c>
      <c r="P80" s="125">
        <f>O80*G$12</f>
        <v>264.02885049557585</v>
      </c>
      <c r="Q80" s="261" t="s">
        <v>175</v>
      </c>
      <c r="R80" s="261" t="s">
        <v>175</v>
      </c>
      <c r="S80" s="261" t="s">
        <v>175</v>
      </c>
      <c r="T80" s="137">
        <f>D80+G80+J80+M80+P80</f>
        <v>1453.9340338608961</v>
      </c>
    </row>
    <row r="81" spans="1:20" x14ac:dyDescent="0.25">
      <c r="A81" s="35" t="s">
        <v>120</v>
      </c>
      <c r="B81" s="125">
        <f>'Newnans LU'!D38</f>
        <v>169.0308035475</v>
      </c>
      <c r="C81" s="126">
        <f>'Newnans LU'!F38</f>
        <v>0.83578974207068712</v>
      </c>
      <c r="D81" s="125">
        <f>C81*G$16</f>
        <v>218.16416312969761</v>
      </c>
      <c r="E81" s="132" t="s">
        <v>175</v>
      </c>
      <c r="F81" s="132" t="s">
        <v>175</v>
      </c>
      <c r="G81" s="132" t="s">
        <v>175</v>
      </c>
      <c r="H81" s="132" t="s">
        <v>175</v>
      </c>
      <c r="I81" s="132" t="s">
        <v>175</v>
      </c>
      <c r="J81" s="132" t="s">
        <v>175</v>
      </c>
      <c r="K81" s="132" t="s">
        <v>175</v>
      </c>
      <c r="L81" s="132" t="s">
        <v>175</v>
      </c>
      <c r="M81" s="132" t="s">
        <v>175</v>
      </c>
      <c r="N81" s="132" t="s">
        <v>175</v>
      </c>
      <c r="O81" s="132" t="s">
        <v>175</v>
      </c>
      <c r="P81" s="132" t="s">
        <v>175</v>
      </c>
      <c r="Q81" s="261" t="s">
        <v>175</v>
      </c>
      <c r="R81" s="261" t="s">
        <v>175</v>
      </c>
      <c r="S81" s="261" t="s">
        <v>175</v>
      </c>
      <c r="T81" s="137">
        <f>D81</f>
        <v>218.16416312969761</v>
      </c>
    </row>
    <row r="82" spans="1:20" x14ac:dyDescent="0.25">
      <c r="A82" s="30" t="s">
        <v>67</v>
      </c>
      <c r="B82" s="132" t="s">
        <v>175</v>
      </c>
      <c r="C82" s="132" t="s">
        <v>175</v>
      </c>
      <c r="D82" s="132" t="s">
        <v>175</v>
      </c>
      <c r="E82" s="132" t="s">
        <v>175</v>
      </c>
      <c r="F82" s="132" t="s">
        <v>175</v>
      </c>
      <c r="G82" s="132" t="s">
        <v>175</v>
      </c>
      <c r="H82" s="132" t="s">
        <v>175</v>
      </c>
      <c r="I82" s="132" t="s">
        <v>175</v>
      </c>
      <c r="J82" s="132" t="s">
        <v>175</v>
      </c>
      <c r="K82" s="132" t="s">
        <v>175</v>
      </c>
      <c r="L82" s="132" t="s">
        <v>175</v>
      </c>
      <c r="M82" s="132" t="s">
        <v>175</v>
      </c>
      <c r="N82" s="132" t="s">
        <v>175</v>
      </c>
      <c r="O82" s="132" t="s">
        <v>175</v>
      </c>
      <c r="P82" s="132" t="s">
        <v>175</v>
      </c>
      <c r="Q82" s="261" t="s">
        <v>175</v>
      </c>
      <c r="R82" s="261" t="s">
        <v>175</v>
      </c>
      <c r="S82" s="261" t="s">
        <v>175</v>
      </c>
      <c r="T82" s="275" t="s">
        <v>175</v>
      </c>
    </row>
    <row r="83" spans="1:20" ht="13.8" thickBot="1" x14ac:dyDescent="0.3">
      <c r="A83" s="79" t="s">
        <v>68</v>
      </c>
      <c r="B83" s="128">
        <f>SUM(B79:B82)</f>
        <v>202.889886080427</v>
      </c>
      <c r="C83" s="129">
        <f>SUM(C79:C81)</f>
        <v>1.0031245290802311</v>
      </c>
      <c r="D83" s="128">
        <f t="shared" ref="D83:P83" si="23">SUM(D79:D82)</f>
        <v>261.8431555039972</v>
      </c>
      <c r="E83" s="128">
        <f t="shared" si="23"/>
        <v>344.06604714579998</v>
      </c>
      <c r="F83" s="129">
        <f t="shared" si="23"/>
        <v>0.99999999999941869</v>
      </c>
      <c r="G83" s="128">
        <f t="shared" si="23"/>
        <v>166.79077781414657</v>
      </c>
      <c r="H83" s="143">
        <f t="shared" si="23"/>
        <v>1861.5907667056438</v>
      </c>
      <c r="I83" s="129">
        <f t="shared" si="23"/>
        <v>0.99999999999765987</v>
      </c>
      <c r="J83" s="143">
        <f t="shared" si="23"/>
        <v>1117.4982113528165</v>
      </c>
      <c r="K83" s="128">
        <f t="shared" si="23"/>
        <v>945.86475492199747</v>
      </c>
      <c r="L83" s="129">
        <f t="shared" si="23"/>
        <v>0.99999999999999734</v>
      </c>
      <c r="M83" s="143">
        <f t="shared" si="23"/>
        <v>1419.3895191992087</v>
      </c>
      <c r="N83" s="128">
        <f t="shared" si="23"/>
        <v>304.47031937049996</v>
      </c>
      <c r="O83" s="129">
        <f t="shared" si="23"/>
        <v>0.99999999999835776</v>
      </c>
      <c r="P83" s="128">
        <f t="shared" si="23"/>
        <v>289.38199950723725</v>
      </c>
      <c r="Q83" s="271">
        <v>0.03</v>
      </c>
      <c r="R83" s="277">
        <v>1</v>
      </c>
      <c r="S83" s="271">
        <v>0</v>
      </c>
      <c r="T83" s="140">
        <f>SUM(T79:T82)</f>
        <v>3254.9036633774062</v>
      </c>
    </row>
    <row r="84" spans="1:20" s="118" customFormat="1" x14ac:dyDescent="0.25">
      <c r="A84" s="115"/>
      <c r="B84" s="321"/>
      <c r="C84" s="322"/>
      <c r="D84" s="321"/>
      <c r="E84" s="321"/>
      <c r="F84" s="322"/>
      <c r="G84" s="321"/>
      <c r="H84" s="328"/>
      <c r="I84" s="322"/>
      <c r="J84" s="328"/>
      <c r="K84" s="321"/>
      <c r="L84" s="322"/>
      <c r="M84" s="328"/>
      <c r="N84" s="321"/>
      <c r="O84" s="322"/>
      <c r="P84" s="321"/>
      <c r="Q84" s="323"/>
      <c r="R84" s="329"/>
      <c r="S84" s="323"/>
      <c r="T84" s="330"/>
    </row>
    <row r="85" spans="1:20" s="118" customFormat="1" ht="13.8" thickBot="1" x14ac:dyDescent="0.3">
      <c r="A85" s="115"/>
      <c r="B85" s="321"/>
      <c r="C85" s="322"/>
      <c r="D85" s="321"/>
      <c r="E85" s="321"/>
      <c r="F85" s="322"/>
      <c r="G85" s="321"/>
      <c r="H85" s="328"/>
      <c r="I85" s="322"/>
      <c r="J85" s="328"/>
      <c r="K85" s="321"/>
      <c r="L85" s="322"/>
      <c r="M85" s="328"/>
      <c r="N85" s="321"/>
      <c r="O85" s="322"/>
      <c r="P85" s="321"/>
      <c r="Q85" s="323"/>
      <c r="R85" s="329"/>
      <c r="S85" s="323"/>
      <c r="T85" s="330"/>
    </row>
    <row r="86" spans="1:20" s="118" customFormat="1" ht="52.8" x14ac:dyDescent="0.25">
      <c r="A86" s="373" t="s">
        <v>123</v>
      </c>
      <c r="B86" s="365" t="s">
        <v>251</v>
      </c>
      <c r="C86" s="365" t="s">
        <v>252</v>
      </c>
      <c r="D86" s="365" t="s">
        <v>260</v>
      </c>
      <c r="E86" s="365" t="s">
        <v>254</v>
      </c>
      <c r="F86" s="365" t="s">
        <v>255</v>
      </c>
      <c r="G86" s="365" t="s">
        <v>261</v>
      </c>
      <c r="H86" s="365" t="s">
        <v>257</v>
      </c>
      <c r="I86" s="365" t="s">
        <v>258</v>
      </c>
      <c r="J86" s="365" t="s">
        <v>262</v>
      </c>
      <c r="K86" s="321"/>
      <c r="L86" s="322"/>
      <c r="M86" s="328"/>
      <c r="N86" s="321"/>
      <c r="O86" s="322"/>
      <c r="P86" s="321"/>
      <c r="Q86" s="323"/>
      <c r="R86" s="329"/>
      <c r="S86" s="323"/>
      <c r="T86" s="330"/>
    </row>
    <row r="87" spans="1:20" s="118" customFormat="1" x14ac:dyDescent="0.25">
      <c r="A87" s="8" t="s">
        <v>62</v>
      </c>
      <c r="B87" s="332">
        <f>'OSTDS-buffer'!C44</f>
        <v>137</v>
      </c>
      <c r="C87" s="333">
        <f>'OSTDS-buffer'!D44</f>
        <v>0.93835616438356162</v>
      </c>
      <c r="D87" s="334">
        <f>C87*G34</f>
        <v>815.56920422625433</v>
      </c>
      <c r="E87" s="332">
        <f>'OSTDS-buffer'!C45</f>
        <v>7</v>
      </c>
      <c r="F87" s="333">
        <f>'OSTDS-buffer'!D45</f>
        <v>0.14000000000000001</v>
      </c>
      <c r="G87" s="334">
        <f>F87*G$48</f>
        <v>1.1208340269117165</v>
      </c>
      <c r="H87" s="335">
        <f>'OSTDS-buffer'!C47</f>
        <v>288</v>
      </c>
      <c r="I87" s="333">
        <f>'OSTDS-buffer'!D47</f>
        <v>0.92307692307692313</v>
      </c>
      <c r="J87" s="334">
        <f>I87*G$20</f>
        <v>630.0072579838934</v>
      </c>
      <c r="K87" s="321"/>
      <c r="L87" s="322"/>
      <c r="M87" s="328"/>
      <c r="N87" s="321"/>
      <c r="O87" s="322"/>
      <c r="P87" s="321"/>
      <c r="Q87" s="323"/>
      <c r="R87" s="329"/>
      <c r="S87" s="323"/>
      <c r="T87" s="330"/>
    </row>
    <row r="88" spans="1:20" s="118" customFormat="1" x14ac:dyDescent="0.25">
      <c r="A88" s="8" t="s">
        <v>66</v>
      </c>
      <c r="B88" s="332">
        <f>'OSTDS-buffer'!C49</f>
        <v>9</v>
      </c>
      <c r="C88" s="333">
        <f>'OSTDS-buffer'!D49</f>
        <v>6.1643835616438353E-2</v>
      </c>
      <c r="D88" s="334">
        <f>C88*G$34</f>
        <v>53.577538963768532</v>
      </c>
      <c r="E88" s="332">
        <f>'OSTDS-buffer'!C50</f>
        <v>43</v>
      </c>
      <c r="F88" s="333">
        <f>'OSTDS-buffer'!D50</f>
        <v>0.86</v>
      </c>
      <c r="G88" s="334">
        <f t="shared" ref="G88:G89" si="24">F88*G$48</f>
        <v>6.8851233081719725</v>
      </c>
      <c r="H88" s="335">
        <f>'OSTDS-buffer'!C51</f>
        <v>24</v>
      </c>
      <c r="I88" s="333">
        <f>'OSTDS-buffer'!D51</f>
        <v>7.6923076923076927E-2</v>
      </c>
      <c r="J88" s="334">
        <f>I88*G$20</f>
        <v>52.500604831991112</v>
      </c>
      <c r="K88" s="321"/>
      <c r="L88" s="322"/>
      <c r="M88" s="328"/>
      <c r="N88" s="321"/>
      <c r="O88" s="322"/>
      <c r="P88" s="321"/>
      <c r="Q88" s="323"/>
      <c r="R88" s="329"/>
      <c r="S88" s="323"/>
      <c r="T88" s="330"/>
    </row>
    <row r="89" spans="1:20" s="118" customFormat="1" x14ac:dyDescent="0.25">
      <c r="A89" s="8" t="s">
        <v>67</v>
      </c>
      <c r="B89" s="332">
        <v>0</v>
      </c>
      <c r="C89" s="333">
        <v>0</v>
      </c>
      <c r="D89" s="334">
        <f>C89*G$34</f>
        <v>0</v>
      </c>
      <c r="E89" s="332">
        <f>0</f>
        <v>0</v>
      </c>
      <c r="F89" s="333">
        <v>0</v>
      </c>
      <c r="G89" s="334">
        <f t="shared" si="24"/>
        <v>0</v>
      </c>
      <c r="H89" s="335">
        <v>0</v>
      </c>
      <c r="I89" s="333">
        <v>0</v>
      </c>
      <c r="J89" s="334">
        <v>0</v>
      </c>
      <c r="K89" s="321"/>
      <c r="L89" s="322"/>
      <c r="M89" s="328"/>
      <c r="N89" s="321"/>
      <c r="O89" s="322"/>
      <c r="P89" s="321"/>
      <c r="Q89" s="323"/>
      <c r="R89" s="329"/>
      <c r="S89" s="323"/>
      <c r="T89" s="330"/>
    </row>
    <row r="90" spans="1:20" s="118" customFormat="1" ht="13.8" thickBot="1" x14ac:dyDescent="0.3">
      <c r="A90" s="221" t="s">
        <v>68</v>
      </c>
      <c r="B90" s="276">
        <f t="shared" ref="B90:J90" si="25">SUM(B87:B89)</f>
        <v>146</v>
      </c>
      <c r="C90" s="129">
        <f t="shared" si="25"/>
        <v>1</v>
      </c>
      <c r="D90" s="128">
        <f t="shared" si="25"/>
        <v>869.1467431900229</v>
      </c>
      <c r="E90" s="276">
        <f t="shared" si="25"/>
        <v>50</v>
      </c>
      <c r="F90" s="129">
        <f t="shared" si="25"/>
        <v>1</v>
      </c>
      <c r="G90" s="128">
        <f t="shared" si="25"/>
        <v>8.0059573350836892</v>
      </c>
      <c r="H90" s="372">
        <f t="shared" si="25"/>
        <v>312</v>
      </c>
      <c r="I90" s="129">
        <f t="shared" si="25"/>
        <v>1</v>
      </c>
      <c r="J90" s="128">
        <f t="shared" si="25"/>
        <v>682.50786281588455</v>
      </c>
      <c r="K90" s="321"/>
      <c r="L90" s="322"/>
      <c r="M90" s="328"/>
      <c r="N90" s="321"/>
      <c r="O90" s="322"/>
      <c r="P90" s="321"/>
      <c r="Q90" s="323"/>
      <c r="R90" s="329"/>
      <c r="S90" s="323"/>
      <c r="T90" s="330"/>
    </row>
    <row r="91" spans="1:20" s="118" customFormat="1" x14ac:dyDescent="0.25">
      <c r="A91" s="115"/>
      <c r="B91" s="321"/>
      <c r="C91" s="322"/>
      <c r="D91" s="321"/>
      <c r="E91" s="321"/>
      <c r="F91" s="322"/>
      <c r="G91" s="321"/>
      <c r="H91" s="321"/>
      <c r="I91" s="322"/>
      <c r="J91" s="321"/>
      <c r="K91" s="321"/>
      <c r="L91" s="322"/>
      <c r="M91" s="328"/>
      <c r="N91" s="321"/>
      <c r="O91" s="322"/>
      <c r="P91" s="321"/>
      <c r="Q91" s="323"/>
      <c r="R91" s="329"/>
      <c r="S91" s="323"/>
      <c r="T91" s="330"/>
    </row>
    <row r="92" spans="1:20" s="118" customFormat="1" ht="13.8" thickBot="1" x14ac:dyDescent="0.3">
      <c r="A92" s="115"/>
      <c r="B92" s="116"/>
      <c r="C92" s="117"/>
      <c r="D92" s="117"/>
      <c r="E92" s="116"/>
      <c r="F92" s="116"/>
      <c r="G92" s="117"/>
      <c r="H92" s="116"/>
      <c r="I92" s="116"/>
      <c r="J92" s="117"/>
      <c r="K92" s="116"/>
      <c r="L92" s="116"/>
      <c r="M92" s="117"/>
      <c r="N92" s="116"/>
      <c r="O92" s="116"/>
      <c r="P92" s="117"/>
      <c r="Q92" s="116"/>
      <c r="R92" s="116"/>
    </row>
    <row r="93" spans="1:20" x14ac:dyDescent="0.25">
      <c r="A93" s="465" t="s">
        <v>158</v>
      </c>
      <c r="B93" s="466"/>
      <c r="C93" s="466"/>
      <c r="D93" s="466"/>
      <c r="E93" s="467"/>
      <c r="F93" s="269"/>
    </row>
    <row r="94" spans="1:20" ht="39.6" x14ac:dyDescent="0.25">
      <c r="A94" s="123" t="s">
        <v>123</v>
      </c>
      <c r="B94" s="139" t="s">
        <v>127</v>
      </c>
      <c r="C94" s="139" t="s">
        <v>126</v>
      </c>
      <c r="D94" s="139" t="s">
        <v>125</v>
      </c>
      <c r="E94" s="351" t="s">
        <v>265</v>
      </c>
      <c r="F94" s="185" t="s">
        <v>263</v>
      </c>
      <c r="G94" s="185" t="s">
        <v>264</v>
      </c>
    </row>
    <row r="95" spans="1:20" x14ac:dyDescent="0.25">
      <c r="A95" s="30" t="s">
        <v>62</v>
      </c>
      <c r="B95" s="136">
        <f>T79</f>
        <v>1582.8054663868127</v>
      </c>
      <c r="C95" s="136">
        <f>T63</f>
        <v>2442</v>
      </c>
      <c r="D95" s="136">
        <f>T71</f>
        <v>82.161958920500382</v>
      </c>
      <c r="E95" s="336">
        <f>SUM(B95:D95)</f>
        <v>4106.9674253073126</v>
      </c>
      <c r="F95" s="155">
        <f>D87+G87+J87</f>
        <v>1446.6972962370594</v>
      </c>
      <c r="G95" s="155">
        <f>E95+F95</f>
        <v>5553.6647215443718</v>
      </c>
    </row>
    <row r="96" spans="1:20" x14ac:dyDescent="0.25">
      <c r="A96" s="30" t="s">
        <v>66</v>
      </c>
      <c r="B96" s="136">
        <f>T80</f>
        <v>1453.9340338608961</v>
      </c>
      <c r="C96" s="136">
        <f>T64</f>
        <v>104.66430953732433</v>
      </c>
      <c r="D96" s="136">
        <f>T72</f>
        <v>2571.1381341967112</v>
      </c>
      <c r="E96" s="336">
        <f>SUM(B96:D96)</f>
        <v>4129.7364775949318</v>
      </c>
      <c r="F96" s="156">
        <f>D88+G88+J88</f>
        <v>112.96326710393161</v>
      </c>
      <c r="G96" s="155">
        <f>E96+F96</f>
        <v>4242.6997446988635</v>
      </c>
    </row>
    <row r="97" spans="1:22" x14ac:dyDescent="0.25">
      <c r="A97" s="30" t="s">
        <v>67</v>
      </c>
      <c r="B97" s="136" t="str">
        <f>T82</f>
        <v>nd</v>
      </c>
      <c r="C97" s="136">
        <f>T66</f>
        <v>236.4500916491989</v>
      </c>
      <c r="D97" s="136" t="str">
        <f>T74</f>
        <v>nd</v>
      </c>
      <c r="E97" s="336">
        <f>SUM(B97:D97)</f>
        <v>236.4500916491989</v>
      </c>
      <c r="F97" s="156">
        <f>D89+G89+J89</f>
        <v>0</v>
      </c>
      <c r="G97" s="155">
        <f>E97+F97</f>
        <v>236.4500916491989</v>
      </c>
    </row>
    <row r="98" spans="1:22" x14ac:dyDescent="0.25">
      <c r="A98" s="343" t="s">
        <v>266</v>
      </c>
      <c r="B98" s="342">
        <f>T81</f>
        <v>218.16416312969761</v>
      </c>
      <c r="C98" s="342">
        <f>T65</f>
        <v>426.25446533176103</v>
      </c>
      <c r="D98" s="342">
        <f>T73</f>
        <v>168.88620750400102</v>
      </c>
      <c r="E98" s="344">
        <f>SUM(B98:D98)</f>
        <v>813.30483596545969</v>
      </c>
      <c r="F98" s="261" t="s">
        <v>175</v>
      </c>
      <c r="G98" s="155">
        <f>E98</f>
        <v>813.30483596545969</v>
      </c>
    </row>
    <row r="99" spans="1:22" ht="13.8" thickBot="1" x14ac:dyDescent="0.3">
      <c r="A99" s="144" t="s">
        <v>211</v>
      </c>
      <c r="B99" s="138">
        <f>G18</f>
        <v>1236.4200359369872</v>
      </c>
      <c r="C99" s="138">
        <f>G32</f>
        <v>1629.5458992451593</v>
      </c>
      <c r="D99" s="138">
        <f>G46</f>
        <v>119.58898769281261</v>
      </c>
      <c r="E99" s="337">
        <f>SUM(B99:D99)</f>
        <v>2985.5549228749592</v>
      </c>
      <c r="F99" s="345" t="s">
        <v>175</v>
      </c>
      <c r="G99" s="346">
        <f>E99</f>
        <v>2985.5549228749592</v>
      </c>
    </row>
    <row r="101" spans="1:22" x14ac:dyDescent="0.25">
      <c r="A101" s="19" t="s">
        <v>176</v>
      </c>
    </row>
    <row r="103" spans="1:22" x14ac:dyDescent="0.25">
      <c r="A103" s="393" t="s">
        <v>301</v>
      </c>
    </row>
    <row r="104" spans="1:22" ht="98.25" customHeight="1" x14ac:dyDescent="0.25">
      <c r="A104" s="387" t="s">
        <v>302</v>
      </c>
      <c r="B104" s="387" t="s">
        <v>380</v>
      </c>
      <c r="C104" s="387" t="s">
        <v>381</v>
      </c>
      <c r="D104" s="387" t="s">
        <v>382</v>
      </c>
      <c r="E104" s="387" t="s">
        <v>383</v>
      </c>
      <c r="F104" s="387" t="s">
        <v>384</v>
      </c>
      <c r="G104" s="387" t="s">
        <v>385</v>
      </c>
      <c r="H104" s="387" t="s">
        <v>386</v>
      </c>
      <c r="I104" s="387" t="s">
        <v>387</v>
      </c>
      <c r="J104" s="387" t="s">
        <v>345</v>
      </c>
      <c r="K104" s="387" t="s">
        <v>346</v>
      </c>
      <c r="L104" s="387" t="s">
        <v>347</v>
      </c>
      <c r="M104" s="387" t="s">
        <v>348</v>
      </c>
      <c r="N104" s="387" t="s">
        <v>349</v>
      </c>
      <c r="O104" s="387" t="s">
        <v>350</v>
      </c>
      <c r="P104" s="387" t="s">
        <v>351</v>
      </c>
      <c r="Q104" s="387" t="s">
        <v>352</v>
      </c>
      <c r="R104" s="387" t="s">
        <v>353</v>
      </c>
      <c r="S104" s="387" t="s">
        <v>354</v>
      </c>
      <c r="T104" s="392" t="s">
        <v>321</v>
      </c>
      <c r="U104" s="392" t="s">
        <v>323</v>
      </c>
      <c r="V104" s="392" t="s">
        <v>324</v>
      </c>
    </row>
    <row r="105" spans="1:22" x14ac:dyDescent="0.25">
      <c r="A105" s="73" t="s">
        <v>62</v>
      </c>
      <c r="B105" s="424">
        <f>'Newnans Lake Educ Credit'!D30</f>
        <v>30.40114009168715</v>
      </c>
      <c r="C105" s="210">
        <f>'Newnans Lake Educ Credit'!G30</f>
        <v>1078.000660817072</v>
      </c>
      <c r="D105" s="210">
        <f>'Newnans Lake Educ Credit'!J30</f>
        <v>723.42433304785106</v>
      </c>
      <c r="E105" s="210">
        <f>'Newnans Lake Educ Credit'!M30</f>
        <v>57.853022773599804</v>
      </c>
      <c r="F105" s="210">
        <f>'Newnans Lake Educ Credit'!P30</f>
        <v>0</v>
      </c>
      <c r="G105" s="210">
        <f>'Newnans Lake Educ Credit'!S30</f>
        <v>7.2727415191653808</v>
      </c>
      <c r="H105" s="210">
        <f>'Newnans Lake Educ Credit'!D39</f>
        <v>279.60630718131915</v>
      </c>
      <c r="I105" s="210">
        <f>'Newnans Lake Educ Credit'!G39</f>
        <v>1898.1740365426165</v>
      </c>
      <c r="J105" s="210">
        <f>'Newnans Lake Educ Credit'!J39</f>
        <v>539.0736633009916</v>
      </c>
      <c r="K105" s="210">
        <f>'Newnans Lake Educ Credit'!M39</f>
        <v>11.72127464193518</v>
      </c>
      <c r="L105" s="210">
        <f>'Newnans Lake Educ Credit'!P39</f>
        <v>71</v>
      </c>
      <c r="M105" s="210">
        <f>'Newnans Lake Educ Credit'!S39</f>
        <v>128.19449308988035</v>
      </c>
      <c r="N105" s="210">
        <f>'Newnans Lake Educ Credit'!D48</f>
        <v>7.7972400000000013</v>
      </c>
      <c r="O105" s="210">
        <f>'Newnans Lake Educ Credit'!G48</f>
        <v>16.082813146197743</v>
      </c>
      <c r="P105" s="210">
        <f>'Newnans Lake Educ Credit'!J48</f>
        <v>28.056000000000001</v>
      </c>
      <c r="Q105" s="210">
        <f>'Newnans Lake Educ Credit'!M48</f>
        <v>9.5829041592095461</v>
      </c>
      <c r="R105" s="210" t="str">
        <f>'Newnans Lake Educ Credit'!P21</f>
        <v>na</v>
      </c>
      <c r="S105" s="210">
        <f>'Newnans Lake Educ Credit'!S48</f>
        <v>9.4194439585168279</v>
      </c>
      <c r="T105" s="424">
        <f>SUM(B105:S105)</f>
        <v>4895.660074270043</v>
      </c>
      <c r="U105" s="390">
        <v>0.06</v>
      </c>
      <c r="V105" s="210">
        <f>T105*U105</f>
        <v>293.73960445620258</v>
      </c>
    </row>
    <row r="106" spans="1:22" x14ac:dyDescent="0.25">
      <c r="A106" s="73" t="s">
        <v>120</v>
      </c>
      <c r="B106" s="424" t="s">
        <v>129</v>
      </c>
      <c r="C106" s="424" t="s">
        <v>129</v>
      </c>
      <c r="D106" s="424" t="s">
        <v>129</v>
      </c>
      <c r="E106" s="424" t="s">
        <v>129</v>
      </c>
      <c r="F106" s="210" t="s">
        <v>129</v>
      </c>
      <c r="G106" s="210">
        <f>'Newnans Lake Educ Credit'!S31</f>
        <v>261.60218926812507</v>
      </c>
      <c r="H106" s="210" t="s">
        <v>129</v>
      </c>
      <c r="I106" s="210" t="s">
        <v>129</v>
      </c>
      <c r="J106" s="210" t="s">
        <v>129</v>
      </c>
      <c r="K106" s="210" t="s">
        <v>129</v>
      </c>
      <c r="L106" s="210" t="s">
        <v>129</v>
      </c>
      <c r="M106" s="210">
        <f>'Newnans Lake Educ Credit'!S40</f>
        <v>511.1247407293522</v>
      </c>
      <c r="N106" s="210" t="str">
        <f>'Newnans Lake Educ Credit'!D22</f>
        <v>na</v>
      </c>
      <c r="O106" s="210" t="str">
        <f>'Newnans Lake Educ Credit'!G22</f>
        <v>na</v>
      </c>
      <c r="P106" s="210" t="str">
        <f>'Newnans Lake Educ Credit'!J22</f>
        <v>na</v>
      </c>
      <c r="Q106" s="210" t="str">
        <f>'Newnans Lake Educ Credit'!M22</f>
        <v>na</v>
      </c>
      <c r="R106" s="210" t="str">
        <f>'Newnans Lake Educ Credit'!P22</f>
        <v>na</v>
      </c>
      <c r="S106" s="210">
        <f>'Newnans Lake Educ Credit'!S49</f>
        <v>202.51264454452175</v>
      </c>
      <c r="T106" s="424">
        <f t="shared" ref="T106:T108" si="26">SUM(B106:S106)</f>
        <v>975.2395745419991</v>
      </c>
      <c r="U106" s="390">
        <v>0.02</v>
      </c>
      <c r="V106" s="210">
        <f t="shared" ref="V106:V108" si="27">T106*U106</f>
        <v>19.504791490839981</v>
      </c>
    </row>
    <row r="107" spans="1:22" x14ac:dyDescent="0.25">
      <c r="A107" s="73" t="s">
        <v>67</v>
      </c>
      <c r="B107" s="424" t="s">
        <v>129</v>
      </c>
      <c r="C107" s="424" t="s">
        <v>129</v>
      </c>
      <c r="D107" s="424" t="s">
        <v>129</v>
      </c>
      <c r="E107" s="424" t="s">
        <v>129</v>
      </c>
      <c r="F107" s="424" t="s">
        <v>129</v>
      </c>
      <c r="G107" s="210" t="s">
        <v>129</v>
      </c>
      <c r="H107" s="210">
        <f>'Newnans Lake Educ Credit'!D41</f>
        <v>4.9242000000000008</v>
      </c>
      <c r="I107" s="210">
        <f>'Newnans Lake Educ Credit'!G41</f>
        <v>187.67039210517584</v>
      </c>
      <c r="J107" s="210">
        <f>'Newnans Lake Educ Credit'!J41</f>
        <v>89.926336698633449</v>
      </c>
      <c r="K107" s="210">
        <f>'Newnans Lake Educ Credit'!M41</f>
        <v>1.0093976706336794</v>
      </c>
      <c r="L107" s="210" t="s">
        <v>129</v>
      </c>
      <c r="M107" s="210" t="str">
        <f>'Newnans Lake Educ Credit'!S41</f>
        <v>na</v>
      </c>
      <c r="N107" s="210" t="str">
        <f>'Newnans Lake Educ Credit'!D23</f>
        <v>na</v>
      </c>
      <c r="O107" s="210" t="str">
        <f>'Newnans Lake Educ Credit'!G23</f>
        <v>na</v>
      </c>
      <c r="P107" s="210" t="str">
        <f>'Newnans Lake Educ Credit'!J23</f>
        <v>na</v>
      </c>
      <c r="Q107" s="210" t="str">
        <f>'Newnans Lake Educ Credit'!M23</f>
        <v>na</v>
      </c>
      <c r="R107" s="210" t="str">
        <f>'Newnans Lake Educ Credit'!P23</f>
        <v>na</v>
      </c>
      <c r="S107" s="210" t="str">
        <f>'Newnans Lake Educ Credit'!S23</f>
        <v>na</v>
      </c>
      <c r="T107" s="424">
        <f t="shared" si="26"/>
        <v>283.53032647444297</v>
      </c>
      <c r="U107" s="390">
        <v>0</v>
      </c>
      <c r="V107" s="210">
        <f t="shared" si="27"/>
        <v>0</v>
      </c>
    </row>
    <row r="108" spans="1:22" x14ac:dyDescent="0.25">
      <c r="A108" s="73" t="s">
        <v>66</v>
      </c>
      <c r="B108" s="210">
        <f>'Newnans Lake Educ Credit'!D33</f>
        <v>316.59885990774296</v>
      </c>
      <c r="C108" s="210">
        <f>'Newnans Lake Educ Credit'!G33</f>
        <v>261.99933917979217</v>
      </c>
      <c r="D108" s="210">
        <f>'Newnans Lake Educ Credit'!J33</f>
        <v>978.5756669521445</v>
      </c>
      <c r="E108" s="210">
        <f>'Newnans Lake Educ Credit'!M33</f>
        <v>142.14697722628392</v>
      </c>
      <c r="F108" s="210" t="s">
        <v>129</v>
      </c>
      <c r="G108" s="210">
        <f>'Newnans Lake Educ Credit'!S33</f>
        <v>44.101728310692998</v>
      </c>
      <c r="H108" s="210">
        <f>'Newnans Lake Educ Credit'!D42</f>
        <v>55.070843952990082</v>
      </c>
      <c r="I108" s="210">
        <f>'Newnans Lake Educ Credit'!G42</f>
        <v>8.523305198458667</v>
      </c>
      <c r="J108" s="210" t="s">
        <v>129</v>
      </c>
      <c r="K108" s="210">
        <f>'Newnans Lake Educ Credit'!M42</f>
        <v>50.028797653878513</v>
      </c>
      <c r="L108" s="210" t="s">
        <v>129</v>
      </c>
      <c r="M108" s="210">
        <f>'Newnans Lake Educ Credit'!S42</f>
        <v>11.880766180399061</v>
      </c>
      <c r="N108" s="210">
        <f>'Newnans Lake Educ Credit'!D51</f>
        <v>386.00612338609534</v>
      </c>
      <c r="O108" s="210">
        <f>'Newnans Lake Educ Credit'!G51</f>
        <v>78.517186853802244</v>
      </c>
      <c r="P108" s="210">
        <f>'Newnans Lake Educ Credit'!J51</f>
        <v>640.03123024325578</v>
      </c>
      <c r="Q108" s="210">
        <f>'Newnans Lake Educ Credit'!M51</f>
        <v>156.61709584079045</v>
      </c>
      <c r="R108" s="210">
        <f>'Newnans Lake Educ Credit'!P51</f>
        <v>3</v>
      </c>
      <c r="S108" s="210">
        <f>'Newnans Lake Educ Credit'!S51</f>
        <v>1840.0609192073682</v>
      </c>
      <c r="T108" s="424">
        <f t="shared" si="26"/>
        <v>4973.1588400936953</v>
      </c>
      <c r="U108" s="390">
        <v>0.06</v>
      </c>
      <c r="V108" s="210">
        <f t="shared" si="27"/>
        <v>298.38953040562171</v>
      </c>
    </row>
    <row r="111" spans="1:22" ht="13.8" thickBot="1" x14ac:dyDescent="0.3">
      <c r="A111" s="449" t="s">
        <v>379</v>
      </c>
      <c r="B111" s="450"/>
      <c r="C111" s="450"/>
      <c r="D111" s="450"/>
      <c r="E111" s="450"/>
      <c r="F111" s="450"/>
      <c r="G111" s="450"/>
      <c r="H111" s="450"/>
      <c r="I111" s="450"/>
      <c r="J111" s="450"/>
      <c r="K111" s="450"/>
      <c r="L111" s="450"/>
    </row>
    <row r="112" spans="1:22" ht="79.2" x14ac:dyDescent="0.25">
      <c r="A112" s="404" t="s">
        <v>378</v>
      </c>
      <c r="B112" s="404" t="s">
        <v>396</v>
      </c>
      <c r="C112" s="404" t="s">
        <v>397</v>
      </c>
      <c r="D112" s="404" t="s">
        <v>398</v>
      </c>
      <c r="E112" s="404" t="s">
        <v>399</v>
      </c>
      <c r="F112" s="405" t="s">
        <v>400</v>
      </c>
      <c r="G112" s="404" t="s">
        <v>401</v>
      </c>
      <c r="H112" s="404" t="s">
        <v>402</v>
      </c>
      <c r="I112" s="404" t="s">
        <v>403</v>
      </c>
      <c r="J112" s="406" t="s">
        <v>404</v>
      </c>
      <c r="K112" s="407" t="s">
        <v>405</v>
      </c>
      <c r="L112" s="408" t="s">
        <v>406</v>
      </c>
    </row>
    <row r="113" spans="1:12" x14ac:dyDescent="0.25">
      <c r="A113" s="30" t="s">
        <v>62</v>
      </c>
      <c r="B113" s="335">
        <f>E95</f>
        <v>4106.9674253073126</v>
      </c>
      <c r="C113" s="155">
        <f>ROUND(B113*0.5,1)</f>
        <v>2053.5</v>
      </c>
      <c r="D113" s="421">
        <f>V105</f>
        <v>293.73960445620258</v>
      </c>
      <c r="E113" s="130">
        <v>67</v>
      </c>
      <c r="F113" s="433">
        <f>C113-D113-E113</f>
        <v>1692.7603955437974</v>
      </c>
      <c r="G113" s="155">
        <f t="shared" ref="G113:G115" si="28">C113</f>
        <v>2053.5</v>
      </c>
      <c r="H113" s="73"/>
      <c r="I113" s="125">
        <v>0</v>
      </c>
      <c r="J113" s="207">
        <f>F113+G113-I113-H113</f>
        <v>3746.2603955437971</v>
      </c>
      <c r="K113" s="430">
        <f>F95</f>
        <v>1446.6972962370594</v>
      </c>
      <c r="L113" s="429">
        <f>J113+K113</f>
        <v>5192.9576917808563</v>
      </c>
    </row>
    <row r="114" spans="1:12" x14ac:dyDescent="0.25">
      <c r="A114" s="30" t="s">
        <v>66</v>
      </c>
      <c r="B114" s="335">
        <f>E96</f>
        <v>4129.7364775949318</v>
      </c>
      <c r="C114" s="155">
        <f t="shared" ref="C114:C116" si="29">ROUND(B114*0.5,0)</f>
        <v>2065</v>
      </c>
      <c r="D114" s="421">
        <f>V108</f>
        <v>298.38953040562171</v>
      </c>
      <c r="E114" s="130">
        <v>360.1</v>
      </c>
      <c r="F114" s="433">
        <f t="shared" ref="F114:F117" si="30">C114-D114-E114</f>
        <v>1406.5104695943783</v>
      </c>
      <c r="G114" s="155">
        <f t="shared" si="28"/>
        <v>2065</v>
      </c>
      <c r="H114" s="73"/>
      <c r="I114" s="125">
        <v>0</v>
      </c>
      <c r="J114" s="207">
        <f t="shared" ref="J114:J116" si="31">F114+G114-I114</f>
        <v>3471.5104695943783</v>
      </c>
      <c r="K114" s="430">
        <f>F96</f>
        <v>112.96326710393161</v>
      </c>
      <c r="L114" s="429">
        <f t="shared" ref="L114" si="32">J114+K114</f>
        <v>3584.4737366983099</v>
      </c>
    </row>
    <row r="115" spans="1:12" x14ac:dyDescent="0.25">
      <c r="A115" s="35" t="s">
        <v>120</v>
      </c>
      <c r="B115" s="335">
        <f>E97</f>
        <v>236.4500916491989</v>
      </c>
      <c r="C115" s="155">
        <f t="shared" si="29"/>
        <v>118</v>
      </c>
      <c r="D115" s="421">
        <f>V106</f>
        <v>19.504791490839981</v>
      </c>
      <c r="E115" s="130">
        <v>3414</v>
      </c>
      <c r="F115" s="433">
        <f t="shared" si="30"/>
        <v>-3315.50479149084</v>
      </c>
      <c r="G115" s="155">
        <f t="shared" si="28"/>
        <v>118</v>
      </c>
      <c r="H115" s="73"/>
      <c r="I115" s="125">
        <v>0</v>
      </c>
      <c r="J115" s="207">
        <f t="shared" si="31"/>
        <v>-3197.50479149084</v>
      </c>
      <c r="K115" s="430">
        <v>0</v>
      </c>
      <c r="L115" s="429">
        <v>0</v>
      </c>
    </row>
    <row r="116" spans="1:12" x14ac:dyDescent="0.25">
      <c r="A116" s="30" t="s">
        <v>67</v>
      </c>
      <c r="B116" s="335">
        <f>E98</f>
        <v>813.30483596545969</v>
      </c>
      <c r="C116" s="155">
        <f t="shared" si="29"/>
        <v>407</v>
      </c>
      <c r="D116" s="421">
        <f>V107</f>
        <v>0</v>
      </c>
      <c r="E116" s="130">
        <f>'[1]Project Summary'!H40</f>
        <v>0</v>
      </c>
      <c r="F116" s="433">
        <f t="shared" si="30"/>
        <v>407</v>
      </c>
      <c r="G116" s="155">
        <v>406</v>
      </c>
      <c r="H116" s="73"/>
      <c r="I116" s="125">
        <v>0</v>
      </c>
      <c r="J116" s="207">
        <f t="shared" si="31"/>
        <v>813</v>
      </c>
      <c r="K116" s="430" t="str">
        <f>F98</f>
        <v>nd</v>
      </c>
      <c r="L116" s="429">
        <f>J116</f>
        <v>813</v>
      </c>
    </row>
    <row r="117" spans="1:12" ht="13.8" thickBot="1" x14ac:dyDescent="0.3">
      <c r="A117" s="412" t="s">
        <v>133</v>
      </c>
      <c r="B117" s="432">
        <f>SUM(B113:B116)</f>
        <v>9286.4588305169054</v>
      </c>
      <c r="C117" s="432">
        <f>SUM(C113:C116)</f>
        <v>4643.5</v>
      </c>
      <c r="D117" s="414">
        <f>SUM(D113:D116)</f>
        <v>611.63392635266428</v>
      </c>
      <c r="E117" s="414">
        <f>SUM(E113:E116)</f>
        <v>3841.1</v>
      </c>
      <c r="F117" s="434">
        <f t="shared" si="30"/>
        <v>190.76607364733582</v>
      </c>
      <c r="G117" s="432">
        <f>SUM(G113:G116)</f>
        <v>4642.5</v>
      </c>
      <c r="H117" s="412"/>
      <c r="I117" s="414">
        <f>SUM(I113:I116)</f>
        <v>0</v>
      </c>
      <c r="J117" s="431">
        <f>SUM(J113:J116)</f>
        <v>4833.2660736473354</v>
      </c>
      <c r="K117" s="432">
        <f>SUM(K113:K116)</f>
        <v>1559.6605633409911</v>
      </c>
      <c r="L117" s="431">
        <f>SUM(L113:L116)</f>
        <v>9590.4314284791653</v>
      </c>
    </row>
    <row r="118" spans="1:12" x14ac:dyDescent="0.25">
      <c r="A118" s="417" t="s">
        <v>372</v>
      </c>
      <c r="B118" s="418"/>
      <c r="C118" s="419"/>
      <c r="D118" s="419"/>
      <c r="E118" s="419"/>
      <c r="F118" s="420"/>
      <c r="G118" s="419"/>
      <c r="H118" s="417"/>
      <c r="I118" s="419"/>
      <c r="J118" s="419"/>
      <c r="K118" s="419"/>
      <c r="L118" s="419"/>
    </row>
  </sheetData>
  <mergeCells count="3">
    <mergeCell ref="B1:J2"/>
    <mergeCell ref="A93:E93"/>
    <mergeCell ref="A111:L111"/>
  </mergeCells>
  <printOptions gridLines="1"/>
  <pageMargins left="0.45" right="0.2" top="0.75" bottom="0.5" header="0.3" footer="0.3"/>
  <pageSetup paperSize="5" scale="88" pageOrder="overThenDown" orientation="landscape" r:id="rId1"/>
  <headerFooter>
    <oddHeader>&amp;L&amp;"Arial,Bold"&amp;14Draft Newnans Lake Total Nitrogen Loading Reduction Goals by Jurisdiction&amp;R&amp;"Arial,Bold"&amp;14 DRAFT</oddHeader>
    <oddFooter>&amp;LWater Quality Restoration Program &amp;RDRAFT FDEP August 23, 2016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E16" workbookViewId="0">
      <selection activeCell="C49" sqref="C49"/>
    </sheetView>
  </sheetViews>
  <sheetFormatPr defaultRowHeight="13.2" x14ac:dyDescent="0.25"/>
  <cols>
    <col min="1" max="1" width="29.5546875" customWidth="1"/>
    <col min="10" max="10" width="30.88671875" customWidth="1"/>
  </cols>
  <sheetData>
    <row r="1" spans="1:16" ht="13.8" thickBot="1" x14ac:dyDescent="0.3">
      <c r="A1" s="19" t="s">
        <v>269</v>
      </c>
    </row>
    <row r="2" spans="1:16" x14ac:dyDescent="0.25">
      <c r="A2" s="363"/>
      <c r="B2" s="471" t="s">
        <v>183</v>
      </c>
      <c r="C2" s="471"/>
      <c r="D2" s="471"/>
      <c r="E2" s="471"/>
      <c r="F2" s="471"/>
      <c r="G2" s="472"/>
      <c r="J2" s="43"/>
      <c r="K2" s="473" t="s">
        <v>184</v>
      </c>
      <c r="L2" s="473"/>
      <c r="M2" s="473"/>
      <c r="N2" s="473"/>
      <c r="O2" s="473"/>
      <c r="P2" s="474"/>
    </row>
    <row r="3" spans="1:16" x14ac:dyDescent="0.25">
      <c r="A3" s="30"/>
      <c r="B3" s="456" t="s">
        <v>45</v>
      </c>
      <c r="C3" s="469"/>
      <c r="D3" s="469"/>
      <c r="E3" s="469"/>
      <c r="F3" s="469"/>
      <c r="G3" s="470"/>
      <c r="J3" s="30"/>
      <c r="K3" s="456" t="s">
        <v>44</v>
      </c>
      <c r="L3" s="475"/>
      <c r="M3" s="475"/>
      <c r="N3" s="475"/>
      <c r="O3" s="475"/>
      <c r="P3" s="476"/>
    </row>
    <row r="4" spans="1:16" x14ac:dyDescent="0.25">
      <c r="A4" s="91" t="s">
        <v>276</v>
      </c>
      <c r="B4" s="352">
        <v>1996</v>
      </c>
      <c r="C4" s="352">
        <v>1997</v>
      </c>
      <c r="D4" s="352">
        <v>1998</v>
      </c>
      <c r="E4" s="352">
        <v>1999</v>
      </c>
      <c r="F4" s="352">
        <v>2000</v>
      </c>
      <c r="G4" s="357" t="s">
        <v>46</v>
      </c>
      <c r="J4" s="91" t="s">
        <v>75</v>
      </c>
      <c r="K4" s="352">
        <v>1996</v>
      </c>
      <c r="L4" s="352">
        <v>1997</v>
      </c>
      <c r="M4" s="352">
        <v>1998</v>
      </c>
      <c r="N4" s="352">
        <v>1999</v>
      </c>
      <c r="O4" s="352">
        <v>2000</v>
      </c>
      <c r="P4" s="357" t="s">
        <v>46</v>
      </c>
    </row>
    <row r="5" spans="1:16" x14ac:dyDescent="0.25">
      <c r="A5" s="35" t="s">
        <v>42</v>
      </c>
      <c r="B5" s="73">
        <v>1053</v>
      </c>
      <c r="C5" s="73">
        <v>1224</v>
      </c>
      <c r="D5" s="73">
        <v>621</v>
      </c>
      <c r="E5" s="73">
        <v>273</v>
      </c>
      <c r="F5" s="73">
        <v>85</v>
      </c>
      <c r="G5" s="358">
        <f>AVERAGE(B5:F5)</f>
        <v>651.20000000000005</v>
      </c>
      <c r="J5" s="35" t="s">
        <v>42</v>
      </c>
      <c r="K5" s="73">
        <v>115</v>
      </c>
      <c r="L5" s="73">
        <v>134</v>
      </c>
      <c r="M5" s="73">
        <v>68</v>
      </c>
      <c r="N5" s="73">
        <v>30</v>
      </c>
      <c r="O5" s="73">
        <v>9</v>
      </c>
      <c r="P5" s="358">
        <f>AVERAGE(K5:O5)</f>
        <v>71.2</v>
      </c>
    </row>
    <row r="6" spans="1:16" x14ac:dyDescent="0.25">
      <c r="A6" s="35" t="s">
        <v>36</v>
      </c>
      <c r="B6" s="73">
        <v>102</v>
      </c>
      <c r="C6" s="73">
        <v>118</v>
      </c>
      <c r="D6" s="73">
        <v>60</v>
      </c>
      <c r="E6" s="73">
        <v>26</v>
      </c>
      <c r="F6" s="73">
        <v>8</v>
      </c>
      <c r="G6" s="358">
        <f t="shared" ref="G6:G9" si="0">AVERAGE(B6:F6)</f>
        <v>62.8</v>
      </c>
      <c r="J6" s="35" t="s">
        <v>36</v>
      </c>
      <c r="K6" s="73">
        <v>16</v>
      </c>
      <c r="L6" s="73">
        <v>18</v>
      </c>
      <c r="M6" s="73">
        <v>9</v>
      </c>
      <c r="N6" s="73">
        <v>4</v>
      </c>
      <c r="O6" s="73">
        <v>1</v>
      </c>
      <c r="P6" s="358">
        <f t="shared" ref="P6:P9" si="1">AVERAGE(K6:O6)</f>
        <v>9.6</v>
      </c>
    </row>
    <row r="7" spans="1:16" x14ac:dyDescent="0.25">
      <c r="A7" s="35" t="s">
        <v>34</v>
      </c>
      <c r="B7" s="73">
        <v>3387</v>
      </c>
      <c r="C7" s="73">
        <v>3935</v>
      </c>
      <c r="D7" s="73">
        <v>1999</v>
      </c>
      <c r="E7" s="73">
        <v>879</v>
      </c>
      <c r="F7" s="73">
        <v>272</v>
      </c>
      <c r="G7" s="358">
        <f t="shared" si="0"/>
        <v>2094.4</v>
      </c>
      <c r="J7" s="35" t="s">
        <v>34</v>
      </c>
      <c r="K7" s="73">
        <v>369</v>
      </c>
      <c r="L7" s="73">
        <v>429</v>
      </c>
      <c r="M7" s="73">
        <v>218</v>
      </c>
      <c r="N7" s="73">
        <v>96</v>
      </c>
      <c r="O7" s="73">
        <v>30</v>
      </c>
      <c r="P7" s="358">
        <f t="shared" si="1"/>
        <v>228.4</v>
      </c>
    </row>
    <row r="8" spans="1:16" x14ac:dyDescent="0.25">
      <c r="A8" s="35" t="s">
        <v>35</v>
      </c>
      <c r="B8" s="167">
        <v>1017</v>
      </c>
      <c r="C8" s="73">
        <v>1182</v>
      </c>
      <c r="D8" s="73">
        <v>600</v>
      </c>
      <c r="E8" s="73">
        <v>264</v>
      </c>
      <c r="F8" s="73">
        <v>82</v>
      </c>
      <c r="G8" s="358">
        <f t="shared" si="0"/>
        <v>629</v>
      </c>
      <c r="J8" s="35" t="s">
        <v>35</v>
      </c>
      <c r="K8" s="167">
        <v>123</v>
      </c>
      <c r="L8" s="73">
        <v>143</v>
      </c>
      <c r="M8" s="73">
        <v>72</v>
      </c>
      <c r="N8" s="73">
        <v>32</v>
      </c>
      <c r="O8" s="73">
        <v>10</v>
      </c>
      <c r="P8" s="358">
        <f t="shared" si="1"/>
        <v>76</v>
      </c>
    </row>
    <row r="9" spans="1:16" x14ac:dyDescent="0.25">
      <c r="A9" s="35" t="s">
        <v>43</v>
      </c>
      <c r="B9" s="73">
        <v>549</v>
      </c>
      <c r="C9" s="73">
        <v>638</v>
      </c>
      <c r="D9" s="73">
        <v>324</v>
      </c>
      <c r="E9" s="73">
        <v>143</v>
      </c>
      <c r="F9" s="73">
        <v>44</v>
      </c>
      <c r="G9" s="358">
        <f t="shared" si="0"/>
        <v>339.6</v>
      </c>
      <c r="J9" s="35" t="s">
        <v>43</v>
      </c>
      <c r="K9" s="167">
        <v>53</v>
      </c>
      <c r="L9" s="73">
        <v>61</v>
      </c>
      <c r="M9" s="73">
        <v>31</v>
      </c>
      <c r="N9" s="73">
        <v>14</v>
      </c>
      <c r="O9" s="73">
        <v>4</v>
      </c>
      <c r="P9" s="358">
        <f t="shared" si="1"/>
        <v>32.6</v>
      </c>
    </row>
    <row r="10" spans="1:16" x14ac:dyDescent="0.25">
      <c r="A10" s="35" t="s">
        <v>47</v>
      </c>
      <c r="B10" s="73"/>
      <c r="C10" s="73"/>
      <c r="D10" s="73"/>
      <c r="E10" s="73"/>
      <c r="F10" s="73"/>
      <c r="G10" s="358">
        <f>SUM(G5:G9)</f>
        <v>3777</v>
      </c>
      <c r="H10" s="2"/>
      <c r="J10" s="35" t="s">
        <v>47</v>
      </c>
      <c r="K10" s="73"/>
      <c r="L10" s="73"/>
      <c r="M10" s="73"/>
      <c r="N10" s="73"/>
      <c r="O10" s="73"/>
      <c r="P10" s="358">
        <f>SUM(P5:P9)</f>
        <v>417.8</v>
      </c>
    </row>
    <row r="11" spans="1:16" x14ac:dyDescent="0.25">
      <c r="A11" s="35" t="s">
        <v>48</v>
      </c>
      <c r="B11" s="73"/>
      <c r="C11" s="73"/>
      <c r="D11" s="73"/>
      <c r="E11" s="73"/>
      <c r="F11" s="73"/>
      <c r="G11" s="358">
        <f>'Newnans Lake TN'!B52-'Newnans Lake Tribs'!G10</f>
        <v>20388.600000000002</v>
      </c>
      <c r="J11" s="35" t="s">
        <v>48</v>
      </c>
      <c r="K11" s="73"/>
      <c r="L11" s="73"/>
      <c r="M11" s="73"/>
      <c r="N11" s="73"/>
      <c r="O11" s="73"/>
      <c r="P11" s="358">
        <f>SUM(P12:P17)</f>
        <v>3964.9999999999995</v>
      </c>
    </row>
    <row r="12" spans="1:16" x14ac:dyDescent="0.25">
      <c r="A12" s="35" t="s">
        <v>27</v>
      </c>
      <c r="B12" s="73">
        <v>3160</v>
      </c>
      <c r="C12" s="73">
        <v>3672</v>
      </c>
      <c r="D12" s="73">
        <v>1864</v>
      </c>
      <c r="E12" s="73">
        <v>820</v>
      </c>
      <c r="F12" s="73">
        <v>254</v>
      </c>
      <c r="G12" s="358">
        <f t="shared" ref="G12:G17" si="2">AVERAGE(B12:F12)</f>
        <v>1954</v>
      </c>
      <c r="J12" s="35" t="s">
        <v>27</v>
      </c>
      <c r="K12" s="73">
        <v>458</v>
      </c>
      <c r="L12" s="73">
        <v>532</v>
      </c>
      <c r="M12" s="73">
        <v>270</v>
      </c>
      <c r="N12" s="73">
        <v>119</v>
      </c>
      <c r="O12" s="73">
        <v>37</v>
      </c>
      <c r="P12" s="358">
        <f t="shared" ref="P12:P17" si="3">AVERAGE(K12:O12)</f>
        <v>283.2</v>
      </c>
    </row>
    <row r="13" spans="1:16" x14ac:dyDescent="0.25">
      <c r="A13" s="35" t="s">
        <v>33</v>
      </c>
      <c r="B13" s="73">
        <v>1099</v>
      </c>
      <c r="C13" s="73">
        <v>1277</v>
      </c>
      <c r="D13" s="73">
        <v>649</v>
      </c>
      <c r="E13" s="73">
        <v>285</v>
      </c>
      <c r="F13" s="73">
        <v>88</v>
      </c>
      <c r="G13" s="358">
        <f t="shared" si="2"/>
        <v>679.6</v>
      </c>
      <c r="J13" s="35" t="s">
        <v>33</v>
      </c>
      <c r="K13" s="73">
        <v>159</v>
      </c>
      <c r="L13" s="73">
        <v>185</v>
      </c>
      <c r="M13" s="73">
        <v>94</v>
      </c>
      <c r="N13" s="73">
        <v>41</v>
      </c>
      <c r="O13" s="73">
        <v>13</v>
      </c>
      <c r="P13" s="358">
        <f t="shared" si="3"/>
        <v>98.4</v>
      </c>
    </row>
    <row r="14" spans="1:16" x14ac:dyDescent="0.25">
      <c r="A14" s="35" t="s">
        <v>101</v>
      </c>
      <c r="B14" s="73">
        <v>20955</v>
      </c>
      <c r="C14" s="73">
        <v>24350</v>
      </c>
      <c r="D14" s="73">
        <v>12366</v>
      </c>
      <c r="E14" s="73">
        <v>5441</v>
      </c>
      <c r="F14" s="73">
        <v>1684</v>
      </c>
      <c r="G14" s="358">
        <f t="shared" si="2"/>
        <v>12959.2</v>
      </c>
      <c r="J14" s="35" t="s">
        <v>101</v>
      </c>
      <c r="K14" s="73">
        <v>2095</v>
      </c>
      <c r="L14" s="73">
        <v>2435</v>
      </c>
      <c r="M14" s="73">
        <v>1236</v>
      </c>
      <c r="N14" s="73">
        <v>544</v>
      </c>
      <c r="O14" s="73">
        <v>168</v>
      </c>
      <c r="P14" s="358">
        <f t="shared" si="3"/>
        <v>1295.5999999999999</v>
      </c>
    </row>
    <row r="15" spans="1:16" x14ac:dyDescent="0.25">
      <c r="A15" s="35" t="s">
        <v>87</v>
      </c>
      <c r="B15" s="73">
        <v>5817</v>
      </c>
      <c r="C15" s="73">
        <f>7148</f>
        <v>7148</v>
      </c>
      <c r="D15" s="73">
        <v>3523</v>
      </c>
      <c r="E15" s="73">
        <v>1495</v>
      </c>
      <c r="F15" s="73">
        <v>430</v>
      </c>
      <c r="G15" s="358">
        <f t="shared" si="2"/>
        <v>3682.6</v>
      </c>
      <c r="J15" s="35" t="s">
        <v>87</v>
      </c>
      <c r="K15" s="73">
        <v>1587</v>
      </c>
      <c r="L15" s="73">
        <v>1950</v>
      </c>
      <c r="M15" s="73">
        <v>961</v>
      </c>
      <c r="N15" s="73">
        <v>408</v>
      </c>
      <c r="O15" s="73">
        <v>117</v>
      </c>
      <c r="P15" s="358">
        <f t="shared" si="3"/>
        <v>1004.6</v>
      </c>
    </row>
    <row r="16" spans="1:16" x14ac:dyDescent="0.25">
      <c r="A16" s="35" t="s">
        <v>32</v>
      </c>
      <c r="B16" s="292">
        <v>30716</v>
      </c>
      <c r="C16" s="73">
        <v>35693</v>
      </c>
      <c r="D16" s="73">
        <v>18126</v>
      </c>
      <c r="E16" s="73">
        <v>7975</v>
      </c>
      <c r="F16" s="73">
        <v>2468</v>
      </c>
      <c r="G16" s="358">
        <f t="shared" si="2"/>
        <v>18995.599999999999</v>
      </c>
      <c r="J16" s="35" t="s">
        <v>32</v>
      </c>
      <c r="K16" s="73">
        <v>1845</v>
      </c>
      <c r="L16" s="73">
        <v>2144</v>
      </c>
      <c r="M16" s="73">
        <v>1089</v>
      </c>
      <c r="N16" s="73">
        <v>479</v>
      </c>
      <c r="O16" s="73">
        <v>148</v>
      </c>
      <c r="P16" s="358">
        <f t="shared" si="3"/>
        <v>1141</v>
      </c>
    </row>
    <row r="17" spans="1:16" x14ac:dyDescent="0.25">
      <c r="A17" s="35" t="s">
        <v>88</v>
      </c>
      <c r="B17" s="73">
        <v>1685</v>
      </c>
      <c r="C17" s="73">
        <v>1958</v>
      </c>
      <c r="D17" s="73">
        <v>995</v>
      </c>
      <c r="E17" s="73">
        <v>437</v>
      </c>
      <c r="F17" s="73">
        <v>136</v>
      </c>
      <c r="G17" s="358">
        <f t="shared" si="2"/>
        <v>1042.2</v>
      </c>
      <c r="J17" s="35" t="s">
        <v>88</v>
      </c>
      <c r="K17" s="73">
        <v>230</v>
      </c>
      <c r="L17" s="73">
        <v>267</v>
      </c>
      <c r="M17" s="73">
        <v>136</v>
      </c>
      <c r="N17" s="73">
        <v>60</v>
      </c>
      <c r="O17" s="73">
        <v>18</v>
      </c>
      <c r="P17" s="358">
        <f t="shared" si="3"/>
        <v>142.19999999999999</v>
      </c>
    </row>
    <row r="18" spans="1:16" x14ac:dyDescent="0.25">
      <c r="A18" s="359" t="s">
        <v>124</v>
      </c>
      <c r="B18" s="354"/>
      <c r="C18" s="354"/>
      <c r="D18" s="354"/>
      <c r="E18" s="354"/>
      <c r="F18" s="354"/>
      <c r="G18" s="358">
        <f>SUM(G12:G17)+SUM(G5:G9)</f>
        <v>43090.2</v>
      </c>
      <c r="J18" s="359" t="s">
        <v>133</v>
      </c>
      <c r="K18" s="354"/>
      <c r="L18" s="354"/>
      <c r="M18" s="354"/>
      <c r="N18" s="354"/>
      <c r="O18" s="354"/>
      <c r="P18" s="358">
        <f>SUM(P5:P9)+SUM(P12:P17)</f>
        <v>4382.7999999999993</v>
      </c>
    </row>
    <row r="19" spans="1:16" x14ac:dyDescent="0.25">
      <c r="A19" s="30"/>
      <c r="B19" s="456" t="s">
        <v>45</v>
      </c>
      <c r="C19" s="469"/>
      <c r="D19" s="469"/>
      <c r="E19" s="469"/>
      <c r="F19" s="469"/>
      <c r="G19" s="470"/>
      <c r="J19" s="30"/>
      <c r="K19" s="456" t="s">
        <v>44</v>
      </c>
      <c r="L19" s="469"/>
      <c r="M19" s="469"/>
      <c r="N19" s="469"/>
      <c r="O19" s="469"/>
      <c r="P19" s="470"/>
    </row>
    <row r="20" spans="1:16" x14ac:dyDescent="0.25">
      <c r="A20" s="91" t="s">
        <v>49</v>
      </c>
      <c r="B20" s="352">
        <v>1996</v>
      </c>
      <c r="C20" s="352">
        <v>1997</v>
      </c>
      <c r="D20" s="352">
        <v>1998</v>
      </c>
      <c r="E20" s="352">
        <v>1999</v>
      </c>
      <c r="F20" s="352">
        <v>2000</v>
      </c>
      <c r="G20" s="360" t="s">
        <v>46</v>
      </c>
      <c r="J20" s="91" t="s">
        <v>49</v>
      </c>
      <c r="K20" s="352">
        <v>1996</v>
      </c>
      <c r="L20" s="352">
        <v>1997</v>
      </c>
      <c r="M20" s="352">
        <v>1998</v>
      </c>
      <c r="N20" s="352">
        <v>1999</v>
      </c>
      <c r="O20" s="352">
        <v>2000</v>
      </c>
      <c r="P20" s="360" t="s">
        <v>46</v>
      </c>
    </row>
    <row r="21" spans="1:16" x14ac:dyDescent="0.25">
      <c r="A21" s="35" t="s">
        <v>42</v>
      </c>
      <c r="B21" s="73">
        <v>3318</v>
      </c>
      <c r="C21" s="73">
        <v>3856</v>
      </c>
      <c r="D21" s="73">
        <v>1958</v>
      </c>
      <c r="E21" s="73">
        <v>862</v>
      </c>
      <c r="F21" s="73">
        <v>267</v>
      </c>
      <c r="G21" s="358">
        <f>AVERAGE(B21:F21)</f>
        <v>2052.1999999999998</v>
      </c>
      <c r="J21" s="35" t="s">
        <v>42</v>
      </c>
      <c r="K21" s="73">
        <v>39</v>
      </c>
      <c r="L21" s="73">
        <v>495</v>
      </c>
      <c r="M21" s="73">
        <v>251</v>
      </c>
      <c r="N21" s="73">
        <v>111</v>
      </c>
      <c r="O21" s="73">
        <v>34</v>
      </c>
      <c r="P21" s="358">
        <f t="shared" ref="P21:P25" si="4">AVERAGE(K21:O21)</f>
        <v>186</v>
      </c>
    </row>
    <row r="22" spans="1:16" x14ac:dyDescent="0.25">
      <c r="A22" s="35" t="s">
        <v>36</v>
      </c>
      <c r="B22" s="73">
        <v>269</v>
      </c>
      <c r="C22" s="73">
        <v>312</v>
      </c>
      <c r="D22" s="73">
        <v>158</v>
      </c>
      <c r="E22" s="73">
        <v>70</v>
      </c>
      <c r="F22" s="73">
        <v>22</v>
      </c>
      <c r="G22" s="358">
        <f t="shared" ref="G22:G25" si="5">AVERAGE(B22:F22)</f>
        <v>166.2</v>
      </c>
      <c r="J22" s="35" t="s">
        <v>36</v>
      </c>
      <c r="K22" s="73">
        <v>48</v>
      </c>
      <c r="L22" s="73">
        <v>55</v>
      </c>
      <c r="M22" s="73">
        <v>28</v>
      </c>
      <c r="N22" s="73">
        <v>12</v>
      </c>
      <c r="O22" s="73">
        <v>4</v>
      </c>
      <c r="P22" s="358">
        <f t="shared" si="4"/>
        <v>29.4</v>
      </c>
    </row>
    <row r="23" spans="1:16" x14ac:dyDescent="0.25">
      <c r="A23" s="35" t="s">
        <v>34</v>
      </c>
      <c r="B23" s="73">
        <v>153</v>
      </c>
      <c r="C23" s="73">
        <v>178</v>
      </c>
      <c r="D23" s="73">
        <v>90</v>
      </c>
      <c r="E23" s="73">
        <v>40</v>
      </c>
      <c r="F23" s="73">
        <v>12</v>
      </c>
      <c r="G23" s="358">
        <f t="shared" si="5"/>
        <v>94.6</v>
      </c>
      <c r="J23" s="35" t="s">
        <v>34</v>
      </c>
      <c r="K23" s="73">
        <v>19</v>
      </c>
      <c r="L23" s="73">
        <v>22</v>
      </c>
      <c r="M23" s="73">
        <v>11</v>
      </c>
      <c r="N23" s="73">
        <v>5</v>
      </c>
      <c r="O23" s="73">
        <v>2</v>
      </c>
      <c r="P23" s="358">
        <f t="shared" si="4"/>
        <v>11.8</v>
      </c>
    </row>
    <row r="24" spans="1:16" x14ac:dyDescent="0.25">
      <c r="A24" s="35" t="s">
        <v>35</v>
      </c>
      <c r="B24" s="73">
        <v>1080</v>
      </c>
      <c r="C24" s="73">
        <v>1255</v>
      </c>
      <c r="D24" s="73">
        <v>637</v>
      </c>
      <c r="E24" s="73">
        <v>280</v>
      </c>
      <c r="F24" s="73">
        <v>88</v>
      </c>
      <c r="G24" s="358">
        <f t="shared" si="5"/>
        <v>668</v>
      </c>
      <c r="J24" s="35" t="s">
        <v>35</v>
      </c>
      <c r="K24" s="73">
        <v>150</v>
      </c>
      <c r="L24" s="73">
        <v>174</v>
      </c>
      <c r="M24" s="73">
        <v>88.6</v>
      </c>
      <c r="N24" s="73">
        <v>39</v>
      </c>
      <c r="O24" s="73">
        <v>12</v>
      </c>
      <c r="P24" s="358">
        <f t="shared" si="4"/>
        <v>92.72</v>
      </c>
    </row>
    <row r="25" spans="1:16" x14ac:dyDescent="0.25">
      <c r="A25" s="35" t="s">
        <v>43</v>
      </c>
      <c r="B25" s="73">
        <v>637</v>
      </c>
      <c r="C25" s="73">
        <v>740</v>
      </c>
      <c r="D25" s="73">
        <v>376</v>
      </c>
      <c r="E25" s="73">
        <v>165</v>
      </c>
      <c r="F25" s="73">
        <v>51</v>
      </c>
      <c r="G25" s="358">
        <f t="shared" si="5"/>
        <v>393.8</v>
      </c>
      <c r="J25" s="35" t="s">
        <v>43</v>
      </c>
      <c r="K25" s="73">
        <v>71</v>
      </c>
      <c r="L25" s="73">
        <v>83</v>
      </c>
      <c r="M25" s="73">
        <v>42</v>
      </c>
      <c r="N25" s="73">
        <v>18</v>
      </c>
      <c r="O25" s="73">
        <v>6</v>
      </c>
      <c r="P25" s="358">
        <f t="shared" si="4"/>
        <v>44</v>
      </c>
    </row>
    <row r="26" spans="1:16" x14ac:dyDescent="0.25">
      <c r="A26" s="35" t="s">
        <v>47</v>
      </c>
      <c r="B26" s="73"/>
      <c r="C26" s="73"/>
      <c r="D26" s="73"/>
      <c r="E26" s="73"/>
      <c r="F26" s="73"/>
      <c r="G26" s="358">
        <f>SUM(G21:G25)</f>
        <v>3374.7999999999997</v>
      </c>
      <c r="J26" s="35" t="s">
        <v>47</v>
      </c>
      <c r="K26" s="73"/>
      <c r="L26" s="73"/>
      <c r="M26" s="73"/>
      <c r="N26" s="73"/>
      <c r="O26" s="73"/>
      <c r="P26" s="358">
        <f>SUM(P21:P25)</f>
        <v>363.92</v>
      </c>
    </row>
    <row r="27" spans="1:16" x14ac:dyDescent="0.25">
      <c r="A27" s="35" t="s">
        <v>48</v>
      </c>
      <c r="B27" s="73"/>
      <c r="C27" s="73"/>
      <c r="D27" s="73"/>
      <c r="E27" s="73"/>
      <c r="F27" s="73"/>
      <c r="G27" s="358">
        <f>'Newnans Lake TN'!B53-'Newnans Lake Tribs'!G26</f>
        <v>4651.2000000000007</v>
      </c>
      <c r="J27" s="35" t="s">
        <v>48</v>
      </c>
      <c r="K27" s="73"/>
      <c r="L27" s="73"/>
      <c r="M27" s="73"/>
      <c r="N27" s="73"/>
      <c r="O27" s="73"/>
      <c r="P27" s="358">
        <f>SUM(P28:P33)</f>
        <v>1025.0666666666668</v>
      </c>
    </row>
    <row r="28" spans="1:16" x14ac:dyDescent="0.25">
      <c r="A28" s="35" t="s">
        <v>27</v>
      </c>
      <c r="B28" s="73">
        <v>232</v>
      </c>
      <c r="C28" s="73">
        <v>269</v>
      </c>
      <c r="D28" s="73">
        <v>137</v>
      </c>
      <c r="E28" s="73">
        <v>60</v>
      </c>
      <c r="F28" s="73">
        <v>19</v>
      </c>
      <c r="G28" s="358">
        <f t="shared" ref="G28:G33" si="6">AVERAGE(B28:F28)</f>
        <v>143.4</v>
      </c>
      <c r="J28" s="35" t="s">
        <v>27</v>
      </c>
      <c r="K28" s="73">
        <v>39</v>
      </c>
      <c r="L28" s="73">
        <v>45</v>
      </c>
      <c r="M28" s="73">
        <v>23</v>
      </c>
      <c r="N28" s="73">
        <v>10</v>
      </c>
      <c r="O28" s="73">
        <v>3</v>
      </c>
      <c r="P28" s="358">
        <f t="shared" ref="P28:P33" si="7">AVERAGE(K28:O28)</f>
        <v>24</v>
      </c>
    </row>
    <row r="29" spans="1:16" x14ac:dyDescent="0.25">
      <c r="A29" s="35" t="s">
        <v>33</v>
      </c>
      <c r="B29" s="73">
        <v>1036</v>
      </c>
      <c r="C29" s="73">
        <v>1204</v>
      </c>
      <c r="D29" s="73">
        <v>612</v>
      </c>
      <c r="E29" s="73">
        <v>269</v>
      </c>
      <c r="F29" s="73">
        <v>83</v>
      </c>
      <c r="G29" s="358">
        <f t="shared" si="6"/>
        <v>640.79999999999995</v>
      </c>
      <c r="J29" s="35" t="s">
        <v>33</v>
      </c>
      <c r="K29" s="73">
        <v>172</v>
      </c>
      <c r="L29" s="73">
        <v>200</v>
      </c>
      <c r="M29" s="73">
        <v>102</v>
      </c>
      <c r="N29" s="73">
        <v>45</v>
      </c>
      <c r="O29" s="73">
        <v>14</v>
      </c>
      <c r="P29" s="358">
        <f t="shared" si="7"/>
        <v>106.6</v>
      </c>
    </row>
    <row r="30" spans="1:16" x14ac:dyDescent="0.25">
      <c r="A30" s="35" t="s">
        <v>101</v>
      </c>
      <c r="B30" s="167">
        <v>4652</v>
      </c>
      <c r="C30" s="73">
        <v>5406</v>
      </c>
      <c r="D30" s="73">
        <v>2745</v>
      </c>
      <c r="E30" s="73">
        <v>1207</v>
      </c>
      <c r="F30" s="73">
        <v>374</v>
      </c>
      <c r="G30" s="358">
        <f t="shared" si="6"/>
        <v>2876.8</v>
      </c>
      <c r="J30" s="35" t="s">
        <v>101</v>
      </c>
      <c r="K30" s="73">
        <v>539</v>
      </c>
      <c r="L30" s="73">
        <v>625</v>
      </c>
      <c r="M30" s="73">
        <v>318</v>
      </c>
      <c r="N30" s="73">
        <v>140</v>
      </c>
      <c r="O30" s="73">
        <v>43</v>
      </c>
      <c r="P30" s="358">
        <f t="shared" si="7"/>
        <v>333</v>
      </c>
    </row>
    <row r="31" spans="1:16" x14ac:dyDescent="0.25">
      <c r="A31" s="35" t="s">
        <v>87</v>
      </c>
      <c r="B31" s="73">
        <v>1544</v>
      </c>
      <c r="C31" s="73">
        <v>1898</v>
      </c>
      <c r="D31" s="73">
        <v>935</v>
      </c>
      <c r="E31" s="73">
        <v>397</v>
      </c>
      <c r="F31" s="73">
        <v>114</v>
      </c>
      <c r="G31" s="358">
        <f t="shared" si="6"/>
        <v>977.6</v>
      </c>
      <c r="J31" s="35" t="s">
        <v>87</v>
      </c>
      <c r="K31" s="73">
        <v>421</v>
      </c>
      <c r="L31" s="73">
        <v>518</v>
      </c>
      <c r="M31" s="73">
        <v>255</v>
      </c>
      <c r="N31" s="73">
        <v>108</v>
      </c>
      <c r="O31" s="73">
        <v>31</v>
      </c>
      <c r="P31" s="358">
        <f t="shared" si="7"/>
        <v>266.60000000000002</v>
      </c>
    </row>
    <row r="32" spans="1:16" x14ac:dyDescent="0.25">
      <c r="A32" s="35" t="s">
        <v>32</v>
      </c>
      <c r="B32" s="73">
        <v>6248</v>
      </c>
      <c r="C32" s="73">
        <v>7260</v>
      </c>
      <c r="D32" s="73">
        <v>3687</v>
      </c>
      <c r="E32" s="73">
        <v>1622</v>
      </c>
      <c r="F32" s="73">
        <v>502</v>
      </c>
      <c r="G32" s="358">
        <f t="shared" si="6"/>
        <v>3863.8</v>
      </c>
      <c r="J32" s="35" t="s">
        <v>32</v>
      </c>
      <c r="K32" s="73">
        <v>472</v>
      </c>
      <c r="L32" s="73">
        <v>549</v>
      </c>
      <c r="M32" s="73">
        <v>279</v>
      </c>
      <c r="N32" s="73">
        <v>123</v>
      </c>
      <c r="O32" s="73">
        <v>38</v>
      </c>
      <c r="P32" s="358">
        <f t="shared" si="7"/>
        <v>292.2</v>
      </c>
    </row>
    <row r="33" spans="1:16" x14ac:dyDescent="0.25">
      <c r="A33" s="35" t="s">
        <v>88</v>
      </c>
      <c r="B33" s="73">
        <v>16</v>
      </c>
      <c r="C33" s="73">
        <v>18</v>
      </c>
      <c r="D33" s="73">
        <v>9</v>
      </c>
      <c r="E33" s="73">
        <v>4</v>
      </c>
      <c r="F33" s="73">
        <v>1</v>
      </c>
      <c r="G33" s="358">
        <f t="shared" si="6"/>
        <v>9.6</v>
      </c>
      <c r="J33" s="35" t="s">
        <v>88</v>
      </c>
      <c r="K33" s="73">
        <v>3</v>
      </c>
      <c r="L33" s="73">
        <v>3</v>
      </c>
      <c r="M33" s="73">
        <v>2</v>
      </c>
      <c r="N33" s="73" t="s">
        <v>102</v>
      </c>
      <c r="O33" s="73" t="s">
        <v>102</v>
      </c>
      <c r="P33" s="358">
        <f t="shared" si="7"/>
        <v>2.6666666666666665</v>
      </c>
    </row>
    <row r="34" spans="1:16" x14ac:dyDescent="0.25">
      <c r="A34" s="359" t="s">
        <v>124</v>
      </c>
      <c r="B34" s="354"/>
      <c r="C34" s="354"/>
      <c r="D34" s="354"/>
      <c r="E34" s="354"/>
      <c r="F34" s="354"/>
      <c r="G34" s="358">
        <f>SUM(G28:G33)+SUM(G21:G25)</f>
        <v>11886.800000000001</v>
      </c>
      <c r="J34" s="359" t="s">
        <v>133</v>
      </c>
      <c r="K34" s="354"/>
      <c r="L34" s="354"/>
      <c r="M34" s="354"/>
      <c r="N34" s="354"/>
      <c r="O34" s="354"/>
      <c r="P34" s="358">
        <f>SUM(P21:P25)+SUM(P28:P33)</f>
        <v>1388.9866666666669</v>
      </c>
    </row>
    <row r="35" spans="1:16" x14ac:dyDescent="0.25">
      <c r="A35" s="30"/>
      <c r="B35" s="456" t="s">
        <v>45</v>
      </c>
      <c r="C35" s="469"/>
      <c r="D35" s="469"/>
      <c r="E35" s="469"/>
      <c r="F35" s="469"/>
      <c r="G35" s="470"/>
      <c r="J35" s="30"/>
      <c r="K35" s="456" t="s">
        <v>44</v>
      </c>
      <c r="L35" s="469"/>
      <c r="M35" s="469"/>
      <c r="N35" s="469"/>
      <c r="O35" s="469"/>
      <c r="P35" s="470"/>
    </row>
    <row r="36" spans="1:16" x14ac:dyDescent="0.25">
      <c r="A36" s="91" t="s">
        <v>65</v>
      </c>
      <c r="B36" s="352">
        <v>1996</v>
      </c>
      <c r="C36" s="352">
        <v>1997</v>
      </c>
      <c r="D36" s="352">
        <v>1998</v>
      </c>
      <c r="E36" s="352">
        <v>1999</v>
      </c>
      <c r="F36" s="352">
        <v>2000</v>
      </c>
      <c r="G36" s="360" t="s">
        <v>46</v>
      </c>
      <c r="J36" s="91" t="s">
        <v>65</v>
      </c>
      <c r="K36" s="352">
        <v>1996</v>
      </c>
      <c r="L36" s="352">
        <v>1997</v>
      </c>
      <c r="M36" s="352">
        <v>1998</v>
      </c>
      <c r="N36" s="352">
        <v>1999</v>
      </c>
      <c r="O36" s="352">
        <v>2000</v>
      </c>
      <c r="P36" s="360" t="s">
        <v>46</v>
      </c>
    </row>
    <row r="37" spans="1:16" x14ac:dyDescent="0.25">
      <c r="A37" s="35" t="s">
        <v>42</v>
      </c>
      <c r="B37" s="73">
        <v>517</v>
      </c>
      <c r="C37" s="73">
        <v>601</v>
      </c>
      <c r="D37" s="73">
        <v>305</v>
      </c>
      <c r="E37" s="73">
        <v>134</v>
      </c>
      <c r="F37" s="73">
        <v>42</v>
      </c>
      <c r="G37" s="358">
        <f t="shared" ref="G37:G41" si="8">AVERAGE(B37:F37)</f>
        <v>319.8</v>
      </c>
      <c r="J37" s="35" t="s">
        <v>42</v>
      </c>
      <c r="K37" s="73">
        <v>57</v>
      </c>
      <c r="L37" s="73">
        <v>66</v>
      </c>
      <c r="M37" s="73">
        <v>34</v>
      </c>
      <c r="N37" s="73">
        <v>15</v>
      </c>
      <c r="O37" s="73">
        <v>5</v>
      </c>
      <c r="P37" s="358">
        <f t="shared" ref="P37:P41" si="9">AVERAGE(K37:O37)</f>
        <v>35.4</v>
      </c>
    </row>
    <row r="38" spans="1:16" x14ac:dyDescent="0.25">
      <c r="A38" s="35" t="s">
        <v>36</v>
      </c>
      <c r="B38" s="73">
        <v>331</v>
      </c>
      <c r="C38" s="73">
        <v>385</v>
      </c>
      <c r="D38" s="73">
        <v>195</v>
      </c>
      <c r="E38" s="73">
        <v>86</v>
      </c>
      <c r="F38" s="73">
        <v>27</v>
      </c>
      <c r="G38" s="358">
        <f t="shared" si="8"/>
        <v>204.8</v>
      </c>
      <c r="J38" s="35" t="s">
        <v>36</v>
      </c>
      <c r="K38" s="73">
        <v>51</v>
      </c>
      <c r="L38" s="73">
        <v>59</v>
      </c>
      <c r="M38" s="73">
        <v>30</v>
      </c>
      <c r="N38" s="73">
        <v>13</v>
      </c>
      <c r="O38" s="73">
        <v>4</v>
      </c>
      <c r="P38" s="358">
        <f t="shared" si="9"/>
        <v>31.4</v>
      </c>
    </row>
    <row r="39" spans="1:16" x14ac:dyDescent="0.25">
      <c r="A39" s="35" t="s">
        <v>34</v>
      </c>
      <c r="B39" s="73">
        <v>2216</v>
      </c>
      <c r="C39" s="73">
        <v>2575</v>
      </c>
      <c r="D39" s="73">
        <v>1308</v>
      </c>
      <c r="E39" s="73">
        <v>575</v>
      </c>
      <c r="F39" s="73">
        <v>178</v>
      </c>
      <c r="G39" s="358">
        <f t="shared" si="8"/>
        <v>1370.4</v>
      </c>
      <c r="J39" s="35" t="s">
        <v>34</v>
      </c>
      <c r="K39" s="73">
        <v>241</v>
      </c>
      <c r="L39" s="73">
        <v>280</v>
      </c>
      <c r="M39" s="73">
        <v>142</v>
      </c>
      <c r="N39" s="73">
        <v>63</v>
      </c>
      <c r="O39" s="73">
        <v>19</v>
      </c>
      <c r="P39" s="358">
        <f t="shared" si="9"/>
        <v>149</v>
      </c>
    </row>
    <row r="40" spans="1:16" x14ac:dyDescent="0.25">
      <c r="A40" s="35" t="s">
        <v>35</v>
      </c>
      <c r="B40" s="73">
        <v>2814</v>
      </c>
      <c r="C40" s="73">
        <v>3271</v>
      </c>
      <c r="D40" s="73">
        <v>1661</v>
      </c>
      <c r="E40" s="73">
        <v>731</v>
      </c>
      <c r="F40" s="73">
        <v>226</v>
      </c>
      <c r="G40" s="358">
        <f t="shared" si="8"/>
        <v>1740.6</v>
      </c>
      <c r="J40" s="35" t="s">
        <v>35</v>
      </c>
      <c r="K40" s="73">
        <v>340</v>
      </c>
      <c r="L40" s="73">
        <v>395</v>
      </c>
      <c r="M40" s="73">
        <v>201</v>
      </c>
      <c r="N40" s="73">
        <v>88</v>
      </c>
      <c r="O40" s="73">
        <v>27</v>
      </c>
      <c r="P40" s="358">
        <f t="shared" si="9"/>
        <v>210.2</v>
      </c>
    </row>
    <row r="41" spans="1:16" x14ac:dyDescent="0.25">
      <c r="A41" s="35" t="s">
        <v>43</v>
      </c>
      <c r="B41" s="73">
        <v>575</v>
      </c>
      <c r="C41" s="73">
        <v>668</v>
      </c>
      <c r="D41" s="73">
        <v>339</v>
      </c>
      <c r="E41" s="73">
        <v>149</v>
      </c>
      <c r="F41" s="73">
        <v>46</v>
      </c>
      <c r="G41" s="358">
        <f t="shared" si="8"/>
        <v>355.4</v>
      </c>
      <c r="J41" s="35" t="s">
        <v>43</v>
      </c>
      <c r="K41" s="73">
        <v>55</v>
      </c>
      <c r="L41" s="73">
        <v>64</v>
      </c>
      <c r="M41" s="73">
        <v>33</v>
      </c>
      <c r="N41" s="73">
        <v>14</v>
      </c>
      <c r="O41" s="73">
        <v>4</v>
      </c>
      <c r="P41" s="358">
        <f t="shared" si="9"/>
        <v>34</v>
      </c>
    </row>
    <row r="42" spans="1:16" x14ac:dyDescent="0.25">
      <c r="A42" s="35" t="s">
        <v>47</v>
      </c>
      <c r="B42" s="73"/>
      <c r="C42" s="73"/>
      <c r="D42" s="73"/>
      <c r="E42" s="73"/>
      <c r="F42" s="73"/>
      <c r="G42" s="358">
        <f>SUM(G37:G41)</f>
        <v>3991</v>
      </c>
      <c r="J42" s="35" t="s">
        <v>47</v>
      </c>
      <c r="K42" s="73"/>
      <c r="L42" s="73"/>
      <c r="M42" s="73"/>
      <c r="N42" s="73"/>
      <c r="O42" s="73"/>
      <c r="P42" s="358">
        <f>SUM(P37:P41)</f>
        <v>460</v>
      </c>
    </row>
    <row r="43" spans="1:16" x14ac:dyDescent="0.25">
      <c r="A43" s="35" t="s">
        <v>48</v>
      </c>
      <c r="B43" s="73"/>
      <c r="C43" s="73"/>
      <c r="D43" s="73"/>
      <c r="E43" s="73"/>
      <c r="F43" s="73"/>
      <c r="G43" s="358">
        <f>SUM(G44:G49)</f>
        <v>24823.800000000003</v>
      </c>
      <c r="J43" s="35" t="s">
        <v>48</v>
      </c>
      <c r="K43" s="73"/>
      <c r="L43" s="73"/>
      <c r="M43" s="73"/>
      <c r="N43" s="73"/>
      <c r="O43" s="73"/>
      <c r="P43" s="358">
        <f>SUM(P44:P49)</f>
        <v>2758.2</v>
      </c>
    </row>
    <row r="44" spans="1:16" x14ac:dyDescent="0.25">
      <c r="A44" s="35" t="s">
        <v>27</v>
      </c>
      <c r="B44" s="73">
        <v>2397</v>
      </c>
      <c r="C44" s="73">
        <v>2786</v>
      </c>
      <c r="D44" s="73">
        <v>1415</v>
      </c>
      <c r="E44" s="73">
        <v>622</v>
      </c>
      <c r="F44" s="73">
        <v>193</v>
      </c>
      <c r="G44" s="358">
        <f t="shared" ref="G44:G49" si="10">AVERAGE(B44:F44)</f>
        <v>1482.6</v>
      </c>
      <c r="J44" s="35" t="s">
        <v>27</v>
      </c>
      <c r="K44" s="73">
        <v>348</v>
      </c>
      <c r="L44" s="73">
        <v>404</v>
      </c>
      <c r="M44" s="73">
        <v>205</v>
      </c>
      <c r="N44" s="73">
        <v>90</v>
      </c>
      <c r="O44" s="73">
        <v>28</v>
      </c>
      <c r="P44" s="358">
        <f t="shared" ref="P44:P49" si="11">AVERAGE(K44:O44)</f>
        <v>215</v>
      </c>
    </row>
    <row r="45" spans="1:16" x14ac:dyDescent="0.25">
      <c r="A45" s="35" t="s">
        <v>33</v>
      </c>
      <c r="B45" s="73">
        <v>1087</v>
      </c>
      <c r="C45" s="73">
        <v>1263</v>
      </c>
      <c r="D45" s="73">
        <v>641</v>
      </c>
      <c r="E45" s="73">
        <v>282</v>
      </c>
      <c r="F45" s="73">
        <v>87</v>
      </c>
      <c r="G45" s="358">
        <f t="shared" si="10"/>
        <v>672</v>
      </c>
      <c r="J45" s="35" t="s">
        <v>33</v>
      </c>
      <c r="K45" s="73">
        <v>158</v>
      </c>
      <c r="L45" s="73">
        <v>183</v>
      </c>
      <c r="M45" s="73">
        <v>93</v>
      </c>
      <c r="N45" s="73">
        <v>41</v>
      </c>
      <c r="O45" s="73">
        <v>13</v>
      </c>
      <c r="P45" s="358">
        <f t="shared" si="11"/>
        <v>97.6</v>
      </c>
    </row>
    <row r="46" spans="1:16" x14ac:dyDescent="0.25">
      <c r="A46" s="35" t="s">
        <v>101</v>
      </c>
      <c r="B46" s="73">
        <v>23214</v>
      </c>
      <c r="C46" s="73">
        <v>26976</v>
      </c>
      <c r="D46" s="73">
        <v>13699</v>
      </c>
      <c r="E46" s="73">
        <v>6027</v>
      </c>
      <c r="F46" s="73">
        <v>1865</v>
      </c>
      <c r="G46" s="358">
        <f t="shared" si="10"/>
        <v>14356.2</v>
      </c>
      <c r="J46" s="35" t="s">
        <v>101</v>
      </c>
      <c r="K46" s="73">
        <v>2328</v>
      </c>
      <c r="L46" s="73">
        <v>2706</v>
      </c>
      <c r="M46" s="73">
        <v>1374</v>
      </c>
      <c r="N46" s="73">
        <v>605</v>
      </c>
      <c r="O46" s="73">
        <v>187</v>
      </c>
      <c r="P46" s="358">
        <f t="shared" si="11"/>
        <v>1440</v>
      </c>
    </row>
    <row r="47" spans="1:16" x14ac:dyDescent="0.25">
      <c r="A47" s="35" t="s">
        <v>87</v>
      </c>
      <c r="B47" s="73">
        <v>3219</v>
      </c>
      <c r="C47" s="73">
        <v>3956</v>
      </c>
      <c r="D47" s="73">
        <v>1949</v>
      </c>
      <c r="E47" s="73">
        <v>828</v>
      </c>
      <c r="F47" s="73">
        <v>238</v>
      </c>
      <c r="G47" s="358">
        <f t="shared" si="10"/>
        <v>2038</v>
      </c>
      <c r="J47" s="35" t="s">
        <v>87</v>
      </c>
      <c r="K47" s="73">
        <v>878</v>
      </c>
      <c r="L47" s="73">
        <v>1079</v>
      </c>
      <c r="M47" s="73">
        <v>532</v>
      </c>
      <c r="N47" s="73">
        <v>226</v>
      </c>
      <c r="O47" s="73">
        <v>65</v>
      </c>
      <c r="P47" s="358">
        <f t="shared" si="11"/>
        <v>556</v>
      </c>
    </row>
    <row r="48" spans="1:16" x14ac:dyDescent="0.25">
      <c r="A48" s="35" t="s">
        <v>32</v>
      </c>
      <c r="B48" s="73">
        <v>8823</v>
      </c>
      <c r="C48" s="73">
        <v>10253</v>
      </c>
      <c r="D48" s="73">
        <v>5207</v>
      </c>
      <c r="E48" s="73">
        <v>2291</v>
      </c>
      <c r="F48" s="73">
        <v>709</v>
      </c>
      <c r="G48" s="358">
        <f t="shared" si="10"/>
        <v>5456.6</v>
      </c>
      <c r="J48" s="35" t="s">
        <v>32</v>
      </c>
      <c r="K48" s="73">
        <v>547</v>
      </c>
      <c r="L48" s="73">
        <v>636</v>
      </c>
      <c r="M48" s="73">
        <v>323</v>
      </c>
      <c r="N48" s="73">
        <v>142</v>
      </c>
      <c r="O48" s="73">
        <v>44</v>
      </c>
      <c r="P48" s="358">
        <f t="shared" si="11"/>
        <v>338.4</v>
      </c>
    </row>
    <row r="49" spans="1:16" x14ac:dyDescent="0.25">
      <c r="A49" s="35" t="s">
        <v>88</v>
      </c>
      <c r="B49" s="73">
        <v>1323</v>
      </c>
      <c r="C49" s="73">
        <v>1537</v>
      </c>
      <c r="D49" s="73">
        <v>781</v>
      </c>
      <c r="E49" s="73">
        <v>344</v>
      </c>
      <c r="F49" s="73">
        <v>107</v>
      </c>
      <c r="G49" s="358">
        <f t="shared" si="10"/>
        <v>818.4</v>
      </c>
      <c r="J49" s="35" t="s">
        <v>88</v>
      </c>
      <c r="K49" s="73">
        <v>180</v>
      </c>
      <c r="L49" s="73">
        <v>209</v>
      </c>
      <c r="M49" s="73">
        <v>106</v>
      </c>
      <c r="N49" s="73">
        <v>47</v>
      </c>
      <c r="O49" s="73">
        <v>14</v>
      </c>
      <c r="P49" s="358">
        <f t="shared" si="11"/>
        <v>111.2</v>
      </c>
    </row>
    <row r="50" spans="1:16" ht="13.8" thickBot="1" x14ac:dyDescent="0.3">
      <c r="A50" s="361" t="s">
        <v>124</v>
      </c>
      <c r="B50" s="221"/>
      <c r="C50" s="221"/>
      <c r="D50" s="221"/>
      <c r="E50" s="221"/>
      <c r="F50" s="221"/>
      <c r="G50" s="362">
        <f>SUM(G37:G41)+SUM(G44:G49)</f>
        <v>28814.800000000003</v>
      </c>
      <c r="J50" s="361" t="s">
        <v>133</v>
      </c>
      <c r="K50" s="221"/>
      <c r="L50" s="221"/>
      <c r="M50" s="221"/>
      <c r="N50" s="221"/>
      <c r="O50" s="221"/>
      <c r="P50" s="362">
        <f>SUM(P37:P41)+SUM(P44:P49)</f>
        <v>3218.2</v>
      </c>
    </row>
  </sheetData>
  <mergeCells count="8">
    <mergeCell ref="B3:G3"/>
    <mergeCell ref="B19:G19"/>
    <mergeCell ref="B35:G35"/>
    <mergeCell ref="B2:G2"/>
    <mergeCell ref="K2:P2"/>
    <mergeCell ref="K3:P3"/>
    <mergeCell ref="K19:P19"/>
    <mergeCell ref="K35:P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Note</vt:lpstr>
      <vt:lpstr>Lochloosa Lake TP</vt:lpstr>
      <vt:lpstr>Orange Lake BMAP</vt:lpstr>
      <vt:lpstr>Orange Lake education credits</vt:lpstr>
      <vt:lpstr>Orange Lake tribs</vt:lpstr>
      <vt:lpstr>Orange Lake LU</vt:lpstr>
      <vt:lpstr>Newnans Lake BMAP TP</vt:lpstr>
      <vt:lpstr>Newnans Lake TN</vt:lpstr>
      <vt:lpstr>Newnans Lake Tribs</vt:lpstr>
      <vt:lpstr>Newnans Lake Educ Credit</vt:lpstr>
      <vt:lpstr>Newnans LU</vt:lpstr>
      <vt:lpstr>OSTDS-whole basin</vt:lpstr>
      <vt:lpstr>OSTDS-buffer</vt:lpstr>
      <vt:lpstr>'Newnans Lake BMAP TP'!Print_Area</vt:lpstr>
      <vt:lpstr>'Newnans Lake TN'!Print_Area</vt:lpstr>
      <vt:lpstr>'Orange Lake BMAP'!Print_Area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Paulic, Mary</dc:creator>
  <cp:lastModifiedBy>Mary Paulic</cp:lastModifiedBy>
  <cp:lastPrinted>2016-10-04T20:00:22Z</cp:lastPrinted>
  <dcterms:created xsi:type="dcterms:W3CDTF">2005-06-07T11:24:47Z</dcterms:created>
  <dcterms:modified xsi:type="dcterms:W3CDTF">2016-11-28T21:51:10Z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-1105488360</vt:i4>
  </property>
  <property fmtid="{D5CDD505-2E9C-101B-9397-08002B2CF9AE}" pid="3" name="_EmailSubject">
    <vt:lpwstr>Draft sources for Alachua Sink</vt:lpwstr>
  </property>
  <property fmtid="{D5CDD505-2E9C-101B-9397-08002B2CF9AE}" pid="4" name="_AuthorEmail">
    <vt:lpwstr>dwalker@sjrwmd.com</vt:lpwstr>
  </property>
  <property fmtid="{D5CDD505-2E9C-101B-9397-08002B2CF9AE}" pid="5" name="_AuthorEmailDisplayName">
    <vt:lpwstr>David Walker</vt:lpwstr>
  </property>
  <property fmtid="{D5CDD505-2E9C-101B-9397-08002B2CF9AE}" pid="6" name="_ReviewingToolsShownOnce">
    <vt:lpwstr/>
  </property>
</Properties>
</file>