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lic_M\Desktop\Drive_E\Basin coordination\basin_management\planning\oklawaha\management\allocation\orange creek\"/>
    </mc:Choice>
  </mc:AlternateContent>
  <bookViews>
    <workbookView xWindow="600" yWindow="495" windowWidth="15480" windowHeight="11640" activeTab="2"/>
  </bookViews>
  <sheets>
    <sheet name="Orange Lake BMAP" sheetId="6" r:id="rId1"/>
    <sheet name="Newnans Lake BMAP TP" sheetId="14" r:id="rId2"/>
    <sheet name="Newnans Lake TN" sheetId="15" r:id="rId3"/>
  </sheets>
  <definedNames>
    <definedName name="_xlnm.Print_Area" localSheetId="1">'Newnans Lake BMAP TP'!$A$1:$I$35</definedName>
    <definedName name="_xlnm.Print_Area" localSheetId="2">'Newnans Lake TN'!$A$1:$I$33</definedName>
    <definedName name="_xlnm.Print_Area" localSheetId="0">'Orange Lake BMAP'!$A$1:$I$32</definedName>
  </definedNames>
  <calcPr calcId="152511"/>
</workbook>
</file>

<file path=xl/calcChain.xml><?xml version="1.0" encoding="utf-8"?>
<calcChain xmlns="http://schemas.openxmlformats.org/spreadsheetml/2006/main">
  <c r="H32" i="15" l="1"/>
  <c r="H28" i="15"/>
  <c r="H27" i="15"/>
  <c r="H26" i="15"/>
  <c r="H22" i="15"/>
  <c r="H21" i="15"/>
  <c r="H19" i="15"/>
  <c r="H18" i="15"/>
  <c r="H4" i="15"/>
  <c r="D28" i="15"/>
  <c r="H31" i="6" l="1"/>
  <c r="H30" i="6"/>
  <c r="H29" i="6"/>
  <c r="G29" i="6"/>
  <c r="C29" i="6"/>
  <c r="C14" i="6"/>
  <c r="C13" i="6"/>
  <c r="C12" i="6"/>
  <c r="C11" i="6"/>
  <c r="C10" i="6"/>
  <c r="C8" i="6"/>
  <c r="C7" i="6"/>
  <c r="C6" i="6"/>
  <c r="H25" i="6"/>
  <c r="H24" i="6"/>
  <c r="H23" i="6"/>
  <c r="H17" i="6"/>
  <c r="H16" i="6"/>
  <c r="H15" i="6"/>
  <c r="H9" i="6"/>
  <c r="H4" i="6"/>
  <c r="F29" i="6"/>
  <c r="E29" i="6"/>
  <c r="D29" i="6"/>
  <c r="B29" i="6"/>
  <c r="B4" i="6"/>
  <c r="E4" i="6" s="1"/>
  <c r="B9" i="6"/>
  <c r="D9" i="6" s="1"/>
  <c r="D10" i="6"/>
  <c r="D11" i="6"/>
  <c r="D12" i="6"/>
  <c r="D13" i="6"/>
  <c r="D14" i="6"/>
  <c r="D15" i="6"/>
  <c r="B17" i="6"/>
  <c r="D20" i="6"/>
  <c r="D21" i="6"/>
  <c r="D24" i="6"/>
  <c r="C36" i="6"/>
  <c r="D36" i="6"/>
  <c r="C37" i="6"/>
  <c r="D37" i="6" s="1"/>
  <c r="C38" i="6"/>
  <c r="D38" i="6" s="1"/>
  <c r="C39" i="6"/>
  <c r="D39" i="6" s="1"/>
  <c r="C40" i="6"/>
  <c r="D40" i="6"/>
  <c r="C41" i="6"/>
  <c r="D41" i="6" s="1"/>
  <c r="C42" i="6"/>
  <c r="D42" i="6"/>
  <c r="C43" i="6"/>
  <c r="D43" i="6" s="1"/>
  <c r="C44" i="6"/>
  <c r="D44" i="6" s="1"/>
  <c r="C45" i="6"/>
  <c r="D45" i="6" s="1"/>
  <c r="C46" i="6"/>
  <c r="D46" i="6" s="1"/>
  <c r="C47" i="6"/>
  <c r="D47" i="6" s="1"/>
  <c r="C48" i="6"/>
  <c r="D48" i="6"/>
  <c r="H28" i="14"/>
  <c r="H27" i="14"/>
  <c r="H26" i="14"/>
  <c r="H6" i="14"/>
  <c r="H22" i="14"/>
  <c r="H21" i="14"/>
  <c r="H19" i="14"/>
  <c r="H18" i="14"/>
  <c r="H4" i="14"/>
  <c r="H12" i="14"/>
  <c r="E24" i="6" l="1"/>
  <c r="D17" i="6"/>
  <c r="E17" i="6" s="1"/>
  <c r="C20" i="6"/>
  <c r="C9" i="6"/>
  <c r="E18" i="6"/>
  <c r="E15" i="6"/>
  <c r="C17" i="6"/>
  <c r="C16" i="6"/>
  <c r="E12" i="6"/>
  <c r="E11" i="6"/>
  <c r="C4" i="6"/>
  <c r="C21" i="6"/>
  <c r="E9" i="6" l="1"/>
  <c r="E13" i="6"/>
  <c r="E20" i="6"/>
  <c r="E21" i="6"/>
  <c r="E23" i="6"/>
  <c r="E19" i="6"/>
  <c r="E10" i="6"/>
  <c r="E14" i="6"/>
  <c r="E22" i="6"/>
  <c r="C24" i="6"/>
  <c r="C15" i="6"/>
  <c r="B31" i="6"/>
  <c r="F24" i="6" s="1"/>
  <c r="F10" i="6" l="1"/>
  <c r="F6" i="6"/>
  <c r="F7" i="6"/>
  <c r="F16" i="6"/>
  <c r="F8" i="6"/>
  <c r="F11" i="6"/>
  <c r="F15" i="6"/>
  <c r="F20" i="6"/>
  <c r="F12" i="6"/>
  <c r="F14" i="6"/>
  <c r="F13" i="6"/>
  <c r="F21" i="6"/>
  <c r="F9" i="6" l="1"/>
  <c r="F17" i="6"/>
  <c r="G31" i="14" l="1"/>
  <c r="D28" i="14" l="1"/>
  <c r="D22" i="14"/>
  <c r="D21" i="14"/>
  <c r="D22" i="15" l="1"/>
  <c r="D21" i="15"/>
  <c r="D17" i="15"/>
  <c r="D16" i="15"/>
  <c r="D15" i="15"/>
  <c r="D14" i="15"/>
  <c r="D13" i="15"/>
  <c r="D27" i="15"/>
  <c r="B20" i="15"/>
  <c r="H20" i="15" s="1"/>
  <c r="D18" i="15"/>
  <c r="B12" i="15"/>
  <c r="H12" i="15" s="1"/>
  <c r="B7" i="15"/>
  <c r="H7" i="15" s="1"/>
  <c r="H31" i="15" s="1"/>
  <c r="B20" i="14"/>
  <c r="H20" i="14" s="1"/>
  <c r="B12" i="14"/>
  <c r="B7" i="14"/>
  <c r="D27" i="14"/>
  <c r="D18" i="14"/>
  <c r="D17" i="14"/>
  <c r="D16" i="14"/>
  <c r="D15" i="14"/>
  <c r="D14" i="14"/>
  <c r="D13" i="14"/>
  <c r="B31" i="14" l="1"/>
  <c r="C7" i="14" s="1"/>
  <c r="H7" i="14"/>
  <c r="H31" i="14" s="1"/>
  <c r="H33" i="14" s="1"/>
  <c r="B31" i="15"/>
  <c r="E12" i="15" s="1"/>
  <c r="D20" i="15"/>
  <c r="H33" i="15"/>
  <c r="D12" i="15"/>
  <c r="D31" i="14"/>
  <c r="C12" i="15" l="1"/>
  <c r="C27" i="15"/>
  <c r="D31" i="15"/>
  <c r="C6" i="15"/>
  <c r="C17" i="15"/>
  <c r="C11" i="15"/>
  <c r="C5" i="15"/>
  <c r="C13" i="15"/>
  <c r="C21" i="15"/>
  <c r="C4" i="15"/>
  <c r="C16" i="15"/>
  <c r="C10" i="15"/>
  <c r="C14" i="15"/>
  <c r="E7" i="15"/>
  <c r="C18" i="15"/>
  <c r="C20" i="15"/>
  <c r="B33" i="15"/>
  <c r="C15" i="15"/>
  <c r="C9" i="15"/>
  <c r="E20" i="15"/>
  <c r="F12" i="15"/>
  <c r="E27" i="15"/>
  <c r="E15" i="15"/>
  <c r="F15" i="15" s="1"/>
  <c r="E11" i="15"/>
  <c r="E26" i="15"/>
  <c r="E22" i="15"/>
  <c r="E18" i="15"/>
  <c r="F18" i="15" s="1"/>
  <c r="E14" i="15"/>
  <c r="E10" i="15"/>
  <c r="E4" i="15"/>
  <c r="E21" i="15"/>
  <c r="E17" i="15"/>
  <c r="E13" i="15"/>
  <c r="E9" i="15"/>
  <c r="E28" i="15"/>
  <c r="E16" i="15"/>
  <c r="E8" i="15"/>
  <c r="C26" i="15"/>
  <c r="C22" i="15"/>
  <c r="C28" i="15"/>
  <c r="C19" i="15"/>
  <c r="C8" i="15"/>
  <c r="C7" i="15"/>
  <c r="E7" i="14"/>
  <c r="E14" i="14"/>
  <c r="F16" i="15" l="1"/>
  <c r="F20" i="15"/>
  <c r="F28" i="15"/>
  <c r="F21" i="15"/>
  <c r="F14" i="15"/>
  <c r="F27" i="15"/>
  <c r="F13" i="15"/>
  <c r="F22" i="15"/>
  <c r="F17" i="15"/>
  <c r="F4" i="15"/>
  <c r="E31" i="15"/>
  <c r="E12" i="14"/>
  <c r="E15" i="14"/>
  <c r="C27" i="14"/>
  <c r="C14" i="14"/>
  <c r="C4" i="14"/>
  <c r="C31" i="14" s="1"/>
  <c r="E27" i="14"/>
  <c r="C16" i="14"/>
  <c r="E6" i="14"/>
  <c r="C28" i="14"/>
  <c r="E21" i="14"/>
  <c r="C18" i="14"/>
  <c r="E20" i="14"/>
  <c r="C10" i="14"/>
  <c r="E16" i="14"/>
  <c r="C15" i="14"/>
  <c r="E28" i="14"/>
  <c r="E22" i="14"/>
  <c r="E18" i="14"/>
  <c r="B33" i="14"/>
  <c r="C20" i="14"/>
  <c r="C22" i="14"/>
  <c r="C12" i="14"/>
  <c r="C26" i="14"/>
  <c r="C21" i="14"/>
  <c r="E17" i="14"/>
  <c r="C13" i="14"/>
  <c r="C11" i="14"/>
  <c r="C6" i="14"/>
  <c r="C17" i="14"/>
  <c r="E13" i="14"/>
  <c r="F13" i="14" s="1"/>
  <c r="C19" i="14"/>
  <c r="E4" i="14"/>
  <c r="C9" i="14"/>
  <c r="F12" i="14" l="1"/>
  <c r="F31" i="15"/>
  <c r="F16" i="14"/>
  <c r="F18" i="14"/>
  <c r="F17" i="14"/>
  <c r="F15" i="14"/>
  <c r="F6" i="14"/>
  <c r="F20" i="14"/>
  <c r="F21" i="14"/>
  <c r="F28" i="14"/>
  <c r="F4" i="14"/>
  <c r="E31" i="14"/>
  <c r="F10" i="14"/>
  <c r="B35" i="14"/>
  <c r="F11" i="14"/>
  <c r="F9" i="14"/>
  <c r="F14" i="14"/>
  <c r="F22" i="14"/>
  <c r="F27" i="14"/>
  <c r="F31" i="14" l="1"/>
  <c r="F26" i="14"/>
  <c r="F19" i="14"/>
</calcChain>
</file>

<file path=xl/sharedStrings.xml><?xml version="1.0" encoding="utf-8"?>
<sst xmlns="http://schemas.openxmlformats.org/spreadsheetml/2006/main" count="134" uniqueCount="70">
  <si>
    <t>Atmospheric deposition (wet/dry)</t>
  </si>
  <si>
    <t>Tributary inflows</t>
  </si>
  <si>
    <t>Point sources</t>
  </si>
  <si>
    <t>Seepage/groundwater</t>
  </si>
  <si>
    <t>Septic tanks</t>
  </si>
  <si>
    <t>Loading information</t>
  </si>
  <si>
    <t xml:space="preserve">     rangeland</t>
  </si>
  <si>
    <t xml:space="preserve">     water/wetland</t>
  </si>
  <si>
    <t xml:space="preserve">     Urban open</t>
  </si>
  <si>
    <t xml:space="preserve">     L-D residential</t>
  </si>
  <si>
    <t xml:space="preserve">     M-D residential</t>
  </si>
  <si>
    <t xml:space="preserve">     H-D residential</t>
  </si>
  <si>
    <t xml:space="preserve">     Trans/comm</t>
  </si>
  <si>
    <t xml:space="preserve">  Hatchett Creek</t>
  </si>
  <si>
    <t xml:space="preserve">  Little Hatchett Creek</t>
  </si>
  <si>
    <t>Internal nutrient recycling</t>
  </si>
  <si>
    <t>Total Maximum Daily Load (lbs/yr)</t>
  </si>
  <si>
    <t>Reduction needed in loading and % (lbs/yr)</t>
  </si>
  <si>
    <t xml:space="preserve">  Camps Canal</t>
  </si>
  <si>
    <t xml:space="preserve">  Cross Creek</t>
  </si>
  <si>
    <t xml:space="preserve">  Alachua Lake</t>
  </si>
  <si>
    <t>Sources of total phosphorus (loading in lbs/yr)</t>
  </si>
  <si>
    <t>TMDL Baseline loading*</t>
  </si>
  <si>
    <t>Expected load reduction from current projects</t>
  </si>
  <si>
    <t>Remaining phosphorus load</t>
  </si>
  <si>
    <t>Net estimated TP load</t>
  </si>
  <si>
    <t>Camps Canal</t>
  </si>
  <si>
    <t>Cross Creek</t>
  </si>
  <si>
    <t xml:space="preserve">     forest/rural</t>
  </si>
  <si>
    <t xml:space="preserve">     silviculture</t>
  </si>
  <si>
    <t>Phosphorus loading for TMDL baseline, reductions needed,  and reductions expected from restoration and stormwater projects</t>
  </si>
  <si>
    <t>Controllable TMDL baseline loading</t>
  </si>
  <si>
    <t>TMDL baseline TP-loading and % (lbs/yr)</t>
  </si>
  <si>
    <t>Controllable TMDL baseline % contribution**</t>
  </si>
  <si>
    <t>Proportional reduction needed to meet TMDL</t>
  </si>
  <si>
    <t>Atmospheric deposition</t>
  </si>
  <si>
    <t xml:space="preserve">  WWTP discharges</t>
  </si>
  <si>
    <t xml:space="preserve">     Brittany Estates Mobile Home Park</t>
  </si>
  <si>
    <t>Agriculture</t>
  </si>
  <si>
    <t>Reduction without internal loading</t>
  </si>
  <si>
    <t>Percent of Baseline Loading</t>
  </si>
  <si>
    <t>Nitrogen loading for TMDL baseline, reductions needed,  and reductions expected from restoration and stormwater projects</t>
  </si>
  <si>
    <t>TMDL baseline TN-loading and % (lbs/yr)</t>
  </si>
  <si>
    <t>Stormwater runoff undeveloped land use</t>
  </si>
  <si>
    <t>Percent of TMDL Baseline Loading</t>
  </si>
  <si>
    <t>Forest/rural open</t>
  </si>
  <si>
    <t>Water/wetland</t>
  </si>
  <si>
    <t>Urban open</t>
  </si>
  <si>
    <t>Rangeland</t>
  </si>
  <si>
    <t>Low Density Residential</t>
  </si>
  <si>
    <t>Medium Density Residential</t>
  </si>
  <si>
    <t>High Density Residential</t>
  </si>
  <si>
    <t>Transportation</t>
  </si>
  <si>
    <t>Septic Systems</t>
  </si>
  <si>
    <t>kg/year</t>
  </si>
  <si>
    <t>lbs/year</t>
  </si>
  <si>
    <t>lbs/year rounded</t>
  </si>
  <si>
    <t>Septic systems</t>
  </si>
  <si>
    <t>Orange Lake TP Budget</t>
  </si>
  <si>
    <t>Phosphorus loading for TMDL baseline, reductions needed, and reductions expected from restoration and stormwater projects</t>
  </si>
  <si>
    <t xml:space="preserve">Controllable TMDL baseline % contribution </t>
  </si>
  <si>
    <t>Newnans Lake TP Budget</t>
  </si>
  <si>
    <t xml:space="preserve"> Stormwater runoff from developed uses</t>
  </si>
  <si>
    <t>Stormwater runoff undeveloped land uses</t>
  </si>
  <si>
    <t>Stormwater runoff from developed uses</t>
  </si>
  <si>
    <t>Reduction needed in loading (lbs/yr)</t>
  </si>
  <si>
    <t>Controllable TMDL baseline % contribution</t>
  </si>
  <si>
    <t>Newnans Lake TN</t>
  </si>
  <si>
    <t>Sources of total nitrogen (loading in lbs/yr)</t>
  </si>
  <si>
    <t>TMDL Baseline loading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</si>
</sst>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.0"/>
  </numFmts>
  <fonts count="6" x14ac:knownFonts="1"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1" xfId="0" applyBorder="1"/>
    <xf numFmtId="3" fontId="0" fillId="0" borderId="0" xfId="0" applyNumberForma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vertical="center"/>
    </xf>
    <xf numFmtId="164" fontId="0" fillId="3" borderId="11" xfId="0" applyNumberFormat="1" applyFill="1" applyBorder="1"/>
    <xf numFmtId="3" fontId="0" fillId="0" borderId="11" xfId="0" applyNumberFormat="1" applyFill="1" applyBorder="1"/>
    <xf numFmtId="3" fontId="0" fillId="3" borderId="5" xfId="0" applyNumberFormat="1" applyFill="1" applyBorder="1"/>
    <xf numFmtId="0" fontId="0" fillId="0" borderId="11" xfId="0" applyFill="1" applyBorder="1"/>
    <xf numFmtId="0" fontId="0" fillId="3" borderId="5" xfId="0" applyFill="1" applyBorder="1"/>
    <xf numFmtId="3" fontId="0" fillId="3" borderId="11" xfId="0" applyNumberForma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0" fontId="0" fillId="2" borderId="11" xfId="0" applyFill="1" applyBorder="1"/>
    <xf numFmtId="164" fontId="0" fillId="3" borderId="12" xfId="0" applyNumberFormat="1" applyFill="1" applyBorder="1"/>
    <xf numFmtId="0" fontId="0" fillId="0" borderId="12" xfId="0" applyFill="1" applyBorder="1"/>
    <xf numFmtId="0" fontId="0" fillId="3" borderId="12" xfId="0" applyFill="1" applyBorder="1"/>
    <xf numFmtId="0" fontId="0" fillId="3" borderId="9" xfId="0" applyFill="1" applyBorder="1"/>
    <xf numFmtId="3" fontId="0" fillId="3" borderId="13" xfId="0" applyNumberFormat="1" applyFill="1" applyBorder="1"/>
    <xf numFmtId="0" fontId="0" fillId="0" borderId="13" xfId="0" applyFill="1" applyBorder="1"/>
    <xf numFmtId="164" fontId="0" fillId="3" borderId="13" xfId="0" applyNumberFormat="1" applyFill="1" applyBorder="1"/>
    <xf numFmtId="3" fontId="0" fillId="0" borderId="13" xfId="0" applyNumberFormat="1" applyFill="1" applyBorder="1"/>
    <xf numFmtId="0" fontId="0" fillId="3" borderId="13" xfId="0" applyFill="1" applyBorder="1"/>
    <xf numFmtId="164" fontId="0" fillId="0" borderId="13" xfId="0" applyNumberFormat="1" applyBorder="1"/>
    <xf numFmtId="3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1" fontId="0" fillId="0" borderId="0" xfId="0" applyNumberFormat="1"/>
    <xf numFmtId="0" fontId="0" fillId="0" borderId="2" xfId="0" applyBorder="1" applyAlignment="1">
      <alignment horizontal="center" vertical="center" wrapText="1"/>
    </xf>
    <xf numFmtId="3" fontId="1" fillId="3" borderId="10" xfId="0" applyNumberFormat="1" applyFont="1" applyFill="1" applyBorder="1" applyAlignment="1">
      <alignment horizontal="center" vertical="center" wrapText="1"/>
    </xf>
    <xf numFmtId="3" fontId="1" fillId="4" borderId="10" xfId="0" applyNumberFormat="1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164" fontId="1" fillId="3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4" xfId="0" applyFont="1" applyFill="1" applyBorder="1"/>
    <xf numFmtId="3" fontId="0" fillId="4" borderId="11" xfId="0" applyNumberFormat="1" applyFill="1" applyBorder="1"/>
    <xf numFmtId="0" fontId="3" fillId="0" borderId="4" xfId="0" applyFont="1" applyFill="1" applyBorder="1"/>
    <xf numFmtId="0" fontId="0" fillId="0" borderId="4" xfId="0" applyBorder="1"/>
    <xf numFmtId="3" fontId="2" fillId="3" borderId="11" xfId="0" applyNumberFormat="1" applyFont="1" applyFill="1" applyBorder="1" applyAlignment="1">
      <alignment horizontal="right" vertical="top" wrapText="1"/>
    </xf>
    <xf numFmtId="164" fontId="2" fillId="4" borderId="11" xfId="0" applyNumberFormat="1" applyFont="1" applyFill="1" applyBorder="1" applyAlignment="1">
      <alignment horizontal="right" vertical="top" wrapText="1"/>
    </xf>
    <xf numFmtId="164" fontId="0" fillId="4" borderId="11" xfId="0" applyNumberFormat="1" applyFill="1" applyBorder="1"/>
    <xf numFmtId="0" fontId="1" fillId="0" borderId="4" xfId="0" applyFont="1" applyBorder="1"/>
    <xf numFmtId="165" fontId="0" fillId="3" borderId="11" xfId="0" applyNumberFormat="1" applyFill="1" applyBorder="1"/>
    <xf numFmtId="0" fontId="3" fillId="0" borderId="4" xfId="0" applyFont="1" applyBorder="1"/>
    <xf numFmtId="0" fontId="1" fillId="0" borderId="4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3" fontId="0" fillId="2" borderId="5" xfId="0" applyNumberFormat="1" applyFill="1" applyBorder="1"/>
    <xf numFmtId="0" fontId="0" fillId="0" borderId="4" xfId="0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0" fillId="4" borderId="12" xfId="0" applyFill="1" applyBorder="1"/>
    <xf numFmtId="3" fontId="0" fillId="0" borderId="12" xfId="0" applyNumberFormat="1" applyFill="1" applyBorder="1"/>
    <xf numFmtId="3" fontId="0" fillId="4" borderId="12" xfId="0" applyNumberFormat="1" applyFill="1" applyBorder="1"/>
    <xf numFmtId="3" fontId="0" fillId="3" borderId="12" xfId="0" applyNumberFormat="1" applyFill="1" applyBorder="1"/>
    <xf numFmtId="0" fontId="5" fillId="5" borderId="1" xfId="0" applyFont="1" applyFill="1" applyBorder="1" applyAlignment="1">
      <alignment horizontal="center" vertical="center"/>
    </xf>
    <xf numFmtId="0" fontId="0" fillId="0" borderId="17" xfId="0" applyBorder="1"/>
    <xf numFmtId="0" fontId="4" fillId="0" borderId="4" xfId="0" applyFont="1" applyFill="1" applyBorder="1"/>
    <xf numFmtId="0" fontId="1" fillId="3" borderId="23" xfId="0" applyFont="1" applyFill="1" applyBorder="1" applyAlignment="1">
      <alignment horizontal="center" vertical="center" wrapText="1"/>
    </xf>
    <xf numFmtId="0" fontId="0" fillId="3" borderId="23" xfId="0" applyFill="1" applyBorder="1"/>
    <xf numFmtId="3" fontId="0" fillId="3" borderId="23" xfId="0" applyNumberFormat="1" applyFill="1" applyBorder="1"/>
    <xf numFmtId="3" fontId="0" fillId="2" borderId="23" xfId="0" applyNumberFormat="1" applyFill="1" applyBorder="1"/>
    <xf numFmtId="0" fontId="5" fillId="0" borderId="24" xfId="0" applyFont="1" applyBorder="1" applyAlignment="1">
      <alignment horizontal="center" vertical="center"/>
    </xf>
    <xf numFmtId="0" fontId="1" fillId="0" borderId="26" xfId="0" applyFont="1" applyFill="1" applyBorder="1" applyAlignment="1">
      <alignment horizontal="center"/>
    </xf>
    <xf numFmtId="3" fontId="0" fillId="3" borderId="27" xfId="0" applyNumberFormat="1" applyFill="1" applyBorder="1"/>
    <xf numFmtId="3" fontId="0" fillId="4" borderId="27" xfId="0" applyNumberFormat="1" applyFill="1" applyBorder="1"/>
    <xf numFmtId="0" fontId="0" fillId="0" borderId="27" xfId="0" applyFill="1" applyBorder="1"/>
    <xf numFmtId="164" fontId="0" fillId="3" borderId="27" xfId="0" applyNumberFormat="1" applyFill="1" applyBorder="1"/>
    <xf numFmtId="3" fontId="0" fillId="0" borderId="27" xfId="0" applyNumberFormat="1" applyFill="1" applyBorder="1"/>
    <xf numFmtId="0" fontId="0" fillId="0" borderId="17" xfId="0" applyBorder="1" applyAlignment="1">
      <alignment horizontal="center" vertical="center" wrapText="1"/>
    </xf>
    <xf numFmtId="3" fontId="1" fillId="3" borderId="18" xfId="0" applyNumberFormat="1" applyFont="1" applyFill="1" applyBorder="1" applyAlignment="1">
      <alignment horizontal="center" vertical="center" wrapText="1"/>
    </xf>
    <xf numFmtId="3" fontId="1" fillId="4" borderId="18" xfId="0" applyNumberFormat="1" applyFont="1" applyFill="1" applyBorder="1" applyAlignment="1">
      <alignment horizontal="center" vertical="center" wrapText="1"/>
    </xf>
    <xf numFmtId="3" fontId="1" fillId="0" borderId="18" xfId="0" applyNumberFormat="1" applyFont="1" applyFill="1" applyBorder="1" applyAlignment="1">
      <alignment horizontal="center" vertical="center" wrapText="1"/>
    </xf>
    <xf numFmtId="164" fontId="1" fillId="3" borderId="18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3" fontId="0" fillId="0" borderId="5" xfId="0" applyNumberFormat="1" applyFill="1" applyBorder="1"/>
    <xf numFmtId="165" fontId="0" fillId="0" borderId="5" xfId="0" applyNumberFormat="1" applyFill="1" applyBorder="1"/>
    <xf numFmtId="0" fontId="0" fillId="0" borderId="5" xfId="0" applyFill="1" applyBorder="1"/>
    <xf numFmtId="0" fontId="0" fillId="2" borderId="8" xfId="0" applyFill="1" applyBorder="1" applyAlignment="1">
      <alignment horizontal="center"/>
    </xf>
    <xf numFmtId="3" fontId="0" fillId="2" borderId="12" xfId="0" applyNumberFormat="1" applyFill="1" applyBorder="1"/>
    <xf numFmtId="0" fontId="0" fillId="2" borderId="12" xfId="0" applyFill="1" applyBorder="1"/>
    <xf numFmtId="164" fontId="0" fillId="2" borderId="12" xfId="0" applyNumberFormat="1" applyFill="1" applyBorder="1"/>
    <xf numFmtId="3" fontId="0" fillId="2" borderId="9" xfId="0" applyNumberFormat="1" applyFill="1" applyBorder="1"/>
    <xf numFmtId="3" fontId="0" fillId="6" borderId="0" xfId="0" applyNumberFormat="1" applyFill="1"/>
    <xf numFmtId="0" fontId="0" fillId="7" borderId="13" xfId="0" applyFill="1" applyBorder="1"/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3" fontId="1" fillId="3" borderId="11" xfId="0" applyNumberFormat="1" applyFont="1" applyFill="1" applyBorder="1" applyAlignment="1">
      <alignment horizontal="center" vertical="center" wrapText="1"/>
    </xf>
    <xf numFmtId="3" fontId="1" fillId="7" borderId="11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0" fontId="0" fillId="7" borderId="11" xfId="0" applyNumberFormat="1" applyFill="1" applyBorder="1"/>
    <xf numFmtId="3" fontId="3" fillId="0" borderId="11" xfId="0" applyNumberFormat="1" applyFont="1" applyFill="1" applyBorder="1"/>
    <xf numFmtId="3" fontId="0" fillId="7" borderId="11" xfId="0" applyNumberFormat="1" applyFill="1" applyBorder="1"/>
    <xf numFmtId="0" fontId="3" fillId="2" borderId="4" xfId="0" applyFont="1" applyFill="1" applyBorder="1" applyAlignment="1">
      <alignment horizontal="center"/>
    </xf>
    <xf numFmtId="3" fontId="0" fillId="7" borderId="12" xfId="0" applyNumberFormat="1" applyFill="1" applyBorder="1"/>
    <xf numFmtId="3" fontId="1" fillId="0" borderId="14" xfId="0" applyNumberFormat="1" applyFont="1" applyBorder="1" applyAlignment="1">
      <alignment vertical="center"/>
    </xf>
    <xf numFmtId="3" fontId="1" fillId="0" borderId="15" xfId="0" applyNumberFormat="1" applyFont="1" applyBorder="1" applyAlignment="1">
      <alignment vertical="center"/>
    </xf>
    <xf numFmtId="3" fontId="1" fillId="0" borderId="16" xfId="0" applyNumberFormat="1" applyFont="1" applyBorder="1" applyAlignment="1">
      <alignment vertical="center"/>
    </xf>
    <xf numFmtId="3" fontId="1" fillId="0" borderId="20" xfId="0" applyNumberFormat="1" applyFont="1" applyBorder="1" applyAlignment="1">
      <alignment vertical="center"/>
    </xf>
    <xf numFmtId="3" fontId="1" fillId="0" borderId="21" xfId="0" applyNumberFormat="1" applyFont="1" applyBorder="1" applyAlignment="1">
      <alignment vertical="center"/>
    </xf>
    <xf numFmtId="3" fontId="1" fillId="0" borderId="22" xfId="0" applyNumberFormat="1" applyFont="1" applyBorder="1" applyAlignment="1">
      <alignment vertical="center"/>
    </xf>
    <xf numFmtId="3" fontId="1" fillId="0" borderId="18" xfId="0" applyNumberFormat="1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6</xdr:row>
      <xdr:rowOff>0</xdr:rowOff>
    </xdr:from>
    <xdr:to>
      <xdr:col>32</xdr:col>
      <xdr:colOff>314325</xdr:colOff>
      <xdr:row>35</xdr:row>
      <xdr:rowOff>0</xdr:rowOff>
    </xdr:to>
    <xdr:sp macro="" textlink="">
      <xdr:nvSpPr>
        <xdr:cNvPr id="3" name="WordArt 1"/>
        <xdr:cNvSpPr>
          <a:spLocks noChangeArrowheads="1" noChangeShapeType="1" noTextEdit="1"/>
        </xdr:cNvSpPr>
      </xdr:nvSpPr>
      <xdr:spPr bwMode="auto">
        <a:xfrm>
          <a:off x="18945225" y="3276600"/>
          <a:ext cx="8848725" cy="4810125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Arial Narrow" panose="020B0606020202030204" pitchFamily="34" charset="0"/>
            </a:rPr>
            <a:t>Draft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pane xSplit="1" ySplit="3" topLeftCell="B24" activePane="bottomRight" state="frozen"/>
      <selection pane="topRight" activeCell="B1" sqref="B1"/>
      <selection pane="bottomLeft" activeCell="A4" sqref="A4"/>
      <selection pane="bottomRight" activeCell="H38" sqref="H38"/>
    </sheetView>
  </sheetViews>
  <sheetFormatPr defaultRowHeight="12.75" x14ac:dyDescent="0.2"/>
  <cols>
    <col min="1" max="1" width="41.5703125" customWidth="1"/>
    <col min="2" max="3" width="16.42578125" customWidth="1"/>
    <col min="4" max="4" width="16.5703125" style="5" customWidth="1"/>
    <col min="5" max="5" width="17.7109375" style="5" customWidth="1"/>
    <col min="6" max="6" width="17.140625" style="2" customWidth="1"/>
    <col min="7" max="7" width="18.42578125" style="2" customWidth="1"/>
    <col min="8" max="8" width="18.5703125" customWidth="1"/>
    <col min="9" max="9" width="18.42578125" customWidth="1"/>
  </cols>
  <sheetData>
    <row r="1" spans="1:9" x14ac:dyDescent="0.2">
      <c r="A1" s="1"/>
      <c r="B1" s="99" t="s">
        <v>59</v>
      </c>
      <c r="C1" s="100"/>
      <c r="D1" s="100"/>
      <c r="E1" s="100"/>
      <c r="F1" s="100"/>
      <c r="G1" s="100"/>
      <c r="H1" s="100"/>
      <c r="I1" s="101"/>
    </row>
    <row r="2" spans="1:9" ht="16.5" thickBot="1" x14ac:dyDescent="0.25">
      <c r="A2" s="56" t="s">
        <v>58</v>
      </c>
      <c r="B2" s="102"/>
      <c r="C2" s="103"/>
      <c r="D2" s="103"/>
      <c r="E2" s="103"/>
      <c r="F2" s="103"/>
      <c r="G2" s="103"/>
      <c r="H2" s="103"/>
      <c r="I2" s="104"/>
    </row>
    <row r="3" spans="1:9" s="6" customFormat="1" ht="39" thickTop="1" x14ac:dyDescent="0.2">
      <c r="A3" s="30" t="s">
        <v>21</v>
      </c>
      <c r="B3" s="31" t="s">
        <v>22</v>
      </c>
      <c r="C3" s="32" t="s">
        <v>44</v>
      </c>
      <c r="D3" s="33" t="s">
        <v>31</v>
      </c>
      <c r="E3" s="34" t="s">
        <v>33</v>
      </c>
      <c r="F3" s="33" t="s">
        <v>34</v>
      </c>
      <c r="G3" s="31" t="s">
        <v>23</v>
      </c>
      <c r="H3" s="35" t="s">
        <v>24</v>
      </c>
      <c r="I3" s="36" t="s">
        <v>25</v>
      </c>
    </row>
    <row r="4" spans="1:9" x14ac:dyDescent="0.2">
      <c r="A4" s="44" t="s">
        <v>43</v>
      </c>
      <c r="B4" s="12">
        <f>SUM(B5:B8)</f>
        <v>3962</v>
      </c>
      <c r="C4" s="43">
        <f>B4/B$29</f>
        <v>0.14208355746817286</v>
      </c>
      <c r="D4" s="8">
        <v>0</v>
      </c>
      <c r="E4" s="7">
        <f>D4/(B$29-B$4-B$16-B$23)</f>
        <v>0</v>
      </c>
      <c r="F4" s="8"/>
      <c r="G4" s="84"/>
      <c r="H4" s="8">
        <f>B4+G4</f>
        <v>3962</v>
      </c>
      <c r="I4" s="9"/>
    </row>
    <row r="5" spans="1:9" x14ac:dyDescent="0.2">
      <c r="A5" s="46" t="s">
        <v>29</v>
      </c>
      <c r="B5" s="12"/>
      <c r="C5" s="43"/>
      <c r="D5" s="8"/>
      <c r="E5" s="7"/>
      <c r="F5" s="8"/>
      <c r="G5" s="45"/>
      <c r="H5" s="8"/>
      <c r="I5" s="9"/>
    </row>
    <row r="6" spans="1:9" x14ac:dyDescent="0.2">
      <c r="A6" s="40" t="s">
        <v>28</v>
      </c>
      <c r="B6" s="12">
        <v>600</v>
      </c>
      <c r="C6" s="43">
        <f t="shared" ref="C6:C8" si="0">B6/B$29</f>
        <v>2.151694459386767E-2</v>
      </c>
      <c r="D6" s="8">
        <v>0</v>
      </c>
      <c r="E6" s="7">
        <v>0</v>
      </c>
      <c r="F6" s="8">
        <f>E6*($B$31)</f>
        <v>0</v>
      </c>
      <c r="G6" s="45"/>
      <c r="H6" s="8"/>
      <c r="I6" s="9"/>
    </row>
    <row r="7" spans="1:9" x14ac:dyDescent="0.2">
      <c r="A7" s="40" t="s">
        <v>6</v>
      </c>
      <c r="B7" s="12">
        <v>24</v>
      </c>
      <c r="C7" s="43">
        <f t="shared" si="0"/>
        <v>8.6067778375470687E-4</v>
      </c>
      <c r="D7" s="8">
        <v>0</v>
      </c>
      <c r="E7" s="7">
        <v>0</v>
      </c>
      <c r="F7" s="8">
        <f t="shared" ref="F7:F24" si="1">E7*($B$31)</f>
        <v>0</v>
      </c>
      <c r="G7" s="45"/>
      <c r="H7" s="8"/>
      <c r="I7" s="9"/>
    </row>
    <row r="8" spans="1:9" x14ac:dyDescent="0.2">
      <c r="A8" s="40" t="s">
        <v>7</v>
      </c>
      <c r="B8" s="12">
        <v>3338</v>
      </c>
      <c r="C8" s="43">
        <f t="shared" si="0"/>
        <v>0.11970593509055047</v>
      </c>
      <c r="D8" s="8">
        <v>0</v>
      </c>
      <c r="E8" s="7">
        <v>0</v>
      </c>
      <c r="F8" s="8">
        <f t="shared" si="1"/>
        <v>0</v>
      </c>
      <c r="G8" s="45"/>
      <c r="H8" s="8"/>
      <c r="I8" s="9"/>
    </row>
    <row r="9" spans="1:9" x14ac:dyDescent="0.2">
      <c r="A9" s="44" t="s">
        <v>62</v>
      </c>
      <c r="B9" s="12">
        <f>SUM(B10:B14)</f>
        <v>934</v>
      </c>
      <c r="C9" s="43">
        <f>B9/B$29</f>
        <v>3.3494710417787343E-2</v>
      </c>
      <c r="D9" s="8">
        <f>B9</f>
        <v>934</v>
      </c>
      <c r="E9" s="7">
        <f>D9/(B$29-B$4-B$16-B$23)</f>
        <v>4.4514345629587268E-2</v>
      </c>
      <c r="F9" s="8">
        <f>SUM(F10:F14)</f>
        <v>561.90458488228001</v>
      </c>
      <c r="G9" s="45">
        <v>-54</v>
      </c>
      <c r="H9" s="8">
        <f>B9+G9</f>
        <v>880</v>
      </c>
      <c r="I9" s="9"/>
    </row>
    <row r="10" spans="1:9" x14ac:dyDescent="0.2">
      <c r="A10" s="40" t="s">
        <v>8</v>
      </c>
      <c r="B10" s="12">
        <v>97</v>
      </c>
      <c r="C10" s="43">
        <f t="shared" ref="C10:C14" si="2">B10/B$29</f>
        <v>3.4785727093419403E-3</v>
      </c>
      <c r="D10" s="8">
        <f t="shared" ref="D10:D15" si="3">B10</f>
        <v>97</v>
      </c>
      <c r="E10" s="7">
        <f>D10/(B$29-B$4-B$16-B$23)</f>
        <v>4.6230101992183774E-3</v>
      </c>
      <c r="F10" s="8">
        <f t="shared" si="1"/>
        <v>58.356257744733576</v>
      </c>
      <c r="G10" s="45"/>
      <c r="H10" s="10"/>
      <c r="I10" s="9"/>
    </row>
    <row r="11" spans="1:9" x14ac:dyDescent="0.2">
      <c r="A11" s="40" t="s">
        <v>9</v>
      </c>
      <c r="B11" s="12">
        <v>439</v>
      </c>
      <c r="C11" s="43">
        <f t="shared" si="2"/>
        <v>1.5743231127846511E-2</v>
      </c>
      <c r="D11" s="8">
        <f t="shared" si="3"/>
        <v>439</v>
      </c>
      <c r="E11" s="7">
        <f>D11/(B$29-B$4-B$16-B$23)</f>
        <v>2.0922695643885235E-2</v>
      </c>
      <c r="F11" s="8">
        <f t="shared" si="1"/>
        <v>264.10718711276331</v>
      </c>
      <c r="G11" s="45"/>
      <c r="H11" s="10"/>
      <c r="I11" s="9"/>
    </row>
    <row r="12" spans="1:9" x14ac:dyDescent="0.2">
      <c r="A12" s="40" t="s">
        <v>10</v>
      </c>
      <c r="B12" s="12">
        <v>185</v>
      </c>
      <c r="C12" s="43">
        <f t="shared" si="2"/>
        <v>6.6343912497758648E-3</v>
      </c>
      <c r="D12" s="8">
        <f t="shared" si="3"/>
        <v>185</v>
      </c>
      <c r="E12" s="7">
        <f>D12/(B$29-B$4-B$16-B$23)</f>
        <v>8.8170813077876279E-3</v>
      </c>
      <c r="F12" s="8">
        <f t="shared" si="1"/>
        <v>111.29801734820323</v>
      </c>
      <c r="G12" s="45"/>
      <c r="H12" s="10"/>
      <c r="I12" s="9"/>
    </row>
    <row r="13" spans="1:9" x14ac:dyDescent="0.2">
      <c r="A13" s="40" t="s">
        <v>11</v>
      </c>
      <c r="B13" s="12">
        <v>4</v>
      </c>
      <c r="C13" s="43">
        <f t="shared" si="2"/>
        <v>1.4344629729245114E-4</v>
      </c>
      <c r="D13" s="8">
        <f t="shared" si="3"/>
        <v>4</v>
      </c>
      <c r="E13" s="7">
        <f t="shared" ref="E13" si="4">B13/(B$29-B$4-B$16-B$23)</f>
        <v>1.9063959584405681E-4</v>
      </c>
      <c r="F13" s="8">
        <f t="shared" si="1"/>
        <v>2.4064436183395292</v>
      </c>
      <c r="G13" s="45"/>
      <c r="H13" s="10"/>
      <c r="I13" s="9"/>
    </row>
    <row r="14" spans="1:9" x14ac:dyDescent="0.2">
      <c r="A14" s="40" t="s">
        <v>12</v>
      </c>
      <c r="B14" s="12">
        <v>209</v>
      </c>
      <c r="C14" s="43">
        <f t="shared" si="2"/>
        <v>7.4950690335305716E-3</v>
      </c>
      <c r="D14" s="8">
        <f t="shared" si="3"/>
        <v>209</v>
      </c>
      <c r="E14" s="7">
        <f>D14/(B$29-B$4-B$16-B$23)</f>
        <v>9.9609188828519678E-3</v>
      </c>
      <c r="F14" s="8">
        <f t="shared" si="1"/>
        <v>125.73667905824038</v>
      </c>
      <c r="G14" s="45"/>
      <c r="H14" s="10"/>
      <c r="I14" s="9"/>
    </row>
    <row r="15" spans="1:9" x14ac:dyDescent="0.2">
      <c r="A15" s="44" t="s">
        <v>38</v>
      </c>
      <c r="B15" s="12">
        <v>5987</v>
      </c>
      <c r="C15" s="43">
        <f>B15/B$29</f>
        <v>0.21470324547247624</v>
      </c>
      <c r="D15" s="8">
        <f t="shared" si="3"/>
        <v>5987</v>
      </c>
      <c r="E15" s="7">
        <f>D15/(B$29-B$4-B$16-B$23)</f>
        <v>0.28533981507959205</v>
      </c>
      <c r="F15" s="8">
        <f t="shared" si="1"/>
        <v>3601.8444857496906</v>
      </c>
      <c r="G15" s="45"/>
      <c r="H15" s="8">
        <f>B15+G15</f>
        <v>5987</v>
      </c>
      <c r="I15" s="9"/>
    </row>
    <row r="16" spans="1:9" x14ac:dyDescent="0.2">
      <c r="A16" s="37" t="s">
        <v>0</v>
      </c>
      <c r="B16" s="41">
        <v>2941</v>
      </c>
      <c r="C16" s="43">
        <f>B16/B$29</f>
        <v>0.10546889008427469</v>
      </c>
      <c r="D16" s="10">
        <v>0</v>
      </c>
      <c r="E16" s="7">
        <v>0</v>
      </c>
      <c r="F16" s="8">
        <f t="shared" si="1"/>
        <v>0</v>
      </c>
      <c r="G16" s="45"/>
      <c r="H16" s="8">
        <f>B16+G16</f>
        <v>2941</v>
      </c>
      <c r="I16" s="9"/>
    </row>
    <row r="17" spans="1:9" x14ac:dyDescent="0.2">
      <c r="A17" s="37" t="s">
        <v>1</v>
      </c>
      <c r="B17" s="12">
        <f>SUM(B20:B21)</f>
        <v>13671</v>
      </c>
      <c r="C17" s="43">
        <f>B17/B$29</f>
        <v>0.49026358257127489</v>
      </c>
      <c r="D17" s="10">
        <f>SUM(D18:D22)</f>
        <v>13671</v>
      </c>
      <c r="E17" s="7">
        <f>D17/(B$29-B$4-B$16-B$23)</f>
        <v>0.65155847869602512</v>
      </c>
      <c r="F17" s="8">
        <f>SUM(F20:F21)</f>
        <v>8224.6226765799256</v>
      </c>
      <c r="G17" s="45"/>
      <c r="H17" s="8">
        <f>B17+G17</f>
        <v>13671</v>
      </c>
      <c r="I17" s="9"/>
    </row>
    <row r="18" spans="1:9" x14ac:dyDescent="0.2">
      <c r="A18" s="40" t="s">
        <v>13</v>
      </c>
      <c r="B18" s="41"/>
      <c r="C18" s="42"/>
      <c r="D18" s="10"/>
      <c r="E18" s="7">
        <f t="shared" ref="E18:E23" si="5">B18/(B$29-B$4-B$16-B$23)</f>
        <v>0</v>
      </c>
      <c r="F18" s="8"/>
      <c r="G18" s="45"/>
      <c r="H18" s="10"/>
      <c r="I18" s="9"/>
    </row>
    <row r="19" spans="1:9" x14ac:dyDescent="0.2">
      <c r="A19" s="40" t="s">
        <v>14</v>
      </c>
      <c r="B19" s="12"/>
      <c r="C19" s="43"/>
      <c r="D19" s="10"/>
      <c r="E19" s="7">
        <f t="shared" si="5"/>
        <v>0</v>
      </c>
      <c r="F19" s="8"/>
      <c r="G19" s="45"/>
      <c r="H19" s="10"/>
      <c r="I19" s="9"/>
    </row>
    <row r="20" spans="1:9" x14ac:dyDescent="0.2">
      <c r="A20" s="40" t="s">
        <v>18</v>
      </c>
      <c r="B20" s="41">
        <v>10344</v>
      </c>
      <c r="C20" s="43">
        <f>B20/B$29</f>
        <v>0.37095212479827866</v>
      </c>
      <c r="D20" s="8">
        <f>B20</f>
        <v>10344</v>
      </c>
      <c r="E20" s="7">
        <f>D20/(B$29-B$4-B$16-B$23)</f>
        <v>0.49299399485273093</v>
      </c>
      <c r="F20" s="8">
        <f t="shared" si="1"/>
        <v>6223.0631970260229</v>
      </c>
      <c r="G20" s="45"/>
      <c r="H20" s="10"/>
      <c r="I20" s="9"/>
    </row>
    <row r="21" spans="1:9" x14ac:dyDescent="0.2">
      <c r="A21" s="40" t="s">
        <v>19</v>
      </c>
      <c r="B21" s="12">
        <v>3327</v>
      </c>
      <c r="C21" s="43">
        <f>B21/B$29</f>
        <v>0.11931145777299623</v>
      </c>
      <c r="D21" s="8">
        <f>B21</f>
        <v>3327</v>
      </c>
      <c r="E21" s="7">
        <f>D21/(B$29-B$4-B$16-B$23)</f>
        <v>0.15856448384329425</v>
      </c>
      <c r="F21" s="8">
        <f t="shared" si="1"/>
        <v>2001.5594795539032</v>
      </c>
      <c r="G21" s="45"/>
      <c r="H21" s="10"/>
      <c r="I21" s="9"/>
    </row>
    <row r="22" spans="1:9" x14ac:dyDescent="0.2">
      <c r="A22" s="40" t="s">
        <v>20</v>
      </c>
      <c r="B22" s="12"/>
      <c r="C22" s="43"/>
      <c r="D22" s="10"/>
      <c r="E22" s="7">
        <f t="shared" si="5"/>
        <v>0</v>
      </c>
      <c r="F22" s="8"/>
      <c r="G22" s="45"/>
      <c r="H22" s="10"/>
      <c r="I22" s="9"/>
    </row>
    <row r="23" spans="1:9" x14ac:dyDescent="0.2">
      <c r="A23" s="44" t="s">
        <v>3</v>
      </c>
      <c r="B23" s="12">
        <v>0</v>
      </c>
      <c r="C23" s="43"/>
      <c r="D23" s="10">
        <v>0</v>
      </c>
      <c r="E23" s="7">
        <f t="shared" si="5"/>
        <v>0</v>
      </c>
      <c r="F23" s="8"/>
      <c r="G23" s="45"/>
      <c r="H23" s="8">
        <f>B23+G23</f>
        <v>0</v>
      </c>
      <c r="I23" s="9"/>
    </row>
    <row r="24" spans="1:9" x14ac:dyDescent="0.2">
      <c r="A24" s="37" t="s">
        <v>57</v>
      </c>
      <c r="B24" s="41">
        <v>390</v>
      </c>
      <c r="C24" s="43">
        <f>B24/B$29</f>
        <v>1.3986013986013986E-2</v>
      </c>
      <c r="D24" s="8">
        <f>B24</f>
        <v>390</v>
      </c>
      <c r="E24" s="7">
        <f>D24/(B$29-B$4-B$16-B$23)</f>
        <v>1.858736059479554E-2</v>
      </c>
      <c r="F24" s="8">
        <f t="shared" si="1"/>
        <v>234.62825278810411</v>
      </c>
      <c r="G24" s="45"/>
      <c r="H24" s="8">
        <f>B24+G24</f>
        <v>390</v>
      </c>
      <c r="I24" s="9"/>
    </row>
    <row r="25" spans="1:9" x14ac:dyDescent="0.2">
      <c r="A25" s="44" t="s">
        <v>15</v>
      </c>
      <c r="B25" s="12">
        <v>0</v>
      </c>
      <c r="C25" s="43"/>
      <c r="D25" s="10">
        <v>0</v>
      </c>
      <c r="E25" s="7"/>
      <c r="F25" s="8"/>
      <c r="G25" s="45"/>
      <c r="H25" s="8">
        <f>B25+G25</f>
        <v>0</v>
      </c>
      <c r="I25" s="9"/>
    </row>
    <row r="26" spans="1:9" x14ac:dyDescent="0.2">
      <c r="A26" s="44"/>
      <c r="B26" s="12"/>
      <c r="C26" s="43"/>
      <c r="D26" s="10"/>
      <c r="E26" s="7"/>
      <c r="F26" s="8"/>
      <c r="G26" s="45"/>
      <c r="H26" s="10"/>
      <c r="I26" s="9"/>
    </row>
    <row r="27" spans="1:9" x14ac:dyDescent="0.2">
      <c r="A27" s="44"/>
      <c r="B27" s="12"/>
      <c r="C27" s="43"/>
      <c r="D27" s="10"/>
      <c r="E27" s="7"/>
      <c r="F27" s="8"/>
      <c r="G27" s="12"/>
      <c r="H27" s="10"/>
      <c r="I27" s="11"/>
    </row>
    <row r="28" spans="1:9" x14ac:dyDescent="0.2">
      <c r="A28" s="47" t="s">
        <v>5</v>
      </c>
      <c r="B28" s="12"/>
      <c r="C28" s="38"/>
      <c r="D28" s="10"/>
      <c r="E28" s="7"/>
      <c r="F28" s="8"/>
      <c r="G28" s="12"/>
      <c r="H28" s="10"/>
      <c r="I28" s="11"/>
    </row>
    <row r="29" spans="1:9" x14ac:dyDescent="0.2">
      <c r="A29" s="48" t="s">
        <v>32</v>
      </c>
      <c r="B29" s="13">
        <f>+B4+B9+B15+B16+B17+B23+B24+B25</f>
        <v>27885</v>
      </c>
      <c r="C29" s="43">
        <f>C4+C9+C15+C16+C17+C23+C24+C25</f>
        <v>1</v>
      </c>
      <c r="D29" s="13">
        <f>+D9+D15+D17+D24</f>
        <v>20982</v>
      </c>
      <c r="E29" s="14">
        <f>+E9+E15+E17+E24</f>
        <v>1</v>
      </c>
      <c r="F29" s="13">
        <f>F9+F15+F17+F24</f>
        <v>12623</v>
      </c>
      <c r="G29" s="13">
        <f>G9</f>
        <v>-54</v>
      </c>
      <c r="H29" s="13">
        <f>H4+H9+H15+H16+H17+H23+H24+H25</f>
        <v>27831</v>
      </c>
      <c r="I29" s="49"/>
    </row>
    <row r="30" spans="1:9" x14ac:dyDescent="0.2">
      <c r="A30" s="50" t="s">
        <v>16</v>
      </c>
      <c r="B30" s="12">
        <v>15262</v>
      </c>
      <c r="C30" s="38"/>
      <c r="D30" s="10"/>
      <c r="E30" s="7"/>
      <c r="F30" s="8"/>
      <c r="G30" s="12"/>
      <c r="H30" s="8">
        <f>B30</f>
        <v>15262</v>
      </c>
      <c r="I30" s="9"/>
    </row>
    <row r="31" spans="1:9" x14ac:dyDescent="0.2">
      <c r="A31" s="48" t="s">
        <v>17</v>
      </c>
      <c r="B31" s="13">
        <f>B29-B30</f>
        <v>12623</v>
      </c>
      <c r="C31" s="38"/>
      <c r="D31" s="15"/>
      <c r="E31" s="14"/>
      <c r="F31" s="13"/>
      <c r="G31" s="13"/>
      <c r="H31" s="13">
        <f>H29-H30</f>
        <v>12569</v>
      </c>
      <c r="I31" s="49"/>
    </row>
    <row r="32" spans="1:9" ht="13.5" thickBot="1" x14ac:dyDescent="0.25">
      <c r="A32" s="51"/>
      <c r="B32" s="18"/>
      <c r="C32" s="52"/>
      <c r="D32" s="17"/>
      <c r="E32" s="16"/>
      <c r="F32" s="53"/>
      <c r="G32" s="55"/>
      <c r="H32" s="17"/>
      <c r="I32" s="19"/>
    </row>
    <row r="35" spans="1:4" x14ac:dyDescent="0.2">
      <c r="B35" s="27" t="s">
        <v>54</v>
      </c>
      <c r="C35" s="27" t="s">
        <v>55</v>
      </c>
      <c r="D35" s="28" t="s">
        <v>56</v>
      </c>
    </row>
    <row r="36" spans="1:4" x14ac:dyDescent="0.2">
      <c r="A36" s="27" t="s">
        <v>45</v>
      </c>
      <c r="B36">
        <v>272</v>
      </c>
      <c r="C36">
        <f>B36*2.20462262185</f>
        <v>599.6573531432</v>
      </c>
      <c r="D36" s="29">
        <f>C36</f>
        <v>599.6573531432</v>
      </c>
    </row>
    <row r="37" spans="1:4" x14ac:dyDescent="0.2">
      <c r="A37" s="27" t="s">
        <v>46</v>
      </c>
      <c r="B37">
        <v>1514</v>
      </c>
      <c r="C37">
        <f t="shared" ref="C37:C48" si="6">B37*2.20462262185</f>
        <v>3337.7986494809002</v>
      </c>
      <c r="D37" s="29">
        <f t="shared" ref="D37:D48" si="7">C37</f>
        <v>3337.7986494809002</v>
      </c>
    </row>
    <row r="38" spans="1:4" x14ac:dyDescent="0.2">
      <c r="A38" s="27" t="s">
        <v>47</v>
      </c>
      <c r="B38">
        <v>44</v>
      </c>
      <c r="C38">
        <f t="shared" si="6"/>
        <v>97.003395361399996</v>
      </c>
      <c r="D38" s="29">
        <f t="shared" si="7"/>
        <v>97.003395361399996</v>
      </c>
    </row>
    <row r="39" spans="1:4" x14ac:dyDescent="0.2">
      <c r="A39" s="27" t="s">
        <v>38</v>
      </c>
      <c r="B39">
        <v>2715</v>
      </c>
      <c r="C39">
        <f t="shared" si="6"/>
        <v>5985.5504183227504</v>
      </c>
      <c r="D39" s="29">
        <f t="shared" si="7"/>
        <v>5985.5504183227504</v>
      </c>
    </row>
    <row r="40" spans="1:4" x14ac:dyDescent="0.2">
      <c r="A40" s="27" t="s">
        <v>48</v>
      </c>
      <c r="B40">
        <v>11</v>
      </c>
      <c r="C40">
        <f t="shared" si="6"/>
        <v>24.250848840349999</v>
      </c>
      <c r="D40" s="29">
        <f t="shared" si="7"/>
        <v>24.250848840349999</v>
      </c>
    </row>
    <row r="41" spans="1:4" x14ac:dyDescent="0.2">
      <c r="A41" s="27" t="s">
        <v>49</v>
      </c>
      <c r="B41">
        <v>199</v>
      </c>
      <c r="C41">
        <f t="shared" si="6"/>
        <v>438.71990174814999</v>
      </c>
      <c r="D41" s="29">
        <f t="shared" si="7"/>
        <v>438.71990174814999</v>
      </c>
    </row>
    <row r="42" spans="1:4" x14ac:dyDescent="0.2">
      <c r="A42" s="27" t="s">
        <v>50</v>
      </c>
      <c r="B42">
        <v>84</v>
      </c>
      <c r="C42">
        <f t="shared" si="6"/>
        <v>185.18830023539999</v>
      </c>
      <c r="D42" s="29">
        <f t="shared" si="7"/>
        <v>185.18830023539999</v>
      </c>
    </row>
    <row r="43" spans="1:4" x14ac:dyDescent="0.2">
      <c r="A43" s="27" t="s">
        <v>51</v>
      </c>
      <c r="B43">
        <v>2</v>
      </c>
      <c r="C43">
        <f t="shared" si="6"/>
        <v>4.4092452437</v>
      </c>
      <c r="D43" s="29">
        <f t="shared" si="7"/>
        <v>4.4092452437</v>
      </c>
    </row>
    <row r="44" spans="1:4" x14ac:dyDescent="0.2">
      <c r="A44" s="27" t="s">
        <v>52</v>
      </c>
      <c r="B44">
        <v>95</v>
      </c>
      <c r="C44">
        <f t="shared" si="6"/>
        <v>209.43914907575001</v>
      </c>
      <c r="D44" s="29">
        <f t="shared" si="7"/>
        <v>209.43914907575001</v>
      </c>
    </row>
    <row r="45" spans="1:4" x14ac:dyDescent="0.2">
      <c r="A45" s="27" t="s">
        <v>53</v>
      </c>
      <c r="B45">
        <v>177</v>
      </c>
      <c r="C45">
        <f t="shared" si="6"/>
        <v>390.21820406745002</v>
      </c>
      <c r="D45" s="29">
        <f t="shared" si="7"/>
        <v>390.21820406745002</v>
      </c>
    </row>
    <row r="46" spans="1:4" x14ac:dyDescent="0.2">
      <c r="A46" s="27" t="s">
        <v>26</v>
      </c>
      <c r="B46">
        <v>4692</v>
      </c>
      <c r="C46">
        <f t="shared" si="6"/>
        <v>10344.089341720201</v>
      </c>
      <c r="D46" s="29">
        <f t="shared" si="7"/>
        <v>10344.089341720201</v>
      </c>
    </row>
    <row r="47" spans="1:4" x14ac:dyDescent="0.2">
      <c r="A47" s="27" t="s">
        <v>27</v>
      </c>
      <c r="B47">
        <v>1509</v>
      </c>
      <c r="C47">
        <f t="shared" si="6"/>
        <v>3326.7755363716501</v>
      </c>
      <c r="D47" s="29">
        <f t="shared" si="7"/>
        <v>3326.7755363716501</v>
      </c>
    </row>
    <row r="48" spans="1:4" x14ac:dyDescent="0.2">
      <c r="A48" s="27" t="s">
        <v>35</v>
      </c>
      <c r="B48">
        <v>1334</v>
      </c>
      <c r="C48">
        <f t="shared" si="6"/>
        <v>2940.9665775479002</v>
      </c>
      <c r="D48" s="29">
        <f t="shared" si="7"/>
        <v>2940.9665775479002</v>
      </c>
    </row>
  </sheetData>
  <mergeCells count="1">
    <mergeCell ref="B1:I2"/>
  </mergeCells>
  <phoneticPr fontId="0" type="noConversion"/>
  <printOptions gridLines="1"/>
  <pageMargins left="0.5" right="0.5" top="1" bottom="0.75" header="0.5" footer="0.5"/>
  <pageSetup scale="70" pageOrder="overThenDown" orientation="landscape" r:id="rId1"/>
  <headerFooter alignWithMargins="0">
    <oddHeader>&amp;L&amp;"Arial,Bold"&amp;14Draft Orange Lake - Summary of phosphorus reduction goals and anticipated reductions from restoration, acquisition, and stormwater projects</oddHeader>
    <oddFooter xml:space="preserve">&amp;L*   OCB TMDL baseline loadings from data collected 1996-2000.
**  fraction of total controllable load, not fraction of baseline TMDL load
&amp;CFDEP February 24, 2016&amp;R&amp;"Arial,Bold"&amp;14Draft&amp;"Arial,Italic"
&amp;12 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20" workbookViewId="0">
      <selection activeCell="C39" sqref="C39"/>
    </sheetView>
  </sheetViews>
  <sheetFormatPr defaultRowHeight="12.75" x14ac:dyDescent="0.2"/>
  <cols>
    <col min="1" max="1" width="44.28515625" customWidth="1"/>
    <col min="2" max="3" width="16.140625" customWidth="1"/>
    <col min="4" max="4" width="15.42578125" customWidth="1"/>
    <col min="5" max="5" width="16.140625" customWidth="1"/>
    <col min="6" max="6" width="16.5703125" customWidth="1"/>
    <col min="7" max="7" width="15.85546875" customWidth="1"/>
    <col min="8" max="8" width="15.7109375" customWidth="1"/>
    <col min="9" max="9" width="13.5703125" customWidth="1"/>
  </cols>
  <sheetData>
    <row r="1" spans="1:9" x14ac:dyDescent="0.2">
      <c r="A1" s="57"/>
      <c r="B1" s="105" t="s">
        <v>30</v>
      </c>
      <c r="C1" s="105"/>
      <c r="D1" s="106"/>
      <c r="E1" s="106"/>
      <c r="F1" s="106"/>
      <c r="G1" s="106"/>
      <c r="H1" s="106"/>
      <c r="I1" s="107"/>
    </row>
    <row r="2" spans="1:9" ht="16.5" thickBot="1" x14ac:dyDescent="0.25">
      <c r="A2" s="63" t="s">
        <v>61</v>
      </c>
      <c r="B2" s="108"/>
      <c r="C2" s="108"/>
      <c r="D2" s="108"/>
      <c r="E2" s="108"/>
      <c r="F2" s="108"/>
      <c r="G2" s="108"/>
      <c r="H2" s="108"/>
      <c r="I2" s="109"/>
    </row>
    <row r="3" spans="1:9" ht="54" customHeight="1" x14ac:dyDescent="0.2">
      <c r="A3" s="70" t="s">
        <v>21</v>
      </c>
      <c r="B3" s="71" t="s">
        <v>22</v>
      </c>
      <c r="C3" s="72" t="s">
        <v>40</v>
      </c>
      <c r="D3" s="73" t="s">
        <v>31</v>
      </c>
      <c r="E3" s="74" t="s">
        <v>60</v>
      </c>
      <c r="F3" s="73" t="s">
        <v>34</v>
      </c>
      <c r="G3" s="71" t="s">
        <v>23</v>
      </c>
      <c r="H3" s="75" t="s">
        <v>24</v>
      </c>
      <c r="I3" s="59" t="s">
        <v>25</v>
      </c>
    </row>
    <row r="4" spans="1:9" x14ac:dyDescent="0.2">
      <c r="A4" s="37" t="s">
        <v>2</v>
      </c>
      <c r="B4" s="12">
        <v>145</v>
      </c>
      <c r="C4" s="43">
        <f>B4/B$31</f>
        <v>5.6574326960593052E-3</v>
      </c>
      <c r="D4" s="10">
        <v>145</v>
      </c>
      <c r="E4" s="7">
        <f>D4/(B$31-B$7-B$19-B$26)</f>
        <v>7.224713502740409E-3</v>
      </c>
      <c r="F4" s="8">
        <f>E4*($B$33)</f>
        <v>106.24663677130046</v>
      </c>
      <c r="G4" s="12"/>
      <c r="H4" s="76">
        <f>B4+G4</f>
        <v>145</v>
      </c>
      <c r="I4" s="60"/>
    </row>
    <row r="5" spans="1:9" x14ac:dyDescent="0.2">
      <c r="A5" s="58" t="s">
        <v>36</v>
      </c>
      <c r="B5" s="12"/>
      <c r="C5" s="43"/>
      <c r="D5" s="8"/>
      <c r="E5" s="7"/>
      <c r="F5" s="8"/>
      <c r="G5" s="12"/>
      <c r="H5" s="76"/>
      <c r="I5" s="61"/>
    </row>
    <row r="6" spans="1:9" x14ac:dyDescent="0.2">
      <c r="A6" s="39" t="s">
        <v>37</v>
      </c>
      <c r="B6" s="12">
        <v>145</v>
      </c>
      <c r="C6" s="43">
        <f>B6/B$31</f>
        <v>5.6574326960593052E-3</v>
      </c>
      <c r="D6" s="8">
        <v>145</v>
      </c>
      <c r="E6" s="7">
        <f>D6/(B$31-B$7-B$19-B$26)</f>
        <v>7.224713502740409E-3</v>
      </c>
      <c r="F6" s="8">
        <f>E6*($B$33)</f>
        <v>106.24663677130046</v>
      </c>
      <c r="G6" s="12"/>
      <c r="H6" s="76">
        <f>B6+G6</f>
        <v>145</v>
      </c>
      <c r="I6" s="61"/>
    </row>
    <row r="7" spans="1:9" x14ac:dyDescent="0.2">
      <c r="A7" s="44" t="s">
        <v>63</v>
      </c>
      <c r="B7" s="12">
        <f>SUM(B9:B11)</f>
        <v>1823</v>
      </c>
      <c r="C7" s="43">
        <f>B7/B$31</f>
        <v>7.1127584861490442E-2</v>
      </c>
      <c r="D7" s="8">
        <v>0</v>
      </c>
      <c r="E7" s="7">
        <f>D7/(B$31-B$7-B$19-B$26)</f>
        <v>0</v>
      </c>
      <c r="F7" s="8">
        <v>0</v>
      </c>
      <c r="G7" s="45"/>
      <c r="H7" s="76">
        <f>B7+G7</f>
        <v>1823</v>
      </c>
      <c r="I7" s="61"/>
    </row>
    <row r="8" spans="1:9" x14ac:dyDescent="0.2">
      <c r="A8" s="46" t="s">
        <v>29</v>
      </c>
      <c r="B8" s="12"/>
      <c r="C8" s="43"/>
      <c r="D8" s="8"/>
      <c r="E8" s="7"/>
      <c r="F8" s="8"/>
      <c r="G8" s="45"/>
      <c r="H8" s="76"/>
      <c r="I8" s="61"/>
    </row>
    <row r="9" spans="1:9" x14ac:dyDescent="0.2">
      <c r="A9" s="40" t="s">
        <v>28</v>
      </c>
      <c r="B9" s="12">
        <v>329</v>
      </c>
      <c r="C9" s="43">
        <f t="shared" ref="C9:C22" si="0">B9/B$31</f>
        <v>1.2836519703472493E-2</v>
      </c>
      <c r="D9" s="8">
        <v>0</v>
      </c>
      <c r="E9" s="7"/>
      <c r="F9" s="8">
        <f>E9*($B$33)</f>
        <v>0</v>
      </c>
      <c r="G9" s="45"/>
      <c r="H9" s="76"/>
      <c r="I9" s="61"/>
    </row>
    <row r="10" spans="1:9" x14ac:dyDescent="0.2">
      <c r="A10" s="40" t="s">
        <v>6</v>
      </c>
      <c r="B10" s="12">
        <v>95</v>
      </c>
      <c r="C10" s="43">
        <f t="shared" si="0"/>
        <v>3.7065938353492002E-3</v>
      </c>
      <c r="D10" s="8">
        <v>0</v>
      </c>
      <c r="E10" s="7"/>
      <c r="F10" s="8">
        <f>E10*($B$33)</f>
        <v>0</v>
      </c>
      <c r="G10" s="45"/>
      <c r="H10" s="76"/>
      <c r="I10" s="61"/>
    </row>
    <row r="11" spans="1:9" x14ac:dyDescent="0.2">
      <c r="A11" s="40" t="s">
        <v>7</v>
      </c>
      <c r="B11" s="12">
        <v>1399</v>
      </c>
      <c r="C11" s="43">
        <f t="shared" si="0"/>
        <v>5.4584471322668748E-2</v>
      </c>
      <c r="D11" s="8">
        <v>0</v>
      </c>
      <c r="E11" s="7"/>
      <c r="F11" s="8">
        <f>E11*($B$33)</f>
        <v>0</v>
      </c>
      <c r="G11" s="45"/>
      <c r="H11" s="76"/>
      <c r="I11" s="61"/>
    </row>
    <row r="12" spans="1:9" x14ac:dyDescent="0.2">
      <c r="A12" s="44" t="s">
        <v>64</v>
      </c>
      <c r="B12" s="12">
        <f>SUM(B13:B17)</f>
        <v>447</v>
      </c>
      <c r="C12" s="43">
        <f t="shared" si="0"/>
        <v>1.7440499414748342E-2</v>
      </c>
      <c r="D12" s="10">
        <v>447</v>
      </c>
      <c r="E12" s="7">
        <f t="shared" ref="E12:E18" si="1">D12/(B$31-B$7-B$19-B$26)</f>
        <v>2.2272047832585948E-2</v>
      </c>
      <c r="F12" s="8">
        <f t="shared" ref="F12:F17" si="2">E12*($B$33)</f>
        <v>327.53273542600897</v>
      </c>
      <c r="G12" s="45">
        <v>-655.7</v>
      </c>
      <c r="H12" s="77">
        <f>D12+G12</f>
        <v>-208.70000000000005</v>
      </c>
      <c r="I12" s="61"/>
    </row>
    <row r="13" spans="1:9" x14ac:dyDescent="0.2">
      <c r="A13" s="40" t="s">
        <v>8</v>
      </c>
      <c r="B13" s="12">
        <v>33</v>
      </c>
      <c r="C13" s="43">
        <f t="shared" si="0"/>
        <v>1.2875536480686696E-3</v>
      </c>
      <c r="D13" s="8">
        <f t="shared" ref="D13:D18" si="3">B13</f>
        <v>33</v>
      </c>
      <c r="E13" s="7">
        <f t="shared" si="1"/>
        <v>1.6442451420029896E-3</v>
      </c>
      <c r="F13" s="8">
        <f t="shared" si="2"/>
        <v>24.180269058295966</v>
      </c>
      <c r="G13" s="45"/>
      <c r="H13" s="78"/>
      <c r="I13" s="61"/>
    </row>
    <row r="14" spans="1:9" x14ac:dyDescent="0.2">
      <c r="A14" s="40" t="s">
        <v>9</v>
      </c>
      <c r="B14" s="12">
        <v>145</v>
      </c>
      <c r="C14" s="43">
        <f t="shared" si="0"/>
        <v>5.6574326960593052E-3</v>
      </c>
      <c r="D14" s="8">
        <f t="shared" si="3"/>
        <v>145</v>
      </c>
      <c r="E14" s="7">
        <f t="shared" si="1"/>
        <v>7.224713502740409E-3</v>
      </c>
      <c r="F14" s="8">
        <f t="shared" si="2"/>
        <v>106.24663677130046</v>
      </c>
      <c r="G14" s="45"/>
      <c r="H14" s="78"/>
      <c r="I14" s="61"/>
    </row>
    <row r="15" spans="1:9" x14ac:dyDescent="0.2">
      <c r="A15" s="40" t="s">
        <v>10</v>
      </c>
      <c r="B15" s="12">
        <v>204</v>
      </c>
      <c r="C15" s="43">
        <f t="shared" si="0"/>
        <v>7.9594225516972303E-3</v>
      </c>
      <c r="D15" s="8">
        <f t="shared" si="3"/>
        <v>204</v>
      </c>
      <c r="E15" s="7">
        <f t="shared" si="1"/>
        <v>1.0164424514200299E-2</v>
      </c>
      <c r="F15" s="8">
        <f t="shared" si="2"/>
        <v>149.47802690582958</v>
      </c>
      <c r="G15" s="45"/>
      <c r="H15" s="78"/>
      <c r="I15" s="61"/>
    </row>
    <row r="16" spans="1:9" x14ac:dyDescent="0.2">
      <c r="A16" s="40" t="s">
        <v>11</v>
      </c>
      <c r="B16" s="12">
        <v>31</v>
      </c>
      <c r="C16" s="43">
        <f t="shared" si="0"/>
        <v>1.2095200936402654E-3</v>
      </c>
      <c r="D16" s="8">
        <f t="shared" si="3"/>
        <v>31</v>
      </c>
      <c r="E16" s="7">
        <f t="shared" si="1"/>
        <v>1.5445939212755356E-3</v>
      </c>
      <c r="F16" s="8">
        <f t="shared" si="2"/>
        <v>22.714798206278026</v>
      </c>
      <c r="G16" s="45"/>
      <c r="H16" s="78"/>
      <c r="I16" s="61"/>
    </row>
    <row r="17" spans="1:9" x14ac:dyDescent="0.2">
      <c r="A17" s="40" t="s">
        <v>12</v>
      </c>
      <c r="B17" s="12">
        <v>34</v>
      </c>
      <c r="C17" s="43">
        <f t="shared" si="0"/>
        <v>1.3265704252828716E-3</v>
      </c>
      <c r="D17" s="8">
        <f t="shared" si="3"/>
        <v>34</v>
      </c>
      <c r="E17" s="7">
        <f t="shared" si="1"/>
        <v>1.6940707523667164E-3</v>
      </c>
      <c r="F17" s="8">
        <f t="shared" si="2"/>
        <v>24.913004484304931</v>
      </c>
      <c r="G17" s="45"/>
      <c r="H17" s="78"/>
      <c r="I17" s="61"/>
    </row>
    <row r="18" spans="1:9" x14ac:dyDescent="0.2">
      <c r="A18" s="44" t="s">
        <v>38</v>
      </c>
      <c r="B18" s="12">
        <v>209</v>
      </c>
      <c r="C18" s="43">
        <f t="shared" si="0"/>
        <v>8.1545064377682407E-3</v>
      </c>
      <c r="D18" s="8">
        <f t="shared" si="3"/>
        <v>209</v>
      </c>
      <c r="E18" s="7">
        <f t="shared" si="1"/>
        <v>1.0413552566018934E-2</v>
      </c>
      <c r="F18" s="8">
        <f>E18*($B$33)</f>
        <v>153.14170403587445</v>
      </c>
      <c r="G18" s="45"/>
      <c r="H18" s="76">
        <f>B18+G18</f>
        <v>209</v>
      </c>
      <c r="I18" s="61"/>
    </row>
    <row r="19" spans="1:9" x14ac:dyDescent="0.2">
      <c r="A19" s="37" t="s">
        <v>0</v>
      </c>
      <c r="B19" s="41">
        <v>3197</v>
      </c>
      <c r="C19" s="43">
        <f t="shared" si="0"/>
        <v>0.12473663675380414</v>
      </c>
      <c r="D19" s="10">
        <v>0</v>
      </c>
      <c r="E19" s="7">
        <v>0</v>
      </c>
      <c r="F19" s="8">
        <f>E19*($B$35)</f>
        <v>0</v>
      </c>
      <c r="G19" s="45"/>
      <c r="H19" s="76">
        <f>B19+G19</f>
        <v>3197</v>
      </c>
      <c r="I19" s="61"/>
    </row>
    <row r="20" spans="1:9" x14ac:dyDescent="0.2">
      <c r="A20" s="37" t="s">
        <v>1</v>
      </c>
      <c r="B20" s="12">
        <f>SUM(B21:B25)</f>
        <v>5683</v>
      </c>
      <c r="C20" s="43">
        <f t="shared" si="0"/>
        <v>0.22173234490831056</v>
      </c>
      <c r="D20" s="10">
        <v>5683</v>
      </c>
      <c r="E20" s="7">
        <f>D20/(B$31-B$7-B$19-B$26)</f>
        <v>0.28315894369706029</v>
      </c>
      <c r="F20" s="8">
        <f>E20*($B$33)</f>
        <v>4164.1354260089684</v>
      </c>
      <c r="G20" s="45"/>
      <c r="H20" s="76">
        <f>B20+G20</f>
        <v>5683</v>
      </c>
      <c r="I20" s="61"/>
    </row>
    <row r="21" spans="1:9" x14ac:dyDescent="0.2">
      <c r="A21" s="40" t="s">
        <v>13</v>
      </c>
      <c r="B21" s="41">
        <v>4259</v>
      </c>
      <c r="C21" s="43">
        <f t="shared" si="0"/>
        <v>0.16617245415528678</v>
      </c>
      <c r="D21" s="8">
        <f>B21</f>
        <v>4259</v>
      </c>
      <c r="E21" s="7">
        <f>D21/(B$31-B$7-B$19-B$26)</f>
        <v>0.21220727453911312</v>
      </c>
      <c r="F21" s="8">
        <f t="shared" ref="F21:F22" si="4">E21*($B$33)</f>
        <v>3120.7201793721974</v>
      </c>
      <c r="G21" s="45"/>
      <c r="H21" s="76">
        <f>B21+G21</f>
        <v>4259</v>
      </c>
      <c r="I21" s="61"/>
    </row>
    <row r="22" spans="1:9" x14ac:dyDescent="0.2">
      <c r="A22" s="40" t="s">
        <v>14</v>
      </c>
      <c r="B22" s="12">
        <v>1424</v>
      </c>
      <c r="C22" s="43">
        <f t="shared" si="0"/>
        <v>5.5559890753023804E-2</v>
      </c>
      <c r="D22" s="8">
        <f>B22</f>
        <v>1424</v>
      </c>
      <c r="E22" s="7">
        <f>D22/(B$31-B$7-B$19-B$26)</f>
        <v>7.0951669157947178E-2</v>
      </c>
      <c r="F22" s="8">
        <f t="shared" si="4"/>
        <v>1043.4152466367711</v>
      </c>
      <c r="G22" s="45"/>
      <c r="H22" s="76">
        <f>B22+G22</f>
        <v>1424</v>
      </c>
      <c r="I22" s="61"/>
    </row>
    <row r="23" spans="1:9" x14ac:dyDescent="0.2">
      <c r="A23" s="40" t="s">
        <v>18</v>
      </c>
      <c r="B23" s="41"/>
      <c r="C23" s="43"/>
      <c r="D23" s="8"/>
      <c r="E23" s="7"/>
      <c r="F23" s="8"/>
      <c r="G23" s="45"/>
      <c r="H23" s="78"/>
      <c r="I23" s="61"/>
    </row>
    <row r="24" spans="1:9" x14ac:dyDescent="0.2">
      <c r="A24" s="40" t="s">
        <v>19</v>
      </c>
      <c r="B24" s="12"/>
      <c r="C24" s="43"/>
      <c r="D24" s="8"/>
      <c r="E24" s="7"/>
      <c r="F24" s="8"/>
      <c r="G24" s="45"/>
      <c r="H24" s="78"/>
      <c r="I24" s="61"/>
    </row>
    <row r="25" spans="1:9" x14ac:dyDescent="0.2">
      <c r="A25" s="40" t="s">
        <v>20</v>
      </c>
      <c r="B25" s="12"/>
      <c r="C25" s="43"/>
      <c r="D25" s="10"/>
      <c r="E25" s="7"/>
      <c r="F25" s="8"/>
      <c r="G25" s="45"/>
      <c r="H25" s="78"/>
      <c r="I25" s="61"/>
    </row>
    <row r="26" spans="1:9" x14ac:dyDescent="0.2">
      <c r="A26" s="44" t="s">
        <v>3</v>
      </c>
      <c r="B26" s="12">
        <v>540</v>
      </c>
      <c r="C26" s="43">
        <f>B26/B$31</f>
        <v>2.1069059695669138E-2</v>
      </c>
      <c r="D26" s="10">
        <v>0</v>
      </c>
      <c r="E26" s="7">
        <v>0</v>
      </c>
      <c r="F26" s="8">
        <f>E26*($B$35)</f>
        <v>0</v>
      </c>
      <c r="G26" s="45"/>
      <c r="H26" s="76">
        <f t="shared" ref="H26:H28" si="5">B26+G26</f>
        <v>540</v>
      </c>
      <c r="I26" s="61"/>
    </row>
    <row r="27" spans="1:9" x14ac:dyDescent="0.2">
      <c r="A27" s="37" t="s">
        <v>4</v>
      </c>
      <c r="B27" s="41">
        <v>108</v>
      </c>
      <c r="C27" s="43">
        <f>B27/B$31</f>
        <v>4.2138119391338276E-3</v>
      </c>
      <c r="D27" s="8">
        <f>B27</f>
        <v>108</v>
      </c>
      <c r="E27" s="7">
        <f>D27/(B$31-B$7-B$19-B$26)</f>
        <v>5.3811659192825115E-3</v>
      </c>
      <c r="F27" s="8">
        <f>E27*($B$33)</f>
        <v>79.135426008968608</v>
      </c>
      <c r="G27" s="45"/>
      <c r="H27" s="76">
        <f t="shared" si="5"/>
        <v>108</v>
      </c>
      <c r="I27" s="61"/>
    </row>
    <row r="28" spans="1:9" x14ac:dyDescent="0.2">
      <c r="A28" s="44" t="s">
        <v>15</v>
      </c>
      <c r="B28" s="12">
        <v>13478</v>
      </c>
      <c r="C28" s="43">
        <f>B28/B$31</f>
        <v>0.52586812329301602</v>
      </c>
      <c r="D28" s="8">
        <f>B28</f>
        <v>13478</v>
      </c>
      <c r="E28" s="7">
        <f>D28/(B$31-B$7-B$19-B$26)</f>
        <v>0.67154957648231195</v>
      </c>
      <c r="F28" s="8">
        <f>E28*($B$33)</f>
        <v>9875.8080717488792</v>
      </c>
      <c r="G28" s="45"/>
      <c r="H28" s="76">
        <f t="shared" si="5"/>
        <v>13478</v>
      </c>
      <c r="I28" s="61"/>
    </row>
    <row r="29" spans="1:9" x14ac:dyDescent="0.2">
      <c r="A29" s="44"/>
      <c r="B29" s="12"/>
      <c r="C29" s="38"/>
      <c r="D29" s="10"/>
      <c r="E29" s="7"/>
      <c r="F29" s="8"/>
      <c r="G29" s="12"/>
      <c r="H29" s="78"/>
      <c r="I29" s="60"/>
    </row>
    <row r="30" spans="1:9" x14ac:dyDescent="0.2">
      <c r="A30" s="47" t="s">
        <v>5</v>
      </c>
      <c r="B30" s="12"/>
      <c r="C30" s="38"/>
      <c r="D30" s="10"/>
      <c r="E30" s="7"/>
      <c r="F30" s="8"/>
      <c r="G30" s="12"/>
      <c r="H30" s="78"/>
      <c r="I30" s="60"/>
    </row>
    <row r="31" spans="1:9" x14ac:dyDescent="0.2">
      <c r="A31" s="48" t="s">
        <v>32</v>
      </c>
      <c r="B31" s="13">
        <f>B4+B7+B12+B18+B19+B20+B26+B27+B28</f>
        <v>25630</v>
      </c>
      <c r="C31" s="43">
        <f>C4+C7+C12+C18+C19+C20+C26+C27+C28</f>
        <v>1</v>
      </c>
      <c r="D31" s="13">
        <f>(D4+D12+D18+D20+D27+D28)</f>
        <v>20070</v>
      </c>
      <c r="E31" s="14">
        <f>(E4+E12+E18+E20+E27+E28)</f>
        <v>1</v>
      </c>
      <c r="F31" s="13">
        <f>F4+F12+F18+F20+F27+F28</f>
        <v>14706</v>
      </c>
      <c r="G31" s="13">
        <f>G4+G12+G18+G20+G27+G28</f>
        <v>-655.7</v>
      </c>
      <c r="H31" s="49">
        <f>H4+H7+H12+H18+H19+H20+H26+H27+H28</f>
        <v>24974.3</v>
      </c>
      <c r="I31" s="62"/>
    </row>
    <row r="32" spans="1:9" x14ac:dyDescent="0.2">
      <c r="A32" s="50" t="s">
        <v>16</v>
      </c>
      <c r="B32" s="12">
        <v>10924</v>
      </c>
      <c r="C32" s="38"/>
      <c r="D32" s="10"/>
      <c r="E32" s="7"/>
      <c r="F32" s="8"/>
      <c r="G32" s="12"/>
      <c r="H32" s="76">
        <v>10924</v>
      </c>
      <c r="I32" s="61"/>
    </row>
    <row r="33" spans="1:9" x14ac:dyDescent="0.2">
      <c r="A33" s="48" t="s">
        <v>65</v>
      </c>
      <c r="B33" s="13">
        <f>B31-B32</f>
        <v>14706</v>
      </c>
      <c r="C33" s="38"/>
      <c r="D33" s="15"/>
      <c r="E33" s="14"/>
      <c r="F33" s="13"/>
      <c r="G33" s="13"/>
      <c r="H33" s="49">
        <f>H31-H32</f>
        <v>14050.3</v>
      </c>
      <c r="I33" s="62"/>
    </row>
    <row r="34" spans="1:9" ht="13.5" thickBot="1" x14ac:dyDescent="0.25">
      <c r="A34" s="79"/>
      <c r="B34" s="80"/>
      <c r="C34" s="54"/>
      <c r="D34" s="81"/>
      <c r="E34" s="82"/>
      <c r="F34" s="80"/>
      <c r="G34" s="80"/>
      <c r="H34" s="83"/>
      <c r="I34" s="62"/>
    </row>
    <row r="35" spans="1:9" ht="13.5" thickBot="1" x14ac:dyDescent="0.25">
      <c r="A35" s="64" t="s">
        <v>39</v>
      </c>
      <c r="B35" s="65">
        <f>B33-B32</f>
        <v>3782</v>
      </c>
      <c r="C35" s="66"/>
      <c r="D35" s="67"/>
      <c r="E35" s="68"/>
      <c r="F35" s="69"/>
      <c r="G35" s="65"/>
      <c r="H35" s="67"/>
      <c r="I35" s="19"/>
    </row>
    <row r="36" spans="1:9" x14ac:dyDescent="0.2">
      <c r="D36" s="5"/>
      <c r="E36" s="5"/>
      <c r="F36" s="2"/>
      <c r="G36" s="2"/>
    </row>
    <row r="37" spans="1:9" x14ac:dyDescent="0.2">
      <c r="A37" s="26"/>
    </row>
    <row r="38" spans="1:9" x14ac:dyDescent="0.2">
      <c r="A38" s="2"/>
    </row>
  </sheetData>
  <mergeCells count="1">
    <mergeCell ref="B1:I2"/>
  </mergeCells>
  <printOptions gridLines="1"/>
  <pageMargins left="0.45" right="0.45" top="0.75" bottom="0.75" header="0.3" footer="0.3"/>
  <pageSetup scale="75" pageOrder="overThenDown" orientation="landscape" r:id="rId1"/>
  <headerFooter>
    <oddHeader>&amp;LDraft Newnans Lake - Summary of phosphorus reduction goals and anticipated reductions from restoration, acquisition, and stormwater projects</oddHeader>
    <oddFooter>&amp;LDRAFT&amp;RFDEP February 24, 2016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15" workbookViewId="0">
      <selection activeCell="C40" sqref="C40"/>
    </sheetView>
  </sheetViews>
  <sheetFormatPr defaultRowHeight="12.75" x14ac:dyDescent="0.2"/>
  <cols>
    <col min="1" max="1" width="38.140625" customWidth="1"/>
    <col min="2" max="2" width="17.28515625" customWidth="1"/>
    <col min="3" max="3" width="18.140625" customWidth="1"/>
    <col min="4" max="4" width="17.140625" customWidth="1"/>
    <col min="5" max="5" width="17.42578125" customWidth="1"/>
    <col min="6" max="7" width="17" customWidth="1"/>
    <col min="8" max="8" width="14.28515625" customWidth="1"/>
    <col min="9" max="9" width="13.28515625" customWidth="1"/>
  </cols>
  <sheetData>
    <row r="1" spans="1:9" x14ac:dyDescent="0.2">
      <c r="A1" s="57"/>
      <c r="B1" s="105" t="s">
        <v>41</v>
      </c>
      <c r="C1" s="105"/>
      <c r="D1" s="106"/>
      <c r="E1" s="106"/>
      <c r="F1" s="106"/>
      <c r="G1" s="106"/>
      <c r="H1" s="106"/>
      <c r="I1" s="107"/>
    </row>
    <row r="2" spans="1:9" ht="15.75" x14ac:dyDescent="0.2">
      <c r="A2" s="86" t="s">
        <v>67</v>
      </c>
      <c r="B2" s="110"/>
      <c r="C2" s="110"/>
      <c r="D2" s="110"/>
      <c r="E2" s="110"/>
      <c r="F2" s="110"/>
      <c r="G2" s="110"/>
      <c r="H2" s="110"/>
      <c r="I2" s="109"/>
    </row>
    <row r="3" spans="1:9" ht="51" x14ac:dyDescent="0.2">
      <c r="A3" s="87" t="s">
        <v>68</v>
      </c>
      <c r="B3" s="88" t="s">
        <v>69</v>
      </c>
      <c r="C3" s="89" t="s">
        <v>40</v>
      </c>
      <c r="D3" s="90" t="s">
        <v>31</v>
      </c>
      <c r="E3" s="91" t="s">
        <v>66</v>
      </c>
      <c r="F3" s="90" t="s">
        <v>34</v>
      </c>
      <c r="G3" s="88" t="s">
        <v>23</v>
      </c>
      <c r="H3" s="92" t="s">
        <v>24</v>
      </c>
      <c r="I3" s="93" t="s">
        <v>25</v>
      </c>
    </row>
    <row r="4" spans="1:9" x14ac:dyDescent="0.2">
      <c r="A4" s="37" t="s">
        <v>2</v>
      </c>
      <c r="B4" s="12">
        <v>655</v>
      </c>
      <c r="C4" s="94">
        <f t="shared" ref="C4:C22" si="0">B4/B$31</f>
        <v>2.0761289545502088E-3</v>
      </c>
      <c r="D4" s="10">
        <v>655</v>
      </c>
      <c r="E4" s="7">
        <f>B4/(B$31-B$7-B$19-B$26)</f>
        <v>2.2816257715726844E-3</v>
      </c>
      <c r="F4" s="8">
        <f>E4*($B$33)</f>
        <v>524.82184160292047</v>
      </c>
      <c r="G4" s="12"/>
      <c r="H4" s="8">
        <f>B4+G4</f>
        <v>655</v>
      </c>
      <c r="I4" s="11"/>
    </row>
    <row r="5" spans="1:9" x14ac:dyDescent="0.2">
      <c r="A5" s="58" t="s">
        <v>36</v>
      </c>
      <c r="B5" s="12"/>
      <c r="C5" s="94">
        <f t="shared" si="0"/>
        <v>0</v>
      </c>
      <c r="D5" s="8"/>
      <c r="E5" s="7"/>
      <c r="F5" s="8"/>
      <c r="G5" s="12"/>
      <c r="H5" s="8"/>
      <c r="I5" s="9"/>
    </row>
    <row r="6" spans="1:9" x14ac:dyDescent="0.2">
      <c r="A6" s="39" t="s">
        <v>37</v>
      </c>
      <c r="B6" s="12">
        <v>655</v>
      </c>
      <c r="C6" s="94">
        <f t="shared" si="0"/>
        <v>2.0761289545502088E-3</v>
      </c>
      <c r="D6" s="8"/>
      <c r="E6" s="7"/>
      <c r="F6" s="8"/>
      <c r="G6" s="12"/>
      <c r="H6" s="8"/>
      <c r="I6" s="9"/>
    </row>
    <row r="7" spans="1:9" x14ac:dyDescent="0.2">
      <c r="A7" s="44" t="s">
        <v>63</v>
      </c>
      <c r="B7" s="12">
        <f>SUM(B9:B11)</f>
        <v>20029</v>
      </c>
      <c r="C7" s="94">
        <f t="shared" si="0"/>
        <v>6.3485170733871971E-2</v>
      </c>
      <c r="D7" s="8">
        <v>0</v>
      </c>
      <c r="E7" s="7">
        <f t="shared" ref="E7:E28" si="1">B7/(B$31-B$7-B$19-B$26)</f>
        <v>6.9768981036380615E-2</v>
      </c>
      <c r="F7" s="8"/>
      <c r="G7" s="45"/>
      <c r="H7" s="8">
        <f>B7+G7</f>
        <v>20029</v>
      </c>
      <c r="I7" s="9"/>
    </row>
    <row r="8" spans="1:9" x14ac:dyDescent="0.2">
      <c r="A8" s="46" t="s">
        <v>29</v>
      </c>
      <c r="B8" s="12"/>
      <c r="C8" s="94">
        <f t="shared" si="0"/>
        <v>0</v>
      </c>
      <c r="D8" s="8"/>
      <c r="E8" s="7">
        <f t="shared" si="1"/>
        <v>0</v>
      </c>
      <c r="F8" s="8"/>
      <c r="G8" s="45"/>
      <c r="H8" s="8"/>
      <c r="I8" s="9"/>
    </row>
    <row r="9" spans="1:9" x14ac:dyDescent="0.2">
      <c r="A9" s="40" t="s">
        <v>28</v>
      </c>
      <c r="B9" s="12">
        <v>5335</v>
      </c>
      <c r="C9" s="94">
        <f t="shared" si="0"/>
        <v>1.6910149576374604E-2</v>
      </c>
      <c r="D9" s="8">
        <v>0</v>
      </c>
      <c r="E9" s="7">
        <f t="shared" si="1"/>
        <v>1.8583928994412628E-2</v>
      </c>
      <c r="F9" s="8"/>
      <c r="G9" s="45"/>
      <c r="H9" s="8"/>
      <c r="I9" s="9"/>
    </row>
    <row r="10" spans="1:9" x14ac:dyDescent="0.2">
      <c r="A10" s="40" t="s">
        <v>6</v>
      </c>
      <c r="B10" s="12">
        <v>657</v>
      </c>
      <c r="C10" s="94">
        <f t="shared" si="0"/>
        <v>2.0824682796022707E-3</v>
      </c>
      <c r="D10" s="8">
        <v>0</v>
      </c>
      <c r="E10" s="7">
        <f t="shared" si="1"/>
        <v>2.2885925678217613E-3</v>
      </c>
      <c r="F10" s="8"/>
      <c r="G10" s="45"/>
      <c r="H10" s="8"/>
      <c r="I10" s="9"/>
    </row>
    <row r="11" spans="1:9" x14ac:dyDescent="0.2">
      <c r="A11" s="40" t="s">
        <v>7</v>
      </c>
      <c r="B11" s="12">
        <v>14037</v>
      </c>
      <c r="C11" s="94">
        <f t="shared" si="0"/>
        <v>4.4492552877895088E-2</v>
      </c>
      <c r="D11" s="8">
        <v>0</v>
      </c>
      <c r="E11" s="7">
        <f t="shared" si="1"/>
        <v>4.8896459474146219E-2</v>
      </c>
      <c r="F11" s="8"/>
      <c r="G11" s="45"/>
      <c r="H11" s="8"/>
      <c r="I11" s="9"/>
    </row>
    <row r="12" spans="1:9" x14ac:dyDescent="0.2">
      <c r="A12" s="44" t="s">
        <v>64</v>
      </c>
      <c r="B12" s="12">
        <f>SUM(B13:B17)</f>
        <v>3902</v>
      </c>
      <c r="C12" s="94">
        <f t="shared" si="0"/>
        <v>1.2368023176572391E-2</v>
      </c>
      <c r="D12" s="8">
        <f t="shared" ref="D12:D18" si="2">B12</f>
        <v>3902</v>
      </c>
      <c r="E12" s="7">
        <f t="shared" si="1"/>
        <v>1.359221948194903E-2</v>
      </c>
      <c r="F12" s="8">
        <f>E12*($B$33)</f>
        <v>3126.4959174573978</v>
      </c>
      <c r="G12" s="45">
        <v>-3773</v>
      </c>
      <c r="H12" s="8">
        <f t="shared" ref="H12:H28" si="3">B12+G12</f>
        <v>129</v>
      </c>
      <c r="I12" s="9"/>
    </row>
    <row r="13" spans="1:9" x14ac:dyDescent="0.2">
      <c r="A13" s="40" t="s">
        <v>8</v>
      </c>
      <c r="B13" s="12">
        <v>347</v>
      </c>
      <c r="C13" s="94">
        <f t="shared" si="0"/>
        <v>1.0998728965327061E-3</v>
      </c>
      <c r="D13" s="8">
        <f t="shared" si="2"/>
        <v>347</v>
      </c>
      <c r="E13" s="7">
        <f t="shared" si="1"/>
        <v>1.208739149214842E-3</v>
      </c>
      <c r="F13" s="8">
        <f t="shared" ref="F13:F22" si="4">E13*($B$33)</f>
        <v>278.03538784154716</v>
      </c>
      <c r="G13" s="45"/>
      <c r="H13" s="8"/>
      <c r="I13" s="9"/>
    </row>
    <row r="14" spans="1:9" x14ac:dyDescent="0.2">
      <c r="A14" s="40" t="s">
        <v>9</v>
      </c>
      <c r="B14" s="12">
        <v>1340</v>
      </c>
      <c r="C14" s="94">
        <f t="shared" si="0"/>
        <v>4.2473477848813434E-3</v>
      </c>
      <c r="D14" s="8">
        <f t="shared" si="2"/>
        <v>1340</v>
      </c>
      <c r="E14" s="7">
        <f t="shared" si="1"/>
        <v>4.6677534868815223E-3</v>
      </c>
      <c r="F14" s="8">
        <f t="shared" si="4"/>
        <v>1073.6813248059746</v>
      </c>
      <c r="G14" s="45"/>
      <c r="H14" s="8"/>
      <c r="I14" s="9"/>
    </row>
    <row r="15" spans="1:9" x14ac:dyDescent="0.2">
      <c r="A15" s="40" t="s">
        <v>10</v>
      </c>
      <c r="B15" s="12">
        <v>1702</v>
      </c>
      <c r="C15" s="94">
        <f t="shared" si="0"/>
        <v>5.3947656193045123E-3</v>
      </c>
      <c r="D15" s="8">
        <f t="shared" si="2"/>
        <v>1702</v>
      </c>
      <c r="E15" s="7">
        <f t="shared" si="1"/>
        <v>5.9287436079644412E-3</v>
      </c>
      <c r="F15" s="8">
        <f t="shared" si="4"/>
        <v>1363.7355334475888</v>
      </c>
      <c r="G15" s="45"/>
      <c r="H15" s="8"/>
      <c r="I15" s="9"/>
    </row>
    <row r="16" spans="1:9" x14ac:dyDescent="0.2">
      <c r="A16" s="40" t="s">
        <v>11</v>
      </c>
      <c r="B16" s="12">
        <v>200</v>
      </c>
      <c r="C16" s="94">
        <f t="shared" si="0"/>
        <v>6.3393250520617065E-4</v>
      </c>
      <c r="D16" s="8">
        <f t="shared" si="2"/>
        <v>200</v>
      </c>
      <c r="E16" s="7">
        <f t="shared" si="1"/>
        <v>6.966796249076899E-4</v>
      </c>
      <c r="F16" s="8">
        <f t="shared" si="4"/>
        <v>160.25094400089174</v>
      </c>
      <c r="G16" s="45"/>
      <c r="H16" s="8"/>
      <c r="I16" s="9"/>
    </row>
    <row r="17" spans="1:9" x14ac:dyDescent="0.2">
      <c r="A17" s="40" t="s">
        <v>12</v>
      </c>
      <c r="B17" s="12">
        <v>313</v>
      </c>
      <c r="C17" s="94">
        <f t="shared" si="0"/>
        <v>9.9210437064765704E-4</v>
      </c>
      <c r="D17" s="8">
        <f t="shared" si="2"/>
        <v>313</v>
      </c>
      <c r="E17" s="7">
        <f t="shared" si="1"/>
        <v>1.0903036129805348E-3</v>
      </c>
      <c r="F17" s="8">
        <f t="shared" si="4"/>
        <v>250.79272736139558</v>
      </c>
      <c r="G17" s="45"/>
      <c r="H17" s="8"/>
      <c r="I17" s="9"/>
    </row>
    <row r="18" spans="1:9" x14ac:dyDescent="0.2">
      <c r="A18" s="44" t="s">
        <v>38</v>
      </c>
      <c r="B18" s="12">
        <v>1450</v>
      </c>
      <c r="C18" s="94">
        <f t="shared" si="0"/>
        <v>4.5960106627447378E-3</v>
      </c>
      <c r="D18" s="8">
        <f t="shared" si="2"/>
        <v>1450</v>
      </c>
      <c r="E18" s="7">
        <f t="shared" si="1"/>
        <v>5.0509272805807524E-3</v>
      </c>
      <c r="F18" s="8">
        <f t="shared" si="4"/>
        <v>1161.8193440064651</v>
      </c>
      <c r="G18" s="45"/>
      <c r="H18" s="8">
        <f t="shared" si="3"/>
        <v>1450</v>
      </c>
      <c r="I18" s="9"/>
    </row>
    <row r="19" spans="1:9" x14ac:dyDescent="0.2">
      <c r="A19" s="37" t="s">
        <v>0</v>
      </c>
      <c r="B19" s="41">
        <v>6393</v>
      </c>
      <c r="C19" s="94">
        <f t="shared" si="0"/>
        <v>2.0263652528915245E-2</v>
      </c>
      <c r="D19" s="10">
        <v>0</v>
      </c>
      <c r="E19" s="7"/>
      <c r="F19" s="8"/>
      <c r="G19" s="45"/>
      <c r="H19" s="8">
        <f t="shared" si="3"/>
        <v>6393</v>
      </c>
      <c r="I19" s="9"/>
    </row>
    <row r="20" spans="1:9" x14ac:dyDescent="0.2">
      <c r="A20" s="37" t="s">
        <v>1</v>
      </c>
      <c r="B20" s="12">
        <f>SUM(B21:B25)</f>
        <v>53754</v>
      </c>
      <c r="C20" s="94">
        <f t="shared" si="0"/>
        <v>0.1703820394242625</v>
      </c>
      <c r="D20" s="8">
        <f>B20</f>
        <v>53754</v>
      </c>
      <c r="E20" s="7">
        <f t="shared" si="1"/>
        <v>0.18724658278643982</v>
      </c>
      <c r="F20" s="8">
        <f t="shared" si="4"/>
        <v>43070.646219119677</v>
      </c>
      <c r="G20" s="45"/>
      <c r="H20" s="8">
        <f t="shared" si="3"/>
        <v>53754</v>
      </c>
      <c r="I20" s="9"/>
    </row>
    <row r="21" spans="1:9" x14ac:dyDescent="0.2">
      <c r="A21" s="40" t="s">
        <v>13</v>
      </c>
      <c r="B21" s="41">
        <v>42132</v>
      </c>
      <c r="C21" s="94">
        <f t="shared" si="0"/>
        <v>0.13354422154673193</v>
      </c>
      <c r="D21" s="8">
        <f>B21</f>
        <v>42132</v>
      </c>
      <c r="E21" s="7">
        <f t="shared" si="1"/>
        <v>0.14676252978305396</v>
      </c>
      <c r="F21" s="8">
        <f t="shared" si="4"/>
        <v>33758.463863227851</v>
      </c>
      <c r="G21" s="45"/>
      <c r="H21" s="8">
        <f t="shared" si="3"/>
        <v>42132</v>
      </c>
      <c r="I21" s="9"/>
    </row>
    <row r="22" spans="1:9" x14ac:dyDescent="0.2">
      <c r="A22" s="40" t="s">
        <v>14</v>
      </c>
      <c r="B22" s="12">
        <v>11622</v>
      </c>
      <c r="C22" s="94">
        <f t="shared" si="0"/>
        <v>3.6837817877530578E-2</v>
      </c>
      <c r="D22" s="8">
        <f>B22</f>
        <v>11622</v>
      </c>
      <c r="E22" s="7">
        <f t="shared" si="1"/>
        <v>4.048405300338586E-2</v>
      </c>
      <c r="F22" s="8">
        <f t="shared" si="4"/>
        <v>9312.1823558918186</v>
      </c>
      <c r="G22" s="45"/>
      <c r="H22" s="8">
        <f t="shared" si="3"/>
        <v>11622</v>
      </c>
      <c r="I22" s="9"/>
    </row>
    <row r="23" spans="1:9" x14ac:dyDescent="0.2">
      <c r="A23" s="40" t="s">
        <v>18</v>
      </c>
      <c r="B23" s="41"/>
      <c r="C23" s="94"/>
      <c r="D23" s="8"/>
      <c r="E23" s="7"/>
      <c r="F23" s="8"/>
      <c r="G23" s="45"/>
      <c r="H23" s="8"/>
      <c r="I23" s="9"/>
    </row>
    <row r="24" spans="1:9" x14ac:dyDescent="0.2">
      <c r="A24" s="40" t="s">
        <v>19</v>
      </c>
      <c r="B24" s="12"/>
      <c r="C24" s="94"/>
      <c r="D24" s="8"/>
      <c r="E24" s="7"/>
      <c r="F24" s="8"/>
      <c r="G24" s="45"/>
      <c r="H24" s="8"/>
      <c r="I24" s="9"/>
    </row>
    <row r="25" spans="1:9" x14ac:dyDescent="0.2">
      <c r="A25" s="40" t="s">
        <v>20</v>
      </c>
      <c r="B25" s="12"/>
      <c r="C25" s="94"/>
      <c r="D25" s="10"/>
      <c r="E25" s="7"/>
      <c r="F25" s="8"/>
      <c r="G25" s="45"/>
      <c r="H25" s="8"/>
      <c r="I25" s="9"/>
    </row>
    <row r="26" spans="1:9" x14ac:dyDescent="0.2">
      <c r="A26" s="44" t="s">
        <v>3</v>
      </c>
      <c r="B26" s="12">
        <v>1993</v>
      </c>
      <c r="C26" s="94">
        <f>B26/B$31</f>
        <v>6.3171374143794912E-3</v>
      </c>
      <c r="D26" s="10">
        <v>0</v>
      </c>
      <c r="E26" s="7">
        <f t="shared" si="1"/>
        <v>6.9424124622051303E-3</v>
      </c>
      <c r="F26" s="8"/>
      <c r="G26" s="45"/>
      <c r="H26" s="8">
        <f t="shared" si="3"/>
        <v>1993</v>
      </c>
      <c r="I26" s="9"/>
    </row>
    <row r="27" spans="1:9" x14ac:dyDescent="0.2">
      <c r="A27" s="37" t="s">
        <v>4</v>
      </c>
      <c r="B27" s="41">
        <v>800</v>
      </c>
      <c r="C27" s="94">
        <f>B27/B$31</f>
        <v>2.5357300208246826E-3</v>
      </c>
      <c r="D27" s="8">
        <f>B27</f>
        <v>800</v>
      </c>
      <c r="E27" s="7">
        <f t="shared" si="1"/>
        <v>2.7867184996307596E-3</v>
      </c>
      <c r="F27" s="8">
        <f t="shared" ref="F27:F28" si="5">E27*($B$33)</f>
        <v>641.00377600356694</v>
      </c>
      <c r="G27" s="45"/>
      <c r="H27" s="8">
        <f t="shared" si="3"/>
        <v>800</v>
      </c>
      <c r="I27" s="9"/>
    </row>
    <row r="28" spans="1:9" x14ac:dyDescent="0.2">
      <c r="A28" s="44" t="s">
        <v>15</v>
      </c>
      <c r="B28" s="12">
        <v>226515</v>
      </c>
      <c r="C28" s="94">
        <f>B28/B$31</f>
        <v>0.71797610708387882</v>
      </c>
      <c r="D28" s="95">
        <f>B28</f>
        <v>226515</v>
      </c>
      <c r="E28" s="7">
        <f t="shared" si="1"/>
        <v>0.78904192617982694</v>
      </c>
      <c r="F28" s="8">
        <f t="shared" si="5"/>
        <v>181496.21290180998</v>
      </c>
      <c r="G28" s="45"/>
      <c r="H28" s="8">
        <f t="shared" si="3"/>
        <v>226515</v>
      </c>
      <c r="I28" s="9"/>
    </row>
    <row r="29" spans="1:9" x14ac:dyDescent="0.2">
      <c r="A29" s="44"/>
      <c r="B29" s="12"/>
      <c r="C29" s="96"/>
      <c r="D29" s="10"/>
      <c r="E29" s="7"/>
      <c r="F29" s="8"/>
      <c r="G29" s="12"/>
      <c r="H29" s="10"/>
      <c r="I29" s="11"/>
    </row>
    <row r="30" spans="1:9" x14ac:dyDescent="0.2">
      <c r="A30" s="47" t="s">
        <v>5</v>
      </c>
      <c r="B30" s="12"/>
      <c r="C30" s="96"/>
      <c r="D30" s="10"/>
      <c r="E30" s="7"/>
      <c r="F30" s="8"/>
      <c r="G30" s="12"/>
      <c r="H30" s="10"/>
      <c r="I30" s="11"/>
    </row>
    <row r="31" spans="1:9" x14ac:dyDescent="0.2">
      <c r="A31" s="97" t="s">
        <v>42</v>
      </c>
      <c r="B31" s="13">
        <f>B4+B7+B12+B18+B19+B20+B26+B27+B28</f>
        <v>315491</v>
      </c>
      <c r="C31" s="96"/>
      <c r="D31" s="13">
        <f>(D4+D12+D18+D20+D27+D28)</f>
        <v>287076</v>
      </c>
      <c r="E31" s="14">
        <f>(E4+E12+E18+E20+E27+E28)</f>
        <v>1</v>
      </c>
      <c r="F31" s="13">
        <f>F4+F12+F18+F20+F27+F28</f>
        <v>230021</v>
      </c>
      <c r="G31" s="13"/>
      <c r="H31" s="8">
        <f>H4+H7+H12+H18+H19+H20+H26+H27+H28</f>
        <v>311718</v>
      </c>
      <c r="I31" s="49"/>
    </row>
    <row r="32" spans="1:9" x14ac:dyDescent="0.2">
      <c r="A32" s="50" t="s">
        <v>16</v>
      </c>
      <c r="B32" s="12">
        <v>85470</v>
      </c>
      <c r="C32" s="96"/>
      <c r="D32" s="10"/>
      <c r="E32" s="7"/>
      <c r="F32" s="8"/>
      <c r="G32" s="12"/>
      <c r="H32" s="8">
        <f>B32</f>
        <v>85470</v>
      </c>
      <c r="I32" s="9"/>
    </row>
    <row r="33" spans="1:9" ht="13.5" thickBot="1" x14ac:dyDescent="0.25">
      <c r="A33" s="79" t="s">
        <v>17</v>
      </c>
      <c r="B33" s="80">
        <f>B31-B32</f>
        <v>230021</v>
      </c>
      <c r="C33" s="98"/>
      <c r="D33" s="81"/>
      <c r="E33" s="82"/>
      <c r="F33" s="80"/>
      <c r="G33" s="80"/>
      <c r="H33" s="80">
        <f>H31-H32</f>
        <v>226248</v>
      </c>
      <c r="I33" s="83"/>
    </row>
    <row r="34" spans="1:9" ht="13.5" thickBot="1" x14ac:dyDescent="0.25">
      <c r="A34" s="3"/>
      <c r="B34" s="24"/>
      <c r="C34" s="85"/>
      <c r="D34" s="25"/>
      <c r="E34" s="22"/>
      <c r="F34" s="23"/>
      <c r="G34" s="20"/>
      <c r="H34" s="21"/>
      <c r="I34" s="24"/>
    </row>
    <row r="35" spans="1:9" ht="13.5" thickBot="1" x14ac:dyDescent="0.25">
      <c r="A35" s="3"/>
      <c r="B35" s="24"/>
      <c r="C35" s="85"/>
      <c r="D35" s="25"/>
      <c r="E35" s="22"/>
      <c r="F35" s="23"/>
      <c r="G35" s="20"/>
      <c r="H35" s="21"/>
      <c r="I35" s="24"/>
    </row>
    <row r="36" spans="1:9" ht="13.5" thickBot="1" x14ac:dyDescent="0.25">
      <c r="A36" s="4"/>
      <c r="B36" s="24"/>
      <c r="C36" s="85"/>
      <c r="D36" s="25"/>
      <c r="E36" s="22"/>
      <c r="F36" s="23"/>
      <c r="G36" s="20"/>
      <c r="H36" s="21"/>
      <c r="I36" s="24"/>
    </row>
  </sheetData>
  <mergeCells count="1">
    <mergeCell ref="B1:I2"/>
  </mergeCells>
  <printOptions gridLines="1"/>
  <pageMargins left="0.45" right="0.2" top="0.75" bottom="0.75" header="0.3" footer="0.3"/>
  <pageSetup scale="80" pageOrder="overThenDown" orientation="landscape" r:id="rId1"/>
  <headerFooter>
    <oddHeader>&amp;LDraft Newnans Lake - Summary of total nitrogen reduction goals and anticipated reductions from restoration, acquisition, and stormwater projects</oddHeader>
    <oddFooter>&amp;L&amp;"Arial,Bold"&amp;12DRAFT&amp;RFDEP February 24,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Orange Lake BMAP</vt:lpstr>
      <vt:lpstr>Newnans Lake BMAP TP</vt:lpstr>
      <vt:lpstr>Newnans Lake TN</vt:lpstr>
      <vt:lpstr>'Newnans Lake BMAP TP'!Print_Area</vt:lpstr>
      <vt:lpstr>'Newnans Lake TN'!Print_Area</vt:lpstr>
      <vt:lpstr>'Orange Lake BMAP'!Print_Area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Paulic, Mary</dc:creator>
  <cp:lastModifiedBy>Mary Paulic</cp:lastModifiedBy>
  <cp:lastPrinted>2016-02-24T14:24:44Z</cp:lastPrinted>
  <dcterms:created xsi:type="dcterms:W3CDTF">2005-06-07T11:24:47Z</dcterms:created>
  <dcterms:modified xsi:type="dcterms:W3CDTF">2016-03-11T20:37:26Z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-1105488360</vt:i4>
  </property>
  <property fmtid="{D5CDD505-2E9C-101B-9397-08002B2CF9AE}" pid="3" name="_EmailSubject">
    <vt:lpwstr>Draft sources for Alachua Sink</vt:lpwstr>
  </property>
  <property fmtid="{D5CDD505-2E9C-101B-9397-08002B2CF9AE}" pid="4" name="_AuthorEmail">
    <vt:lpwstr>dwalker@sjrwmd.com</vt:lpwstr>
  </property>
  <property fmtid="{D5CDD505-2E9C-101B-9397-08002B2CF9AE}" pid="5" name="_AuthorEmailDisplayName">
    <vt:lpwstr>David Walker</vt:lpwstr>
  </property>
  <property fmtid="{D5CDD505-2E9C-101B-9397-08002B2CF9AE}" pid="6" name="_ReviewingToolsShownOnce">
    <vt:lpwstr/>
  </property>
</Properties>
</file>