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BASINS\Springs_Coast\BOB KNIGHT REQUEST\"/>
    </mc:Choice>
  </mc:AlternateContent>
  <bookViews>
    <workbookView xWindow="0" yWindow="45" windowWidth="19155" windowHeight="11760"/>
  </bookViews>
  <sheets>
    <sheet name="README" sheetId="20" r:id="rId1"/>
    <sheet name="Load Summary" sheetId="1" r:id="rId2"/>
    <sheet name="Attenuation Summary" sheetId="3" r:id="rId3"/>
    <sheet name="Input Summary" sheetId="2" r:id="rId4"/>
    <sheet name="Attenuation Range" sheetId="18" r:id="rId5"/>
    <sheet name="Areas" sheetId="4" r:id="rId6"/>
    <sheet name="Landuse" sheetId="5" r:id="rId7"/>
    <sheet name="PA Landuse" sheetId="16" r:id="rId8"/>
    <sheet name="Atm Dep" sheetId="6" r:id="rId9"/>
    <sheet name="WWTF" sheetId="7" r:id="rId10"/>
    <sheet name="Septic Tanks" sheetId="8" r:id="rId11"/>
    <sheet name="Fertilizers" sheetId="9" r:id="rId12"/>
    <sheet name="Golf Courses" sheetId="19" r:id="rId13"/>
    <sheet name="Urban Fertilizers" sheetId="13" r:id="rId14"/>
    <sheet name="Livestock" sheetId="15" r:id="rId15"/>
    <sheet name="Stormwater" sheetId="1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calcPr calcId="152511"/>
</workbook>
</file>

<file path=xl/calcChain.xml><?xml version="1.0" encoding="utf-8"?>
<calcChain xmlns="http://schemas.openxmlformats.org/spreadsheetml/2006/main">
  <c r="E8" i="8" l="1"/>
  <c r="E7" i="8"/>
  <c r="E6" i="8"/>
  <c r="C6" i="8"/>
  <c r="F6" i="8"/>
  <c r="M16" i="2" l="1"/>
  <c r="C13" i="2"/>
  <c r="C8" i="1" l="1"/>
  <c r="E6" i="4" l="1"/>
  <c r="C16" i="2"/>
  <c r="K23" i="7" l="1"/>
  <c r="L23" i="7"/>
  <c r="E22" i="7"/>
  <c r="E23" i="7"/>
  <c r="C4" i="7" l="1"/>
  <c r="K1" i="3"/>
  <c r="C5" i="6" l="1"/>
  <c r="D5" i="6" s="1"/>
  <c r="D10" i="2" s="1"/>
  <c r="C4" i="6"/>
  <c r="D4" i="6" s="1"/>
  <c r="D7" i="2" s="1"/>
  <c r="D21" i="2" s="1"/>
  <c r="C3" i="6"/>
  <c r="D3" i="6" l="1"/>
  <c r="D4" i="2" s="1"/>
  <c r="D20" i="2" s="1"/>
  <c r="C7" i="6"/>
  <c r="D9" i="9"/>
  <c r="C9" i="9"/>
  <c r="D8" i="9"/>
  <c r="C8" i="9"/>
  <c r="D7" i="9"/>
  <c r="C7" i="9"/>
  <c r="D6" i="9"/>
  <c r="C6" i="9"/>
  <c r="D5" i="9"/>
  <c r="C5" i="9"/>
  <c r="D4" i="9"/>
  <c r="C4" i="9"/>
  <c r="D3" i="9"/>
  <c r="C3" i="9"/>
  <c r="J32" i="6"/>
  <c r="J31" i="6"/>
  <c r="J30" i="6"/>
  <c r="J29" i="6"/>
  <c r="J28" i="6"/>
  <c r="J27" i="6"/>
  <c r="J26" i="6"/>
  <c r="J25" i="6"/>
  <c r="J24" i="6"/>
  <c r="J23" i="6"/>
  <c r="J22" i="6"/>
  <c r="F32" i="6"/>
  <c r="E32" i="6"/>
  <c r="F31" i="6"/>
  <c r="E31" i="6"/>
  <c r="F30" i="6"/>
  <c r="E30" i="6"/>
  <c r="F29" i="6"/>
  <c r="E29" i="6"/>
  <c r="F28" i="6"/>
  <c r="E28" i="6"/>
  <c r="F27" i="6"/>
  <c r="E27" i="6"/>
  <c r="F26" i="6"/>
  <c r="E26" i="6"/>
  <c r="F25" i="6"/>
  <c r="E25" i="6"/>
  <c r="F24" i="6"/>
  <c r="E24" i="6"/>
  <c r="F23" i="6"/>
  <c r="E23" i="6"/>
  <c r="F22" i="6"/>
  <c r="E22" i="6"/>
  <c r="D33" i="6"/>
  <c r="C33" i="6"/>
  <c r="D32" i="6"/>
  <c r="C32" i="6"/>
  <c r="D31" i="6"/>
  <c r="C31" i="6"/>
  <c r="D30" i="6"/>
  <c r="C30" i="6"/>
  <c r="D29" i="6"/>
  <c r="C29" i="6"/>
  <c r="D28" i="6"/>
  <c r="C28" i="6"/>
  <c r="D27" i="6"/>
  <c r="C27" i="6"/>
  <c r="D26" i="6"/>
  <c r="C26" i="6"/>
  <c r="D25" i="6"/>
  <c r="C25" i="6"/>
  <c r="D24" i="6"/>
  <c r="C24" i="6"/>
  <c r="D23" i="6"/>
  <c r="C23" i="6"/>
  <c r="D22" i="6"/>
  <c r="C22" i="6"/>
  <c r="Q17" i="13"/>
  <c r="O17" i="13"/>
  <c r="Q16" i="13"/>
  <c r="O16" i="13"/>
  <c r="S10" i="13"/>
  <c r="R10" i="13"/>
  <c r="O10" i="13"/>
  <c r="O9" i="13"/>
  <c r="R7" i="13"/>
  <c r="Q7" i="13"/>
  <c r="P7" i="13"/>
  <c r="O7" i="13"/>
  <c r="R6" i="13"/>
  <c r="Q6" i="13"/>
  <c r="P6" i="13"/>
  <c r="O6" i="13"/>
  <c r="R5" i="13"/>
  <c r="Q5" i="13"/>
  <c r="P5" i="13"/>
  <c r="O5" i="13"/>
  <c r="S4" i="13"/>
  <c r="R4" i="13"/>
  <c r="Q4" i="13"/>
  <c r="P4" i="13"/>
  <c r="O4" i="13"/>
  <c r="R2" i="13"/>
  <c r="Q2" i="13"/>
  <c r="P2" i="13"/>
  <c r="O2" i="13"/>
  <c r="O1" i="13"/>
  <c r="I6" i="19" l="1"/>
  <c r="C21" i="19" l="1"/>
  <c r="C20" i="19"/>
  <c r="C25" i="19"/>
  <c r="N16" i="19" l="1"/>
  <c r="E8" i="19"/>
  <c r="G8" i="19"/>
  <c r="I8" i="19"/>
  <c r="N8" i="19"/>
  <c r="N7" i="19" l="1"/>
  <c r="N6" i="19"/>
  <c r="C13" i="19" l="1"/>
  <c r="C18" i="19" s="1"/>
  <c r="K6" i="19"/>
  <c r="J12" i="2" l="1"/>
  <c r="G12" i="2"/>
  <c r="E12" i="2"/>
  <c r="E9" i="13" l="1"/>
  <c r="D9" i="13"/>
  <c r="H9" i="13" s="1"/>
  <c r="C9" i="13"/>
  <c r="E8" i="13"/>
  <c r="D8" i="13"/>
  <c r="H8" i="13" s="1"/>
  <c r="C8" i="13"/>
  <c r="E7" i="13"/>
  <c r="D7" i="13"/>
  <c r="H7" i="13" s="1"/>
  <c r="C7" i="13"/>
  <c r="E6" i="13"/>
  <c r="D6" i="13"/>
  <c r="H6" i="13" s="1"/>
  <c r="C6" i="13"/>
  <c r="E5" i="13"/>
  <c r="D5" i="13"/>
  <c r="H5" i="13" s="1"/>
  <c r="C5" i="13"/>
  <c r="E4" i="13"/>
  <c r="D4" i="13"/>
  <c r="H4" i="13" s="1"/>
  <c r="C4" i="13"/>
  <c r="E3" i="13"/>
  <c r="D3" i="13"/>
  <c r="C3" i="13"/>
  <c r="J3" i="13" l="1"/>
  <c r="F3" i="13"/>
  <c r="L4" i="13"/>
  <c r="F7" i="13"/>
  <c r="J7" i="13"/>
  <c r="L8" i="13"/>
  <c r="H3" i="13"/>
  <c r="L3" i="13"/>
  <c r="J6" i="13"/>
  <c r="F6" i="13"/>
  <c r="L7" i="13"/>
  <c r="F5" i="13"/>
  <c r="J5" i="13"/>
  <c r="L6" i="13"/>
  <c r="F9" i="13"/>
  <c r="J9" i="13"/>
  <c r="F4" i="13"/>
  <c r="J4" i="13"/>
  <c r="L5" i="13"/>
  <c r="F8" i="13"/>
  <c r="J8" i="13"/>
  <c r="L9" i="13"/>
  <c r="N4" i="19" l="1"/>
  <c r="N5" i="19"/>
  <c r="N11" i="19"/>
  <c r="N9" i="19"/>
  <c r="N10" i="19"/>
  <c r="B11" i="13" l="1"/>
  <c r="C11" i="13"/>
  <c r="J11" i="13" s="1"/>
  <c r="D11" i="13"/>
  <c r="L11" i="13" s="1"/>
  <c r="E11" i="13"/>
  <c r="B12" i="13"/>
  <c r="C12" i="13"/>
  <c r="J12" i="13" s="1"/>
  <c r="D12" i="13"/>
  <c r="L12" i="13" s="1"/>
  <c r="E12" i="13"/>
  <c r="B13" i="13"/>
  <c r="C13" i="13"/>
  <c r="J13" i="13" s="1"/>
  <c r="D13" i="13"/>
  <c r="L13" i="13" s="1"/>
  <c r="E13" i="13"/>
  <c r="B14" i="13"/>
  <c r="C14" i="13"/>
  <c r="J14" i="13" s="1"/>
  <c r="D14" i="13"/>
  <c r="L14" i="13" s="1"/>
  <c r="E14" i="13"/>
  <c r="B15" i="13"/>
  <c r="C15" i="13"/>
  <c r="J15" i="13" s="1"/>
  <c r="D15" i="13"/>
  <c r="L15" i="13" s="1"/>
  <c r="E15" i="13"/>
  <c r="B16" i="13"/>
  <c r="C16" i="13"/>
  <c r="J16" i="13" s="1"/>
  <c r="D16" i="13"/>
  <c r="L16" i="13" s="1"/>
  <c r="E16" i="13"/>
  <c r="B17" i="13"/>
  <c r="C17" i="13"/>
  <c r="J17" i="13" s="1"/>
  <c r="D17" i="13"/>
  <c r="L17" i="13" s="1"/>
  <c r="E17" i="13"/>
  <c r="I5" i="13" l="1"/>
  <c r="I8" i="13"/>
  <c r="I7" i="13"/>
  <c r="I9" i="13"/>
  <c r="I6" i="13"/>
  <c r="I4" i="13"/>
  <c r="G9" i="13"/>
  <c r="I3" i="13"/>
  <c r="G6" i="13"/>
  <c r="G8" i="13"/>
  <c r="G3" i="13"/>
  <c r="G5" i="13"/>
  <c r="G4" i="13"/>
  <c r="G7" i="13"/>
  <c r="S12" i="13"/>
  <c r="K3" i="13"/>
  <c r="K11" i="13"/>
  <c r="M8" i="13"/>
  <c r="M4" i="13"/>
  <c r="K13" i="13"/>
  <c r="K16" i="13"/>
  <c r="K8" i="13"/>
  <c r="K5" i="13"/>
  <c r="K6" i="13"/>
  <c r="M11" i="13"/>
  <c r="K4" i="13"/>
  <c r="M6" i="13"/>
  <c r="M12" i="13"/>
  <c r="M3" i="13"/>
  <c r="M17" i="13"/>
  <c r="M14" i="13"/>
  <c r="M13" i="13"/>
  <c r="K14" i="13"/>
  <c r="M15" i="13"/>
  <c r="K15" i="13"/>
  <c r="M16" i="13"/>
  <c r="K12" i="13"/>
  <c r="K17" i="13"/>
  <c r="K7" i="13"/>
  <c r="M5" i="13"/>
  <c r="M7" i="13"/>
  <c r="I21" i="13" l="1"/>
  <c r="G21" i="13"/>
  <c r="M21" i="13"/>
  <c r="J21" i="13"/>
  <c r="H21" i="13"/>
  <c r="K21" i="13"/>
  <c r="L21" i="13"/>
  <c r="F21" i="13"/>
  <c r="B9" i="13"/>
  <c r="B4" i="13"/>
  <c r="B5" i="13"/>
  <c r="B6" i="13"/>
  <c r="B7" i="13"/>
  <c r="B8" i="13"/>
  <c r="B3" i="13"/>
  <c r="L23" i="13" l="1"/>
  <c r="L24" i="13" s="1"/>
  <c r="H23" i="13"/>
  <c r="H24" i="13" s="1"/>
  <c r="H7" i="2"/>
  <c r="H4" i="2"/>
  <c r="H6" i="2" l="1"/>
  <c r="H9" i="2"/>
  <c r="C34" i="6"/>
  <c r="C12" i="18"/>
  <c r="C11" i="18"/>
  <c r="C13" i="18" s="1"/>
  <c r="C14" i="18" s="1"/>
  <c r="C5" i="18"/>
  <c r="C4" i="18"/>
  <c r="C6" i="18" l="1"/>
  <c r="C7" i="18" s="1"/>
  <c r="E5" i="7" l="1"/>
  <c r="F7" i="8" l="1"/>
  <c r="G7" i="8" s="1"/>
  <c r="H7" i="8" s="1"/>
  <c r="D27" i="7"/>
  <c r="C28" i="7"/>
  <c r="C27" i="7"/>
  <c r="H27" i="7"/>
  <c r="L27" i="7" s="1"/>
  <c r="G27" i="7"/>
  <c r="E27" i="7"/>
  <c r="F27" i="7" s="1"/>
  <c r="B27" i="7"/>
  <c r="B28" i="7"/>
  <c r="D28" i="7"/>
  <c r="E28" i="7"/>
  <c r="F28" i="7" s="1"/>
  <c r="G28" i="7"/>
  <c r="H28" i="7"/>
  <c r="L28" i="7" s="1"/>
  <c r="P28" i="7" l="1"/>
  <c r="K27" i="7"/>
  <c r="Q28" i="7" l="1"/>
  <c r="N3" i="19"/>
  <c r="N13" i="19" s="1"/>
  <c r="G4" i="2" l="1"/>
  <c r="N18" i="19"/>
  <c r="G7" i="2" s="1"/>
  <c r="E34" i="6"/>
  <c r="H4" i="7"/>
  <c r="L4" i="7" s="1"/>
  <c r="H5" i="7"/>
  <c r="K5" i="7" s="1"/>
  <c r="H6" i="7"/>
  <c r="H7" i="7"/>
  <c r="L7" i="7" s="1"/>
  <c r="H8" i="7"/>
  <c r="K8" i="7" s="1"/>
  <c r="H9" i="7"/>
  <c r="K9" i="7" s="1"/>
  <c r="H10" i="7"/>
  <c r="H11" i="7"/>
  <c r="H12" i="7"/>
  <c r="K12" i="7" s="1"/>
  <c r="H13" i="7"/>
  <c r="H14" i="7"/>
  <c r="H15" i="7"/>
  <c r="L15" i="7" s="1"/>
  <c r="H16" i="7"/>
  <c r="K16" i="7" s="1"/>
  <c r="H17" i="7"/>
  <c r="L17" i="7" s="1"/>
  <c r="H18" i="7"/>
  <c r="H19" i="7"/>
  <c r="H20" i="7"/>
  <c r="H21" i="7"/>
  <c r="H22" i="7"/>
  <c r="H24" i="7"/>
  <c r="H25" i="7"/>
  <c r="K25" i="7" s="1"/>
  <c r="H26" i="7"/>
  <c r="K26" i="7" s="1"/>
  <c r="H29" i="7"/>
  <c r="L29" i="7" s="1"/>
  <c r="H30" i="7"/>
  <c r="H31" i="7"/>
  <c r="H32" i="7"/>
  <c r="L32" i="7" s="1"/>
  <c r="G4" i="7"/>
  <c r="G5" i="7"/>
  <c r="G6" i="7"/>
  <c r="G7" i="7"/>
  <c r="G8" i="7"/>
  <c r="G9" i="7"/>
  <c r="G10" i="7"/>
  <c r="G11" i="7"/>
  <c r="G13" i="7"/>
  <c r="G14" i="7"/>
  <c r="G15" i="7"/>
  <c r="G16" i="7"/>
  <c r="G17" i="7"/>
  <c r="G18" i="7"/>
  <c r="G19" i="7"/>
  <c r="G20" i="7"/>
  <c r="G21" i="7"/>
  <c r="G22" i="7"/>
  <c r="G24" i="7"/>
  <c r="G25" i="7"/>
  <c r="G26" i="7"/>
  <c r="G29" i="7"/>
  <c r="G30" i="7"/>
  <c r="G31" i="7"/>
  <c r="G32" i="7"/>
  <c r="D4" i="7"/>
  <c r="D5" i="7"/>
  <c r="D6" i="7"/>
  <c r="D7" i="7"/>
  <c r="D8" i="7"/>
  <c r="D9" i="7"/>
  <c r="D10" i="7"/>
  <c r="D11" i="7"/>
  <c r="D12" i="7"/>
  <c r="D13" i="7"/>
  <c r="D14" i="7"/>
  <c r="D15" i="7"/>
  <c r="D16" i="7"/>
  <c r="D17" i="7"/>
  <c r="D18" i="7"/>
  <c r="D19" i="7"/>
  <c r="D20" i="7"/>
  <c r="D21" i="7"/>
  <c r="D22" i="7"/>
  <c r="D24" i="7"/>
  <c r="D25" i="7"/>
  <c r="D26" i="7"/>
  <c r="D29" i="7"/>
  <c r="D30" i="7"/>
  <c r="D31" i="7"/>
  <c r="D32" i="7"/>
  <c r="E4" i="7"/>
  <c r="F5" i="7"/>
  <c r="E6" i="7"/>
  <c r="F6" i="7" s="1"/>
  <c r="E7" i="7"/>
  <c r="F7" i="7" s="1"/>
  <c r="E8" i="7"/>
  <c r="F8" i="7" s="1"/>
  <c r="E9" i="7"/>
  <c r="F9" i="7" s="1"/>
  <c r="E10" i="7"/>
  <c r="F10" i="7" s="1"/>
  <c r="E11" i="7"/>
  <c r="F11" i="7" s="1"/>
  <c r="E13" i="7"/>
  <c r="F13" i="7" s="1"/>
  <c r="E14" i="7"/>
  <c r="F14" i="7" s="1"/>
  <c r="E15" i="7"/>
  <c r="F15" i="7" s="1"/>
  <c r="E16" i="7"/>
  <c r="F16" i="7" s="1"/>
  <c r="E17" i="7"/>
  <c r="F17" i="7" s="1"/>
  <c r="E18" i="7"/>
  <c r="F18" i="7" s="1"/>
  <c r="E19" i="7"/>
  <c r="F19" i="7" s="1"/>
  <c r="E20" i="7"/>
  <c r="F20" i="7" s="1"/>
  <c r="E21" i="7"/>
  <c r="F21" i="7" s="1"/>
  <c r="F22" i="7"/>
  <c r="E24" i="7"/>
  <c r="F24" i="7" s="1"/>
  <c r="E25" i="7"/>
  <c r="F25" i="7" s="1"/>
  <c r="E26" i="7"/>
  <c r="F26" i="7" s="1"/>
  <c r="E29" i="7"/>
  <c r="F29" i="7" s="1"/>
  <c r="E30" i="7"/>
  <c r="F30" i="7" s="1"/>
  <c r="E31" i="7"/>
  <c r="F31" i="7" s="1"/>
  <c r="B3" i="7"/>
  <c r="C3" i="7"/>
  <c r="B4" i="7"/>
  <c r="B5" i="7"/>
  <c r="C5" i="7"/>
  <c r="B6" i="7"/>
  <c r="C6" i="7"/>
  <c r="B7" i="7"/>
  <c r="C7" i="7"/>
  <c r="B8" i="7"/>
  <c r="C8" i="7"/>
  <c r="B9" i="7"/>
  <c r="C9" i="7"/>
  <c r="B10" i="7"/>
  <c r="C10" i="7"/>
  <c r="B11" i="7"/>
  <c r="C11" i="7"/>
  <c r="B12" i="7"/>
  <c r="C12" i="7"/>
  <c r="B13" i="7"/>
  <c r="C13" i="7"/>
  <c r="B14" i="7"/>
  <c r="C14" i="7"/>
  <c r="B15" i="7"/>
  <c r="C15" i="7"/>
  <c r="B16" i="7"/>
  <c r="C16" i="7"/>
  <c r="B17" i="7"/>
  <c r="C17" i="7"/>
  <c r="B18" i="7"/>
  <c r="C18" i="7"/>
  <c r="B19" i="7"/>
  <c r="C19" i="7"/>
  <c r="B20" i="7"/>
  <c r="C20" i="7"/>
  <c r="B21" i="7"/>
  <c r="C21" i="7"/>
  <c r="B22" i="7"/>
  <c r="C22" i="7"/>
  <c r="B24" i="7"/>
  <c r="C24" i="7"/>
  <c r="B25" i="7"/>
  <c r="C25" i="7"/>
  <c r="B26" i="7"/>
  <c r="C26" i="7"/>
  <c r="B29" i="7"/>
  <c r="C29" i="7"/>
  <c r="B30" i="7"/>
  <c r="C30" i="7"/>
  <c r="B31" i="7"/>
  <c r="C31" i="7"/>
  <c r="B32" i="7"/>
  <c r="C32" i="7"/>
  <c r="G9" i="2" l="1"/>
  <c r="H21" i="2"/>
  <c r="G6" i="2"/>
  <c r="H20" i="2"/>
  <c r="K30" i="7"/>
  <c r="F4" i="7"/>
  <c r="K4" i="7" s="1"/>
  <c r="N22" i="7"/>
  <c r="M22" i="7"/>
  <c r="H33" i="7"/>
  <c r="R10" i="7"/>
  <c r="L24" i="7"/>
  <c r="K24" i="7"/>
  <c r="C33" i="7"/>
  <c r="L16" i="7"/>
  <c r="K21" i="7"/>
  <c r="M13" i="7"/>
  <c r="K6" i="7"/>
  <c r="L8" i="7"/>
  <c r="K20" i="7"/>
  <c r="L31" i="7"/>
  <c r="L18" i="7"/>
  <c r="L14" i="7"/>
  <c r="L10" i="7"/>
  <c r="L9" i="7"/>
  <c r="K17" i="7"/>
  <c r="L21" i="7"/>
  <c r="L26" i="7"/>
  <c r="L20" i="7"/>
  <c r="N13" i="7"/>
  <c r="L5" i="7"/>
  <c r="K29" i="7"/>
  <c r="M19" i="7"/>
  <c r="K15" i="7"/>
  <c r="K11" i="7"/>
  <c r="L30" i="7"/>
  <c r="L25" i="7"/>
  <c r="N19" i="7"/>
  <c r="L11" i="7"/>
  <c r="L6" i="7"/>
  <c r="K31" i="7"/>
  <c r="K18" i="7"/>
  <c r="K14" i="7"/>
  <c r="K10" i="7"/>
  <c r="K7" i="7"/>
  <c r="E24" i="16"/>
  <c r="F24" i="16"/>
  <c r="G24" i="16"/>
  <c r="E25" i="16"/>
  <c r="F25" i="16"/>
  <c r="G25" i="16"/>
  <c r="E26" i="16"/>
  <c r="F26" i="16"/>
  <c r="G26" i="16"/>
  <c r="E27" i="16"/>
  <c r="G26" i="15" s="1"/>
  <c r="F27" i="16"/>
  <c r="H26" i="15" s="1"/>
  <c r="K26" i="15" s="1"/>
  <c r="N26" i="15" s="1"/>
  <c r="G27" i="16"/>
  <c r="E28" i="16"/>
  <c r="F28" i="16"/>
  <c r="G28" i="16"/>
  <c r="E29" i="16"/>
  <c r="F29" i="16"/>
  <c r="G29" i="16"/>
  <c r="G23" i="16"/>
  <c r="F23" i="16"/>
  <c r="L23" i="16" s="1"/>
  <c r="E23" i="16"/>
  <c r="K23" i="16" s="1"/>
  <c r="E17" i="16"/>
  <c r="F17" i="16"/>
  <c r="G17" i="16"/>
  <c r="E18" i="16"/>
  <c r="K18" i="16" s="1"/>
  <c r="F18" i="16"/>
  <c r="G18" i="16"/>
  <c r="E19" i="16"/>
  <c r="K19" i="16" s="1"/>
  <c r="F19" i="16"/>
  <c r="L19" i="16" s="1"/>
  <c r="G19" i="16"/>
  <c r="E20" i="16"/>
  <c r="F20" i="16"/>
  <c r="L20" i="16" s="1"/>
  <c r="G20" i="16"/>
  <c r="K17" i="16"/>
  <c r="L17" i="16"/>
  <c r="G16" i="16"/>
  <c r="F16" i="16"/>
  <c r="L16" i="16" s="1"/>
  <c r="E16" i="16"/>
  <c r="K16" i="16" s="1"/>
  <c r="E6" i="16"/>
  <c r="F6" i="16"/>
  <c r="G6" i="16"/>
  <c r="E7" i="16"/>
  <c r="F7" i="16"/>
  <c r="G7" i="16"/>
  <c r="E8" i="16"/>
  <c r="F8" i="16"/>
  <c r="G8" i="16"/>
  <c r="E9" i="16"/>
  <c r="F9" i="16"/>
  <c r="G9" i="16"/>
  <c r="E10" i="16"/>
  <c r="F10" i="16"/>
  <c r="G10" i="16"/>
  <c r="E11" i="16"/>
  <c r="F11" i="16"/>
  <c r="G11" i="16"/>
  <c r="E12" i="16"/>
  <c r="F12" i="16"/>
  <c r="G12" i="16"/>
  <c r="E13" i="16"/>
  <c r="F13" i="16"/>
  <c r="G13" i="16"/>
  <c r="G5" i="16"/>
  <c r="F5" i="16"/>
  <c r="E5" i="16"/>
  <c r="L18" i="16"/>
  <c r="K20" i="16"/>
  <c r="J26" i="15" l="1"/>
  <c r="M26" i="15" s="1"/>
  <c r="K4" i="2"/>
  <c r="K7" i="2"/>
  <c r="K7" i="3" s="1"/>
  <c r="H25" i="15"/>
  <c r="K25" i="15" s="1"/>
  <c r="N25" i="15" s="1"/>
  <c r="L26" i="16"/>
  <c r="K25" i="16"/>
  <c r="G24" i="15"/>
  <c r="K26" i="16"/>
  <c r="G25" i="15"/>
  <c r="L24" i="16"/>
  <c r="H23" i="15"/>
  <c r="K23" i="15" s="1"/>
  <c r="N23" i="15" s="1"/>
  <c r="L25" i="16"/>
  <c r="H24" i="15"/>
  <c r="K24" i="15" s="1"/>
  <c r="N24" i="15" s="1"/>
  <c r="K24" i="16"/>
  <c r="G23" i="15"/>
  <c r="J23" i="15" s="1"/>
  <c r="G7" i="3"/>
  <c r="G14" i="1" s="1"/>
  <c r="G12" i="18"/>
  <c r="G5" i="18"/>
  <c r="G11" i="18"/>
  <c r="G4" i="18"/>
  <c r="G13" i="2"/>
  <c r="G15" i="2" s="1"/>
  <c r="G4" i="3"/>
  <c r="E4" i="16"/>
  <c r="F4" i="16"/>
  <c r="G4" i="16"/>
  <c r="C16" i="16"/>
  <c r="D16" i="16"/>
  <c r="G22" i="16"/>
  <c r="F22" i="16"/>
  <c r="O25" i="16" s="1"/>
  <c r="K4" i="3" l="1"/>
  <c r="K10" i="3" s="1"/>
  <c r="J24" i="15"/>
  <c r="M24" i="15" s="1"/>
  <c r="J25" i="15"/>
  <c r="M25" i="15" s="1"/>
  <c r="N23" i="16"/>
  <c r="K15" i="16"/>
  <c r="I4" i="2" s="1"/>
  <c r="I20" i="2" s="1"/>
  <c r="L15" i="16"/>
  <c r="I7" i="2" s="1"/>
  <c r="I21" i="2" s="1"/>
  <c r="G28" i="15"/>
  <c r="G7" i="18"/>
  <c r="G6" i="18"/>
  <c r="G14" i="18"/>
  <c r="G13" i="18"/>
  <c r="G8" i="1"/>
  <c r="G13" i="1"/>
  <c r="G10" i="3"/>
  <c r="E22" i="16"/>
  <c r="N25" i="16" s="1"/>
  <c r="G15" i="16"/>
  <c r="I10" i="2" s="1"/>
  <c r="I12" i="2" s="1"/>
  <c r="F15" i="16"/>
  <c r="E15" i="16"/>
  <c r="D23" i="16"/>
  <c r="D24" i="16"/>
  <c r="F23" i="15" s="1"/>
  <c r="I23" i="15" s="1"/>
  <c r="D25" i="16"/>
  <c r="F24" i="15" s="1"/>
  <c r="D26" i="16"/>
  <c r="F25" i="15" s="1"/>
  <c r="D27" i="16"/>
  <c r="F26" i="15" s="1"/>
  <c r="D28" i="16"/>
  <c r="D29" i="16"/>
  <c r="I26" i="15" l="1"/>
  <c r="L26" i="15" s="1"/>
  <c r="I25" i="15"/>
  <c r="L25" i="15" s="1"/>
  <c r="I24" i="15"/>
  <c r="L24" i="15" s="1"/>
  <c r="G9" i="1"/>
  <c r="G8" i="18" s="1"/>
  <c r="F28" i="15"/>
  <c r="M23" i="15"/>
  <c r="J28" i="15"/>
  <c r="J29" i="15" s="1"/>
  <c r="I13" i="2"/>
  <c r="I12" i="18"/>
  <c r="I9" i="2"/>
  <c r="I4" i="18"/>
  <c r="I6" i="2"/>
  <c r="I11" i="18"/>
  <c r="I13" i="18" s="1"/>
  <c r="I5" i="18"/>
  <c r="D22" i="16"/>
  <c r="D17" i="16"/>
  <c r="D18" i="16"/>
  <c r="D19" i="16"/>
  <c r="D20" i="16"/>
  <c r="D6" i="16"/>
  <c r="D7" i="16"/>
  <c r="D8" i="16"/>
  <c r="D9" i="16"/>
  <c r="D10" i="16"/>
  <c r="D11" i="16"/>
  <c r="D12" i="16"/>
  <c r="D13" i="16"/>
  <c r="D5" i="16"/>
  <c r="C13" i="16"/>
  <c r="C20" i="16"/>
  <c r="C29" i="16"/>
  <c r="C28" i="16"/>
  <c r="C19" i="16"/>
  <c r="C27" i="16"/>
  <c r="C26" i="16"/>
  <c r="C25" i="16"/>
  <c r="C24" i="16"/>
  <c r="C18" i="16"/>
  <c r="C17" i="16"/>
  <c r="C23" i="16"/>
  <c r="C12" i="16"/>
  <c r="C11" i="16"/>
  <c r="C10" i="16"/>
  <c r="C9" i="16"/>
  <c r="C8" i="16"/>
  <c r="C7" i="16"/>
  <c r="C6" i="16"/>
  <c r="C5" i="16"/>
  <c r="I15" i="2" l="1"/>
  <c r="I22" i="2"/>
  <c r="G15" i="18"/>
  <c r="L23" i="15"/>
  <c r="I28" i="15"/>
  <c r="I29" i="15" s="1"/>
  <c r="J30" i="15" s="1"/>
  <c r="I7" i="18"/>
  <c r="I14" i="18"/>
  <c r="I6" i="18"/>
  <c r="O16" i="16"/>
  <c r="D4" i="16"/>
  <c r="D15" i="16"/>
  <c r="E15" i="5"/>
  <c r="H15" i="5"/>
  <c r="E16" i="5"/>
  <c r="H16" i="5"/>
  <c r="E17" i="5"/>
  <c r="H17" i="5"/>
  <c r="E18" i="5"/>
  <c r="E23" i="5" s="1"/>
  <c r="H18" i="5"/>
  <c r="H23" i="5" s="1"/>
  <c r="H3" i="5"/>
  <c r="E9" i="5"/>
  <c r="E10" i="5"/>
  <c r="G10" i="5"/>
  <c r="H4" i="5"/>
  <c r="E11" i="5"/>
  <c r="G11" i="5"/>
  <c r="E5" i="5"/>
  <c r="E6" i="5"/>
  <c r="E14" i="5"/>
  <c r="K13" i="2"/>
  <c r="F18" i="5"/>
  <c r="F23" i="5" s="1"/>
  <c r="G18" i="5"/>
  <c r="G23" i="5" s="1"/>
  <c r="G17" i="5"/>
  <c r="F17" i="5"/>
  <c r="G16" i="5"/>
  <c r="F16" i="5"/>
  <c r="G15" i="5"/>
  <c r="F15" i="5"/>
  <c r="H14" i="5"/>
  <c r="G14" i="5"/>
  <c r="F14" i="5"/>
  <c r="F10" i="5"/>
  <c r="H11" i="5"/>
  <c r="F11" i="5"/>
  <c r="H10" i="5"/>
  <c r="H9" i="5"/>
  <c r="G9" i="5"/>
  <c r="F9" i="5"/>
  <c r="F4" i="5"/>
  <c r="G4" i="5"/>
  <c r="F5" i="5"/>
  <c r="G5" i="5"/>
  <c r="H5" i="5"/>
  <c r="F6" i="5"/>
  <c r="G6" i="5"/>
  <c r="H6" i="5"/>
  <c r="G3" i="5"/>
  <c r="F3" i="5"/>
  <c r="E3" i="5"/>
  <c r="E4" i="5"/>
  <c r="G12" i="5" l="1"/>
  <c r="F24" i="5"/>
  <c r="H24" i="5"/>
  <c r="F12" i="5"/>
  <c r="G24" i="5"/>
  <c r="H19" i="5"/>
  <c r="H21" i="5"/>
  <c r="F19" i="5"/>
  <c r="F21" i="5"/>
  <c r="E19" i="5"/>
  <c r="E21" i="5"/>
  <c r="E12" i="5"/>
  <c r="G21" i="5"/>
  <c r="G19" i="5"/>
  <c r="E7" i="5"/>
  <c r="K7" i="5" s="1"/>
  <c r="H12" i="5"/>
  <c r="F7" i="5"/>
  <c r="G7" i="5"/>
  <c r="M7" i="5" s="1"/>
  <c r="H7" i="5"/>
  <c r="C10" i="2"/>
  <c r="C7" i="2"/>
  <c r="C4" i="2"/>
  <c r="L7" i="5" l="1"/>
  <c r="I7" i="5"/>
  <c r="I8" i="5" s="1"/>
  <c r="G22" i="5"/>
  <c r="F22" i="5"/>
  <c r="H22" i="5"/>
  <c r="F8" i="5"/>
  <c r="F3" i="15" s="1"/>
  <c r="H6" i="15" s="1"/>
  <c r="F3" i="9"/>
  <c r="F4" i="9"/>
  <c r="F5" i="9"/>
  <c r="F6" i="9"/>
  <c r="F7" i="9"/>
  <c r="F8" i="9"/>
  <c r="F9" i="9"/>
  <c r="L6" i="15" l="1"/>
  <c r="H10" i="15"/>
  <c r="L10" i="15" s="1"/>
  <c r="H7" i="15"/>
  <c r="L7" i="15" s="1"/>
  <c r="H11" i="15"/>
  <c r="L11" i="15" s="1"/>
  <c r="H4" i="15"/>
  <c r="L4" i="15" s="1"/>
  <c r="H8" i="15"/>
  <c r="L8" i="15" s="1"/>
  <c r="H3" i="15"/>
  <c r="L3" i="15" s="1"/>
  <c r="H5" i="15"/>
  <c r="L5" i="15" s="1"/>
  <c r="H9" i="15"/>
  <c r="L9" i="15" s="1"/>
  <c r="C10" i="9"/>
  <c r="E7" i="9"/>
  <c r="E3" i="9"/>
  <c r="G3" i="9" s="1"/>
  <c r="E6" i="9"/>
  <c r="E9" i="9"/>
  <c r="E5" i="9"/>
  <c r="G5" i="9" s="1"/>
  <c r="E8" i="9"/>
  <c r="E4" i="9"/>
  <c r="G4" i="9" s="1"/>
  <c r="E9" i="8"/>
  <c r="G6" i="9" l="1"/>
  <c r="I6" i="9"/>
  <c r="H6" i="9"/>
  <c r="I8" i="9"/>
  <c r="H8" i="9"/>
  <c r="G8" i="9"/>
  <c r="I7" i="9"/>
  <c r="H7" i="9"/>
  <c r="G7" i="9"/>
  <c r="H9" i="9"/>
  <c r="G9" i="9"/>
  <c r="I9" i="9"/>
  <c r="L13" i="15"/>
  <c r="J4" i="2" s="1"/>
  <c r="J6" i="2" l="1"/>
  <c r="J20" i="2"/>
  <c r="I10" i="9"/>
  <c r="J4" i="18"/>
  <c r="J11" i="18"/>
  <c r="H10" i="9"/>
  <c r="J4" i="3"/>
  <c r="F38" i="6"/>
  <c r="F39" i="6"/>
  <c r="F34" i="6"/>
  <c r="F36" i="6"/>
  <c r="F37" i="6"/>
  <c r="E39" i="6"/>
  <c r="E36" i="6"/>
  <c r="E37" i="6"/>
  <c r="E38" i="6"/>
  <c r="J38" i="6"/>
  <c r="J39" i="6"/>
  <c r="J34" i="6"/>
  <c r="J36" i="6"/>
  <c r="J37" i="6"/>
  <c r="H10" i="2" l="1"/>
  <c r="H12" i="2" s="1"/>
  <c r="H11" i="18" l="1"/>
  <c r="H4" i="18"/>
  <c r="H12" i="18"/>
  <c r="H5" i="18"/>
  <c r="K14" i="1"/>
  <c r="C7" i="3"/>
  <c r="C14" i="1" s="1"/>
  <c r="C4" i="3"/>
  <c r="C13" i="1" s="1"/>
  <c r="H14" i="18" l="1"/>
  <c r="H13" i="18"/>
  <c r="H6" i="18"/>
  <c r="H7" i="18"/>
  <c r="K13" i="1"/>
  <c r="J13" i="1"/>
  <c r="C10" i="3"/>
  <c r="F8" i="8" l="1"/>
  <c r="F7" i="2"/>
  <c r="F21" i="2" s="1"/>
  <c r="G6" i="8"/>
  <c r="N7" i="3"/>
  <c r="N6" i="3"/>
  <c r="G8" i="8" l="1"/>
  <c r="H8" i="8" s="1"/>
  <c r="F9" i="2"/>
  <c r="F12" i="18"/>
  <c r="F5" i="18"/>
  <c r="F10" i="2"/>
  <c r="F12" i="2" s="1"/>
  <c r="H6" i="8"/>
  <c r="F7" i="3"/>
  <c r="F14" i="1" s="1"/>
  <c r="F9" i="8"/>
  <c r="F13" i="5"/>
  <c r="G8" i="5"/>
  <c r="G9" i="8" l="1"/>
  <c r="H9" i="8" s="1"/>
  <c r="F4" i="2"/>
  <c r="F20" i="2" s="1"/>
  <c r="G13" i="5"/>
  <c r="G3" i="15"/>
  <c r="N8" i="3"/>
  <c r="D10" i="9"/>
  <c r="F6" i="2" l="1"/>
  <c r="F11" i="18"/>
  <c r="F4" i="18"/>
  <c r="F4" i="3"/>
  <c r="F13" i="2"/>
  <c r="I7" i="15"/>
  <c r="I11" i="15"/>
  <c r="I4" i="15"/>
  <c r="I8" i="15"/>
  <c r="I3" i="15"/>
  <c r="I5" i="15"/>
  <c r="I9" i="15"/>
  <c r="I6" i="15"/>
  <c r="I10" i="15"/>
  <c r="K9" i="1"/>
  <c r="E10" i="9"/>
  <c r="F10" i="9"/>
  <c r="F15" i="2" l="1"/>
  <c r="F22" i="2"/>
  <c r="F13" i="1"/>
  <c r="F10" i="3"/>
  <c r="F8" i="1"/>
  <c r="C51" i="1" s="1"/>
  <c r="F7" i="18"/>
  <c r="F6" i="18"/>
  <c r="F13" i="18"/>
  <c r="F14" i="18"/>
  <c r="J9" i="15"/>
  <c r="M9" i="15"/>
  <c r="N9" i="15" s="1"/>
  <c r="M8" i="15"/>
  <c r="N8" i="15" s="1"/>
  <c r="J8" i="15"/>
  <c r="M7" i="15"/>
  <c r="N7" i="15" s="1"/>
  <c r="J7" i="15"/>
  <c r="M6" i="15"/>
  <c r="N6" i="15" s="1"/>
  <c r="J6" i="15"/>
  <c r="J4" i="15"/>
  <c r="M4" i="15"/>
  <c r="N4" i="15" s="1"/>
  <c r="M3" i="15"/>
  <c r="J3" i="15"/>
  <c r="M11" i="15"/>
  <c r="N11" i="15" s="1"/>
  <c r="J11" i="15"/>
  <c r="M10" i="15"/>
  <c r="N10" i="15" s="1"/>
  <c r="J10" i="15"/>
  <c r="M5" i="15"/>
  <c r="J5" i="15"/>
  <c r="G10" i="9"/>
  <c r="F9" i="1"/>
  <c r="F15" i="18" l="1"/>
  <c r="F8" i="18"/>
  <c r="M13" i="15"/>
  <c r="J7" i="2" s="1"/>
  <c r="J21" i="2" s="1"/>
  <c r="N5" i="15"/>
  <c r="N13" i="15" s="1"/>
  <c r="H16" i="2"/>
  <c r="I16" i="2"/>
  <c r="I4" i="3"/>
  <c r="N3" i="15"/>
  <c r="C9" i="1"/>
  <c r="J9" i="2" l="1"/>
  <c r="J5" i="18"/>
  <c r="J12" i="18"/>
  <c r="I7" i="3"/>
  <c r="I14" i="1" s="1"/>
  <c r="I13" i="1"/>
  <c r="J7" i="3"/>
  <c r="J13" i="2"/>
  <c r="J15" i="2" l="1"/>
  <c r="J22" i="2"/>
  <c r="J14" i="18"/>
  <c r="J13" i="18"/>
  <c r="J6" i="18"/>
  <c r="J7" i="18"/>
  <c r="I8" i="1"/>
  <c r="C53" i="1" s="1"/>
  <c r="I10" i="3"/>
  <c r="J14" i="1"/>
  <c r="J10" i="3"/>
  <c r="J8" i="1"/>
  <c r="C54" i="1" s="1"/>
  <c r="J9" i="1" l="1"/>
  <c r="J8" i="18" s="1"/>
  <c r="J15" i="18" l="1"/>
  <c r="I9" i="1"/>
  <c r="I15" i="18" l="1"/>
  <c r="I8" i="18"/>
  <c r="H8" i="5"/>
  <c r="H13" i="5" s="1"/>
  <c r="G20" i="5" l="1"/>
  <c r="H20" i="5"/>
  <c r="F20" i="5"/>
  <c r="H4" i="3" l="1"/>
  <c r="H7" i="3"/>
  <c r="H13" i="2"/>
  <c r="H15" i="2" l="1"/>
  <c r="H22" i="2"/>
  <c r="H14" i="1"/>
  <c r="H8" i="1"/>
  <c r="C52" i="1" s="1"/>
  <c r="H10" i="3"/>
  <c r="H13" i="1"/>
  <c r="H9" i="1" l="1"/>
  <c r="H15" i="18" l="1"/>
  <c r="H8" i="18"/>
  <c r="H30" i="6"/>
  <c r="M30" i="6" s="1"/>
  <c r="G24" i="6"/>
  <c r="G31" i="6"/>
  <c r="H27" i="6"/>
  <c r="G25" i="6"/>
  <c r="H23" i="6"/>
  <c r="M23" i="6" s="1"/>
  <c r="G30" i="6"/>
  <c r="H24" i="6"/>
  <c r="M24" i="6" s="1"/>
  <c r="G27" i="6"/>
  <c r="H31" i="6"/>
  <c r="M31" i="6" s="1"/>
  <c r="H25" i="6"/>
  <c r="M25" i="6" s="1"/>
  <c r="G23" i="6"/>
  <c r="I31" i="6" l="1"/>
  <c r="D37" i="6"/>
  <c r="D39" i="6"/>
  <c r="D34" i="6"/>
  <c r="D36" i="6"/>
  <c r="D38" i="6"/>
  <c r="H22" i="6"/>
  <c r="L27" i="6"/>
  <c r="I27" i="6"/>
  <c r="L30" i="6"/>
  <c r="I30" i="6"/>
  <c r="M27" i="6"/>
  <c r="L24" i="6"/>
  <c r="I24" i="6"/>
  <c r="G22" i="6"/>
  <c r="C37" i="6"/>
  <c r="C36" i="6"/>
  <c r="C39" i="6"/>
  <c r="C38" i="6"/>
  <c r="L25" i="6"/>
  <c r="I25" i="6"/>
  <c r="I23" i="6"/>
  <c r="L23" i="6"/>
  <c r="L31" i="6"/>
  <c r="I22" i="6" l="1"/>
  <c r="I34" i="6" s="1"/>
  <c r="M22" i="6"/>
  <c r="H39" i="6"/>
  <c r="H36" i="6"/>
  <c r="H34" i="6"/>
  <c r="H37" i="6"/>
  <c r="L22" i="6"/>
  <c r="G36" i="6"/>
  <c r="G37" i="6"/>
  <c r="G34" i="6"/>
  <c r="G39" i="6"/>
  <c r="H38" i="6"/>
  <c r="G38" i="6"/>
  <c r="M37" i="6" l="1"/>
  <c r="M38" i="6"/>
  <c r="M39" i="6"/>
  <c r="M34" i="6"/>
  <c r="L36" i="6"/>
  <c r="L38" i="6"/>
  <c r="L37" i="6"/>
  <c r="L34" i="6"/>
  <c r="I37" i="6"/>
  <c r="I39" i="6"/>
  <c r="I38" i="6"/>
  <c r="I36" i="6"/>
  <c r="L39" i="6"/>
  <c r="M36" i="6"/>
  <c r="D9" i="2" l="1"/>
  <c r="D6" i="2"/>
  <c r="D12" i="2"/>
  <c r="D11" i="18" l="1"/>
  <c r="D4" i="18"/>
  <c r="D4" i="3"/>
  <c r="D7" i="3"/>
  <c r="D13" i="2"/>
  <c r="D22" i="2" s="1"/>
  <c r="D12" i="18"/>
  <c r="D5" i="18"/>
  <c r="G11" i="2"/>
  <c r="H11" i="2"/>
  <c r="K11" i="2"/>
  <c r="I11" i="2"/>
  <c r="E11" i="2"/>
  <c r="F11" i="2"/>
  <c r="J11" i="2"/>
  <c r="D11" i="2"/>
  <c r="D15" i="2" l="1"/>
  <c r="D13" i="18"/>
  <c r="D14" i="18"/>
  <c r="D14" i="1"/>
  <c r="D8" i="1"/>
  <c r="C49" i="1" s="1"/>
  <c r="D13" i="1"/>
  <c r="D10" i="3"/>
  <c r="D6" i="18"/>
  <c r="D7" i="18"/>
  <c r="D9" i="1" l="1"/>
  <c r="D15" i="18" s="1"/>
  <c r="D8" i="18" l="1"/>
  <c r="G12" i="7"/>
  <c r="G37" i="7" l="1"/>
  <c r="G36" i="7"/>
  <c r="G38" i="7"/>
  <c r="E12" i="7" l="1"/>
  <c r="F12" i="7" l="1"/>
  <c r="L12" i="7" s="1"/>
  <c r="E7" i="2" l="1"/>
  <c r="E21" i="2" s="1"/>
  <c r="R9" i="7"/>
  <c r="R12" i="7" s="1"/>
  <c r="E9" i="2" l="1"/>
  <c r="E12" i="18"/>
  <c r="E5" i="18"/>
  <c r="E7" i="3"/>
  <c r="D8" i="2"/>
  <c r="E8" i="2"/>
  <c r="H8" i="2"/>
  <c r="F8" i="2"/>
  <c r="I8" i="2"/>
  <c r="G8" i="2"/>
  <c r="J8" i="2"/>
  <c r="K8" i="2"/>
  <c r="O7" i="3" l="1"/>
  <c r="K8" i="3" s="1"/>
  <c r="E14" i="1"/>
  <c r="E8" i="3" l="1"/>
  <c r="L14" i="1"/>
  <c r="L15" i="1"/>
  <c r="D8" i="3"/>
  <c r="G8" i="3"/>
  <c r="I8" i="3"/>
  <c r="J8" i="3"/>
  <c r="F8" i="3"/>
  <c r="H8" i="3"/>
  <c r="Q7" i="3"/>
  <c r="E32" i="7" l="1"/>
  <c r="E35" i="7" l="1"/>
  <c r="E33" i="7"/>
  <c r="F32" i="7"/>
  <c r="K32" i="7" s="1"/>
  <c r="E4" i="2" s="1"/>
  <c r="E20" i="2" s="1"/>
  <c r="E34" i="7"/>
  <c r="I5" i="2" l="1"/>
  <c r="E6" i="2"/>
  <c r="E11" i="18"/>
  <c r="J5" i="2"/>
  <c r="G5" i="2"/>
  <c r="E5" i="2"/>
  <c r="D5" i="2"/>
  <c r="E4" i="18"/>
  <c r="H5" i="2"/>
  <c r="F5" i="2"/>
  <c r="E4" i="3"/>
  <c r="E13" i="2"/>
  <c r="E22" i="2" s="1"/>
  <c r="K5" i="2"/>
  <c r="E13" i="1" l="1"/>
  <c r="L13" i="1" s="1"/>
  <c r="E10" i="3"/>
  <c r="E8" i="1"/>
  <c r="O6" i="3"/>
  <c r="E5" i="3" s="1"/>
  <c r="G14" i="2"/>
  <c r="E14" i="2"/>
  <c r="I14" i="2"/>
  <c r="F14" i="2"/>
  <c r="J14" i="2"/>
  <c r="D14" i="2"/>
  <c r="L13" i="2"/>
  <c r="M13" i="2" s="1"/>
  <c r="N15" i="2" s="1"/>
  <c r="H14" i="2"/>
  <c r="E15" i="2"/>
  <c r="K14" i="2"/>
  <c r="E7" i="18"/>
  <c r="E6" i="18"/>
  <c r="E13" i="18"/>
  <c r="E14" i="18"/>
  <c r="E9" i="1" l="1"/>
  <c r="E8" i="18" s="1"/>
  <c r="C50" i="1"/>
  <c r="O8" i="3"/>
  <c r="K5" i="3"/>
  <c r="F5" i="3"/>
  <c r="Q6" i="3"/>
  <c r="O1" i="3" s="1"/>
  <c r="E1" i="1" s="1"/>
  <c r="H2" i="1" s="1"/>
  <c r="H5" i="3"/>
  <c r="I5" i="3"/>
  <c r="G5" i="3"/>
  <c r="D5" i="3"/>
  <c r="J5" i="3"/>
  <c r="E15" i="18" l="1"/>
  <c r="F11" i="3"/>
  <c r="K11" i="3"/>
  <c r="D11" i="3"/>
  <c r="I11" i="3"/>
  <c r="H11" i="3"/>
  <c r="J11" i="3"/>
  <c r="C55" i="1"/>
  <c r="D50" i="1" s="1"/>
  <c r="I10" i="1"/>
  <c r="J10" i="1"/>
  <c r="G10" i="1"/>
  <c r="F10" i="1"/>
  <c r="H10" i="1"/>
  <c r="K10" i="1"/>
  <c r="D10" i="1"/>
  <c r="G1" i="1"/>
  <c r="H1" i="1" s="1"/>
  <c r="G2" i="1"/>
  <c r="E11" i="3"/>
  <c r="E10" i="1"/>
  <c r="L10" i="1" l="1"/>
  <c r="D52" i="1"/>
  <c r="D54" i="1"/>
  <c r="D51" i="1"/>
  <c r="D49" i="1"/>
  <c r="D53" i="1"/>
  <c r="D55" i="1" l="1"/>
</calcChain>
</file>

<file path=xl/sharedStrings.xml><?xml version="1.0" encoding="utf-8"?>
<sst xmlns="http://schemas.openxmlformats.org/spreadsheetml/2006/main" count="438" uniqueCount="264">
  <si>
    <t>County</t>
  </si>
  <si>
    <t>Atm Dep</t>
  </si>
  <si>
    <t>WWTF</t>
  </si>
  <si>
    <t>Septic Tanks</t>
  </si>
  <si>
    <t>Fertilizer</t>
  </si>
  <si>
    <t>Livestock</t>
  </si>
  <si>
    <t>Residential</t>
  </si>
  <si>
    <t>Adjusted Springshed (sorted by county)</t>
  </si>
  <si>
    <t>Total</t>
  </si>
  <si>
    <t>Percentage</t>
  </si>
  <si>
    <t>Adjusted Springshed (sorted by recharge area)</t>
  </si>
  <si>
    <r>
      <t xml:space="preserve">Attenuation Factor </t>
    </r>
    <r>
      <rPr>
        <b/>
        <i/>
        <sz val="11"/>
        <color theme="5" tint="-0.249977111117893"/>
        <rFont val="Calibri"/>
        <family val="2"/>
      </rPr>
      <t>→</t>
    </r>
  </si>
  <si>
    <t>Adjusted Loading</t>
  </si>
  <si>
    <t>Springshed</t>
  </si>
  <si>
    <t>Loading Percentage based on filtration rates</t>
  </si>
  <si>
    <t>Recharge factor</t>
  </si>
  <si>
    <t>Total Area</t>
  </si>
  <si>
    <t>ha</t>
  </si>
  <si>
    <t>Percentage of County Livestock land</t>
  </si>
  <si>
    <t>Percentage of County Fertilized land</t>
  </si>
  <si>
    <t>Percentage of Residential land</t>
  </si>
  <si>
    <t>Year</t>
  </si>
  <si>
    <t>TOTAL</t>
  </si>
  <si>
    <t>AVERAGE</t>
  </si>
  <si>
    <t>min</t>
  </si>
  <si>
    <t>max</t>
  </si>
  <si>
    <t>median</t>
  </si>
  <si>
    <t>stdev</t>
  </si>
  <si>
    <t>Rainfall (cm)</t>
  </si>
  <si>
    <t>Dry</t>
  </si>
  <si>
    <t>Wet</t>
  </si>
  <si>
    <t>Recharge Area</t>
  </si>
  <si>
    <t>DOH parcel estimation</t>
  </si>
  <si>
    <t># of septic tanks</t>
  </si>
  <si>
    <t>Population (pph)</t>
  </si>
  <si>
    <t># people on septic tanks</t>
  </si>
  <si>
    <t>loading</t>
  </si>
  <si>
    <t>TOTAL Fertilizer (tons)</t>
  </si>
  <si>
    <t>Total N all fertilizer (tons)</t>
  </si>
  <si>
    <t>% N</t>
  </si>
  <si>
    <t>Goats</t>
  </si>
  <si>
    <t>High Recharge</t>
  </si>
  <si>
    <t>Medium Recharge</t>
  </si>
  <si>
    <t>D</t>
  </si>
  <si>
    <t>M</t>
  </si>
  <si>
    <t>H</t>
  </si>
  <si>
    <t>High</t>
  </si>
  <si>
    <t>Medium</t>
  </si>
  <si>
    <t>Chicken, Broilers</t>
  </si>
  <si>
    <t>Chicken, Layers</t>
  </si>
  <si>
    <t>Hogs</t>
  </si>
  <si>
    <t>Sheep including Lambs</t>
  </si>
  <si>
    <t>Turkey</t>
  </si>
  <si>
    <t>Horses</t>
  </si>
  <si>
    <t>STATION</t>
  </si>
  <si>
    <t xml:space="preserve">NO3 </t>
  </si>
  <si>
    <t xml:space="preserve">NH4 </t>
  </si>
  <si>
    <t>% Wet</t>
  </si>
  <si>
    <t>Discharge</t>
  </si>
  <si>
    <t>ac</t>
  </si>
  <si>
    <t>Facility ID</t>
  </si>
  <si>
    <t>Facility Name</t>
  </si>
  <si>
    <t>Years Inc.</t>
  </si>
  <si>
    <t>2009-2010</t>
  </si>
  <si>
    <t>Sod farms</t>
  </si>
  <si>
    <t>Landuse Description</t>
  </si>
  <si>
    <t>Landuse Code</t>
  </si>
  <si>
    <t>TN (mg/L)</t>
  </si>
  <si>
    <t>Location</t>
  </si>
  <si>
    <t>Crop Type</t>
  </si>
  <si>
    <t>Row Crops</t>
  </si>
  <si>
    <t>Field Crops</t>
  </si>
  <si>
    <t>Tree Crops</t>
  </si>
  <si>
    <t>Golf Courses</t>
  </si>
  <si>
    <t>Citrus Groves</t>
  </si>
  <si>
    <t>Mixed Crops</t>
  </si>
  <si>
    <t>Application Rate (lb-n/ac/yr)</t>
  </si>
  <si>
    <t>applied to 50% lands</t>
  </si>
  <si>
    <t>applied to turf grass which is 72%</t>
  </si>
  <si>
    <t>2009 LU</t>
  </si>
  <si>
    <t>Horse Farms</t>
  </si>
  <si>
    <t>applied to 27% lands</t>
  </si>
  <si>
    <t>applied to 18% lands</t>
  </si>
  <si>
    <t>Atmosperhic Deposition</t>
  </si>
  <si>
    <t>Fertilizer,</t>
  </si>
  <si>
    <t>Urban</t>
  </si>
  <si>
    <t>Landuse %</t>
  </si>
  <si>
    <t>Improved Pasture @25%</t>
  </si>
  <si>
    <t>Crop</t>
  </si>
  <si>
    <t>Citrus</t>
  </si>
  <si>
    <t>FL05</t>
  </si>
  <si>
    <t>SUM156</t>
  </si>
  <si>
    <t>contains projected values</t>
  </si>
  <si>
    <t>County Population</t>
  </si>
  <si>
    <t>Occupied Households</t>
  </si>
  <si>
    <t>Area (ac)</t>
  </si>
  <si>
    <t>UNLESS OTHERWISE NOTED UNITS ARE lb-N/YEAR</t>
  </si>
  <si>
    <t>average annual loading per person (lb-N)</t>
  </si>
  <si>
    <t>Citrus (ac)</t>
  </si>
  <si>
    <t>Total N all fertilizer (lb-N)</t>
  </si>
  <si>
    <t>Farm (lb-N)</t>
  </si>
  <si>
    <t>Cattle</t>
  </si>
  <si>
    <t>Calves</t>
  </si>
  <si>
    <t>Waste Factor (lb-N/day)</t>
  </si>
  <si>
    <t>Total Input (lb-N/yr)</t>
  </si>
  <si>
    <t>BMAP</t>
  </si>
  <si>
    <t>Citrus County Populations</t>
  </si>
  <si>
    <t>RESIDENTIAL LOW DENSITY &lt; 2 DWELLING UNITS</t>
  </si>
  <si>
    <t>RESIDENTIAL MED DENSITY 2-&gt;5 DWELLING UNIT</t>
  </si>
  <si>
    <t>RESIDENTIAL HIGH DENSITY</t>
  </si>
  <si>
    <t>RECREATIONAL</t>
  </si>
  <si>
    <t>GOLF COURSES</t>
  </si>
  <si>
    <t>CROPLAND AND PASTURELAND</t>
  </si>
  <si>
    <t>ROW CROPS</t>
  </si>
  <si>
    <t>TREE CROPS</t>
  </si>
  <si>
    <t>FEEDING OPERATIONS</t>
  </si>
  <si>
    <t>SPECIALTY FARMS</t>
  </si>
  <si>
    <t>TROPICAL FISH FARMS</t>
  </si>
  <si>
    <t>NURSERIES AND VINEYARDS</t>
  </si>
  <si>
    <t>Estimated GW Loading (lb-N/yr)</t>
  </si>
  <si>
    <t>Total Loading (lb-N/yr)</t>
  </si>
  <si>
    <t>GW Loading (lb-N)/yr)</t>
  </si>
  <si>
    <t>PC Code</t>
  </si>
  <si>
    <t>Description</t>
  </si>
  <si>
    <t>Hay</t>
  </si>
  <si>
    <t>improved</t>
  </si>
  <si>
    <t>semi improved</t>
  </si>
  <si>
    <t>rangeland</t>
  </si>
  <si>
    <t>Estimated Crop</t>
  </si>
  <si>
    <t>Application Rate</t>
  </si>
  <si>
    <t>Land Area (ac)</t>
  </si>
  <si>
    <t>Nitrogen Input (lb-N/yr)</t>
  </si>
  <si>
    <t>Orchards, Citrus</t>
  </si>
  <si>
    <t>Ornamentals</t>
  </si>
  <si>
    <t>Design Capacity (MGD)</t>
  </si>
  <si>
    <t>Flow (MGD)</t>
  </si>
  <si>
    <t>Flow (L/yr)</t>
  </si>
  <si>
    <t>Recharge</t>
  </si>
  <si>
    <t>Total Contributing</t>
  </si>
  <si>
    <t>Total Citrus County</t>
  </si>
  <si>
    <r>
      <t xml:space="preserve">↑ Fertilizer Sales </t>
    </r>
    <r>
      <rPr>
        <i/>
        <sz val="11"/>
        <rFont val="Calibri"/>
        <family val="2"/>
      </rPr>
      <t>↑</t>
    </r>
  </si>
  <si>
    <t>Total BMAP</t>
  </si>
  <si>
    <t>Urban (Excl Golf course)</t>
  </si>
  <si>
    <t>Golf courses</t>
  </si>
  <si>
    <t>BMAP Populations       (2012 CoA)</t>
  </si>
  <si>
    <t>NO3        (lb-N/ac)</t>
  </si>
  <si>
    <t>NH4        (lb-N/ac)</t>
  </si>
  <si>
    <t>incomplete data set</t>
  </si>
  <si>
    <t>Total N        (lb-N/ac)</t>
  </si>
  <si>
    <t>Urban (lb-N)</t>
  </si>
  <si>
    <t>Total (excl golf courses)</t>
  </si>
  <si>
    <t>Total golf coures</t>
  </si>
  <si>
    <t>Golf Course Reuse</t>
  </si>
  <si>
    <t>Resuse for crop and pasture fertilization on sprayfield</t>
  </si>
  <si>
    <t>Farm</t>
  </si>
  <si>
    <t>Total After Recharge</t>
  </si>
  <si>
    <r>
      <t xml:space="preserve">High Attenuation Factor </t>
    </r>
    <r>
      <rPr>
        <b/>
        <i/>
        <sz val="11"/>
        <color theme="5" tint="-0.249977111117893"/>
        <rFont val="Calibri"/>
        <family val="2"/>
      </rPr>
      <t>→</t>
    </r>
  </si>
  <si>
    <r>
      <t xml:space="preserve">Low Attenuation Factor </t>
    </r>
    <r>
      <rPr>
        <b/>
        <i/>
        <sz val="11"/>
        <color theme="5" tint="-0.249977111117893"/>
        <rFont val="Calibri"/>
        <family val="2"/>
      </rPr>
      <t>→</t>
    </r>
  </si>
  <si>
    <t>Negative Error Bar Value</t>
  </si>
  <si>
    <t>Positive Error Bar Value</t>
  </si>
  <si>
    <t>Homesites for grazing*</t>
  </si>
  <si>
    <t>*50% fertilized</t>
  </si>
  <si>
    <t>Course Name</t>
  </si>
  <si>
    <t>Black Diamond</t>
  </si>
  <si>
    <t>Citrus Hills</t>
  </si>
  <si>
    <t>Citrus Springs</t>
  </si>
  <si>
    <t>El Diablo</t>
  </si>
  <si>
    <t xml:space="preserve">Lakeside </t>
  </si>
  <si>
    <t>Pine Ridge</t>
  </si>
  <si>
    <t>Plantation Inn</t>
  </si>
  <si>
    <t>Seven Rivers</t>
  </si>
  <si>
    <t>Skyview</t>
  </si>
  <si>
    <t>Twisted Oaks</t>
  </si>
  <si>
    <t>Fairways</t>
  </si>
  <si>
    <t>Rough</t>
  </si>
  <si>
    <t>Greens</t>
  </si>
  <si>
    <t>Manager/Director</t>
  </si>
  <si>
    <t>manager@eldiablogolf.com</t>
  </si>
  <si>
    <t>Water</t>
  </si>
  <si>
    <t>Sand</t>
  </si>
  <si>
    <t>-</t>
  </si>
  <si>
    <t>Ag appraiser</t>
  </si>
  <si>
    <t>Urban appraiser</t>
  </si>
  <si>
    <t>GIS manager</t>
  </si>
  <si>
    <t>Robert Spivey</t>
  </si>
  <si>
    <t>Doug Mack</t>
  </si>
  <si>
    <t>Rick Fritz</t>
  </si>
  <si>
    <t>Land use Description</t>
  </si>
  <si>
    <t>Lawn Service</t>
  </si>
  <si>
    <t>Medium (ac)</t>
  </si>
  <si>
    <t>High (ac)</t>
  </si>
  <si>
    <t>Medium (lb-N/yr)</t>
  </si>
  <si>
    <t>High (lb-N/yr)</t>
  </si>
  <si>
    <t>Average Applications per year</t>
  </si>
  <si>
    <t>App Rate</t>
  </si>
  <si>
    <t>lb-N/1000 sq ft</t>
  </si>
  <si>
    <t>lb-N/ac</t>
  </si>
  <si>
    <t>lb-N/yr</t>
  </si>
  <si>
    <t>% fertilized</t>
  </si>
  <si>
    <t>HIGH RECHARGE</t>
  </si>
  <si>
    <t>MEDIUM RECHARGE</t>
  </si>
  <si>
    <t>Land Area (ac) via property value</t>
  </si>
  <si>
    <t>Facility Closed July 2014</t>
  </si>
  <si>
    <t>Rich Herber; 352-795-8999, rherber2@tampabay.rr.com</t>
  </si>
  <si>
    <t>email sent</t>
  </si>
  <si>
    <t>email read</t>
  </si>
  <si>
    <t>response received</t>
  </si>
  <si>
    <t>no reuse</t>
  </si>
  <si>
    <t>rough 1 pound a year, fairways 2 pounds a year, greens 5 pounds a year</t>
  </si>
  <si>
    <t>PA Land Area</t>
  </si>
  <si>
    <t>Grazing Land</t>
  </si>
  <si>
    <t>Land type</t>
  </si>
  <si>
    <t>Improvement</t>
  </si>
  <si>
    <t>PC</t>
  </si>
  <si>
    <t>Cattle Population (7 ac/ cow)</t>
  </si>
  <si>
    <t>2002-2011</t>
  </si>
  <si>
    <t>WWTF to be taken off line</t>
  </si>
  <si>
    <t>352-746-6177, Butch Garlin is Superintendent, no contact info. 352-249-0848</t>
  </si>
  <si>
    <t>Jay Howard; 352-489-5045, message left 12/2 9:51</t>
  </si>
  <si>
    <t>352-795-7017, – Superintendent Glen Oberlander glennob@yahoo.com, contacted and sent questionnaire 12/2</t>
  </si>
  <si>
    <t>Doug Egly; degly@blackdiamondranch.com, Superintendent Matt DiMase mdimase@escalantegolf.com, spoke with and emailed questionnaire 12/2</t>
  </si>
  <si>
    <t>lakesidegolf@tampabay.rr.com, 352-726-1461, message left 12/2, clark smith</t>
  </si>
  <si>
    <t>average</t>
  </si>
  <si>
    <t>kg-N</t>
  </si>
  <si>
    <t>kg</t>
  </si>
  <si>
    <t>total lb-N/yr</t>
  </si>
  <si>
    <t>total kg-N/yr</t>
  </si>
  <si>
    <r>
      <rPr>
        <b/>
        <sz val="11"/>
        <color theme="1"/>
        <rFont val="Calibri"/>
        <family val="2"/>
      </rPr>
      <t xml:space="preserve">↑ </t>
    </r>
    <r>
      <rPr>
        <b/>
        <sz val="11"/>
        <color theme="1"/>
        <rFont val="Calibri"/>
        <family val="2"/>
        <scheme val="minor"/>
      </rPr>
      <t xml:space="preserve">above app rates are in lb-N/ac </t>
    </r>
    <r>
      <rPr>
        <b/>
        <sz val="11"/>
        <color theme="1"/>
        <rFont val="Calibri"/>
        <family val="2"/>
      </rPr>
      <t>↑</t>
    </r>
  </si>
  <si>
    <t>Tees</t>
  </si>
  <si>
    <t>kg-N/ha</t>
  </si>
  <si>
    <t>Steve Fischer; stevef@citrushills.com, Superintendent David Hoggard dchoggard@hotmail.com. 352-746-4425, same manager as Skyview</t>
  </si>
  <si>
    <t>Peter Summers; golf@citrushills.com,  Superintendent David Hoggard dchoggard@hotmail.com. 352-746-0182, same manager as citrus hills, this is best number</t>
  </si>
  <si>
    <t>Blake Sampson; gm@twistedoaksgc.com, Superintendent Chuck Barclay cbarclay@tampabay.rr.com ,, 352-527-1989, left message on 1/12/15 2:11 pm</t>
  </si>
  <si>
    <t>TDEP model year 1113</t>
  </si>
  <si>
    <t>TN (kg-N)</t>
  </si>
  <si>
    <t>TN (lb-N)</t>
  </si>
  <si>
    <t>CLOSED AUG 2014</t>
  </si>
  <si>
    <t>WWTF-RIB</t>
  </si>
  <si>
    <t>WWTF-Sprayfield</t>
  </si>
  <si>
    <t>FLA011855</t>
  </si>
  <si>
    <t>Sandy Oaks RVP &amp; MHC WWTF</t>
  </si>
  <si>
    <t>Sprayfield</t>
  </si>
  <si>
    <t>RIB</t>
  </si>
  <si>
    <t>RIB/Ab field</t>
  </si>
  <si>
    <t>Absoprtion Field</t>
  </si>
  <si>
    <t>Input RIB (lb-N/yr)</t>
  </si>
  <si>
    <t>Input Sprayfield (lb-N/yr)</t>
  </si>
  <si>
    <t xml:space="preserve">Cattle populations estimated based on average stocking rate according to local Citrus County cattelmen. Cattle are rotationally grazed and have a stocking rate of 3 to 4 acre per cow. After taking into consideration the lands not being actively used for grazing, the average stocking rate on improved and semi-improved pasture lands as defined by the property appaisers is approximately 6 to 8 acre per cow. This information was conveyed via Curt Williams who is a Florida Farm Bureau Federation agent. </t>
  </si>
  <si>
    <t>lb</t>
  </si>
  <si>
    <t>Septic Systems</t>
  </si>
  <si>
    <t>FOR ARTICLE</t>
  </si>
  <si>
    <t>Atmospheric Deposition</t>
  </si>
  <si>
    <t>Urban Fertililzers</t>
  </si>
  <si>
    <t>Crop Fertilizers</t>
  </si>
  <si>
    <t>Livestock Operations</t>
  </si>
  <si>
    <t>kg-n/ha</t>
  </si>
  <si>
    <t>&gt;0.01</t>
  </si>
  <si>
    <t>&gt;0.1</t>
  </si>
  <si>
    <t>DEP study value</t>
  </si>
  <si>
    <t>Projected Value</t>
  </si>
  <si>
    <t>Self Fertilized</t>
  </si>
  <si>
    <t>Lawn Care Source</t>
  </si>
  <si>
    <t>kg-n</t>
  </si>
  <si>
    <t xml:space="preserve">This spreadsheet was created in May of 2015 and should be considered an initial draft.  It is not to be utilized for determining  load  allocations.  As more accurate data becomes available, this spreadsheet will be revised and ultimately will be utilized in the Draft Kings Bay Crystal River BMAP.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</si>
</sst>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000000"/>
    <numFmt numFmtId="165" formatCode="0.000"/>
    <numFmt numFmtId="166" formatCode="0.0%"/>
    <numFmt numFmtId="167" formatCode="_(* #,##0_);_(* \(#,##0\);_(* &quot;-&quot;??_);_(@_)"/>
    <numFmt numFmtId="168" formatCode="_(* #,##0.0_);_(* \(#,##0.0\);_(* &quot;-&quot;??_);_(@_)"/>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b/>
      <sz val="11"/>
      <color theme="4" tint="-0.249977111117893"/>
      <name val="Calibri"/>
      <family val="2"/>
      <scheme val="minor"/>
    </font>
    <font>
      <b/>
      <i/>
      <sz val="11"/>
      <color theme="5" tint="-0.249977111117893"/>
      <name val="Calibri"/>
      <family val="2"/>
      <scheme val="minor"/>
    </font>
    <font>
      <b/>
      <i/>
      <sz val="11"/>
      <color theme="5" tint="-0.249977111117893"/>
      <name val="Calibri"/>
      <family val="2"/>
    </font>
    <font>
      <b/>
      <sz val="14"/>
      <color theme="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
      <sz val="11"/>
      <color theme="0" tint="-0.34998626667073579"/>
      <name val="Calibri"/>
      <family val="2"/>
      <scheme val="minor"/>
    </font>
    <font>
      <b/>
      <sz val="11"/>
      <color rgb="FF00B050"/>
      <name val="Calibri"/>
      <family val="2"/>
      <scheme val="minor"/>
    </font>
    <font>
      <sz val="11"/>
      <color rgb="FFED7D31"/>
      <name val="Calibri"/>
      <family val="2"/>
    </font>
    <font>
      <sz val="11"/>
      <name val="Calibri"/>
      <family val="2"/>
    </font>
    <font>
      <i/>
      <sz val="11"/>
      <name val="Calibri"/>
      <family val="2"/>
      <scheme val="minor"/>
    </font>
    <font>
      <i/>
      <sz val="11"/>
      <name val="Calibri"/>
      <family val="2"/>
    </font>
    <font>
      <strike/>
      <sz val="11"/>
      <color theme="1"/>
      <name val="Calibri"/>
      <family val="2"/>
      <scheme val="minor"/>
    </font>
    <font>
      <sz val="11"/>
      <color rgb="FFC00000"/>
      <name val="Calibri"/>
      <family val="2"/>
      <scheme val="minor"/>
    </font>
    <font>
      <b/>
      <sz val="11"/>
      <color rgb="FF0070C0"/>
      <name val="Calibri"/>
      <family val="2"/>
      <scheme val="minor"/>
    </font>
    <font>
      <sz val="11"/>
      <color rgb="FF00B050"/>
      <name val="Calibri"/>
      <family val="2"/>
      <scheme val="minor"/>
    </font>
    <font>
      <sz val="11"/>
      <color rgb="FF00B0F0"/>
      <name val="Calibri"/>
      <family val="2"/>
      <scheme val="minor"/>
    </font>
    <font>
      <b/>
      <strike/>
      <sz val="11"/>
      <color theme="1"/>
      <name val="Calibri"/>
      <family val="2"/>
      <scheme val="minor"/>
    </font>
    <font>
      <sz val="11"/>
      <color theme="9"/>
      <name val="Calibri"/>
      <family val="2"/>
      <scheme val="minor"/>
    </font>
    <font>
      <b/>
      <sz val="11"/>
      <color theme="9"/>
      <name val="Calibri"/>
      <family val="2"/>
      <scheme val="minor"/>
    </font>
    <font>
      <b/>
      <sz val="11"/>
      <color theme="1"/>
      <name val="Calibri"/>
      <family val="2"/>
    </font>
    <font>
      <strike/>
      <sz val="11"/>
      <color rgb="FFFF0000"/>
      <name val="Calibri"/>
      <family val="2"/>
      <scheme val="minor"/>
    </font>
    <font>
      <sz val="11"/>
      <color theme="5"/>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medium">
        <color auto="1"/>
      </top>
      <bottom style="medium">
        <color auto="1"/>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auto="1"/>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medium">
        <color auto="1"/>
      </bottom>
      <diagonal/>
    </border>
    <border>
      <left style="thin">
        <color theme="0" tint="-0.499984740745262"/>
      </left>
      <right style="thin">
        <color theme="0" tint="-0.499984740745262"/>
      </right>
      <top style="medium">
        <color indexed="64"/>
      </top>
      <bottom style="medium">
        <color auto="1"/>
      </bottom>
      <diagonal/>
    </border>
    <border>
      <left style="thin">
        <color theme="0" tint="-0.499984740745262"/>
      </left>
      <right style="medium">
        <color indexed="64"/>
      </right>
      <top style="medium">
        <color indexed="64"/>
      </top>
      <bottom style="medium">
        <color auto="1"/>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44">
    <xf numFmtId="0" fontId="0" fillId="0" borderId="0" xfId="0"/>
    <xf numFmtId="0" fontId="0" fillId="0" borderId="0" xfId="0"/>
    <xf numFmtId="0" fontId="19" fillId="0" borderId="0" xfId="0" applyFont="1" applyFill="1" applyBorder="1"/>
    <xf numFmtId="0" fontId="18" fillId="0" borderId="0" xfId="0" applyFont="1" applyFill="1" applyBorder="1" applyAlignment="1">
      <alignment horizontal="center"/>
    </xf>
    <xf numFmtId="0" fontId="18" fillId="0" borderId="0" xfId="0" applyFont="1" applyFill="1" applyBorder="1" applyAlignment="1">
      <alignment horizontal="center" vertical="center" wrapText="1"/>
    </xf>
    <xf numFmtId="167" fontId="19" fillId="0" borderId="0" xfId="1" applyNumberFormat="1" applyFont="1" applyFill="1" applyBorder="1" applyAlignment="1">
      <alignment horizontal="center" vertical="center" wrapText="1"/>
    </xf>
    <xf numFmtId="167" fontId="19" fillId="0" borderId="0" xfId="1" applyNumberFormat="1" applyFont="1" applyFill="1" applyBorder="1" applyAlignment="1">
      <alignment horizontal="center" vertical="center"/>
    </xf>
    <xf numFmtId="0" fontId="19" fillId="0" borderId="0" xfId="0" applyFont="1" applyFill="1" applyBorder="1" applyAlignment="1">
      <alignment horizontal="center"/>
    </xf>
    <xf numFmtId="0" fontId="19"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xf numFmtId="1" fontId="19" fillId="0" borderId="0" xfId="0" applyNumberFormat="1" applyFont="1" applyFill="1" applyBorder="1"/>
    <xf numFmtId="0" fontId="0" fillId="0" borderId="0" xfId="0"/>
    <xf numFmtId="0" fontId="0" fillId="0" borderId="0" xfId="0" applyBorder="1"/>
    <xf numFmtId="0" fontId="16" fillId="0" borderId="0" xfId="0" applyFont="1" applyBorder="1"/>
    <xf numFmtId="0" fontId="16" fillId="0" borderId="0" xfId="0" applyFont="1" applyBorder="1" applyAlignment="1">
      <alignment horizontal="center" vertical="center" wrapText="1"/>
    </xf>
    <xf numFmtId="0" fontId="16" fillId="0" borderId="0" xfId="0" applyFont="1"/>
    <xf numFmtId="2" fontId="21" fillId="0" borderId="0" xfId="0" applyNumberFormat="1" applyFont="1" applyBorder="1" applyAlignment="1">
      <alignment horizontal="center" vertical="center" wrapText="1"/>
    </xf>
    <xf numFmtId="0" fontId="0" fillId="34" borderId="29" xfId="0" applyFill="1" applyBorder="1"/>
    <xf numFmtId="0" fontId="0" fillId="0" borderId="0" xfId="0" applyFill="1" applyAlignment="1">
      <alignment vertical="center" wrapText="1"/>
    </xf>
    <xf numFmtId="0" fontId="0" fillId="0" borderId="0" xfId="0" applyAlignment="1">
      <alignment vertical="center"/>
    </xf>
    <xf numFmtId="167" fontId="0" fillId="34" borderId="29" xfId="1" applyNumberFormat="1" applyFont="1" applyFill="1" applyBorder="1" applyAlignment="1"/>
    <xf numFmtId="167" fontId="0" fillId="34" borderId="29" xfId="1" applyNumberFormat="1" applyFont="1" applyFill="1" applyBorder="1" applyAlignment="1">
      <alignment horizontal="right"/>
    </xf>
    <xf numFmtId="167" fontId="0" fillId="34" borderId="29" xfId="1" applyNumberFormat="1" applyFont="1" applyFill="1" applyBorder="1"/>
    <xf numFmtId="9" fontId="0" fillId="34" borderId="29" xfId="2" applyFont="1" applyFill="1" applyBorder="1"/>
    <xf numFmtId="167" fontId="0" fillId="34" borderId="29" xfId="0" applyNumberFormat="1" applyFill="1" applyBorder="1"/>
    <xf numFmtId="0" fontId="16" fillId="34" borderId="29" xfId="0" applyFont="1" applyFill="1" applyBorder="1" applyAlignment="1">
      <alignment horizontal="left"/>
    </xf>
    <xf numFmtId="167" fontId="18" fillId="36" borderId="23" xfId="0" applyNumberFormat="1" applyFont="1" applyFill="1" applyBorder="1"/>
    <xf numFmtId="2" fontId="20" fillId="0" borderId="0" xfId="0" applyNumberFormat="1" applyFont="1" applyFill="1" applyBorder="1"/>
    <xf numFmtId="10" fontId="20" fillId="0" borderId="0" xfId="0" applyNumberFormat="1" applyFont="1" applyFill="1" applyBorder="1"/>
    <xf numFmtId="0" fontId="0" fillId="0" borderId="0" xfId="0"/>
    <xf numFmtId="9" fontId="0" fillId="0" borderId="0" xfId="2" applyFont="1"/>
    <xf numFmtId="0" fontId="16" fillId="0" borderId="0" xfId="0" applyFont="1" applyAlignment="1">
      <alignment vertical="center"/>
    </xf>
    <xf numFmtId="0" fontId="0" fillId="0" borderId="0" xfId="0"/>
    <xf numFmtId="164" fontId="16" fillId="0" borderId="0" xfId="0" applyNumberFormat="1" applyFont="1" applyBorder="1" applyAlignment="1">
      <alignment horizontal="center" vertical="center" wrapText="1"/>
    </xf>
    <xf numFmtId="0" fontId="0" fillId="0" borderId="0" xfId="0" applyBorder="1"/>
    <xf numFmtId="2" fontId="0" fillId="0" borderId="0" xfId="2" applyNumberFormat="1" applyFont="1" applyBorder="1"/>
    <xf numFmtId="2" fontId="0" fillId="0" borderId="0" xfId="0" applyNumberFormat="1" applyBorder="1"/>
    <xf numFmtId="0" fontId="0" fillId="0" borderId="0" xfId="0" applyFont="1" applyBorder="1"/>
    <xf numFmtId="0" fontId="0" fillId="0" borderId="0" xfId="0" applyBorder="1" applyAlignment="1">
      <alignment wrapText="1"/>
    </xf>
    <xf numFmtId="0" fontId="16" fillId="0" borderId="0" xfId="0" applyFont="1" applyBorder="1" applyAlignment="1"/>
    <xf numFmtId="2" fontId="0" fillId="0" borderId="0" xfId="0" applyNumberFormat="1"/>
    <xf numFmtId="0" fontId="0" fillId="0" borderId="0" xfId="0" applyFill="1" applyBorder="1"/>
    <xf numFmtId="0" fontId="0" fillId="0" borderId="0" xfId="0" applyAlignment="1">
      <alignment horizontal="center" vertical="center" wrapText="1"/>
    </xf>
    <xf numFmtId="0" fontId="0" fillId="0" borderId="0" xfId="0"/>
    <xf numFmtId="0" fontId="16" fillId="33" borderId="0" xfId="0" applyFont="1" applyFill="1"/>
    <xf numFmtId="167" fontId="26" fillId="0" borderId="0" xfId="1" applyNumberFormat="1" applyFont="1" applyBorder="1"/>
    <xf numFmtId="167" fontId="0" fillId="0" borderId="0" xfId="0" applyNumberFormat="1"/>
    <xf numFmtId="167" fontId="26" fillId="0" borderId="11" xfId="1" applyNumberFormat="1" applyFont="1" applyBorder="1"/>
    <xf numFmtId="0" fontId="0" fillId="0" borderId="0" xfId="0"/>
    <xf numFmtId="0" fontId="0" fillId="0" borderId="0" xfId="0" applyBorder="1"/>
    <xf numFmtId="2" fontId="0" fillId="0" borderId="0" xfId="0" applyNumberFormat="1" applyBorder="1"/>
    <xf numFmtId="0" fontId="16" fillId="0" borderId="0" xfId="0" applyFont="1" applyBorder="1"/>
    <xf numFmtId="0" fontId="16" fillId="0" borderId="0" xfId="0" applyFont="1" applyAlignment="1">
      <alignment horizontal="center" vertical="center"/>
    </xf>
    <xf numFmtId="0" fontId="16" fillId="0" borderId="19" xfId="0" applyFont="1" applyBorder="1" applyAlignment="1">
      <alignment vertical="center" wrapText="1"/>
    </xf>
    <xf numFmtId="0" fontId="0" fillId="0" borderId="19" xfId="0" applyBorder="1"/>
    <xf numFmtId="0" fontId="0" fillId="0" borderId="20" xfId="0" applyBorder="1"/>
    <xf numFmtId="0" fontId="16" fillId="0" borderId="0" xfId="0" applyFont="1" applyBorder="1" applyAlignment="1">
      <alignment horizontal="center" vertical="center"/>
    </xf>
    <xf numFmtId="0" fontId="19" fillId="0" borderId="0" xfId="0" applyFont="1" applyFill="1" applyBorder="1"/>
    <xf numFmtId="0" fontId="0" fillId="0" borderId="0" xfId="0" applyFill="1" applyBorder="1"/>
    <xf numFmtId="0" fontId="16" fillId="0" borderId="16" xfId="0" applyFont="1" applyBorder="1" applyAlignment="1">
      <alignment horizontal="center" vertical="center" wrapText="1"/>
    </xf>
    <xf numFmtId="2" fontId="16" fillId="0" borderId="0" xfId="0" applyNumberFormat="1" applyFont="1" applyAlignment="1">
      <alignment horizontal="center" vertical="center" wrapText="1"/>
    </xf>
    <xf numFmtId="1" fontId="0" fillId="0" borderId="19" xfId="0" applyNumberFormat="1" applyBorder="1"/>
    <xf numFmtId="9" fontId="16" fillId="0" borderId="0" xfId="2" applyFont="1" applyBorder="1"/>
    <xf numFmtId="9" fontId="16" fillId="0" borderId="0" xfId="2" applyFont="1" applyBorder="1" applyAlignment="1">
      <alignment vertical="center"/>
    </xf>
    <xf numFmtId="9" fontId="0" fillId="0" borderId="0" xfId="2" applyFont="1" applyBorder="1"/>
    <xf numFmtId="1" fontId="0" fillId="0" borderId="0" xfId="2" applyNumberFormat="1" applyFont="1" applyBorder="1"/>
    <xf numFmtId="0" fontId="26" fillId="0" borderId="11" xfId="0" applyFont="1" applyBorder="1" applyAlignment="1">
      <alignment horizontal="center" vertical="center"/>
    </xf>
    <xf numFmtId="0" fontId="26" fillId="0" borderId="34" xfId="0" applyFont="1" applyBorder="1" applyAlignment="1">
      <alignment horizontal="center" vertical="center"/>
    </xf>
    <xf numFmtId="167" fontId="26" fillId="0" borderId="28" xfId="1" applyNumberFormat="1" applyFont="1" applyBorder="1"/>
    <xf numFmtId="167" fontId="26" fillId="0" borderId="34" xfId="1" applyNumberFormat="1" applyFont="1" applyBorder="1"/>
    <xf numFmtId="4" fontId="0" fillId="0" borderId="0" xfId="0" applyNumberFormat="1"/>
    <xf numFmtId="0" fontId="0" fillId="0" borderId="0" xfId="0"/>
    <xf numFmtId="4" fontId="0" fillId="0" borderId="0" xfId="0" applyNumberFormat="1"/>
    <xf numFmtId="0" fontId="0" fillId="0" borderId="39" xfId="0" applyBorder="1"/>
    <xf numFmtId="0" fontId="16" fillId="0" borderId="39" xfId="0" applyFont="1" applyFill="1" applyBorder="1"/>
    <xf numFmtId="9" fontId="16" fillId="38" borderId="37" xfId="2" applyFont="1" applyFill="1" applyBorder="1"/>
    <xf numFmtId="0" fontId="16" fillId="35" borderId="37" xfId="0" applyFont="1" applyFill="1" applyBorder="1"/>
    <xf numFmtId="0" fontId="16" fillId="0" borderId="39" xfId="0" applyFont="1" applyBorder="1" applyAlignment="1">
      <alignment horizontal="left"/>
    </xf>
    <xf numFmtId="0" fontId="16" fillId="0" borderId="0" xfId="0" applyFont="1" applyBorder="1" applyAlignment="1">
      <alignment horizontal="center" vertical="center" wrapText="1"/>
    </xf>
    <xf numFmtId="0" fontId="16" fillId="0" borderId="0" xfId="0" applyFont="1" applyBorder="1" applyAlignment="1">
      <alignment horizontal="center" vertical="center" wrapText="1"/>
    </xf>
    <xf numFmtId="2" fontId="0" fillId="0" borderId="0" xfId="0" applyNumberFormat="1" applyFont="1" applyBorder="1"/>
    <xf numFmtId="0" fontId="0" fillId="0" borderId="41" xfId="0" applyBorder="1"/>
    <xf numFmtId="43" fontId="0" fillId="0" borderId="0" xfId="1" applyFont="1"/>
    <xf numFmtId="43" fontId="0" fillId="0" borderId="0" xfId="0" applyNumberFormat="1"/>
    <xf numFmtId="43" fontId="0" fillId="0" borderId="20" xfId="1" applyFont="1" applyBorder="1"/>
    <xf numFmtId="43" fontId="0" fillId="0" borderId="24" xfId="1" applyFont="1" applyBorder="1"/>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8" xfId="0" applyFont="1" applyBorder="1" applyAlignment="1">
      <alignment horizontal="center" vertical="center" wrapText="1"/>
    </xf>
    <xf numFmtId="2" fontId="16" fillId="0" borderId="25" xfId="0" applyNumberFormat="1" applyFont="1" applyBorder="1" applyAlignment="1">
      <alignment horizontal="center" vertical="center" wrapText="1"/>
    </xf>
    <xf numFmtId="2" fontId="16" fillId="0" borderId="26" xfId="0" applyNumberFormat="1" applyFont="1" applyBorder="1" applyAlignment="1">
      <alignment horizontal="center" vertical="center" wrapText="1"/>
    </xf>
    <xf numFmtId="0" fontId="0" fillId="0" borderId="0" xfId="0" applyBorder="1" applyAlignment="1">
      <alignment horizontal="center" vertical="center" wrapText="1"/>
    </xf>
    <xf numFmtId="2" fontId="0" fillId="0" borderId="0" xfId="0" applyNumberFormat="1" applyBorder="1" applyAlignment="1">
      <alignment horizontal="center" vertical="center"/>
    </xf>
    <xf numFmtId="9" fontId="0" fillId="0" borderId="0" xfId="2"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Font="1" applyBorder="1" applyAlignment="1">
      <alignment horizontal="center" vertical="center"/>
    </xf>
    <xf numFmtId="0" fontId="0" fillId="0" borderId="28" xfId="0" applyFont="1" applyBorder="1" applyAlignment="1">
      <alignment horizontal="center" vertical="center"/>
    </xf>
    <xf numFmtId="0" fontId="0" fillId="0" borderId="0" xfId="0" applyFont="1" applyAlignment="1">
      <alignment horizontal="center" vertical="center"/>
    </xf>
    <xf numFmtId="0" fontId="0" fillId="0" borderId="0" xfId="0" applyNumberFormat="1" applyAlignment="1">
      <alignment horizontal="center" vertical="center"/>
    </xf>
    <xf numFmtId="0" fontId="0" fillId="0" borderId="0" xfId="0"/>
    <xf numFmtId="0" fontId="0" fillId="0" borderId="0" xfId="0"/>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0" fillId="0" borderId="0" xfId="0" applyFill="1"/>
    <xf numFmtId="0" fontId="0" fillId="0" borderId="0" xfId="0" applyBorder="1" applyAlignment="1">
      <alignment vertical="center"/>
    </xf>
    <xf numFmtId="1" fontId="0" fillId="0" borderId="0" xfId="0" applyNumberFormat="1" applyBorder="1"/>
    <xf numFmtId="167" fontId="0" fillId="0" borderId="0" xfId="1" applyNumberFormat="1" applyFont="1" applyBorder="1"/>
    <xf numFmtId="167" fontId="0" fillId="0" borderId="0" xfId="1" applyNumberFormat="1" applyFont="1"/>
    <xf numFmtId="167" fontId="17" fillId="0" borderId="0" xfId="0" applyNumberFormat="1" applyFont="1"/>
    <xf numFmtId="166" fontId="0" fillId="0" borderId="0" xfId="0" applyNumberFormat="1"/>
    <xf numFmtId="0" fontId="16" fillId="0" borderId="0" xfId="0" applyFont="1" applyBorder="1" applyAlignment="1">
      <alignment horizontal="center" vertical="center" wrapText="1"/>
    </xf>
    <xf numFmtId="167" fontId="24" fillId="0" borderId="22" xfId="0" applyNumberFormat="1" applyFont="1" applyBorder="1"/>
    <xf numFmtId="167" fontId="24" fillId="0" borderId="21" xfId="0" applyNumberFormat="1" applyFont="1" applyBorder="1"/>
    <xf numFmtId="167" fontId="24" fillId="0" borderId="23" xfId="0" applyNumberFormat="1" applyFont="1" applyBorder="1"/>
    <xf numFmtId="0" fontId="25" fillId="0" borderId="33"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34" xfId="0" applyFont="1" applyBorder="1" applyAlignment="1">
      <alignment horizontal="center" vertical="center" wrapText="1"/>
    </xf>
    <xf numFmtId="167" fontId="18" fillId="0" borderId="0" xfId="1" applyNumberFormat="1" applyFont="1" applyFill="1" applyBorder="1" applyAlignment="1">
      <alignment horizontal="center" vertical="center" wrapText="1"/>
    </xf>
    <xf numFmtId="167" fontId="19" fillId="0" borderId="0" xfId="1" applyNumberFormat="1" applyFont="1" applyFill="1" applyBorder="1"/>
    <xf numFmtId="167" fontId="19" fillId="0" borderId="0" xfId="1" applyNumberFormat="1" applyFont="1" applyFill="1"/>
    <xf numFmtId="0" fontId="28" fillId="0" borderId="0" xfId="0" applyFont="1"/>
    <xf numFmtId="1" fontId="28" fillId="0" borderId="0" xfId="0" applyNumberFormat="1" applyFont="1" applyBorder="1"/>
    <xf numFmtId="0" fontId="16" fillId="0" borderId="0" xfId="0" applyFont="1" applyAlignment="1">
      <alignment horizontal="center"/>
    </xf>
    <xf numFmtId="0" fontId="0" fillId="0" borderId="0" xfId="0" applyAlignment="1">
      <alignment horizontal="center" vertical="center"/>
    </xf>
    <xf numFmtId="0" fontId="16" fillId="0" borderId="22" xfId="0" applyFont="1" applyBorder="1" applyAlignment="1">
      <alignment horizontal="center" vertical="center"/>
    </xf>
    <xf numFmtId="0" fontId="16" fillId="0" borderId="21" xfId="0" applyFont="1" applyBorder="1" applyAlignment="1">
      <alignment horizontal="center" vertical="center"/>
    </xf>
    <xf numFmtId="16" fontId="16" fillId="0" borderId="21" xfId="0" applyNumberFormat="1" applyFont="1" applyBorder="1" applyAlignment="1">
      <alignment horizontal="center" vertical="center" wrapText="1"/>
    </xf>
    <xf numFmtId="3" fontId="0" fillId="0" borderId="0" xfId="0" applyNumberFormat="1"/>
    <xf numFmtId="3" fontId="16" fillId="0" borderId="36" xfId="0" applyNumberFormat="1" applyFont="1" applyBorder="1" applyAlignment="1">
      <alignment horizontal="center"/>
    </xf>
    <xf numFmtId="3" fontId="16" fillId="0" borderId="32" xfId="0" applyNumberFormat="1" applyFont="1" applyBorder="1" applyAlignment="1">
      <alignment horizontal="center"/>
    </xf>
    <xf numFmtId="3" fontId="16" fillId="0" borderId="30" xfId="0" applyNumberFormat="1" applyFont="1" applyBorder="1" applyAlignment="1">
      <alignment horizontal="center"/>
    </xf>
    <xf numFmtId="3" fontId="0" fillId="0" borderId="38" xfId="0" applyNumberFormat="1" applyBorder="1"/>
    <xf numFmtId="3" fontId="0" fillId="0" borderId="32" xfId="0" applyNumberFormat="1" applyBorder="1"/>
    <xf numFmtId="3" fontId="0" fillId="0" borderId="31" xfId="0" applyNumberFormat="1" applyBorder="1"/>
    <xf numFmtId="3" fontId="0" fillId="0" borderId="20" xfId="0" applyNumberFormat="1" applyBorder="1"/>
    <xf numFmtId="3" fontId="16" fillId="0" borderId="40" xfId="0" applyNumberFormat="1" applyFont="1" applyBorder="1"/>
    <xf numFmtId="3" fontId="16" fillId="0" borderId="32" xfId="0" applyNumberFormat="1" applyFont="1" applyBorder="1"/>
    <xf numFmtId="3" fontId="16" fillId="38" borderId="36" xfId="2" applyNumberFormat="1" applyFont="1" applyFill="1" applyBorder="1"/>
    <xf numFmtId="3" fontId="16" fillId="35" borderId="36" xfId="2" applyNumberFormat="1" applyFont="1" applyFill="1" applyBorder="1"/>
    <xf numFmtId="3" fontId="0" fillId="0" borderId="0" xfId="0" applyNumberFormat="1" applyBorder="1"/>
    <xf numFmtId="9" fontId="16" fillId="38" borderId="30" xfId="2" applyFont="1" applyFill="1" applyBorder="1"/>
    <xf numFmtId="9" fontId="16" fillId="35" borderId="30" xfId="2" applyFont="1" applyFill="1" applyBorder="1"/>
    <xf numFmtId="9" fontId="16" fillId="37" borderId="30" xfId="2" applyFont="1" applyFill="1" applyBorder="1"/>
    <xf numFmtId="0" fontId="0" fillId="0" borderId="0" xfId="0" applyAlignment="1">
      <alignment horizontal="center" vertical="center"/>
    </xf>
    <xf numFmtId="0" fontId="16" fillId="0" borderId="0" xfId="0" applyFont="1" applyAlignment="1">
      <alignment horizontal="center" vertical="center"/>
    </xf>
    <xf numFmtId="168" fontId="0" fillId="0" borderId="0" xfId="1" applyNumberFormat="1" applyFont="1"/>
    <xf numFmtId="0" fontId="0" fillId="0" borderId="0" xfId="0" applyAlignment="1"/>
    <xf numFmtId="167" fontId="16" fillId="0" borderId="19" xfId="1" applyNumberFormat="1" applyFont="1" applyBorder="1" applyAlignment="1"/>
    <xf numFmtId="2" fontId="0" fillId="0" borderId="0" xfId="0" applyNumberFormat="1" applyAlignment="1">
      <alignment horizontal="center" vertical="center"/>
    </xf>
    <xf numFmtId="2" fontId="0" fillId="0" borderId="19" xfId="0" applyNumberFormat="1" applyBorder="1"/>
    <xf numFmtId="0" fontId="0" fillId="0" borderId="0" xfId="1" applyNumberFormat="1" applyFont="1"/>
    <xf numFmtId="0" fontId="0" fillId="33" borderId="47" xfId="0" applyFill="1" applyBorder="1"/>
    <xf numFmtId="2" fontId="0" fillId="33" borderId="47" xfId="0" applyNumberFormat="1" applyFill="1" applyBorder="1"/>
    <xf numFmtId="167" fontId="16" fillId="33" borderId="47" xfId="1" applyNumberFormat="1" applyFont="1" applyFill="1" applyBorder="1" applyAlignment="1"/>
    <xf numFmtId="0" fontId="0" fillId="33" borderId="19" xfId="0" applyFill="1" applyBorder="1"/>
    <xf numFmtId="2" fontId="0" fillId="33" borderId="19" xfId="0" applyNumberFormat="1" applyFill="1" applyBorder="1"/>
    <xf numFmtId="167" fontId="0" fillId="33" borderId="19" xfId="1" applyNumberFormat="1" applyFont="1" applyFill="1" applyBorder="1"/>
    <xf numFmtId="2" fontId="16" fillId="0" borderId="0" xfId="0" applyNumberFormat="1" applyFont="1" applyAlignment="1">
      <alignment horizontal="center" vertical="center"/>
    </xf>
    <xf numFmtId="0" fontId="16" fillId="0" borderId="0" xfId="0" applyFont="1" applyBorder="1" applyAlignment="1">
      <alignment horizontal="center" vertical="center"/>
    </xf>
    <xf numFmtId="0" fontId="0" fillId="0" borderId="0" xfId="0" applyAlignment="1">
      <alignment horizontal="center" vertical="center"/>
    </xf>
    <xf numFmtId="2" fontId="0" fillId="0" borderId="0" xfId="0" applyNumberFormat="1" applyFill="1" applyAlignment="1">
      <alignment horizontal="center" vertical="center"/>
    </xf>
    <xf numFmtId="167" fontId="0" fillId="0" borderId="0" xfId="1" applyNumberFormat="1" applyFont="1" applyAlignment="1">
      <alignment horizontal="center" vertical="center"/>
    </xf>
    <xf numFmtId="2" fontId="30" fillId="0" borderId="0" xfId="0" applyNumberFormat="1" applyFont="1" applyFill="1" applyBorder="1" applyAlignment="1">
      <alignment horizontal="center"/>
    </xf>
    <xf numFmtId="2" fontId="31" fillId="0" borderId="0" xfId="0" applyNumberFormat="1" applyFont="1" applyFill="1" applyBorder="1" applyAlignment="1">
      <alignment horizontal="center"/>
    </xf>
    <xf numFmtId="9" fontId="21" fillId="0" borderId="0" xfId="0" applyNumberFormat="1" applyFont="1" applyBorder="1" applyAlignment="1">
      <alignment horizontal="center" vertical="center"/>
    </xf>
    <xf numFmtId="9" fontId="21" fillId="0" borderId="0" xfId="0" applyNumberFormat="1" applyFont="1" applyFill="1" applyBorder="1" applyAlignment="1">
      <alignment horizontal="center" vertical="center"/>
    </xf>
    <xf numFmtId="0" fontId="18" fillId="0" borderId="0" xfId="0" applyFont="1" applyFill="1" applyBorder="1" applyAlignment="1">
      <alignment horizontal="center" vertical="center" wrapText="1"/>
    </xf>
    <xf numFmtId="0" fontId="18" fillId="0" borderId="0" xfId="0" applyFont="1" applyFill="1" applyBorder="1" applyAlignment="1"/>
    <xf numFmtId="2" fontId="0" fillId="0" borderId="0" xfId="0" applyNumberFormat="1" applyFill="1" applyBorder="1"/>
    <xf numFmtId="167" fontId="0" fillId="0" borderId="19" xfId="1" applyNumberFormat="1" applyFont="1" applyFill="1" applyBorder="1"/>
    <xf numFmtId="167" fontId="0" fillId="0" borderId="27" xfId="1" applyNumberFormat="1" applyFont="1" applyFill="1" applyBorder="1"/>
    <xf numFmtId="0" fontId="0" fillId="0" borderId="25" xfId="0" applyBorder="1"/>
    <xf numFmtId="2" fontId="20" fillId="0" borderId="28" xfId="0" applyNumberFormat="1" applyFont="1" applyFill="1" applyBorder="1"/>
    <xf numFmtId="10" fontId="20" fillId="0" borderId="28" xfId="0" applyNumberFormat="1" applyFont="1" applyFill="1" applyBorder="1"/>
    <xf numFmtId="10" fontId="20" fillId="0" borderId="26" xfId="0" applyNumberFormat="1" applyFont="1" applyFill="1" applyBorder="1"/>
    <xf numFmtId="166" fontId="20" fillId="0" borderId="28" xfId="2" applyNumberFormat="1" applyFont="1" applyFill="1" applyBorder="1"/>
    <xf numFmtId="166" fontId="20" fillId="0" borderId="26" xfId="2" applyNumberFormat="1" applyFont="1" applyFill="1" applyBorder="1"/>
    <xf numFmtId="9" fontId="21" fillId="0" borderId="25" xfId="0" applyNumberFormat="1" applyFont="1" applyBorder="1" applyAlignment="1">
      <alignment horizontal="center" vertical="center"/>
    </xf>
    <xf numFmtId="9" fontId="18" fillId="0" borderId="18" xfId="0" applyNumberFormat="1" applyFont="1" applyBorder="1" applyAlignment="1">
      <alignment horizontal="center" vertical="center"/>
    </xf>
    <xf numFmtId="0" fontId="16" fillId="0" borderId="0" xfId="0" applyFont="1" applyBorder="1" applyAlignment="1">
      <alignment horizontal="center" vertical="center" wrapText="1"/>
    </xf>
    <xf numFmtId="0" fontId="18" fillId="0" borderId="0" xfId="0" applyFont="1" applyFill="1" applyBorder="1" applyAlignment="1">
      <alignment horizontal="center" vertical="center" wrapText="1"/>
    </xf>
    <xf numFmtId="167" fontId="18" fillId="0" borderId="0" xfId="1" applyNumberFormat="1" applyFont="1" applyFill="1" applyBorder="1" applyAlignment="1">
      <alignment horizontal="center" vertical="center" wrapText="1"/>
    </xf>
    <xf numFmtId="0" fontId="18" fillId="0" borderId="0" xfId="0" applyFont="1" applyFill="1" applyBorder="1" applyAlignment="1">
      <alignment horizontal="center" vertical="center"/>
    </xf>
    <xf numFmtId="167" fontId="18" fillId="0" borderId="0" xfId="1" applyNumberFormat="1" applyFont="1" applyFill="1" applyBorder="1" applyAlignment="1">
      <alignment horizontal="center" vertical="center"/>
    </xf>
    <xf numFmtId="0" fontId="0" fillId="0" borderId="0" xfId="0" applyAlignment="1">
      <alignment horizontal="center" vertical="center"/>
    </xf>
    <xf numFmtId="0" fontId="34" fillId="0" borderId="0" xfId="0" applyFont="1"/>
    <xf numFmtId="2" fontId="35" fillId="0" borderId="0" xfId="0" applyNumberFormat="1" applyFont="1" applyBorder="1"/>
    <xf numFmtId="0" fontId="0" fillId="0" borderId="0" xfId="0" applyFont="1"/>
    <xf numFmtId="2" fontId="19" fillId="0" borderId="0" xfId="0" applyNumberFormat="1" applyFont="1" applyBorder="1"/>
    <xf numFmtId="0" fontId="18" fillId="0" borderId="18" xfId="0" applyFont="1" applyFill="1" applyBorder="1" applyAlignment="1">
      <alignment horizontal="center" vertical="center"/>
    </xf>
    <xf numFmtId="167" fontId="19" fillId="0" borderId="19" xfId="1" applyNumberFormat="1" applyFont="1" applyFill="1" applyBorder="1"/>
    <xf numFmtId="167" fontId="19" fillId="0" borderId="27" xfId="1" applyNumberFormat="1" applyFont="1" applyFill="1" applyBorder="1"/>
    <xf numFmtId="0" fontId="18" fillId="0" borderId="25" xfId="0" applyFont="1" applyFill="1" applyBorder="1" applyAlignment="1">
      <alignment horizontal="center" vertical="center"/>
    </xf>
    <xf numFmtId="167" fontId="19" fillId="0" borderId="28" xfId="1" applyNumberFormat="1" applyFont="1" applyFill="1" applyBorder="1"/>
    <xf numFmtId="9" fontId="36" fillId="0" borderId="28" xfId="2" applyFont="1" applyFill="1" applyBorder="1"/>
    <xf numFmtId="9" fontId="36" fillId="0" borderId="26" xfId="2" applyFont="1" applyFill="1" applyBorder="1"/>
    <xf numFmtId="0" fontId="19" fillId="0" borderId="25" xfId="0" applyFont="1" applyFill="1" applyBorder="1"/>
    <xf numFmtId="0" fontId="16" fillId="0" borderId="20" xfId="0" applyFont="1" applyFill="1" applyBorder="1"/>
    <xf numFmtId="0" fontId="16" fillId="37" borderId="25" xfId="0" applyFont="1" applyFill="1" applyBorder="1"/>
    <xf numFmtId="3" fontId="0" fillId="37" borderId="32" xfId="0" applyNumberFormat="1" applyFill="1" applyBorder="1"/>
    <xf numFmtId="3" fontId="0" fillId="0" borderId="24" xfId="0" applyNumberFormat="1" applyBorder="1"/>
    <xf numFmtId="0" fontId="14" fillId="0" borderId="0" xfId="0" applyFont="1" applyFill="1"/>
    <xf numFmtId="43" fontId="26" fillId="0" borderId="11" xfId="1" applyNumberFormat="1" applyFont="1" applyBorder="1"/>
    <xf numFmtId="0" fontId="19" fillId="0" borderId="28" xfId="0" applyFont="1" applyFill="1" applyBorder="1"/>
    <xf numFmtId="167" fontId="19" fillId="0" borderId="26" xfId="1" applyNumberFormat="1" applyFont="1" applyFill="1" applyBorder="1"/>
    <xf numFmtId="0" fontId="0" fillId="0" borderId="28" xfId="0" applyBorder="1"/>
    <xf numFmtId="0" fontId="16" fillId="0" borderId="25" xfId="0" applyFont="1" applyFill="1" applyBorder="1"/>
    <xf numFmtId="3" fontId="0" fillId="37" borderId="30" xfId="0" applyNumberFormat="1" applyFill="1" applyBorder="1"/>
    <xf numFmtId="0" fontId="0" fillId="0" borderId="19" xfId="0" applyFont="1" applyBorder="1" applyAlignment="1">
      <alignment horizontal="center" vertical="center"/>
    </xf>
    <xf numFmtId="0" fontId="16" fillId="0" borderId="18" xfId="0" applyFont="1" applyFill="1" applyBorder="1"/>
    <xf numFmtId="3" fontId="0" fillId="37" borderId="31" xfId="0" applyNumberFormat="1" applyFill="1" applyBorder="1"/>
    <xf numFmtId="3" fontId="16" fillId="37" borderId="30" xfId="2" applyNumberFormat="1" applyFont="1" applyFill="1" applyBorder="1"/>
    <xf numFmtId="167" fontId="19" fillId="0" borderId="0" xfId="0" applyNumberFormat="1" applyFont="1"/>
    <xf numFmtId="0" fontId="16" fillId="34" borderId="29" xfId="0" applyFont="1" applyFill="1" applyBorder="1"/>
    <xf numFmtId="0" fontId="16" fillId="0" borderId="21" xfId="0" applyFont="1" applyBorder="1" applyAlignment="1">
      <alignment horizontal="center" vertical="center" wrapText="1"/>
    </xf>
    <xf numFmtId="167" fontId="0" fillId="0" borderId="0" xfId="0" applyNumberFormat="1" applyBorder="1"/>
    <xf numFmtId="43" fontId="0" fillId="0" borderId="0" xfId="0" applyNumberFormat="1" applyBorder="1"/>
    <xf numFmtId="0" fontId="16" fillId="0" borderId="0" xfId="0" applyFont="1" applyBorder="1" applyAlignment="1">
      <alignment horizontal="center" vertical="center" wrapText="1"/>
    </xf>
    <xf numFmtId="167" fontId="0" fillId="0" borderId="0" xfId="1" applyNumberFormat="1" applyFont="1" applyFill="1" applyBorder="1"/>
    <xf numFmtId="2" fontId="21" fillId="0" borderId="16" xfId="0" applyNumberFormat="1" applyFont="1" applyBorder="1" applyAlignment="1">
      <alignment horizontal="center" vertical="center" wrapText="1"/>
    </xf>
    <xf numFmtId="2" fontId="21" fillId="0" borderId="17" xfId="0" applyNumberFormat="1" applyFont="1" applyBorder="1" applyAlignment="1">
      <alignment horizontal="center" vertical="center" wrapText="1"/>
    </xf>
    <xf numFmtId="9" fontId="18" fillId="0" borderId="10" xfId="0" applyNumberFormat="1" applyFont="1" applyBorder="1" applyAlignment="1">
      <alignment horizontal="center" vertical="center"/>
    </xf>
    <xf numFmtId="167" fontId="0" fillId="0" borderId="11" xfId="1" applyNumberFormat="1" applyFont="1" applyFill="1" applyBorder="1"/>
    <xf numFmtId="9" fontId="18" fillId="0" borderId="12" xfId="0" applyNumberFormat="1" applyFont="1" applyFill="1" applyBorder="1" applyAlignment="1">
      <alignment horizontal="center" vertical="center"/>
    </xf>
    <xf numFmtId="167" fontId="0" fillId="0" borderId="13" xfId="0" applyNumberFormat="1" applyBorder="1"/>
    <xf numFmtId="167" fontId="0" fillId="0" borderId="13" xfId="1" applyNumberFormat="1" applyFont="1" applyBorder="1"/>
    <xf numFmtId="167" fontId="0" fillId="0" borderId="14" xfId="1" applyNumberFormat="1" applyFont="1" applyBorder="1"/>
    <xf numFmtId="9" fontId="18" fillId="0" borderId="10" xfId="0" applyNumberFormat="1" applyFont="1" applyFill="1" applyBorder="1" applyAlignment="1">
      <alignment horizontal="center" vertical="center"/>
    </xf>
    <xf numFmtId="167" fontId="0" fillId="0" borderId="11" xfId="1" applyNumberFormat="1" applyFont="1" applyBorder="1"/>
    <xf numFmtId="0" fontId="0" fillId="0" borderId="0" xfId="0" applyAlignment="1">
      <alignment horizontal="center"/>
    </xf>
    <xf numFmtId="0" fontId="0" fillId="0" borderId="0" xfId="0" applyFont="1" applyFill="1" applyBorder="1"/>
    <xf numFmtId="165" fontId="0" fillId="0" borderId="0" xfId="0" applyNumberFormat="1" applyAlignment="1">
      <alignment horizontal="center" vertical="center"/>
    </xf>
    <xf numFmtId="165" fontId="19" fillId="0" borderId="0" xfId="0" applyNumberFormat="1" applyFont="1" applyAlignment="1">
      <alignment horizontal="center" vertical="center"/>
    </xf>
    <xf numFmtId="165" fontId="0" fillId="0" borderId="0" xfId="0" applyNumberFormat="1" applyFont="1" applyBorder="1" applyAlignment="1">
      <alignment horizontal="center" vertical="center"/>
    </xf>
    <xf numFmtId="0" fontId="0" fillId="0" borderId="0" xfId="0" applyAlignment="1">
      <alignment horizontal="left" vertical="center"/>
    </xf>
    <xf numFmtId="0" fontId="16" fillId="0" borderId="0" xfId="0" applyFont="1" applyAlignment="1">
      <alignment horizontal="center" vertical="center" wrapText="1"/>
    </xf>
    <xf numFmtId="0" fontId="0" fillId="0" borderId="0" xfId="0" applyAlignment="1">
      <alignment horizontal="center" vertical="center"/>
    </xf>
    <xf numFmtId="2" fontId="0" fillId="0" borderId="0" xfId="0" applyNumberFormat="1" applyAlignment="1">
      <alignment horizontal="left" vertical="center"/>
    </xf>
    <xf numFmtId="2" fontId="0" fillId="0" borderId="0" xfId="0" applyNumberFormat="1" applyAlignment="1">
      <alignment horizontal="left"/>
    </xf>
    <xf numFmtId="0" fontId="0" fillId="0" borderId="0" xfId="0" applyAlignment="1">
      <alignment horizontal="left"/>
    </xf>
    <xf numFmtId="0" fontId="16" fillId="0" borderId="0" xfId="0" applyFont="1" applyAlignment="1">
      <alignment horizontal="center" vertical="center"/>
    </xf>
    <xf numFmtId="0" fontId="0" fillId="0" borderId="13" xfId="0" applyBorder="1"/>
    <xf numFmtId="2" fontId="0" fillId="0" borderId="13" xfId="0" applyNumberFormat="1" applyBorder="1"/>
    <xf numFmtId="0" fontId="0" fillId="0" borderId="12" xfId="0" applyBorder="1"/>
    <xf numFmtId="0" fontId="19" fillId="0" borderId="10" xfId="0" applyFont="1" applyBorder="1"/>
    <xf numFmtId="0" fontId="19" fillId="0" borderId="12" xfId="0" applyFont="1" applyBorder="1"/>
    <xf numFmtId="2" fontId="0" fillId="0" borderId="14" xfId="0" applyNumberFormat="1" applyBorder="1" applyAlignment="1">
      <alignment horizontal="center" vertical="center"/>
    </xf>
    <xf numFmtId="9" fontId="0" fillId="0" borderId="13" xfId="2" applyFont="1" applyBorder="1"/>
    <xf numFmtId="167" fontId="16" fillId="0" borderId="0" xfId="1" applyNumberFormat="1" applyFont="1"/>
    <xf numFmtId="0" fontId="0" fillId="0" borderId="0" xfId="0" applyAlignment="1">
      <alignment horizontal="center" vertical="center"/>
    </xf>
    <xf numFmtId="167" fontId="0" fillId="0" borderId="0" xfId="1" applyNumberFormat="1" applyFont="1" applyAlignment="1">
      <alignment horizontal="center"/>
    </xf>
    <xf numFmtId="9" fontId="0" fillId="0" borderId="11" xfId="2" applyFont="1" applyBorder="1"/>
    <xf numFmtId="9" fontId="0" fillId="0" borderId="14" xfId="2" applyFont="1" applyBorder="1"/>
    <xf numFmtId="167" fontId="34" fillId="0" borderId="0" xfId="1" applyNumberFormat="1" applyFont="1"/>
    <xf numFmtId="0" fontId="14" fillId="0" borderId="0" xfId="0" applyFont="1"/>
    <xf numFmtId="0" fontId="37" fillId="0" borderId="0" xfId="0" applyFont="1"/>
    <xf numFmtId="0" fontId="38" fillId="0" borderId="0" xfId="0" applyFont="1"/>
    <xf numFmtId="0" fontId="16" fillId="0" borderId="0" xfId="0" applyFont="1" applyBorder="1" applyAlignment="1">
      <alignment horizontal="center" vertical="center"/>
    </xf>
    <xf numFmtId="0" fontId="16" fillId="0" borderId="0" xfId="0" applyFont="1" applyAlignment="1">
      <alignment horizontal="center" vertical="center"/>
    </xf>
    <xf numFmtId="0" fontId="39" fillId="0" borderId="0" xfId="0" applyFont="1"/>
    <xf numFmtId="3" fontId="34" fillId="0" borderId="0" xfId="0" applyNumberFormat="1" applyFont="1"/>
    <xf numFmtId="167" fontId="34" fillId="0" borderId="0" xfId="0" applyNumberFormat="1" applyFont="1"/>
    <xf numFmtId="43" fontId="34" fillId="0" borderId="0" xfId="0" applyNumberFormat="1" applyFont="1"/>
    <xf numFmtId="0" fontId="0" fillId="0" borderId="0" xfId="0" applyAlignment="1">
      <alignment vertical="center" wrapText="1"/>
    </xf>
    <xf numFmtId="0" fontId="16" fillId="0" borderId="24" xfId="0" applyFont="1" applyBorder="1" applyAlignment="1">
      <alignment horizontal="center" vertical="center"/>
    </xf>
    <xf numFmtId="0" fontId="16" fillId="0" borderId="20" xfId="0" applyFont="1" applyBorder="1" applyAlignment="1">
      <alignment horizontal="center" vertical="center"/>
    </xf>
    <xf numFmtId="3" fontId="16" fillId="0" borderId="0" xfId="0" applyNumberFormat="1" applyFont="1"/>
    <xf numFmtId="2" fontId="16" fillId="0" borderId="0" xfId="0" applyNumberFormat="1" applyFont="1" applyAlignment="1">
      <alignment horizontal="center"/>
    </xf>
    <xf numFmtId="167" fontId="16" fillId="0" borderId="0" xfId="1" applyNumberFormat="1" applyFont="1" applyAlignment="1">
      <alignment horizontal="center"/>
    </xf>
    <xf numFmtId="167" fontId="0" fillId="0" borderId="50" xfId="1" applyNumberFormat="1" applyFont="1" applyFill="1" applyBorder="1"/>
    <xf numFmtId="167" fontId="0" fillId="0" borderId="51" xfId="1" applyNumberFormat="1" applyFont="1" applyFill="1" applyBorder="1"/>
    <xf numFmtId="3" fontId="0" fillId="0" borderId="49" xfId="0" applyNumberFormat="1" applyFill="1" applyBorder="1"/>
    <xf numFmtId="167" fontId="20" fillId="0" borderId="50" xfId="1" applyNumberFormat="1" applyFont="1" applyFill="1" applyBorder="1"/>
    <xf numFmtId="9" fontId="20" fillId="0" borderId="51" xfId="0" applyNumberFormat="1" applyFont="1" applyFill="1" applyBorder="1"/>
    <xf numFmtId="0" fontId="16" fillId="0" borderId="49" xfId="0" applyFont="1" applyBorder="1" applyAlignment="1">
      <alignment horizontal="center" vertical="center" wrapText="1"/>
    </xf>
    <xf numFmtId="0" fontId="16" fillId="0" borderId="56" xfId="0" applyFont="1" applyBorder="1" applyAlignment="1">
      <alignment horizontal="center" vertical="center" wrapText="1"/>
    </xf>
    <xf numFmtId="0" fontId="19" fillId="0" borderId="58" xfId="0" applyFont="1" applyFill="1" applyBorder="1"/>
    <xf numFmtId="3" fontId="0" fillId="0" borderId="59" xfId="0" applyNumberFormat="1" applyFill="1" applyBorder="1"/>
    <xf numFmtId="3" fontId="0" fillId="0" borderId="60" xfId="0" applyNumberFormat="1" applyFill="1" applyBorder="1"/>
    <xf numFmtId="2" fontId="20" fillId="0" borderId="52" xfId="0" applyNumberFormat="1" applyFont="1" applyFill="1" applyBorder="1"/>
    <xf numFmtId="167" fontId="20" fillId="0" borderId="53" xfId="1" applyNumberFormat="1" applyFont="1" applyFill="1" applyBorder="1"/>
    <xf numFmtId="167" fontId="20" fillId="0" borderId="54" xfId="1" applyNumberFormat="1" applyFont="1" applyFill="1" applyBorder="1"/>
    <xf numFmtId="2" fontId="20" fillId="0" borderId="55" xfId="0" applyNumberFormat="1" applyFont="1" applyFill="1" applyBorder="1"/>
    <xf numFmtId="2" fontId="20" fillId="0" borderId="56" xfId="0" applyNumberFormat="1" applyFont="1" applyFill="1" applyBorder="1"/>
    <xf numFmtId="9" fontId="20" fillId="0" borderId="56" xfId="0" applyNumberFormat="1" applyFont="1" applyFill="1" applyBorder="1"/>
    <xf numFmtId="9" fontId="20" fillId="0" borderId="57" xfId="0" applyNumberFormat="1" applyFont="1" applyFill="1" applyBorder="1"/>
    <xf numFmtId="2" fontId="0" fillId="0" borderId="52" xfId="0" applyNumberFormat="1" applyFill="1" applyBorder="1"/>
    <xf numFmtId="167" fontId="0" fillId="0" borderId="53" xfId="1" applyNumberFormat="1" applyFont="1" applyFill="1" applyBorder="1"/>
    <xf numFmtId="167" fontId="0" fillId="0" borderId="54" xfId="1" applyNumberFormat="1" applyFont="1" applyFill="1" applyBorder="1"/>
    <xf numFmtId="2" fontId="0" fillId="0" borderId="55" xfId="0" applyNumberFormat="1" applyFill="1" applyBorder="1"/>
    <xf numFmtId="167" fontId="0" fillId="0" borderId="56" xfId="1" applyNumberFormat="1" applyFont="1" applyFill="1" applyBorder="1"/>
    <xf numFmtId="167" fontId="0" fillId="0" borderId="57" xfId="1" applyNumberFormat="1" applyFont="1" applyFill="1" applyBorder="1"/>
    <xf numFmtId="0" fontId="16" fillId="0" borderId="0" xfId="0" applyFont="1" applyAlignment="1"/>
    <xf numFmtId="0" fontId="38" fillId="0" borderId="0" xfId="0" applyFont="1" applyFill="1"/>
    <xf numFmtId="43" fontId="38" fillId="0" borderId="0" xfId="0" applyNumberFormat="1" applyFont="1"/>
    <xf numFmtId="0" fontId="38" fillId="0" borderId="0" xfId="0" applyFont="1" applyAlignment="1">
      <alignment vertical="center"/>
    </xf>
    <xf numFmtId="167" fontId="16" fillId="0" borderId="0" xfId="0" applyNumberFormat="1" applyFont="1" applyFill="1" applyBorder="1" applyAlignment="1">
      <alignment horizontal="center"/>
    </xf>
    <xf numFmtId="0" fontId="25" fillId="0" borderId="0" xfId="0" applyFont="1" applyFill="1" applyBorder="1" applyAlignment="1">
      <alignment horizontal="center" vertical="center" wrapText="1"/>
    </xf>
    <xf numFmtId="0" fontId="40" fillId="0" borderId="0" xfId="0" applyFont="1" applyFill="1"/>
    <xf numFmtId="0" fontId="41" fillId="0" borderId="0" xfId="0" applyFont="1" applyFill="1" applyBorder="1" applyAlignment="1">
      <alignment horizontal="center" vertical="center"/>
    </xf>
    <xf numFmtId="167" fontId="40" fillId="0" borderId="0" xfId="1" applyNumberFormat="1" applyFont="1" applyFill="1" applyBorder="1"/>
    <xf numFmtId="0" fontId="41" fillId="0" borderId="0" xfId="0" applyFont="1" applyFill="1" applyBorder="1" applyAlignment="1">
      <alignment horizontal="center" vertical="center" wrapText="1"/>
    </xf>
    <xf numFmtId="0" fontId="40" fillId="0" borderId="0" xfId="0" applyFont="1" applyFill="1" applyBorder="1" applyAlignment="1">
      <alignment horizontal="center"/>
    </xf>
    <xf numFmtId="0" fontId="40" fillId="0" borderId="0" xfId="0" applyFont="1" applyFill="1" applyBorder="1"/>
    <xf numFmtId="167" fontId="40" fillId="0" borderId="0" xfId="1" applyNumberFormat="1" applyFont="1" applyFill="1" applyBorder="1" applyAlignment="1">
      <alignment horizontal="center" vertical="center" wrapText="1"/>
    </xf>
    <xf numFmtId="167" fontId="40" fillId="0" borderId="0" xfId="1" applyNumberFormat="1" applyFont="1" applyFill="1" applyBorder="1" applyAlignment="1">
      <alignment horizontal="center" vertical="center"/>
    </xf>
    <xf numFmtId="0" fontId="0" fillId="0" borderId="0" xfId="0" applyFont="1" applyAlignment="1">
      <alignment horizontal="center"/>
    </xf>
    <xf numFmtId="1" fontId="0" fillId="0" borderId="0" xfId="0" applyNumberFormat="1"/>
    <xf numFmtId="0" fontId="0" fillId="0" borderId="24" xfId="0" applyBorder="1"/>
    <xf numFmtId="1" fontId="0" fillId="0" borderId="24" xfId="0" applyNumberFormat="1" applyBorder="1"/>
    <xf numFmtId="0" fontId="0" fillId="0" borderId="24" xfId="0" applyFill="1" applyBorder="1"/>
    <xf numFmtId="1" fontId="0" fillId="0" borderId="0" xfId="0" applyNumberFormat="1" applyAlignment="1">
      <alignment horizontal="center"/>
    </xf>
    <xf numFmtId="1" fontId="34" fillId="0" borderId="0" xfId="0" applyNumberFormat="1" applyFont="1" applyAlignment="1">
      <alignment horizontal="center"/>
    </xf>
    <xf numFmtId="1" fontId="16" fillId="0" borderId="0" xfId="0" applyNumberFormat="1" applyFont="1" applyAlignment="1">
      <alignment horizontal="center"/>
    </xf>
    <xf numFmtId="0" fontId="16" fillId="0" borderId="0" xfId="0" applyFont="1" applyBorder="1" applyAlignment="1">
      <alignment horizontal="center" vertical="center"/>
    </xf>
    <xf numFmtId="0" fontId="0" fillId="0" borderId="0" xfId="0" applyAlignment="1">
      <alignment horizontal="center" vertical="center"/>
    </xf>
    <xf numFmtId="0" fontId="34" fillId="0" borderId="0" xfId="0" applyFont="1" applyFill="1"/>
    <xf numFmtId="0" fontId="43" fillId="0" borderId="0" xfId="0" applyFont="1" applyAlignment="1"/>
    <xf numFmtId="2" fontId="34" fillId="0" borderId="0" xfId="0" applyNumberFormat="1" applyFont="1" applyFill="1" applyAlignment="1">
      <alignment horizontal="center" vertical="center"/>
    </xf>
    <xf numFmtId="165" fontId="0" fillId="36" borderId="0" xfId="0" applyNumberFormat="1" applyFill="1" applyAlignment="1">
      <alignment horizontal="center"/>
    </xf>
    <xf numFmtId="165" fontId="0" fillId="0" borderId="0" xfId="0" applyNumberFormat="1" applyFill="1" applyAlignment="1">
      <alignment horizontal="center"/>
    </xf>
    <xf numFmtId="167" fontId="19" fillId="0" borderId="0" xfId="0" applyNumberFormat="1" applyFont="1" applyFill="1"/>
    <xf numFmtId="9" fontId="16" fillId="0" borderId="0" xfId="2" applyFont="1" applyFill="1" applyBorder="1" applyAlignment="1">
      <alignment horizontal="center"/>
    </xf>
    <xf numFmtId="1" fontId="0" fillId="0" borderId="0" xfId="0" applyNumberFormat="1" applyFill="1" applyAlignment="1">
      <alignment horizontal="center"/>
    </xf>
    <xf numFmtId="0" fontId="44" fillId="0" borderId="0" xfId="0" applyFont="1"/>
    <xf numFmtId="0" fontId="16" fillId="0" borderId="0" xfId="0" applyFont="1" applyAlignment="1">
      <alignment horizontal="center"/>
    </xf>
    <xf numFmtId="0" fontId="18" fillId="0" borderId="22" xfId="0" applyFont="1" applyFill="1" applyBorder="1" applyAlignment="1">
      <alignment horizontal="center"/>
    </xf>
    <xf numFmtId="0" fontId="18" fillId="0" borderId="21" xfId="0" applyFont="1" applyFill="1" applyBorder="1" applyAlignment="1">
      <alignment horizontal="center"/>
    </xf>
    <xf numFmtId="0" fontId="18" fillId="0" borderId="23" xfId="0" applyFont="1" applyFill="1" applyBorder="1" applyAlignment="1">
      <alignment horizontal="center"/>
    </xf>
    <xf numFmtId="0" fontId="16" fillId="0" borderId="50"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0" fillId="0" borderId="0" xfId="0" applyAlignment="1">
      <alignment horizontal="center"/>
    </xf>
    <xf numFmtId="0" fontId="18" fillId="36" borderId="15" xfId="0" applyFont="1" applyFill="1" applyBorder="1" applyAlignment="1">
      <alignment horizontal="center" vertical="center"/>
    </xf>
    <xf numFmtId="0" fontId="18" fillId="36" borderId="16" xfId="0" applyFont="1" applyFill="1" applyBorder="1" applyAlignment="1">
      <alignment horizontal="center" vertical="center"/>
    </xf>
    <xf numFmtId="0" fontId="18" fillId="36" borderId="12" xfId="0" applyFont="1" applyFill="1" applyBorder="1" applyAlignment="1">
      <alignment horizontal="center" vertical="center"/>
    </xf>
    <xf numFmtId="0" fontId="18" fillId="36" borderId="13" xfId="0" applyFont="1" applyFill="1" applyBorder="1" applyAlignment="1">
      <alignment horizontal="center" vertical="center"/>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52" xfId="0" applyFont="1" applyBorder="1" applyAlignment="1">
      <alignment horizontal="center" vertical="center"/>
    </xf>
    <xf numFmtId="0" fontId="16" fillId="0" borderId="55" xfId="0" applyFont="1" applyBorder="1" applyAlignment="1">
      <alignment horizontal="center" vertical="center"/>
    </xf>
    <xf numFmtId="0" fontId="16" fillId="0" borderId="53" xfId="0" applyFont="1" applyBorder="1" applyAlignment="1">
      <alignment horizontal="center" vertical="center"/>
    </xf>
    <xf numFmtId="0" fontId="16" fillId="0" borderId="56" xfId="0" applyFont="1" applyBorder="1" applyAlignment="1">
      <alignment horizontal="center" vertical="center"/>
    </xf>
    <xf numFmtId="167" fontId="16" fillId="36" borderId="16" xfId="1" applyNumberFormat="1" applyFont="1" applyFill="1" applyBorder="1" applyAlignment="1">
      <alignment horizontal="center" vertical="center"/>
    </xf>
    <xf numFmtId="167" fontId="16" fillId="36" borderId="17" xfId="1" applyNumberFormat="1" applyFont="1" applyFill="1" applyBorder="1" applyAlignment="1">
      <alignment horizontal="center" vertical="center"/>
    </xf>
    <xf numFmtId="167" fontId="16" fillId="36" borderId="13" xfId="1" applyNumberFormat="1" applyFont="1" applyFill="1" applyBorder="1" applyAlignment="1">
      <alignment horizontal="center" vertical="center"/>
    </xf>
    <xf numFmtId="167" fontId="16" fillId="36" borderId="14" xfId="1" applyNumberFormat="1" applyFont="1" applyFill="1" applyBorder="1" applyAlignment="1">
      <alignment horizontal="center" vertical="center"/>
    </xf>
    <xf numFmtId="0" fontId="16" fillId="34" borderId="0" xfId="0" applyFont="1" applyFill="1" applyBorder="1" applyAlignment="1">
      <alignment horizontal="center"/>
    </xf>
    <xf numFmtId="0" fontId="16" fillId="0" borderId="0" xfId="0" applyFont="1" applyBorder="1" applyAlignment="1">
      <alignment horizontal="center" vertical="center" wrapText="1"/>
    </xf>
    <xf numFmtId="9" fontId="21" fillId="0" borderId="0" xfId="0" applyNumberFormat="1" applyFont="1" applyBorder="1" applyAlignment="1">
      <alignment horizontal="center" vertical="center"/>
    </xf>
    <xf numFmtId="0" fontId="18" fillId="36" borderId="22" xfId="0" applyFont="1" applyFill="1" applyBorder="1" applyAlignment="1">
      <alignment horizontal="center"/>
    </xf>
    <xf numFmtId="0" fontId="18" fillId="36" borderId="21" xfId="0" applyFont="1" applyFill="1" applyBorder="1" applyAlignment="1">
      <alignment horizontal="center"/>
    </xf>
    <xf numFmtId="0" fontId="16" fillId="34" borderId="29" xfId="0" applyFont="1" applyFill="1" applyBorder="1" applyAlignment="1">
      <alignment horizontal="center" vertical="center" wrapText="1"/>
    </xf>
    <xf numFmtId="0" fontId="16" fillId="0" borderId="0" xfId="0" applyFont="1" applyBorder="1" applyAlignment="1">
      <alignment horizontal="center" vertical="center"/>
    </xf>
    <xf numFmtId="0" fontId="0" fillId="0" borderId="28" xfId="0" applyBorder="1" applyAlignment="1">
      <alignment horizontal="center"/>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167" fontId="18" fillId="0" borderId="0" xfId="1" applyNumberFormat="1" applyFont="1" applyFill="1" applyBorder="1" applyAlignment="1">
      <alignment horizontal="center" vertical="center"/>
    </xf>
    <xf numFmtId="167" fontId="18" fillId="0" borderId="0" xfId="1" applyNumberFormat="1" applyFont="1" applyFill="1" applyBorder="1" applyAlignment="1">
      <alignment horizontal="center" vertical="center" wrapText="1"/>
    </xf>
    <xf numFmtId="167" fontId="32" fillId="0" borderId="28" xfId="1" applyNumberFormat="1" applyFont="1" applyFill="1" applyBorder="1" applyAlignment="1">
      <alignment horizontal="center"/>
    </xf>
    <xf numFmtId="0" fontId="18" fillId="0" borderId="15"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14" xfId="0" applyFont="1" applyFill="1" applyBorder="1" applyAlignment="1">
      <alignment horizontal="center" vertical="center" wrapText="1"/>
    </xf>
    <xf numFmtId="9" fontId="21" fillId="0" borderId="15" xfId="0" applyNumberFormat="1" applyFont="1" applyBorder="1" applyAlignment="1">
      <alignment horizontal="center" vertical="center"/>
    </xf>
    <xf numFmtId="9" fontId="21" fillId="0" borderId="16" xfId="0" applyNumberFormat="1" applyFont="1" applyBorder="1" applyAlignment="1">
      <alignment horizontal="center" vertical="center"/>
    </xf>
    <xf numFmtId="0" fontId="16" fillId="0" borderId="20"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8" xfId="0" applyFont="1" applyBorder="1" applyAlignment="1">
      <alignment horizontal="center" vertical="center" wrapText="1"/>
    </xf>
    <xf numFmtId="2" fontId="16" fillId="0" borderId="20" xfId="0" applyNumberFormat="1" applyFont="1" applyBorder="1" applyAlignment="1">
      <alignment horizontal="center" vertical="center" wrapText="1"/>
    </xf>
    <xf numFmtId="2" fontId="16" fillId="0" borderId="24" xfId="0" applyNumberFormat="1" applyFont="1" applyBorder="1" applyAlignment="1">
      <alignment horizontal="center" vertical="center" wrapText="1"/>
    </xf>
    <xf numFmtId="3" fontId="16" fillId="0" borderId="46" xfId="0" applyNumberFormat="1" applyFont="1" applyBorder="1" applyAlignment="1">
      <alignment horizontal="center"/>
    </xf>
    <xf numFmtId="3" fontId="16" fillId="0" borderId="44" xfId="0" applyNumberFormat="1" applyFont="1" applyBorder="1" applyAlignment="1">
      <alignment horizontal="center"/>
    </xf>
    <xf numFmtId="3" fontId="16" fillId="0" borderId="48" xfId="0" applyNumberFormat="1" applyFont="1" applyBorder="1" applyAlignment="1">
      <alignment horizontal="center"/>
    </xf>
    <xf numFmtId="0" fontId="23" fillId="0" borderId="27" xfId="0" applyFont="1" applyBorder="1" applyAlignment="1">
      <alignment horizontal="center" vertical="center" textRotation="90"/>
    </xf>
    <xf numFmtId="0" fontId="23" fillId="0" borderId="24" xfId="0" applyFont="1" applyBorder="1" applyAlignment="1">
      <alignment horizontal="center" vertical="center" textRotation="90"/>
    </xf>
    <xf numFmtId="0" fontId="23" fillId="0" borderId="26" xfId="0" applyFont="1" applyBorder="1" applyAlignment="1">
      <alignment horizontal="center" vertical="center" textRotation="90"/>
    </xf>
    <xf numFmtId="0" fontId="16" fillId="0" borderId="39" xfId="0" applyFont="1" applyBorder="1" applyAlignment="1">
      <alignment horizontal="center" vertical="center"/>
    </xf>
    <xf numFmtId="0" fontId="16" fillId="0" borderId="37" xfId="0" applyFont="1" applyBorder="1" applyAlignment="1">
      <alignment horizontal="center" vertical="center"/>
    </xf>
    <xf numFmtId="0" fontId="0" fillId="0" borderId="24" xfId="0" applyBorder="1" applyAlignment="1">
      <alignment horizontal="center"/>
    </xf>
    <xf numFmtId="0" fontId="0" fillId="0" borderId="26" xfId="0" applyBorder="1" applyAlignment="1">
      <alignment horizontal="center"/>
    </xf>
    <xf numFmtId="0" fontId="16" fillId="0" borderId="32" xfId="0" applyFont="1" applyBorder="1" applyAlignment="1">
      <alignment horizontal="center" vertical="center" wrapText="1"/>
    </xf>
    <xf numFmtId="0" fontId="16" fillId="0" borderId="30" xfId="0" applyFont="1" applyBorder="1" applyAlignment="1">
      <alignment horizontal="center" vertical="center" wrapText="1"/>
    </xf>
    <xf numFmtId="2" fontId="16" fillId="0" borderId="0" xfId="0" applyNumberFormat="1" applyFont="1" applyAlignment="1">
      <alignment horizontal="center" vertical="center"/>
    </xf>
    <xf numFmtId="2" fontId="16" fillId="0" borderId="0" xfId="0" applyNumberFormat="1" applyFont="1" applyAlignment="1">
      <alignment horizontal="center" vertical="center" wrapText="1"/>
    </xf>
    <xf numFmtId="0" fontId="16" fillId="0" borderId="0" xfId="0" applyFont="1" applyAlignment="1">
      <alignment horizontal="center" vertical="center"/>
    </xf>
    <xf numFmtId="0" fontId="16" fillId="0" borderId="19" xfId="0" applyFont="1" applyBorder="1" applyAlignment="1">
      <alignment horizontal="center"/>
    </xf>
    <xf numFmtId="0" fontId="16" fillId="0" borderId="0" xfId="0" applyFont="1" applyAlignment="1">
      <alignment horizontal="center" vertical="center" wrapText="1"/>
    </xf>
    <xf numFmtId="0" fontId="29" fillId="0" borderId="0" xfId="0" applyFont="1" applyAlignment="1">
      <alignment horizontal="center" vertical="center" wrapText="1"/>
    </xf>
    <xf numFmtId="0" fontId="0" fillId="0" borderId="41" xfId="0" applyBorder="1" applyAlignment="1">
      <alignment horizontal="center"/>
    </xf>
    <xf numFmtId="0" fontId="0" fillId="0" borderId="42" xfId="0" applyBorder="1" applyAlignment="1">
      <alignment horizontal="center"/>
    </xf>
    <xf numFmtId="0" fontId="16" fillId="0" borderId="0" xfId="0" applyFont="1" applyBorder="1" applyAlignment="1">
      <alignment horizontal="center"/>
    </xf>
    <xf numFmtId="0" fontId="35" fillId="0" borderId="0" xfId="0" applyFont="1" applyAlignment="1">
      <alignment horizontal="center" vertical="center"/>
    </xf>
    <xf numFmtId="0" fontId="14" fillId="0" borderId="0" xfId="0" applyFont="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center"/>
    </xf>
    <xf numFmtId="4" fontId="16" fillId="0" borderId="0" xfId="0" applyNumberFormat="1" applyFont="1" applyBorder="1" applyAlignment="1">
      <alignment horizontal="center" vertical="center" wrapText="1"/>
    </xf>
    <xf numFmtId="4" fontId="16" fillId="0" borderId="28" xfId="0" applyNumberFormat="1" applyFont="1" applyBorder="1" applyAlignment="1">
      <alignment horizontal="center" vertical="center" wrapText="1"/>
    </xf>
    <xf numFmtId="2" fontId="34" fillId="0" borderId="0" xfId="0" applyNumberFormat="1" applyFont="1" applyFill="1" applyAlignment="1">
      <alignment horizontal="center" vertical="center"/>
    </xf>
    <xf numFmtId="0" fontId="16" fillId="33" borderId="0" xfId="0" applyFont="1" applyFill="1" applyAlignment="1">
      <alignment horizontal="left"/>
    </xf>
    <xf numFmtId="0" fontId="27" fillId="0" borderId="12" xfId="0" applyFont="1" applyBorder="1" applyAlignment="1">
      <alignment horizontal="center"/>
    </xf>
    <xf numFmtId="0" fontId="27" fillId="0" borderId="13" xfId="0" applyFont="1" applyBorder="1" applyAlignment="1">
      <alignment horizontal="center"/>
    </xf>
    <xf numFmtId="0" fontId="25"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2" fontId="26" fillId="0" borderId="19" xfId="0" applyNumberFormat="1" applyFont="1" applyBorder="1" applyAlignment="1">
      <alignment horizontal="center" vertical="center"/>
    </xf>
    <xf numFmtId="2" fontId="26" fillId="0" borderId="0" xfId="0" applyNumberFormat="1" applyFont="1" applyBorder="1" applyAlignment="1">
      <alignment horizontal="center" vertical="center"/>
    </xf>
    <xf numFmtId="2" fontId="26" fillId="0" borderId="28" xfId="0" applyNumberFormat="1" applyFont="1" applyBorder="1" applyAlignment="1">
      <alignment horizontal="center" vertical="center"/>
    </xf>
    <xf numFmtId="0" fontId="25" fillId="0" borderId="17"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xf>
    <xf numFmtId="0" fontId="25" fillId="0" borderId="10" xfId="0" applyFont="1" applyBorder="1" applyAlignment="1">
      <alignment horizontal="center" vertical="center"/>
    </xf>
    <xf numFmtId="0" fontId="26" fillId="0" borderId="35" xfId="0" applyFont="1" applyBorder="1" applyAlignment="1">
      <alignment horizontal="center" vertical="center"/>
    </xf>
    <xf numFmtId="0" fontId="26" fillId="0" borderId="10" xfId="0" applyFont="1" applyBorder="1" applyAlignment="1">
      <alignment horizontal="center" vertical="center"/>
    </xf>
    <xf numFmtId="0" fontId="26" fillId="0" borderId="33" xfId="0" applyFont="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0" xfId="0" applyFont="1" applyAlignment="1">
      <alignment horizontal="center"/>
    </xf>
    <xf numFmtId="0" fontId="16" fillId="0" borderId="15" xfId="0" applyFont="1" applyBorder="1" applyAlignment="1">
      <alignment horizontal="center"/>
    </xf>
    <xf numFmtId="0" fontId="16" fillId="0" borderId="16" xfId="0" applyFont="1" applyBorder="1" applyAlignment="1">
      <alignment horizontal="center"/>
    </xf>
    <xf numFmtId="0" fontId="16" fillId="0" borderId="17" xfId="0" applyFont="1" applyBorder="1" applyAlignment="1">
      <alignment horizontal="center"/>
    </xf>
    <xf numFmtId="0" fontId="16" fillId="0" borderId="10" xfId="0" applyFont="1" applyBorder="1" applyAlignment="1">
      <alignment horizontal="center" vertical="center"/>
    </xf>
    <xf numFmtId="0" fontId="16" fillId="0" borderId="11" xfId="0" applyFont="1" applyBorder="1" applyAlignment="1">
      <alignment horizontal="center" vertical="center" wrapText="1"/>
    </xf>
    <xf numFmtId="0" fontId="0" fillId="0" borderId="12"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0" xfId="0" applyBorder="1" applyAlignment="1">
      <alignment horizontal="center"/>
    </xf>
    <xf numFmtId="2" fontId="0" fillId="0" borderId="11" xfId="0" applyNumberFormat="1" applyBorder="1" applyAlignment="1">
      <alignment horizontal="center" vertical="center"/>
    </xf>
    <xf numFmtId="2" fontId="0" fillId="0" borderId="14" xfId="0" applyNumberFormat="1" applyBorder="1" applyAlignment="1">
      <alignment horizontal="center" vertical="center"/>
    </xf>
    <xf numFmtId="0" fontId="16" fillId="0" borderId="24" xfId="0" applyFont="1" applyBorder="1" applyAlignment="1">
      <alignment horizontal="center" vertical="center"/>
    </xf>
    <xf numFmtId="0" fontId="0" fillId="39" borderId="0" xfId="0" applyFill="1" applyAlignment="1">
      <alignment horizontal="center" vertical="center" wrapText="1"/>
    </xf>
    <xf numFmtId="0" fontId="16" fillId="0" borderId="20" xfId="0" applyFont="1" applyBorder="1" applyAlignment="1">
      <alignment horizontal="center" vertical="center"/>
    </xf>
    <xf numFmtId="0" fontId="16" fillId="0" borderId="0" xfId="0" applyFont="1" applyAlignment="1">
      <alignment horizontal="center" wrapText="1"/>
    </xf>
    <xf numFmtId="9" fontId="0" fillId="0" borderId="0" xfId="0" applyNumberFormat="1" applyAlignment="1">
      <alignment horizontal="center" vertical="center"/>
    </xf>
    <xf numFmtId="0" fontId="0" fillId="0" borderId="0" xfId="0" applyAlignment="1">
      <alignment horizontal="center" vertical="center"/>
    </xf>
    <xf numFmtId="0" fontId="23" fillId="0" borderId="0" xfId="0" applyFont="1" applyAlignment="1">
      <alignment vertical="top"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Aharoni" panose="02010803020104030203" pitchFamily="2" charset="-79"/>
                <a:ea typeface="+mn-ea"/>
                <a:cs typeface="Aharoni" panose="02010803020104030203" pitchFamily="2" charset="-79"/>
              </a:defRPr>
            </a:pPr>
            <a:r>
              <a:rPr lang="en-US">
                <a:latin typeface="Aharoni" panose="02010803020104030203" pitchFamily="2" charset="-79"/>
                <a:cs typeface="Aharoni" panose="02010803020104030203" pitchFamily="2" charset="-79"/>
              </a:rPr>
              <a:t>King's Bay</a:t>
            </a:r>
          </a:p>
        </c:rich>
      </c:tx>
      <c:layout>
        <c:manualLayout>
          <c:xMode val="edge"/>
          <c:yMode val="edge"/>
          <c:x val="5.2281567213736573E-3"/>
          <c:y val="1.6814577576767815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Aharoni" panose="02010803020104030203" pitchFamily="2" charset="-79"/>
              <a:ea typeface="+mn-ea"/>
              <a:cs typeface="Aharoni" panose="02010803020104030203" pitchFamily="2" charset="-79"/>
            </a:defRPr>
          </a:pPr>
          <a:endParaRPr lang="en-US"/>
        </a:p>
      </c:txPr>
    </c:title>
    <c:autoTitleDeleted val="0"/>
    <c:plotArea>
      <c:layout>
        <c:manualLayout>
          <c:layoutTarget val="inner"/>
          <c:xMode val="edge"/>
          <c:yMode val="edge"/>
          <c:x val="7.6905423507131601E-2"/>
          <c:y val="5.4649264374522829E-3"/>
          <c:w val="0.77893065363502612"/>
          <c:h val="0.98394141642294364"/>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bubble3D val="0"/>
            <c:spPr>
              <a:solidFill>
                <a:schemeClr val="bg2">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1"/>
              <c:layout>
                <c:manualLayout>
                  <c:x val="1.6680483332077274E-3"/>
                  <c:y val="1.3308845502488162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6"/>
              <c:layout/>
              <c:numFmt formatCode="0%" sourceLinked="0"/>
              <c:spPr>
                <a:noFill/>
                <a:ln>
                  <a:noFill/>
                </a:ln>
                <a:effectLst>
                  <a:glow rad="228600">
                    <a:schemeClr val="bg1">
                      <a:alpha val="40000"/>
                    </a:schemeClr>
                  </a:glow>
                </a:effectLst>
              </c:spPr>
              <c:txPr>
                <a:bodyPr rot="0" spcFirstLastPara="1" vertOverflow="ellipsis" vert="horz" wrap="square" anchor="ctr" anchorCtr="1"/>
                <a:lstStyle/>
                <a:p>
                  <a:pPr>
                    <a:defRPr sz="1200" b="1" i="0" u="none" strike="noStrike" kern="1200" baseline="0">
                      <a:solidFill>
                        <a:sysClr val="windowText" lastClr="000000"/>
                      </a:solidFill>
                      <a:effectLst>
                        <a:glow rad="304800">
                          <a:schemeClr val="bg1">
                            <a:alpha val="79000"/>
                          </a:schemeClr>
                        </a:glow>
                      </a:effectLst>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numFmt formatCode="0%" sourceLinked="0"/>
            <c:spPr>
              <a:noFill/>
              <a:ln>
                <a:noFill/>
              </a:ln>
              <a:effectLst>
                <a:glow rad="228600">
                  <a:schemeClr val="bg1">
                    <a:alpha val="40000"/>
                  </a:schemeClr>
                </a:glow>
              </a:effectLst>
            </c:spPr>
            <c:txPr>
              <a:bodyPr rot="0" spcFirstLastPara="1" vertOverflow="ellipsis" vert="horz" wrap="square" anchor="ctr" anchorCtr="1"/>
              <a:lstStyle/>
              <a:p>
                <a:pPr>
                  <a:defRPr sz="1200" b="1" i="0" u="none" strike="noStrike" kern="1200" baseline="0">
                    <a:solidFill>
                      <a:schemeClr val="tx1"/>
                    </a:solidFill>
                    <a:effectLst>
                      <a:glow rad="304800">
                        <a:schemeClr val="bg1">
                          <a:alpha val="79000"/>
                        </a:schemeClr>
                      </a:glow>
                    </a:effectLst>
                    <a:latin typeface="+mn-lt"/>
                    <a:ea typeface="+mn-ea"/>
                    <a:cs typeface="+mn-cs"/>
                  </a:defRPr>
                </a:pPr>
                <a:endParaRPr lang="en-US"/>
              </a:p>
            </c:txPr>
            <c:dLblPos val="bestFit"/>
            <c:showLegendKey val="0"/>
            <c:showVal val="1"/>
            <c:showCatName val="1"/>
            <c:showSerName val="0"/>
            <c:showPercent val="0"/>
            <c:showBubbleSize val="0"/>
            <c:separator>
</c:separator>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multiLvlStrRef>
              <c:f>'Load Summary'!$D$4:$K$5</c:f>
              <c:multiLvlStrCache>
                <c:ptCount val="7"/>
                <c:lvl>
                  <c:pt idx="4">
                    <c:v>Urban</c:v>
                  </c:pt>
                  <c:pt idx="5">
                    <c:v>Farm</c:v>
                  </c:pt>
                </c:lvl>
                <c:lvl>
                  <c:pt idx="0">
                    <c:v>Atmosperhic Deposition</c:v>
                  </c:pt>
                  <c:pt idx="1">
                    <c:v>WWTF</c:v>
                  </c:pt>
                  <c:pt idx="2">
                    <c:v>Septic Systems</c:v>
                  </c:pt>
                  <c:pt idx="3">
                    <c:v>Golf Courses</c:v>
                  </c:pt>
                  <c:pt idx="4">
                    <c:v>Fertilizer,</c:v>
                  </c:pt>
                  <c:pt idx="6">
                    <c:v>Livestock</c:v>
                  </c:pt>
                </c:lvl>
              </c:multiLvlStrCache>
            </c:multiLvlStrRef>
          </c:cat>
          <c:val>
            <c:numRef>
              <c:f>'Load Summary'!$D$10:$K$10</c:f>
              <c:numCache>
                <c:formatCode>0%</c:formatCode>
                <c:ptCount val="8"/>
                <c:pt idx="0">
                  <c:v>8.5292856980505913E-2</c:v>
                </c:pt>
                <c:pt idx="1">
                  <c:v>2.0808154087232692E-2</c:v>
                </c:pt>
                <c:pt idx="2">
                  <c:v>0.50912173572491393</c:v>
                </c:pt>
                <c:pt idx="3">
                  <c:v>5.3851008462768649E-2</c:v>
                </c:pt>
                <c:pt idx="4">
                  <c:v>0.18419764728519372</c:v>
                </c:pt>
                <c:pt idx="5">
                  <c:v>0.11370892386492031</c:v>
                </c:pt>
                <c:pt idx="6">
                  <c:v>3.3019673594464644E-2</c:v>
                </c:pt>
                <c:pt idx="7">
                  <c:v>0</c:v>
                </c:pt>
              </c:numCache>
            </c:numRef>
          </c:val>
        </c:ser>
        <c:dLbls>
          <c:showLegendKey val="0"/>
          <c:showVal val="0"/>
          <c:showCatName val="0"/>
          <c:showSerName val="0"/>
          <c:showPercent val="0"/>
          <c:showBubbleSize val="0"/>
          <c:showLeaderLines val="1"/>
        </c:dLbls>
        <c:firstSliceAng val="96"/>
      </c:pie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a:pPr>
      <a:endParaRPr lang="en-US"/>
    </a:p>
  </c:txPr>
  <c:printSettings>
    <c:headerFooter/>
    <c:pageMargins b="0.75" l="0.25" r="0.25"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1079477462145"/>
          <c:y val="0.13983645918771359"/>
          <c:w val="0.71517511576978465"/>
          <c:h val="0.77754184312503316"/>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bubble3D val="0"/>
            <c:spPr>
              <a:solidFill>
                <a:schemeClr val="bg2">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1"/>
              <c:layout>
                <c:manualLayout>
                  <c:x val="1.1438363719672585E-2"/>
                  <c:y val="-5.9440897565952271E-2"/>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numFmt formatCode="0%" sourceLinked="0"/>
              <c:spPr>
                <a:noFill/>
                <a:ln>
                  <a:noFill/>
                </a:ln>
                <a:effectLst/>
              </c:spPr>
              <c:txPr>
                <a:bodyPr rot="0" spcFirstLastPara="1" vertOverflow="ellipsis" vert="horz" wrap="square" anchor="ctr" anchorCtr="1"/>
                <a:lstStyle/>
                <a:p>
                  <a:pPr>
                    <a:defRPr sz="1100" b="1" i="0" u="none" strike="noStrike" kern="1200" baseline="0">
                      <a:solidFill>
                        <a:schemeClr val="tx1"/>
                      </a:solidFill>
                      <a:effectLst>
                        <a:glow rad="228600">
                          <a:schemeClr val="bg1">
                            <a:alpha val="87000"/>
                          </a:schemeClr>
                        </a:glow>
                      </a:effectLst>
                      <a:latin typeface="+mn-lt"/>
                      <a:ea typeface="+mn-ea"/>
                      <a:cs typeface="+mn-cs"/>
                    </a:defRPr>
                  </a:pPr>
                  <a:endParaRPr lang="en-US"/>
                </a:p>
              </c:txPr>
              <c:dLblPos val="bestFit"/>
              <c:showLegendKey val="0"/>
              <c:showVal val="0"/>
              <c:showCatName val="0"/>
              <c:showSerName val="0"/>
              <c:showPercent val="1"/>
              <c:showBubbleSize val="0"/>
            </c:dLbl>
            <c:dLbl>
              <c:idx val="6"/>
              <c:layout>
                <c:manualLayout>
                  <c:x val="2.6489642434904599E-2"/>
                  <c:y val="-5.5726467538902112E-2"/>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100" b="1" i="0" u="none" strike="noStrike" kern="1200" baseline="0">
                    <a:solidFill>
                      <a:schemeClr val="tx1"/>
                    </a:solidFill>
                    <a:effectLst>
                      <a:glow rad="228600">
                        <a:schemeClr val="bg1">
                          <a:alpha val="87000"/>
                        </a:schemeClr>
                      </a:glow>
                    </a:effectLst>
                    <a:latin typeface="+mn-lt"/>
                    <a:ea typeface="+mn-ea"/>
                    <a:cs typeface="+mn-cs"/>
                  </a:defRPr>
                </a:pPr>
                <a:endParaRPr lang="en-US"/>
              </a:p>
            </c:txPr>
            <c:dLblPos val="bestFit"/>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multiLvlStrRef>
              <c:f>'Load Summary'!$D$4:$K$5</c:f>
              <c:multiLvlStrCache>
                <c:ptCount val="7"/>
                <c:lvl>
                  <c:pt idx="4">
                    <c:v>Urban</c:v>
                  </c:pt>
                  <c:pt idx="5">
                    <c:v>Farm</c:v>
                  </c:pt>
                </c:lvl>
                <c:lvl>
                  <c:pt idx="0">
                    <c:v>Atmosperhic Deposition</c:v>
                  </c:pt>
                  <c:pt idx="1">
                    <c:v>WWTF</c:v>
                  </c:pt>
                  <c:pt idx="2">
                    <c:v>Septic Systems</c:v>
                  </c:pt>
                  <c:pt idx="3">
                    <c:v>Golf Courses</c:v>
                  </c:pt>
                  <c:pt idx="4">
                    <c:v>Fertilizer,</c:v>
                  </c:pt>
                  <c:pt idx="6">
                    <c:v>Livestock</c:v>
                  </c:pt>
                </c:lvl>
              </c:multiLvlStrCache>
            </c:multiLvlStrRef>
          </c:cat>
          <c:val>
            <c:numRef>
              <c:f>'Load Summary'!$D$13:$K$13</c:f>
              <c:numCache>
                <c:formatCode>_(* #,##0_);_(* \(#,##0\);_(* "-"??_);_(@_)</c:formatCode>
                <c:ptCount val="8"/>
                <c:pt idx="0">
                  <c:v>73372.226917536347</c:v>
                </c:pt>
                <c:pt idx="1">
                  <c:v>18373.359226247223</c:v>
                </c:pt>
                <c:pt idx="2">
                  <c:v>451907.28006915201</c:v>
                </c:pt>
                <c:pt idx="3">
                  <c:v>30489.636336467011</c:v>
                </c:pt>
                <c:pt idx="4">
                  <c:v>164839.25774224536</c:v>
                </c:pt>
                <c:pt idx="5">
                  <c:v>96692.706225039612</c:v>
                </c:pt>
                <c:pt idx="6">
                  <c:v>22100.844279615114</c:v>
                </c:pt>
                <c:pt idx="7">
                  <c:v>2448.1263591565694</c:v>
                </c:pt>
              </c:numCache>
            </c:numRef>
          </c:val>
        </c:ser>
        <c:dLbls>
          <c:showLegendKey val="0"/>
          <c:showVal val="0"/>
          <c:showCatName val="0"/>
          <c:showSerName val="0"/>
          <c:showPercent val="1"/>
          <c:showBubbleSize val="0"/>
          <c:showLeaderLines val="1"/>
        </c:dLbls>
        <c:firstSliceAng val="51"/>
      </c:pieChart>
      <c:spPr>
        <a:noFill/>
        <a:ln>
          <a:noFill/>
        </a:ln>
        <a:effectLst/>
      </c:spPr>
    </c:plotArea>
    <c:plotVisOnly val="1"/>
    <c:dispBlanksAs val="zero"/>
    <c:showDLblsOverMax val="0"/>
  </c:chart>
  <c:spPr>
    <a:noFill/>
    <a:ln w="9525" cap="flat" cmpd="sng" algn="ctr">
      <a:noFill/>
      <a:prstDash val="solid"/>
      <a:round/>
    </a:ln>
    <a:effectLst/>
  </c:spPr>
  <c:txPr>
    <a:bodyPr/>
    <a:lstStyle/>
    <a:p>
      <a:pPr>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510794774621456"/>
          <c:y val="0.86967855249177517"/>
          <c:w val="3.4095860566448831E-2"/>
          <c:h val="3.6537003256363852E-2"/>
        </c:manualLayout>
      </c:layout>
      <c:pieChart>
        <c:varyColors val="1"/>
        <c:ser>
          <c:idx val="0"/>
          <c:order val="0"/>
          <c:explosion val="423"/>
          <c:dLbls>
            <c:delete val="1"/>
          </c:dLbls>
          <c:cat>
            <c:multiLvlStrRef>
              <c:extLst>
                <c:ext xmlns:c15="http://schemas.microsoft.com/office/drawing/2012/chart" uri="{02D57815-91ED-43cb-92C2-25804820EDAC}">
                  <c15:fullRef>
                    <c15:sqref>'Load Summary'!$D$4:$K$5</c15:sqref>
                  </c15:fullRef>
                </c:ext>
              </c:extLst>
              <c:f>'Load Summary'!$D$4:$K$5</c:f>
              <c:multiLvlStrCache>
                <c:ptCount val="7"/>
                <c:lvl>
                  <c:pt idx="4">
                    <c:v>Urban</c:v>
                  </c:pt>
                  <c:pt idx="5">
                    <c:v>Farm</c:v>
                  </c:pt>
                </c:lvl>
                <c:lvl>
                  <c:pt idx="0">
                    <c:v>Atmosperhic Deposition</c:v>
                  </c:pt>
                  <c:pt idx="1">
                    <c:v>WWTF</c:v>
                  </c:pt>
                  <c:pt idx="2">
                    <c:v>Septic Systems</c:v>
                  </c:pt>
                  <c:pt idx="3">
                    <c:v>Golf Courses</c:v>
                  </c:pt>
                  <c:pt idx="4">
                    <c:v>Fertilizer,</c:v>
                  </c:pt>
                  <c:pt idx="6">
                    <c:v>Livestock</c:v>
                  </c:pt>
                </c:lvl>
              </c:multiLvlStrCache>
            </c:multiLvlStrRef>
          </c:cat>
          <c:val>
            <c:numRef>
              <c:extLst>
                <c:ext xmlns:c15="http://schemas.microsoft.com/office/drawing/2012/chart" uri="{02D57815-91ED-43cb-92C2-25804820EDAC}">
                  <c15:fullRef>
                    <c15:sqref>'Load Summary'!$C$42:$K$42</c15:sqref>
                  </c15:fullRef>
                </c:ext>
              </c:extLst>
              <c:f>'Load Summary'!$C$42:$I$42</c:f>
              <c:numCache>
                <c:formatCode>General</c:formatCode>
                <c:ptCount val="7"/>
              </c:numCache>
            </c:numRef>
          </c:val>
        </c:ser>
        <c:dLbls>
          <c:showLegendKey val="0"/>
          <c:showVal val="0"/>
          <c:showCatName val="0"/>
          <c:showSerName val="0"/>
          <c:showPercent val="1"/>
          <c:showBubbleSize val="0"/>
          <c:showLeaderLines val="1"/>
        </c:dLbls>
        <c:firstSliceAng val="193"/>
      </c:pieChart>
    </c:plotArea>
    <c:legend>
      <c:legendPos val="l"/>
      <c:layout>
        <c:manualLayout>
          <c:xMode val="edge"/>
          <c:yMode val="edge"/>
          <c:x val="0.16072550720032705"/>
          <c:y val="3.2273717232586828E-4"/>
          <c:w val="0.80445275794130156"/>
          <c:h val="0.99967747943989094"/>
        </c:manualLayout>
      </c:layout>
      <c:overlay val="1"/>
      <c:spPr>
        <a:solidFill>
          <a:schemeClr val="bg1"/>
        </a:solidFill>
      </c:spPr>
      <c:txPr>
        <a:bodyPr/>
        <a:lstStyle/>
        <a:p>
          <a:pPr rtl="0">
            <a:defRPr/>
          </a:pPr>
          <a:endParaRPr lang="en-US"/>
        </a:p>
      </c:txPr>
    </c:legend>
    <c:plotVisOnly val="1"/>
    <c:dispBlanksAs val="zero"/>
    <c:showDLblsOverMax val="0"/>
  </c:chart>
  <c:spPr>
    <a:noFill/>
    <a:ln>
      <a:noFill/>
    </a:ln>
  </c:spPr>
  <c:txPr>
    <a:bodyPr/>
    <a:lstStyle/>
    <a:p>
      <a:pPr>
        <a:defRPr sz="1100" b="1"/>
      </a:pPr>
      <a:endParaRPr lang="en-US"/>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5"/>
    </mc:Choice>
    <mc:Fallback>
      <c:style val="25"/>
    </mc:Fallback>
  </mc:AlternateContent>
  <c:chart>
    <c:title>
      <c:tx>
        <c:rich>
          <a:bodyPr/>
          <a:lstStyle/>
          <a:p>
            <a:pPr>
              <a:defRPr>
                <a:latin typeface="Aharoni" panose="02010803020104030203" pitchFamily="2" charset="-79"/>
                <a:cs typeface="Aharoni" panose="02010803020104030203" pitchFamily="2" charset="-79"/>
              </a:defRPr>
            </a:pPr>
            <a:r>
              <a:rPr lang="en-US">
                <a:latin typeface="Aharoni" panose="02010803020104030203" pitchFamily="2" charset="-79"/>
                <a:cs typeface="Aharoni" panose="02010803020104030203" pitchFamily="2" charset="-79"/>
              </a:rPr>
              <a:t>King's Bay</a:t>
            </a:r>
          </a:p>
        </c:rich>
      </c:tx>
      <c:layout/>
      <c:overlay val="0"/>
    </c:title>
    <c:autoTitleDeleted val="0"/>
    <c:plotArea>
      <c:layout>
        <c:manualLayout>
          <c:layoutTarget val="inner"/>
          <c:xMode val="edge"/>
          <c:yMode val="edge"/>
          <c:x val="0.29984187803294726"/>
          <c:y val="0.24822633227210114"/>
          <c:w val="0.39662928487324312"/>
          <c:h val="0.53642062435704296"/>
        </c:manualLayout>
      </c:layout>
      <c:pieChart>
        <c:varyColors val="1"/>
        <c:ser>
          <c:idx val="0"/>
          <c:order val="0"/>
          <c:dPt>
            <c:idx val="0"/>
            <c:bubble3D val="0"/>
            <c:spPr>
              <a:solidFill>
                <a:schemeClr val="bg1">
                  <a:lumMod val="85000"/>
                </a:schemeClr>
              </a:solidFill>
            </c:spPr>
          </c:dPt>
          <c:dPt>
            <c:idx val="1"/>
            <c:bubble3D val="0"/>
            <c:spPr>
              <a:solidFill>
                <a:schemeClr val="bg1">
                  <a:lumMod val="65000"/>
                </a:schemeClr>
              </a:solidFill>
            </c:spPr>
          </c:dPt>
          <c:dPt>
            <c:idx val="2"/>
            <c:bubble3D val="0"/>
            <c:spPr>
              <a:solidFill>
                <a:schemeClr val="tx1">
                  <a:lumMod val="65000"/>
                  <a:lumOff val="35000"/>
                </a:schemeClr>
              </a:solidFill>
            </c:spPr>
          </c:dPt>
          <c:dLbls>
            <c:dLbl>
              <c:idx val="1"/>
              <c:layout>
                <c:manualLayout>
                  <c:x val="-9.2853694976903031E-2"/>
                  <c:y val="0.14698680894371166"/>
                </c:manualLayout>
              </c:layout>
              <c:dLblPos val="bestFit"/>
              <c:showLegendKey val="0"/>
              <c:showVal val="0"/>
              <c:showCatName val="1"/>
              <c:showSerName val="0"/>
              <c:showPercent val="1"/>
              <c:showBubbleSize val="0"/>
              <c:extLst>
                <c:ext xmlns:c15="http://schemas.microsoft.com/office/drawing/2012/chart" uri="{CE6537A1-D6FC-4f65-9D91-7224C49458BB}">
                  <c15:layout/>
                </c:ext>
              </c:extLst>
            </c:dLbl>
            <c:spPr>
              <a:noFill/>
              <a:ln>
                <a:noFill/>
              </a:ln>
              <a:effectLst/>
            </c:spPr>
            <c:txPr>
              <a:bodyPr/>
              <a:lstStyle/>
              <a:p>
                <a:pPr>
                  <a:defRPr sz="1200" b="1"/>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'Load Summary'!$B$13:$B$14</c:f>
              <c:strCache>
                <c:ptCount val="2"/>
                <c:pt idx="0">
                  <c:v>High Recharge</c:v>
                </c:pt>
                <c:pt idx="1">
                  <c:v>Medium Recharge</c:v>
                </c:pt>
              </c:strCache>
            </c:strRef>
          </c:cat>
          <c:val>
            <c:numRef>
              <c:f>'Load Summary'!$L$13:$L$14</c:f>
              <c:numCache>
                <c:formatCode>_(* #,##0_);_(* \(#,##0\);_(* "-"??_);_(@_)</c:formatCode>
                <c:ptCount val="2"/>
                <c:pt idx="0">
                  <c:v>860223.43715545919</c:v>
                </c:pt>
                <c:pt idx="1">
                  <c:v>74786.758047106865</c:v>
                </c:pt>
              </c:numCache>
            </c:numRef>
          </c:val>
        </c:ser>
        <c:dLbls>
          <c:showLegendKey val="0"/>
          <c:showVal val="0"/>
          <c:showCatName val="0"/>
          <c:showSerName val="0"/>
          <c:showPercent val="1"/>
          <c:showBubbleSize val="0"/>
          <c:showLeaderLines val="1"/>
        </c:dLbls>
        <c:firstSliceAng val="311"/>
      </c:pieChart>
    </c:plotArea>
    <c:plotVisOnly val="1"/>
    <c:dispBlanksAs val="zero"/>
    <c:showDLblsOverMax val="0"/>
  </c:chart>
  <c:spPr>
    <a:noFill/>
    <a:ln w="19050">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10794774621461"/>
          <c:y val="0.86967855249177584"/>
          <c:w val="3.4095860566448831E-2"/>
          <c:h val="3.6537003256363852E-2"/>
        </c:manualLayout>
      </c:layout>
      <c:pieChart>
        <c:varyColors val="1"/>
        <c:ser>
          <c:idx val="0"/>
          <c:order val="0"/>
          <c:explosion val="42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bubble3D val="0"/>
            <c:spPr>
              <a:solidFill>
                <a:schemeClr val="bg2">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cat>
            <c:numRef>
              <c:extLst>
                <c:ext xmlns:c15="http://schemas.microsoft.com/office/drawing/2012/chart" uri="{02D57815-91ED-43cb-92C2-25804820EDAC}">
                  <c15:fullRef>
                    <c15:sqref>'Load Summary'!$D$3:$J$3</c15:sqref>
                  </c15:fullRef>
                </c:ext>
              </c:extLst>
              <c:f>'Load Summary'!$D$3:$J$3</c:f>
              <c:numCache>
                <c:formatCode>General</c:formatCode>
                <c:ptCount val="7"/>
              </c:numCache>
            </c:numRef>
          </c:cat>
          <c:val>
            <c:numRef>
              <c:extLst>
                <c:ext xmlns:c15="http://schemas.microsoft.com/office/drawing/2012/chart" uri="{02D57815-91ED-43cb-92C2-25804820EDAC}">
                  <c15:fullRef>
                    <c15:sqref>'Load Summary'!$C$42:$K$42</c15:sqref>
                  </c15:fullRef>
                </c:ext>
              </c:extLst>
              <c:f>'Load Summary'!$C$42:$I$42</c:f>
              <c:numCache>
                <c:formatCode>General</c:formatCode>
                <c:ptCount val="7"/>
              </c:numCache>
            </c:numRef>
          </c:val>
          <c:extLs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193"/>
      </c:pieChart>
      <c:spPr>
        <a:noFill/>
        <a:ln>
          <a:noFill/>
        </a:ln>
        <a:effectLst/>
      </c:spPr>
    </c:plotArea>
    <c:legend>
      <c:legendPos val="l"/>
      <c:layout>
        <c:manualLayout>
          <c:xMode val="edge"/>
          <c:yMode val="edge"/>
          <c:x val="0.16072401460759617"/>
          <c:y val="3.2296481702024591E-4"/>
          <c:w val="0.80445275794130156"/>
          <c:h val="0.99779992981204058"/>
        </c:manualLayout>
      </c:layout>
      <c:overlay val="1"/>
      <c:spPr>
        <a:noFill/>
        <a:ln>
          <a:noFill/>
        </a:ln>
        <a:effectLst/>
      </c:spPr>
      <c:txPr>
        <a:bodyPr rot="0" spcFirstLastPara="1" vertOverflow="ellipsis" vert="horz" wrap="square" anchor="ctr" anchorCtr="1"/>
        <a:lstStyle/>
        <a:p>
          <a:pPr rtl="0">
            <a:defRPr sz="2400" b="1" i="0" u="none" strike="noStrike" kern="1200" baseline="0">
              <a:solidFill>
                <a:schemeClr val="tx1"/>
              </a:solidFill>
              <a:latin typeface="+mn-lt"/>
              <a:ea typeface="+mn-ea"/>
              <a:cs typeface="+mn-cs"/>
            </a:defRPr>
          </a:pPr>
          <a:endParaRPr lang="en-US"/>
        </a:p>
      </c:txPr>
    </c:legend>
    <c:plotVisOnly val="1"/>
    <c:dispBlanksAs val="zero"/>
    <c:showDLblsOverMax val="0"/>
  </c:chart>
  <c:spPr>
    <a:noFill/>
    <a:ln w="9525" cap="flat" cmpd="sng" algn="ctr">
      <a:noFill/>
      <a:prstDash val="solid"/>
      <a:round/>
    </a:ln>
    <a:effectLst/>
  </c:spPr>
  <c:txPr>
    <a:bodyPr/>
    <a:lstStyle/>
    <a:p>
      <a:pPr>
        <a:defRPr sz="1800" b="1"/>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35077177722126"/>
          <c:y val="9.4276919864012168E-2"/>
          <c:w val="0.70152827211323665"/>
          <c:h val="0.83455365979064977"/>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bubble3D val="0"/>
            <c:spPr>
              <a:solidFill>
                <a:schemeClr val="bg2">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0"/>
              <c:layout>
                <c:manualLayout>
                  <c:x val="-0.13943576804002475"/>
                  <c:y val="2.1634672750192901E-2"/>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1"/>
              <c:layout>
                <c:manualLayout>
                  <c:x val="1.835889120454421E-2"/>
                  <c:y val="3.9756720355264979E-3"/>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100" b="1" i="0" u="none" strike="noStrike" kern="1200" baseline="0">
                    <a:solidFill>
                      <a:schemeClr val="tx1"/>
                    </a:solidFill>
                    <a:effectLst>
                      <a:glow rad="228600">
                        <a:schemeClr val="bg1">
                          <a:alpha val="87000"/>
                        </a:schemeClr>
                      </a:glow>
                    </a:effectLst>
                    <a:latin typeface="+mn-lt"/>
                    <a:ea typeface="+mn-ea"/>
                    <a:cs typeface="+mn-cs"/>
                  </a:defRPr>
                </a:pPr>
                <a:endParaRPr lang="en-US"/>
              </a:p>
            </c:txPr>
            <c:dLblPos val="bestFit"/>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multiLvlStrRef>
              <c:f>'Load Summary'!$D$4:$K$5</c:f>
              <c:multiLvlStrCache>
                <c:ptCount val="7"/>
                <c:lvl>
                  <c:pt idx="4">
                    <c:v>Urban</c:v>
                  </c:pt>
                  <c:pt idx="5">
                    <c:v>Farm</c:v>
                  </c:pt>
                </c:lvl>
                <c:lvl>
                  <c:pt idx="0">
                    <c:v>Atmosperhic Deposition</c:v>
                  </c:pt>
                  <c:pt idx="1">
                    <c:v>WWTF</c:v>
                  </c:pt>
                  <c:pt idx="2">
                    <c:v>Septic Systems</c:v>
                  </c:pt>
                  <c:pt idx="3">
                    <c:v>Golf Courses</c:v>
                  </c:pt>
                  <c:pt idx="4">
                    <c:v>Fertilizer,</c:v>
                  </c:pt>
                  <c:pt idx="6">
                    <c:v>Livestock</c:v>
                  </c:pt>
                </c:lvl>
              </c:multiLvlStrCache>
            </c:multiLvlStrRef>
          </c:cat>
          <c:val>
            <c:numRef>
              <c:f>'Load Summary'!$D$14:$K$14</c:f>
              <c:numCache>
                <c:formatCode>_(* #,##0_);_(* \(#,##0\);_(* "-"??_);_(@_)</c:formatCode>
                <c:ptCount val="8"/>
                <c:pt idx="0">
                  <c:v>6168.6562457693035</c:v>
                </c:pt>
                <c:pt idx="1">
                  <c:v>1031.5359981549464</c:v>
                </c:pt>
                <c:pt idx="2">
                  <c:v>22880.339091621379</c:v>
                </c:pt>
                <c:pt idx="3">
                  <c:v>19729.771524876491</c:v>
                </c:pt>
                <c:pt idx="4">
                  <c:v>6936.4812861235741</c:v>
                </c:pt>
                <c:pt idx="5">
                  <c:v>9347.9230603882279</c:v>
                </c:pt>
                <c:pt idx="6">
                  <c:v>8692.0508401729476</c:v>
                </c:pt>
                <c:pt idx="7">
                  <c:v>0</c:v>
                </c:pt>
              </c:numCache>
            </c:numRef>
          </c:val>
        </c:ser>
        <c:dLbls>
          <c:showLegendKey val="0"/>
          <c:showVal val="0"/>
          <c:showCatName val="0"/>
          <c:showSerName val="0"/>
          <c:showPercent val="1"/>
          <c:showBubbleSize val="0"/>
          <c:showLeaderLines val="1"/>
        </c:dLbls>
        <c:firstSliceAng val="64"/>
      </c:pieChart>
      <c:spPr>
        <a:noFill/>
        <a:ln>
          <a:noFill/>
        </a:ln>
        <a:effectLst/>
      </c:spPr>
    </c:plotArea>
    <c:plotVisOnly val="1"/>
    <c:dispBlanksAs val="zero"/>
    <c:showDLblsOverMax val="0"/>
  </c:chart>
  <c:spPr>
    <a:noFill/>
    <a:ln w="9525" cap="flat" cmpd="sng" algn="ctr">
      <a:noFill/>
      <a:prstDash val="solid"/>
      <a:round/>
    </a:ln>
    <a:effectLst/>
  </c:spPr>
  <c:txPr>
    <a:bodyPr/>
    <a:lstStyle/>
    <a:p>
      <a:pPr>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13324937987077973"/>
          <c:y val="2.6332434945043195E-2"/>
          <c:w val="0.73794785647199346"/>
          <c:h val="0.94951188735152936"/>
        </c:manualLayout>
      </c:layout>
      <c:pieChart>
        <c:varyColors val="1"/>
        <c:ser>
          <c:idx val="0"/>
          <c:order val="0"/>
          <c:spPr>
            <a:ln>
              <a:solidFill>
                <a:schemeClr val="tx1"/>
              </a:solidFill>
            </a:ln>
            <a:effectLst/>
          </c:spPr>
          <c:dPt>
            <c:idx val="0"/>
            <c:bubble3D val="0"/>
            <c:spPr>
              <a:solidFill>
                <a:schemeClr val="dk1">
                  <a:tint val="88500"/>
                </a:schemeClr>
              </a:solidFill>
              <a:ln>
                <a:solidFill>
                  <a:schemeClr val="tx1"/>
                </a:solidFill>
              </a:ln>
              <a:effectLst/>
            </c:spPr>
          </c:dPt>
          <c:dPt>
            <c:idx val="1"/>
            <c:bubble3D val="0"/>
            <c:spPr>
              <a:solidFill>
                <a:schemeClr val="dk1">
                  <a:tint val="55000"/>
                </a:schemeClr>
              </a:solidFill>
              <a:ln>
                <a:solidFill>
                  <a:schemeClr val="tx1"/>
                </a:solidFill>
              </a:ln>
              <a:effectLst/>
            </c:spPr>
          </c:dPt>
          <c:dPt>
            <c:idx val="2"/>
            <c:bubble3D val="0"/>
            <c:spPr>
              <a:solidFill>
                <a:schemeClr val="dk1">
                  <a:tint val="75000"/>
                </a:schemeClr>
              </a:solidFill>
              <a:ln>
                <a:solidFill>
                  <a:schemeClr val="tx1"/>
                </a:solidFill>
              </a:ln>
              <a:effectLst/>
            </c:spPr>
          </c:dPt>
          <c:dPt>
            <c:idx val="3"/>
            <c:bubble3D val="0"/>
            <c:spPr>
              <a:solidFill>
                <a:schemeClr val="dk1">
                  <a:tint val="98500"/>
                </a:schemeClr>
              </a:solidFill>
              <a:ln>
                <a:solidFill>
                  <a:schemeClr val="tx1"/>
                </a:solidFill>
              </a:ln>
              <a:effectLst/>
            </c:spPr>
          </c:dPt>
          <c:dPt>
            <c:idx val="4"/>
            <c:bubble3D val="0"/>
            <c:spPr>
              <a:solidFill>
                <a:schemeClr val="dk1">
                  <a:tint val="30000"/>
                </a:schemeClr>
              </a:solidFill>
              <a:ln>
                <a:solidFill>
                  <a:schemeClr val="tx1"/>
                </a:solidFill>
              </a:ln>
              <a:effectLst/>
            </c:spPr>
          </c:dPt>
          <c:dPt>
            <c:idx val="5"/>
            <c:bubble3D val="0"/>
            <c:spPr>
              <a:solidFill>
                <a:schemeClr val="dk1">
                  <a:tint val="60000"/>
                </a:schemeClr>
              </a:solidFill>
              <a:ln>
                <a:solidFill>
                  <a:schemeClr val="tx1"/>
                </a:solidFill>
              </a:ln>
              <a:effectLst/>
            </c:spPr>
          </c:dPt>
          <c:dPt>
            <c:idx val="6"/>
            <c:bubble3D val="0"/>
            <c:spPr>
              <a:solidFill>
                <a:schemeClr val="dk1">
                  <a:tint val="80000"/>
                </a:schemeClr>
              </a:solidFill>
              <a:ln>
                <a:solidFill>
                  <a:schemeClr val="tx1"/>
                </a:solidFill>
              </a:ln>
              <a:effectLst/>
            </c:spPr>
          </c:dPt>
          <c:dPt>
            <c:idx val="7"/>
            <c:bubble3D val="0"/>
            <c:spPr>
              <a:solidFill>
                <a:schemeClr val="dk1">
                  <a:tint val="88500"/>
                </a:schemeClr>
              </a:solidFill>
              <a:ln>
                <a:solidFill>
                  <a:schemeClr val="tx1"/>
                </a:solidFill>
              </a:ln>
              <a:effectLst/>
            </c:spPr>
          </c:dPt>
          <c:dPt>
            <c:idx val="8"/>
            <c:bubble3D val="0"/>
            <c:spPr>
              <a:solidFill>
                <a:schemeClr val="dk1">
                  <a:tint val="55000"/>
                </a:schemeClr>
              </a:solidFill>
              <a:ln>
                <a:solidFill>
                  <a:schemeClr val="tx1"/>
                </a:solidFill>
              </a:ln>
              <a:effectLst/>
            </c:spPr>
          </c:dPt>
          <c:dPt>
            <c:idx val="9"/>
            <c:bubble3D val="0"/>
            <c:spPr>
              <a:solidFill>
                <a:schemeClr val="dk1">
                  <a:tint val="75000"/>
                </a:schemeClr>
              </a:solidFill>
              <a:ln>
                <a:solidFill>
                  <a:schemeClr val="tx1"/>
                </a:solidFill>
              </a:ln>
              <a:effectLst/>
            </c:spPr>
          </c:dPt>
          <c:dLbls>
            <c:dLbl>
              <c:idx val="1"/>
              <c:layout>
                <c:manualLayout>
                  <c:x val="-9.6282304052537362E-2"/>
                  <c:y val="-9.816038566239071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15:layout/>
                </c:ext>
              </c:extLst>
            </c:dLbl>
            <c:dLbl>
              <c:idx val="6"/>
              <c:dLblPos val="inEnd"/>
              <c:showLegendKey val="0"/>
              <c:showVal val="0"/>
              <c:showCatName val="1"/>
              <c:showSerName val="0"/>
              <c:showPercent val="1"/>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ln w="9525">
                      <a:noFill/>
                    </a:ln>
                    <a:solidFill>
                      <a:schemeClr val="lt1"/>
                    </a:solidFill>
                    <a:effectLst>
                      <a:glow rad="177800">
                        <a:schemeClr val="tx1">
                          <a:alpha val="89000"/>
                        </a:schemeClr>
                      </a:glow>
                    </a:effectLst>
                    <a:latin typeface="+mn-lt"/>
                    <a:ea typeface="+mn-ea"/>
                    <a:cs typeface="+mn-cs"/>
                  </a:defRPr>
                </a:pPr>
                <a:endParaRPr lang="en-US"/>
              </a:p>
            </c:txPr>
            <c:dLblPos val="inEnd"/>
            <c:showLegendKey val="0"/>
            <c:showVal val="0"/>
            <c:showCatName val="1"/>
            <c:showSerName val="0"/>
            <c:showPercent val="1"/>
            <c:showBubbleSize val="0"/>
            <c:separator>
</c:separator>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'Load Summary'!$B$49:$B$54</c:f>
              <c:strCache>
                <c:ptCount val="6"/>
                <c:pt idx="0">
                  <c:v>Atmospheric Deposition</c:v>
                </c:pt>
                <c:pt idx="1">
                  <c:v>WWTF</c:v>
                </c:pt>
                <c:pt idx="2">
                  <c:v>Septic Systems</c:v>
                </c:pt>
                <c:pt idx="3">
                  <c:v>Urban Fertililzers</c:v>
                </c:pt>
                <c:pt idx="4">
                  <c:v>Crop Fertilizers</c:v>
                </c:pt>
                <c:pt idx="5">
                  <c:v>Livestock Operations</c:v>
                </c:pt>
              </c:strCache>
            </c:strRef>
          </c:cat>
          <c:val>
            <c:numRef>
              <c:f>'Load Summary'!$C$49:$C$54</c:f>
              <c:numCache>
                <c:formatCode>#,##0</c:formatCode>
                <c:ptCount val="6"/>
                <c:pt idx="0">
                  <c:v>79540.883163305654</c:v>
                </c:pt>
                <c:pt idx="1">
                  <c:v>19404.895224402171</c:v>
                </c:pt>
                <c:pt idx="2">
                  <c:v>474787.61916077341</c:v>
                </c:pt>
                <c:pt idx="3">
                  <c:v>221995.14688971243</c:v>
                </c:pt>
                <c:pt idx="4">
                  <c:v>106040.62928542784</c:v>
                </c:pt>
                <c:pt idx="5">
                  <c:v>30792.89511978806</c:v>
                </c:pt>
              </c:numCache>
            </c:numRef>
          </c:val>
        </c:ser>
        <c:dLbls>
          <c:dLblPos val="inEnd"/>
          <c:showLegendKey val="0"/>
          <c:showVal val="0"/>
          <c:showCatName val="0"/>
          <c:showSerName val="0"/>
          <c:showPercent val="1"/>
          <c:showBubbleSize val="0"/>
          <c:showLeaderLines val="1"/>
        </c:dLbls>
        <c:firstSliceAng val="96"/>
      </c:pieChart>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25" r="0.25"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86745406824148"/>
          <c:y val="2.5941360988413032E-2"/>
          <c:w val="0.82746853940554732"/>
          <c:h val="0.95779847640996096"/>
        </c:manualLayout>
      </c:layout>
      <c:barChart>
        <c:barDir val="col"/>
        <c:grouping val="clustered"/>
        <c:varyColors val="0"/>
        <c:ser>
          <c:idx val="0"/>
          <c:order val="0"/>
          <c:tx>
            <c:strRef>
              <c:f>'Attenuation Range'!$D$1:$D$2</c:f>
              <c:strCache>
                <c:ptCount val="2"/>
                <c:pt idx="0">
                  <c:v>Atm Dep</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0"/>
              <c:layout>
                <c:manualLayout>
                  <c:x val="-3.391333912009558E-2"/>
                  <c:y val="7.4493714601464187E-2"/>
                </c:manualLayout>
              </c:layout>
              <c:dLblPos val="outEnd"/>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effectLst>
                      <a:glow rad="431800">
                        <a:schemeClr val="tx1">
                          <a:alpha val="69000"/>
                        </a:schemeClr>
                      </a:glow>
                    </a:effectLst>
                    <a:latin typeface="+mn-lt"/>
                    <a:ea typeface="+mn-ea"/>
                    <a:cs typeface="+mn-cs"/>
                  </a:defRPr>
                </a:pPr>
                <a:endParaRPr lang="en-US"/>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'Attenuation Range'!$D$15</c:f>
                <c:numCache>
                  <c:formatCode>General</c:formatCode>
                  <c:ptCount val="1"/>
                  <c:pt idx="0">
                    <c:v>39770.441581652849</c:v>
                  </c:pt>
                </c:numCache>
              </c:numRef>
            </c:plus>
            <c:minus>
              <c:numRef>
                <c:f>'Attenuation Range'!$D$8</c:f>
                <c:numCache>
                  <c:formatCode>General</c:formatCode>
                  <c:ptCount val="1"/>
                  <c:pt idx="0">
                    <c:v>39770.441581652791</c:v>
                  </c:pt>
                </c:numCache>
              </c:numRef>
            </c:minus>
            <c:spPr>
              <a:solidFill>
                <a:schemeClr val="tx1"/>
              </a:solidFill>
              <a:ln w="15875" cap="sq" cmpd="sng" algn="ctr">
                <a:solidFill>
                  <a:schemeClr val="tx1">
                    <a:shade val="95000"/>
                    <a:satMod val="105000"/>
                  </a:schemeClr>
                </a:solidFill>
                <a:prstDash val="solid"/>
                <a:round/>
              </a:ln>
              <a:effectLst/>
            </c:spPr>
          </c:errBars>
          <c:val>
            <c:numRef>
              <c:f>'Load Summary'!$D$9</c:f>
              <c:numCache>
                <c:formatCode>_(* #,##0_);_(* \(#,##0\);_(* "-"??_);_(@_)</c:formatCode>
                <c:ptCount val="1"/>
                <c:pt idx="0">
                  <c:v>79540.883163305654</c:v>
                </c:pt>
              </c:numCache>
            </c:numRef>
          </c:val>
        </c:ser>
        <c:ser>
          <c:idx val="1"/>
          <c:order val="1"/>
          <c:tx>
            <c:strRef>
              <c:f>'Attenuation Range'!$E$1:$E$2</c:f>
              <c:strCache>
                <c:ptCount val="2"/>
                <c:pt idx="0">
                  <c:v>WWTF</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5715303236561989E-2"/>
                  <c:y val="2.4629836250225808E-2"/>
                </c:manualLayout>
              </c:layout>
              <c:dLblPos val="outEnd"/>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effectLst>
                      <a:glow rad="431800">
                        <a:schemeClr val="tx1">
                          <a:alpha val="69000"/>
                        </a:schemeClr>
                      </a:glow>
                    </a:effectLst>
                    <a:latin typeface="+mn-lt"/>
                    <a:ea typeface="+mn-ea"/>
                    <a:cs typeface="+mn-cs"/>
                  </a:defRPr>
                </a:pPr>
                <a:endParaRPr lang="en-US"/>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'Attenuation Range'!$E$15</c:f>
                <c:numCache>
                  <c:formatCode>General</c:formatCode>
                  <c:ptCount val="1"/>
                  <c:pt idx="0">
                    <c:v>-8100.3826475717706</c:v>
                  </c:pt>
                </c:numCache>
              </c:numRef>
            </c:plus>
            <c:minus>
              <c:numRef>
                <c:f>'Attenuation Range'!$E$8</c:f>
                <c:numCache>
                  <c:formatCode>General</c:formatCode>
                  <c:ptCount val="1"/>
                  <c:pt idx="0">
                    <c:v>12622.18767830393</c:v>
                  </c:pt>
                </c:numCache>
              </c:numRef>
            </c:minus>
            <c:spPr>
              <a:solidFill>
                <a:schemeClr val="tx1"/>
              </a:solidFill>
              <a:ln w="15875" cap="sq" cmpd="sng" algn="ctr">
                <a:solidFill>
                  <a:schemeClr val="tx1">
                    <a:shade val="95000"/>
                    <a:satMod val="105000"/>
                  </a:schemeClr>
                </a:solidFill>
                <a:prstDash val="solid"/>
                <a:round/>
              </a:ln>
              <a:effectLst/>
            </c:spPr>
          </c:errBars>
          <c:val>
            <c:numRef>
              <c:f>'Load Summary'!$E$9</c:f>
              <c:numCache>
                <c:formatCode>_(* #,##0_);_(* \(#,##0\);_(* "-"??_);_(@_)</c:formatCode>
                <c:ptCount val="1"/>
                <c:pt idx="0">
                  <c:v>19404.895224402171</c:v>
                </c:pt>
              </c:numCache>
            </c:numRef>
          </c:val>
        </c:ser>
        <c:ser>
          <c:idx val="2"/>
          <c:order val="2"/>
          <c:tx>
            <c:strRef>
              <c:f>'Attenuation Range'!$F$1:$F$2</c:f>
              <c:strCache>
                <c:ptCount val="2"/>
                <c:pt idx="0">
                  <c:v>Septic Tanks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569820886232062E-2"/>
                  <c:y val="0.76301805391734934"/>
                </c:manualLayout>
              </c:layout>
              <c:dLblPos val="outEnd"/>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effectLst>
                      <a:glow rad="431800">
                        <a:schemeClr val="tx1">
                          <a:alpha val="69000"/>
                        </a:schemeClr>
                      </a:glow>
                    </a:effectLst>
                    <a:latin typeface="+mn-lt"/>
                    <a:ea typeface="+mn-ea"/>
                    <a:cs typeface="+mn-cs"/>
                  </a:defRPr>
                </a:pPr>
                <a:endParaRPr lang="en-US"/>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'Attenuation Range'!$F$15</c:f>
                <c:numCache>
                  <c:formatCode>General</c:formatCode>
                  <c:ptCount val="1"/>
                  <c:pt idx="0">
                    <c:v>79131.26986012893</c:v>
                  </c:pt>
                </c:numCache>
              </c:numRef>
            </c:plus>
            <c:minus>
              <c:numRef>
                <c:f>'Attenuation Range'!$F$8</c:f>
                <c:numCache>
                  <c:formatCode>General</c:formatCode>
                  <c:ptCount val="1"/>
                  <c:pt idx="0">
                    <c:v>79131.269860128872</c:v>
                  </c:pt>
                </c:numCache>
              </c:numRef>
            </c:minus>
            <c:spPr>
              <a:solidFill>
                <a:schemeClr val="tx1"/>
              </a:solidFill>
              <a:ln w="15875" cap="sq" cmpd="sng" algn="ctr">
                <a:solidFill>
                  <a:schemeClr val="tx1">
                    <a:shade val="95000"/>
                    <a:satMod val="105000"/>
                  </a:schemeClr>
                </a:solidFill>
                <a:prstDash val="solid"/>
                <a:round/>
              </a:ln>
              <a:effectLst/>
            </c:spPr>
          </c:errBars>
          <c:val>
            <c:numRef>
              <c:f>'Load Summary'!$F$9</c:f>
              <c:numCache>
                <c:formatCode>_(* #,##0_);_(* \(#,##0\);_(* "-"??_);_(@_)</c:formatCode>
                <c:ptCount val="1"/>
                <c:pt idx="0">
                  <c:v>474787.61916077341</c:v>
                </c:pt>
              </c:numCache>
            </c:numRef>
          </c:val>
        </c:ser>
        <c:ser>
          <c:idx val="3"/>
          <c:order val="3"/>
          <c:tx>
            <c:strRef>
              <c:f>'Attenuation Range'!$G$1:$G$2</c:f>
              <c:strCache>
                <c:ptCount val="2"/>
                <c:pt idx="0">
                  <c:v>Golf Courses</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3930297824700237E-2"/>
                  <c:y val="0.18128959588553437"/>
                </c:manualLayout>
              </c:layout>
              <c:dLblPos val="outEnd"/>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effectLst>
                      <a:glow rad="431800">
                        <a:schemeClr val="tx1">
                          <a:alpha val="69000"/>
                        </a:schemeClr>
                      </a:glow>
                    </a:effectLst>
                    <a:latin typeface="+mn-lt"/>
                    <a:ea typeface="+mn-ea"/>
                    <a:cs typeface="+mn-cs"/>
                  </a:defRPr>
                </a:pPr>
                <a:endParaRPr lang="en-US"/>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'Attenuation Range'!$G$15</c:f>
                <c:numCache>
                  <c:formatCode>General</c:formatCode>
                  <c:ptCount val="1"/>
                  <c:pt idx="0">
                    <c:v>100438.81572268702</c:v>
                  </c:pt>
                </c:numCache>
              </c:numRef>
            </c:plus>
            <c:minus>
              <c:numRef>
                <c:f>'Attenuation Range'!$G$8</c:f>
                <c:numCache>
                  <c:formatCode>General</c:formatCode>
                  <c:ptCount val="1"/>
                  <c:pt idx="0">
                    <c:v>12554.851965335853</c:v>
                  </c:pt>
                </c:numCache>
              </c:numRef>
            </c:minus>
            <c:spPr>
              <a:solidFill>
                <a:schemeClr val="tx1"/>
              </a:solidFill>
              <a:ln w="15875" cap="sq" cmpd="sng" algn="ctr">
                <a:solidFill>
                  <a:schemeClr val="tx1">
                    <a:shade val="95000"/>
                    <a:satMod val="105000"/>
                  </a:schemeClr>
                </a:solidFill>
                <a:prstDash val="solid"/>
                <a:round/>
              </a:ln>
              <a:effectLst/>
            </c:spPr>
          </c:errBars>
          <c:val>
            <c:numRef>
              <c:f>'Load Summary'!$G$9</c:f>
              <c:numCache>
                <c:formatCode>_(* #,##0_);_(* \(#,##0\);_(* "-"??_);_(@_)</c:formatCode>
                <c:ptCount val="1"/>
                <c:pt idx="0">
                  <c:v>50219.407861343498</c:v>
                </c:pt>
              </c:numCache>
            </c:numRef>
          </c:val>
        </c:ser>
        <c:ser>
          <c:idx val="4"/>
          <c:order val="4"/>
          <c:tx>
            <c:v>Urban Fertilizers</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569820886232055E-2"/>
                  <c:y val="7.6295068379610448E-2"/>
                </c:manualLayout>
              </c:layout>
              <c:dLblPos val="outEnd"/>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effectLst>
                      <a:glow rad="431800">
                        <a:schemeClr val="tx1">
                          <a:alpha val="69000"/>
                        </a:schemeClr>
                      </a:glow>
                    </a:effectLst>
                    <a:latin typeface="+mn-lt"/>
                    <a:ea typeface="+mn-ea"/>
                    <a:cs typeface="+mn-cs"/>
                  </a:defRPr>
                </a:pPr>
                <a:endParaRPr lang="en-US"/>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'Attenuation Range'!$H$15</c:f>
                <c:numCache>
                  <c:formatCode>General</c:formatCode>
                  <c:ptCount val="1"/>
                  <c:pt idx="0">
                    <c:v>343551.47805673792</c:v>
                  </c:pt>
                </c:numCache>
              </c:numRef>
            </c:plus>
            <c:minus>
              <c:numRef>
                <c:f>'Attenuation Range'!$H$8</c:f>
                <c:numCache>
                  <c:formatCode>General</c:formatCode>
                  <c:ptCount val="1"/>
                  <c:pt idx="0">
                    <c:v>42943.934757092196</c:v>
                  </c:pt>
                </c:numCache>
              </c:numRef>
            </c:minus>
            <c:spPr>
              <a:solidFill>
                <a:schemeClr val="tx1"/>
              </a:solidFill>
              <a:ln w="15875" cap="sq" cmpd="sng" algn="ctr">
                <a:solidFill>
                  <a:schemeClr val="tx1">
                    <a:shade val="95000"/>
                    <a:satMod val="105000"/>
                  </a:schemeClr>
                </a:solidFill>
                <a:prstDash val="solid"/>
                <a:round/>
              </a:ln>
              <a:effectLst/>
            </c:spPr>
          </c:errBars>
          <c:val>
            <c:numRef>
              <c:f>'Load Summary'!$H$9</c:f>
              <c:numCache>
                <c:formatCode>_(* #,##0_);_(* \(#,##0\);_(* "-"??_);_(@_)</c:formatCode>
                <c:ptCount val="1"/>
                <c:pt idx="0">
                  <c:v>171775.73902836893</c:v>
                </c:pt>
              </c:numCache>
            </c:numRef>
          </c:val>
        </c:ser>
        <c:ser>
          <c:idx val="5"/>
          <c:order val="5"/>
          <c:tx>
            <c:v>Farm Fertilizers</c:v>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8772889841953012E-2"/>
                  <c:y val="0.10262445939196882"/>
                </c:manualLayout>
              </c:layout>
              <c:dLblPos val="outEnd"/>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effectLst>
                      <a:glow rad="431800">
                        <a:schemeClr val="tx1">
                          <a:alpha val="69000"/>
                        </a:schemeClr>
                      </a:glow>
                    </a:effectLst>
                    <a:latin typeface="+mn-lt"/>
                    <a:ea typeface="+mn-ea"/>
                    <a:cs typeface="+mn-cs"/>
                  </a:defRPr>
                </a:pPr>
                <a:endParaRPr lang="en-US"/>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'Attenuation Range'!$I$15</c:f>
                <c:numCache>
                  <c:formatCode>General</c:formatCode>
                  <c:ptCount val="1"/>
                  <c:pt idx="0">
                    <c:v>106040.62928542781</c:v>
                  </c:pt>
                </c:numCache>
              </c:numRef>
            </c:plus>
            <c:minus>
              <c:numRef>
                <c:f>'Attenuation Range'!$I$8</c:f>
                <c:numCache>
                  <c:formatCode>General</c:formatCode>
                  <c:ptCount val="1"/>
                  <c:pt idx="0">
                    <c:v>53020.314642713922</c:v>
                  </c:pt>
                </c:numCache>
              </c:numRef>
            </c:minus>
            <c:spPr>
              <a:solidFill>
                <a:schemeClr val="tx1"/>
              </a:solidFill>
              <a:ln w="15875" cap="sq" cmpd="sng" algn="ctr">
                <a:solidFill>
                  <a:schemeClr val="tx1">
                    <a:shade val="95000"/>
                    <a:satMod val="105000"/>
                  </a:schemeClr>
                </a:solidFill>
                <a:prstDash val="solid"/>
                <a:round/>
              </a:ln>
              <a:effectLst/>
            </c:spPr>
          </c:errBars>
          <c:val>
            <c:numRef>
              <c:f>'Load Summary'!$I$9</c:f>
              <c:numCache>
                <c:formatCode>_(* #,##0_);_(* \(#,##0\);_(* "-"??_);_(@_)</c:formatCode>
                <c:ptCount val="1"/>
                <c:pt idx="0">
                  <c:v>106040.62928542784</c:v>
                </c:pt>
              </c:numCache>
            </c:numRef>
          </c:val>
        </c:ser>
        <c:ser>
          <c:idx val="6"/>
          <c:order val="6"/>
          <c:tx>
            <c:strRef>
              <c:f>'Attenuation Range'!$J$1:$J$2</c:f>
              <c:strCache>
                <c:ptCount val="2"/>
                <c:pt idx="0">
                  <c:v>Livestock</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5698208862320682E-2"/>
                  <c:y val="5.4402116739456052E-2"/>
                </c:manualLayout>
              </c:layout>
              <c:dLblPos val="outEnd"/>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effectLst>
                      <a:glow rad="431800">
                        <a:schemeClr val="tx1">
                          <a:alpha val="69000"/>
                        </a:schemeClr>
                      </a:glow>
                    </a:effectLst>
                    <a:latin typeface="+mn-lt"/>
                    <a:ea typeface="+mn-ea"/>
                    <a:cs typeface="+mn-cs"/>
                  </a:defRPr>
                </a:pPr>
                <a:endParaRPr lang="en-US"/>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errBars>
            <c:errBarType val="both"/>
            <c:errValType val="cust"/>
            <c:noEndCap val="0"/>
            <c:plus>
              <c:numRef>
                <c:f>'Attenuation Range'!$J$15</c:f>
                <c:numCache>
                  <c:formatCode>General</c:formatCode>
                  <c:ptCount val="1"/>
                  <c:pt idx="0">
                    <c:v>30792.89511978806</c:v>
                  </c:pt>
                </c:numCache>
              </c:numRef>
            </c:plus>
            <c:minus>
              <c:numRef>
                <c:f>'Attenuation Range'!$J$8</c:f>
                <c:numCache>
                  <c:formatCode>General</c:formatCode>
                  <c:ptCount val="1"/>
                  <c:pt idx="0">
                    <c:v>15396.447559894012</c:v>
                  </c:pt>
                </c:numCache>
              </c:numRef>
            </c:minus>
            <c:spPr>
              <a:solidFill>
                <a:schemeClr val="tx1"/>
              </a:solidFill>
              <a:ln w="15875" cap="sq" cmpd="sng" algn="ctr">
                <a:solidFill>
                  <a:schemeClr val="tx1"/>
                </a:solidFill>
                <a:prstDash val="solid"/>
                <a:round/>
              </a:ln>
              <a:effectLst/>
            </c:spPr>
          </c:errBars>
          <c:val>
            <c:numRef>
              <c:f>'Load Summary'!$J$9</c:f>
              <c:numCache>
                <c:formatCode>_(* #,##0_);_(* \(#,##0\);_(* "-"??_);_(@_)</c:formatCode>
                <c:ptCount val="1"/>
                <c:pt idx="0">
                  <c:v>30792.89511978806</c:v>
                </c:pt>
              </c:numCache>
            </c:numRef>
          </c:val>
        </c:ser>
        <c:dLbls>
          <c:showLegendKey val="0"/>
          <c:showVal val="0"/>
          <c:showCatName val="0"/>
          <c:showSerName val="0"/>
          <c:showPercent val="0"/>
          <c:showBubbleSize val="0"/>
        </c:dLbls>
        <c:gapWidth val="100"/>
        <c:axId val="340546920"/>
        <c:axId val="218822736"/>
      </c:barChart>
      <c:catAx>
        <c:axId val="340546920"/>
        <c:scaling>
          <c:orientation val="minMax"/>
        </c:scaling>
        <c:delete val="1"/>
        <c:axPos val="b"/>
        <c:majorTickMark val="out"/>
        <c:minorTickMark val="none"/>
        <c:tickLblPos val="nextTo"/>
        <c:crossAx val="218822736"/>
        <c:crosses val="autoZero"/>
        <c:auto val="1"/>
        <c:lblAlgn val="ctr"/>
        <c:lblOffset val="100"/>
        <c:noMultiLvlLbl val="0"/>
      </c:catAx>
      <c:valAx>
        <c:axId val="218822736"/>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mn-lt"/>
                    <a:ea typeface="+mn-ea"/>
                    <a:cs typeface="+mn-cs"/>
                  </a:defRPr>
                </a:pPr>
                <a:r>
                  <a:rPr lang="en-US" sz="1100"/>
                  <a:t>Estimated Nitrogen</a:t>
                </a:r>
                <a:r>
                  <a:rPr lang="en-US" sz="1100" baseline="0"/>
                  <a:t> Load to Ground Water (lb-N/yr)</a:t>
                </a:r>
                <a:endParaRPr lang="en-US" sz="1100"/>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title>
        <c:numFmt formatCode="_(* #,##0_);_(* \(#,##0\);_(* &quot;-&quot;??_);_(@_)"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34054692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a:pPr>
      <a:endParaRPr lang="en-US"/>
    </a:p>
  </c:txPr>
  <c:printSettings>
    <c:headerFooter/>
    <c:pageMargins b="0.7500000000000131" l="0.70000000000000062" r="0.70000000000000062" t="0.7500000000000131" header="0.30000000000000032" footer="0.30000000000000032"/>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26">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3">
      <a:schemeClr val="dk1"/>
    </cs:effectRef>
    <cs:fontRef idx="minor">
      <a:schemeClr val="tx1"/>
    </cs:fontRef>
  </cs:dataPoint>
  <cs:dataPoint3D>
    <cs:lnRef idx="0"/>
    <cs:fillRef idx="3">
      <cs:styleClr val="auto"/>
    </cs:fillRef>
    <cs:effectRef idx="3">
      <a:schemeClr val="dk1"/>
    </cs:effectRef>
    <cs:fontRef idx="minor">
      <a:schemeClr val="tx1"/>
    </cs:fontRef>
  </cs:dataPoint3D>
  <cs:dataPointLine>
    <cs:lnRef idx="1">
      <cs:styleClr val="auto"/>
    </cs:lnRef>
    <cs:lineWidthScale>7</cs:lineWidthScale>
    <cs:fillRef idx="0"/>
    <cs:effectRef idx="0"/>
    <cs:fontRef idx="minor">
      <a:schemeClr val="tx1"/>
    </cs:fontRef>
    <cs:spPr>
      <a:ln cap="rnd">
        <a:round/>
      </a:ln>
    </cs:spPr>
  </cs:dataPointLine>
  <cs:dataPointMarker>
    <cs:lnRef idx="1">
      <cs:styleClr val="auto"/>
    </cs:lnRef>
    <cs:fillRef idx="3">
      <cs:styleClr val="auto"/>
    </cs:fillRef>
    <cs:effectRef idx="3">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3">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3">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26">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3">
      <a:schemeClr val="dk1"/>
    </cs:effectRef>
    <cs:fontRef idx="minor">
      <a:schemeClr val="tx1"/>
    </cs:fontRef>
  </cs:dataPoint>
  <cs:dataPoint3D>
    <cs:lnRef idx="0"/>
    <cs:fillRef idx="3">
      <cs:styleClr val="auto"/>
    </cs:fillRef>
    <cs:effectRef idx="3">
      <a:schemeClr val="dk1"/>
    </cs:effectRef>
    <cs:fontRef idx="minor">
      <a:schemeClr val="tx1"/>
    </cs:fontRef>
  </cs:dataPoint3D>
  <cs:dataPointLine>
    <cs:lnRef idx="1">
      <cs:styleClr val="auto"/>
    </cs:lnRef>
    <cs:lineWidthScale>7</cs:lineWidthScale>
    <cs:fillRef idx="0"/>
    <cs:effectRef idx="0"/>
    <cs:fontRef idx="minor">
      <a:schemeClr val="tx1"/>
    </cs:fontRef>
    <cs:spPr>
      <a:ln cap="rnd">
        <a:round/>
      </a:ln>
    </cs:spPr>
  </cs:dataPointLine>
  <cs:dataPointMarker>
    <cs:lnRef idx="1">
      <cs:styleClr val="auto"/>
    </cs:lnRef>
    <cs:fillRef idx="3">
      <cs:styleClr val="auto"/>
    </cs:fillRef>
    <cs:effectRef idx="3">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3">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3">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26">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3">
      <a:schemeClr val="dk1"/>
    </cs:effectRef>
    <cs:fontRef idx="minor">
      <a:schemeClr val="tx1"/>
    </cs:fontRef>
  </cs:dataPoint>
  <cs:dataPoint3D>
    <cs:lnRef idx="0"/>
    <cs:fillRef idx="3">
      <cs:styleClr val="auto"/>
    </cs:fillRef>
    <cs:effectRef idx="3">
      <a:schemeClr val="dk1"/>
    </cs:effectRef>
    <cs:fontRef idx="minor">
      <a:schemeClr val="tx1"/>
    </cs:fontRef>
  </cs:dataPoint3D>
  <cs:dataPointLine>
    <cs:lnRef idx="1">
      <cs:styleClr val="auto"/>
    </cs:lnRef>
    <cs:lineWidthScale>7</cs:lineWidthScale>
    <cs:fillRef idx="0"/>
    <cs:effectRef idx="0"/>
    <cs:fontRef idx="minor">
      <a:schemeClr val="tx1"/>
    </cs:fontRef>
    <cs:spPr>
      <a:ln cap="rnd">
        <a:round/>
      </a:ln>
    </cs:spPr>
  </cs:dataPointLine>
  <cs:dataPointMarker>
    <cs:lnRef idx="1">
      <cs:styleClr val="auto"/>
    </cs:lnRef>
    <cs:fillRef idx="3">
      <cs:styleClr val="auto"/>
    </cs:fillRef>
    <cs:effectRef idx="3">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3">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3">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26">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3">
      <a:schemeClr val="dk1"/>
    </cs:effectRef>
    <cs:fontRef idx="minor">
      <a:schemeClr val="tx1"/>
    </cs:fontRef>
  </cs:dataPoint>
  <cs:dataPoint3D>
    <cs:lnRef idx="0"/>
    <cs:fillRef idx="3">
      <cs:styleClr val="auto"/>
    </cs:fillRef>
    <cs:effectRef idx="3">
      <a:schemeClr val="dk1"/>
    </cs:effectRef>
    <cs:fontRef idx="minor">
      <a:schemeClr val="tx1"/>
    </cs:fontRef>
  </cs:dataPoint3D>
  <cs:dataPointLine>
    <cs:lnRef idx="1">
      <cs:styleClr val="auto"/>
    </cs:lnRef>
    <cs:lineWidthScale>7</cs:lineWidthScale>
    <cs:fillRef idx="0"/>
    <cs:effectRef idx="0"/>
    <cs:fontRef idx="minor">
      <a:schemeClr val="tx1"/>
    </cs:fontRef>
    <cs:spPr>
      <a:ln cap="rnd">
        <a:round/>
      </a:ln>
    </cs:spPr>
  </cs:dataPointLine>
  <cs:dataPointMarker>
    <cs:lnRef idx="1">
      <cs:styleClr val="auto"/>
    </cs:lnRef>
    <cs:fillRef idx="3">
      <cs:styleClr val="auto"/>
    </cs:fillRef>
    <cs:effectRef idx="3">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3">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3">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126">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3">
      <a:schemeClr val="dk1"/>
    </cs:effectRef>
    <cs:fontRef idx="minor">
      <a:schemeClr val="tx1"/>
    </cs:fontRef>
  </cs:dataPoint>
  <cs:dataPoint3D>
    <cs:lnRef idx="0"/>
    <cs:fillRef idx="3">
      <cs:styleClr val="auto"/>
    </cs:fillRef>
    <cs:effectRef idx="3">
      <a:schemeClr val="dk1"/>
    </cs:effectRef>
    <cs:fontRef idx="minor">
      <a:schemeClr val="tx1"/>
    </cs:fontRef>
  </cs:dataPoint3D>
  <cs:dataPointLine>
    <cs:lnRef idx="1">
      <cs:styleClr val="auto"/>
    </cs:lnRef>
    <cs:lineWidthScale>7</cs:lineWidthScale>
    <cs:fillRef idx="0"/>
    <cs:effectRef idx="0"/>
    <cs:fontRef idx="minor">
      <a:schemeClr val="tx1"/>
    </cs:fontRef>
    <cs:spPr>
      <a:ln cap="rnd">
        <a:round/>
      </a:ln>
    </cs:spPr>
  </cs:dataPointLine>
  <cs:dataPointMarker>
    <cs:lnRef idx="1">
      <cs:styleClr val="auto"/>
    </cs:lnRef>
    <cs:fillRef idx="3">
      <cs:styleClr val="auto"/>
    </cs:fillRef>
    <cs:effectRef idx="3">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3">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3">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306915</xdr:colOff>
      <xdr:row>15</xdr:row>
      <xdr:rowOff>83609</xdr:rowOff>
    </xdr:from>
    <xdr:to>
      <xdr:col>9</xdr:col>
      <xdr:colOff>550334</xdr:colOff>
      <xdr:row>40</xdr:row>
      <xdr:rowOff>116416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448538</xdr:colOff>
      <xdr:row>15</xdr:row>
      <xdr:rowOff>154518</xdr:rowOff>
    </xdr:from>
    <xdr:to>
      <xdr:col>22</xdr:col>
      <xdr:colOff>21167</xdr:colOff>
      <xdr:row>43</xdr:row>
      <xdr:rowOff>140580</xdr:rowOff>
    </xdr:to>
    <xdr:grpSp>
      <xdr:nvGrpSpPr>
        <xdr:cNvPr id="9" name="Group 20"/>
        <xdr:cNvGrpSpPr/>
      </xdr:nvGrpSpPr>
      <xdr:grpSpPr>
        <a:xfrm>
          <a:off x="7147788" y="3117851"/>
          <a:ext cx="7266712" cy="5320062"/>
          <a:chOff x="7003749" y="3479916"/>
          <a:chExt cx="7216425" cy="5310320"/>
        </a:xfrm>
      </xdr:grpSpPr>
      <xdr:cxnSp macro="">
        <xdr:nvCxnSpPr>
          <xdr:cNvPr id="13" name="Straight Arrow Connector 12"/>
          <xdr:cNvCxnSpPr/>
        </xdr:nvCxnSpPr>
        <xdr:spPr>
          <a:xfrm flipH="1" flipV="1">
            <a:off x="9266513" y="5493673"/>
            <a:ext cx="400050" cy="32385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xdr:cNvCxnSpPr/>
        </xdr:nvCxnSpPr>
        <xdr:spPr>
          <a:xfrm flipV="1">
            <a:off x="11510473" y="5591000"/>
            <a:ext cx="504825" cy="28575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aphicFrame macro="">
        <xdr:nvGraphicFramePr>
          <xdr:cNvPr id="16" name="Chart 15"/>
          <xdr:cNvGraphicFramePr/>
        </xdr:nvGraphicFramePr>
        <xdr:xfrm>
          <a:off x="11411284" y="3479916"/>
          <a:ext cx="2808890" cy="25908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20" name="Chart 19"/>
          <xdr:cNvGraphicFramePr/>
        </xdr:nvGraphicFramePr>
        <xdr:xfrm>
          <a:off x="12077700" y="6336409"/>
          <a:ext cx="1993414" cy="2434597"/>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5" name="Chart 2"/>
          <xdr:cNvGraphicFramePr/>
        </xdr:nvGraphicFramePr>
        <xdr:xfrm>
          <a:off x="7357797" y="3867668"/>
          <a:ext cx="6657519" cy="4922568"/>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21" name="Chart 20"/>
          <xdr:cNvGraphicFramePr/>
        </xdr:nvGraphicFramePr>
        <xdr:xfrm>
          <a:off x="12212695" y="6346972"/>
          <a:ext cx="370766" cy="2419449"/>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18" name="Chart 17"/>
          <xdr:cNvGraphicFramePr/>
        </xdr:nvGraphicFramePr>
        <xdr:xfrm>
          <a:off x="7003749" y="3652636"/>
          <a:ext cx="2795180" cy="238415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5</xdr:col>
      <xdr:colOff>677332</xdr:colOff>
      <xdr:row>46</xdr:row>
      <xdr:rowOff>169333</xdr:rowOff>
    </xdr:from>
    <xdr:to>
      <xdr:col>15</xdr:col>
      <xdr:colOff>42334</xdr:colOff>
      <xdr:row>71</xdr:row>
      <xdr:rowOff>138640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11</xdr:col>
      <xdr:colOff>352425</xdr:colOff>
      <xdr:row>41</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landuse\KingsBay_Recharge_landuse_ac.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fertilizer\use%20dat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fertilizer\Urban_Fertilizers_App_Ra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fertilizer\property_value_indicato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fertilizer\otherUrba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ller_K\Documents\Nitrogen%20Inventory\PA%20data\Citrus\PA_PCdata_citru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landuse\KingsBay_PCcod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atmospheric\TDEP1113_model_K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ldep1\DEAR\WQETP\GWPS\Nitrogen%20Inventory\Statewide%20Data%20Sets\CASTNET%20SUM15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ldep1\DEAR\WQETP\GWPS\Nitrogen%20Inventory\Statewide%20Data%20Sets\NADP%20FL05%20Cassahowitzk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WWTF\KingsBay%20WWTF.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Eller_K\Documents\Nitrogen%20Inventory\Kings%20Bay\septic\totalSeptic_KB.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ldep1\DEAR\WQETP\GWPS\Nitrogen%20Inventory\Statewide%20Data%20Sets\Fertilizer%20S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ngsBay_Recharge_landuse_ac"/>
    </sheetNames>
    <sheetDataSet>
      <sheetData sheetId="0">
        <row r="2">
          <cell r="I2">
            <v>1100</v>
          </cell>
          <cell r="J2" t="str">
            <v>RESIDENTIAL LOW DENSITY &lt; 2 DWELLING UNITS</v>
          </cell>
          <cell r="K2">
            <v>72347.066949094806</v>
          </cell>
          <cell r="L2">
            <v>44743.456502785099</v>
          </cell>
          <cell r="M2">
            <v>2102.2256575654301</v>
          </cell>
          <cell r="N2">
            <v>90.786277807061495</v>
          </cell>
        </row>
        <row r="3">
          <cell r="I3">
            <v>1200</v>
          </cell>
          <cell r="J3" t="str">
            <v>RESIDENTIAL MED DENSITY 2-&gt;5 DWELLING UNIT</v>
          </cell>
          <cell r="K3">
            <v>18188.741069521198</v>
          </cell>
          <cell r="L3">
            <v>6783.4308882855303</v>
          </cell>
          <cell r="M3">
            <v>1132.52607595526</v>
          </cell>
          <cell r="N3">
            <v>68.963089656135693</v>
          </cell>
        </row>
        <row r="4">
          <cell r="I4">
            <v>1300</v>
          </cell>
          <cell r="J4" t="str">
            <v>RESIDENTIAL HIGH DENSITY</v>
          </cell>
          <cell r="K4">
            <v>3848.14643203682</v>
          </cell>
          <cell r="L4">
            <v>2380.9072629443199</v>
          </cell>
          <cell r="M4">
            <v>133.83257815718699</v>
          </cell>
          <cell r="N4">
            <v>47.202972197629997</v>
          </cell>
        </row>
        <row r="5">
          <cell r="I5">
            <v>1400</v>
          </cell>
          <cell r="J5" t="str">
            <v>COMMERCIAL AND SERVICES</v>
          </cell>
          <cell r="K5">
            <v>3985.16139226012</v>
          </cell>
          <cell r="L5">
            <v>1773.24271078012</v>
          </cell>
          <cell r="M5">
            <v>659.49581291975801</v>
          </cell>
          <cell r="N5">
            <v>14.3583662584</v>
          </cell>
        </row>
        <row r="6">
          <cell r="I6">
            <v>1500</v>
          </cell>
          <cell r="J6" t="str">
            <v>INDUSTRIAL</v>
          </cell>
          <cell r="K6">
            <v>597.47150370925999</v>
          </cell>
          <cell r="L6">
            <v>311.14576018542903</v>
          </cell>
          <cell r="M6">
            <v>60.745577387375</v>
          </cell>
          <cell r="N6">
            <v>0</v>
          </cell>
        </row>
        <row r="7">
          <cell r="I7">
            <v>1600</v>
          </cell>
          <cell r="J7" t="str">
            <v>EXTRACTIVE</v>
          </cell>
          <cell r="K7">
            <v>2638.0903871021201</v>
          </cell>
          <cell r="L7">
            <v>350.43567124171898</v>
          </cell>
          <cell r="M7">
            <v>183.02560754000001</v>
          </cell>
          <cell r="N7">
            <v>0</v>
          </cell>
        </row>
        <row r="8">
          <cell r="I8">
            <v>1650</v>
          </cell>
          <cell r="J8" t="str">
            <v>RECLAIMED LAND</v>
          </cell>
          <cell r="K8">
            <v>392.22777931299902</v>
          </cell>
          <cell r="L8">
            <v>0</v>
          </cell>
          <cell r="M8">
            <v>0</v>
          </cell>
          <cell r="N8">
            <v>0</v>
          </cell>
        </row>
        <row r="9">
          <cell r="I9">
            <v>1700</v>
          </cell>
          <cell r="J9" t="str">
            <v>INSTITUTIONAL</v>
          </cell>
          <cell r="K9">
            <v>1228.2377073136099</v>
          </cell>
          <cell r="L9">
            <v>721.98709595301705</v>
          </cell>
          <cell r="M9">
            <v>35.120420714890003</v>
          </cell>
          <cell r="N9">
            <v>5.0492188763199897</v>
          </cell>
        </row>
        <row r="10">
          <cell r="I10">
            <v>1800</v>
          </cell>
          <cell r="J10" t="str">
            <v>RECREATIONAL</v>
          </cell>
          <cell r="K10">
            <v>836.60645661667695</v>
          </cell>
          <cell r="L10">
            <v>351.00935268267</v>
          </cell>
          <cell r="M10">
            <v>77.733450275604</v>
          </cell>
          <cell r="N10">
            <v>34.230724660020002</v>
          </cell>
        </row>
        <row r="11">
          <cell r="I11">
            <v>1820</v>
          </cell>
          <cell r="J11" t="str">
            <v>GOLF COURSES</v>
          </cell>
          <cell r="K11">
            <v>2521.03268754685</v>
          </cell>
          <cell r="L11">
            <v>1717.66243866165</v>
          </cell>
          <cell r="M11">
            <v>176.749959864999</v>
          </cell>
          <cell r="N11">
            <v>0</v>
          </cell>
        </row>
        <row r="12">
          <cell r="I12">
            <v>1900</v>
          </cell>
          <cell r="J12" t="str">
            <v>OPEN LAND</v>
          </cell>
          <cell r="K12">
            <v>20582.372060244899</v>
          </cell>
          <cell r="L12">
            <v>15005.258290416201</v>
          </cell>
          <cell r="M12">
            <v>1232.9604808593499</v>
          </cell>
          <cell r="N12">
            <v>113.229513699234</v>
          </cell>
        </row>
        <row r="13">
          <cell r="I13">
            <v>2100</v>
          </cell>
          <cell r="J13" t="str">
            <v>CROPLAND AND PASTURELAND</v>
          </cell>
          <cell r="K13">
            <v>28127.952219505099</v>
          </cell>
          <cell r="L13">
            <v>8976.69300132221</v>
          </cell>
          <cell r="M13">
            <v>1459.7368358915401</v>
          </cell>
          <cell r="N13">
            <v>0</v>
          </cell>
        </row>
        <row r="14">
          <cell r="I14">
            <v>2140</v>
          </cell>
          <cell r="J14" t="str">
            <v>ROW CROPS</v>
          </cell>
          <cell r="K14">
            <v>533.44783151609897</v>
          </cell>
          <cell r="L14">
            <v>69.163924857460003</v>
          </cell>
          <cell r="M14">
            <v>0</v>
          </cell>
          <cell r="N14">
            <v>0</v>
          </cell>
        </row>
        <row r="15">
          <cell r="I15">
            <v>2200</v>
          </cell>
          <cell r="J15" t="str">
            <v>TREE CROPS</v>
          </cell>
          <cell r="K15">
            <v>230.66407786153999</v>
          </cell>
          <cell r="L15">
            <v>0</v>
          </cell>
          <cell r="M15">
            <v>0</v>
          </cell>
          <cell r="N15">
            <v>0</v>
          </cell>
        </row>
        <row r="16">
          <cell r="I16">
            <v>2300</v>
          </cell>
          <cell r="J16" t="str">
            <v>FEEDING OPERATIONS</v>
          </cell>
          <cell r="K16">
            <v>19.008700892810001</v>
          </cell>
          <cell r="L16">
            <v>0</v>
          </cell>
          <cell r="M16">
            <v>0</v>
          </cell>
          <cell r="N16">
            <v>0</v>
          </cell>
        </row>
        <row r="17">
          <cell r="I17">
            <v>2400</v>
          </cell>
          <cell r="J17" t="str">
            <v>NURSERIES AND VINEYARDS</v>
          </cell>
          <cell r="K17">
            <v>315.836814751676</v>
          </cell>
          <cell r="L17">
            <v>86.156694758629996</v>
          </cell>
          <cell r="M17">
            <v>0</v>
          </cell>
          <cell r="N17">
            <v>0</v>
          </cell>
        </row>
        <row r="18">
          <cell r="I18">
            <v>2500</v>
          </cell>
          <cell r="J18" t="str">
            <v>SPECIALTY FARMS</v>
          </cell>
          <cell r="K18">
            <v>698.64162138549</v>
          </cell>
          <cell r="L18">
            <v>338.50024339789002</v>
          </cell>
          <cell r="M18">
            <v>0</v>
          </cell>
          <cell r="N18">
            <v>0</v>
          </cell>
        </row>
        <row r="19">
          <cell r="I19">
            <v>2550</v>
          </cell>
          <cell r="J19" t="str">
            <v>TROPICAL FISH FARMS</v>
          </cell>
          <cell r="K19">
            <v>14.65596084966</v>
          </cell>
          <cell r="L19">
            <v>14.65596084966</v>
          </cell>
          <cell r="M19">
            <v>0</v>
          </cell>
          <cell r="N19">
            <v>0</v>
          </cell>
        </row>
        <row r="20">
          <cell r="I20">
            <v>2600</v>
          </cell>
          <cell r="J20" t="str">
            <v>OTHER OPEN LANDS &lt;RURAL&gt;</v>
          </cell>
          <cell r="K20">
            <v>9437.8916472083001</v>
          </cell>
          <cell r="L20">
            <v>3253.4026751054898</v>
          </cell>
          <cell r="M20">
            <v>884.93082696181</v>
          </cell>
          <cell r="N20">
            <v>0</v>
          </cell>
        </row>
        <row r="21">
          <cell r="I21">
            <v>3100</v>
          </cell>
          <cell r="J21" t="str">
            <v>HERBACEOUS</v>
          </cell>
          <cell r="K21">
            <v>34.691378050719997</v>
          </cell>
          <cell r="L21">
            <v>17.14963109276</v>
          </cell>
          <cell r="M21">
            <v>8.9136865879399902</v>
          </cell>
          <cell r="N21">
            <v>0</v>
          </cell>
        </row>
        <row r="22">
          <cell r="I22">
            <v>3200</v>
          </cell>
          <cell r="J22" t="str">
            <v>SHRUB AND BRUSHLAND</v>
          </cell>
          <cell r="K22">
            <v>2171.2656219526302</v>
          </cell>
          <cell r="L22">
            <v>1234.8838955183901</v>
          </cell>
          <cell r="M22">
            <v>76.605003698079898</v>
          </cell>
          <cell r="N22">
            <v>128.95495850758701</v>
          </cell>
        </row>
        <row r="23">
          <cell r="I23">
            <v>3300</v>
          </cell>
          <cell r="J23" t="str">
            <v>MIXED RANGELAND</v>
          </cell>
          <cell r="K23">
            <v>1340.09250925169</v>
          </cell>
          <cell r="L23">
            <v>397.97496972490001</v>
          </cell>
          <cell r="M23">
            <v>116.212423370553</v>
          </cell>
          <cell r="N23">
            <v>0</v>
          </cell>
        </row>
        <row r="24">
          <cell r="I24">
            <v>4100</v>
          </cell>
          <cell r="J24" t="str">
            <v>UPLAND CONIFEROUS FOREST</v>
          </cell>
          <cell r="K24">
            <v>2592.38586256182</v>
          </cell>
          <cell r="L24">
            <v>877.77541471223503</v>
          </cell>
          <cell r="M24">
            <v>137.213965350368</v>
          </cell>
          <cell r="N24">
            <v>9.8057435769100004E-2</v>
          </cell>
        </row>
        <row r="25">
          <cell r="I25">
            <v>4110</v>
          </cell>
          <cell r="J25" t="str">
            <v>PINE FLATWOODS</v>
          </cell>
          <cell r="K25">
            <v>4467.2050029997499</v>
          </cell>
          <cell r="L25">
            <v>2042.81506743873</v>
          </cell>
          <cell r="M25">
            <v>670.23278771693401</v>
          </cell>
          <cell r="N25">
            <v>243.962358621883</v>
          </cell>
        </row>
        <row r="26">
          <cell r="I26">
            <v>4120</v>
          </cell>
          <cell r="J26" t="str">
            <v>LONGLEAF PINE - XERIC OAK</v>
          </cell>
          <cell r="K26">
            <v>63447.070026300098</v>
          </cell>
          <cell r="L26">
            <v>19792.573847760501</v>
          </cell>
          <cell r="M26">
            <v>539.60607671059995</v>
          </cell>
          <cell r="N26">
            <v>0</v>
          </cell>
        </row>
        <row r="27">
          <cell r="I27">
            <v>4200</v>
          </cell>
          <cell r="J27" t="str">
            <v>UPLAND HARDWOOD FORESTS - PART 1</v>
          </cell>
          <cell r="K27">
            <v>492.059347150929</v>
          </cell>
          <cell r="L27">
            <v>157.46528936287001</v>
          </cell>
          <cell r="M27">
            <v>0</v>
          </cell>
          <cell r="N27">
            <v>0</v>
          </cell>
        </row>
        <row r="28">
          <cell r="I28">
            <v>4340</v>
          </cell>
          <cell r="J28" t="str">
            <v>HARDWOOD CONIFER MIXED</v>
          </cell>
          <cell r="K28">
            <v>28780.405423811299</v>
          </cell>
          <cell r="L28">
            <v>9793.8204635930197</v>
          </cell>
          <cell r="M28">
            <v>2739.6788517925802</v>
          </cell>
          <cell r="N28">
            <v>125.63378878017799</v>
          </cell>
        </row>
        <row r="29">
          <cell r="I29">
            <v>4400</v>
          </cell>
          <cell r="J29" t="str">
            <v>TREE PLANTATIONS</v>
          </cell>
          <cell r="K29">
            <v>12943.9560267002</v>
          </cell>
          <cell r="L29">
            <v>3129.9734852892798</v>
          </cell>
          <cell r="M29">
            <v>1160.5062291677</v>
          </cell>
          <cell r="N29">
            <v>102.429800931223</v>
          </cell>
        </row>
        <row r="30">
          <cell r="I30">
            <v>5100</v>
          </cell>
          <cell r="J30" t="str">
            <v>STREAMS AND WATERWAYS</v>
          </cell>
          <cell r="K30">
            <v>1515.2905924317899</v>
          </cell>
          <cell r="L30">
            <v>111.802070637697</v>
          </cell>
          <cell r="M30">
            <v>39.181066281237101</v>
          </cell>
          <cell r="N30">
            <v>22.880569396199899</v>
          </cell>
        </row>
        <row r="31">
          <cell r="I31">
            <v>5200</v>
          </cell>
          <cell r="J31" t="str">
            <v>LAKES</v>
          </cell>
          <cell r="K31">
            <v>3327.3064283702802</v>
          </cell>
          <cell r="L31">
            <v>1133.32002474264</v>
          </cell>
          <cell r="M31">
            <v>12.6321198531829</v>
          </cell>
          <cell r="N31">
            <v>0.661898470819</v>
          </cell>
        </row>
        <row r="32">
          <cell r="I32">
            <v>5300</v>
          </cell>
          <cell r="J32" t="str">
            <v>RESERVOIRS</v>
          </cell>
          <cell r="K32">
            <v>1877.5584376740601</v>
          </cell>
          <cell r="L32">
            <v>254.96654821796</v>
          </cell>
          <cell r="M32">
            <v>94.847472020531399</v>
          </cell>
          <cell r="N32">
            <v>9.8711318526559992</v>
          </cell>
        </row>
        <row r="33">
          <cell r="I33">
            <v>5400</v>
          </cell>
          <cell r="J33" t="str">
            <v>BAYS AND ESTUARIES</v>
          </cell>
          <cell r="K33">
            <v>6405.1779008431804</v>
          </cell>
          <cell r="L33">
            <v>10.2960321713876</v>
          </cell>
          <cell r="M33">
            <v>888.61069375607894</v>
          </cell>
          <cell r="N33">
            <v>4233.1754667334599</v>
          </cell>
        </row>
        <row r="34">
          <cell r="I34">
            <v>5720</v>
          </cell>
          <cell r="J34" t="str">
            <v>GULF OF MEXICO</v>
          </cell>
          <cell r="K34">
            <v>306.93011493699902</v>
          </cell>
          <cell r="L34">
            <v>0</v>
          </cell>
          <cell r="M34">
            <v>0</v>
          </cell>
          <cell r="N34">
            <v>0</v>
          </cell>
        </row>
        <row r="35">
          <cell r="I35">
            <v>6100</v>
          </cell>
          <cell r="J35" t="str">
            <v>WETLAND HARDWOOD FORESTS</v>
          </cell>
          <cell r="K35">
            <v>21.9968091130599</v>
          </cell>
          <cell r="L35">
            <v>0</v>
          </cell>
          <cell r="M35">
            <v>0</v>
          </cell>
          <cell r="N35">
            <v>0</v>
          </cell>
        </row>
        <row r="36">
          <cell r="I36">
            <v>6110</v>
          </cell>
          <cell r="J36" t="str">
            <v>BAY SWAMPS</v>
          </cell>
          <cell r="K36">
            <v>5.7404961476169998</v>
          </cell>
          <cell r="L36">
            <v>0</v>
          </cell>
          <cell r="M36">
            <v>0</v>
          </cell>
          <cell r="N36">
            <v>0</v>
          </cell>
        </row>
        <row r="37">
          <cell r="I37">
            <v>6120</v>
          </cell>
          <cell r="J37" t="str">
            <v>MANGROVE SWAMPS</v>
          </cell>
          <cell r="K37">
            <v>1.661729463028</v>
          </cell>
          <cell r="L37">
            <v>0</v>
          </cell>
          <cell r="M37">
            <v>1.661729463028</v>
          </cell>
          <cell r="N37">
            <v>0</v>
          </cell>
        </row>
        <row r="38">
          <cell r="I38">
            <v>6150</v>
          </cell>
          <cell r="J38" t="str">
            <v>STREAM AND LAKE SWAMPS (BOTTOMLAND)</v>
          </cell>
          <cell r="K38">
            <v>25414.360070072202</v>
          </cell>
          <cell r="L38">
            <v>2012.92606184087</v>
          </cell>
          <cell r="M38">
            <v>3441.3601987357501</v>
          </cell>
          <cell r="N38">
            <v>1039.0163595758199</v>
          </cell>
        </row>
        <row r="39">
          <cell r="I39">
            <v>6200</v>
          </cell>
          <cell r="J39" t="str">
            <v>WETLAND CONIFEROUS FORESTS</v>
          </cell>
          <cell r="K39">
            <v>111.714653581646</v>
          </cell>
          <cell r="L39">
            <v>85.955451730843905</v>
          </cell>
          <cell r="M39">
            <v>0</v>
          </cell>
          <cell r="N39">
            <v>0</v>
          </cell>
        </row>
        <row r="40">
          <cell r="I40">
            <v>6210</v>
          </cell>
          <cell r="J40" t="str">
            <v>CYPRESS</v>
          </cell>
          <cell r="K40">
            <v>4787.6097970477404</v>
          </cell>
          <cell r="L40">
            <v>1692.21707239182</v>
          </cell>
          <cell r="M40">
            <v>193.71431666460299</v>
          </cell>
          <cell r="N40">
            <v>10.3554311189699</v>
          </cell>
        </row>
        <row r="41">
          <cell r="I41">
            <v>6300</v>
          </cell>
          <cell r="J41" t="str">
            <v>WETLAND FORESTED MIXED</v>
          </cell>
          <cell r="K41">
            <v>8988.2124938333309</v>
          </cell>
          <cell r="L41">
            <v>397.50448295162698</v>
          </cell>
          <cell r="M41">
            <v>826.84274935139194</v>
          </cell>
          <cell r="N41">
            <v>1871.9427502948399</v>
          </cell>
        </row>
        <row r="42">
          <cell r="I42">
            <v>6410</v>
          </cell>
          <cell r="J42" t="str">
            <v>FRESHWATER MARSHES</v>
          </cell>
          <cell r="K42">
            <v>24598.0730389495</v>
          </cell>
          <cell r="L42">
            <v>7489.7746717610198</v>
          </cell>
          <cell r="M42">
            <v>1168.79177394717</v>
          </cell>
          <cell r="N42">
            <v>571.86931855449097</v>
          </cell>
        </row>
        <row r="43">
          <cell r="I43">
            <v>6420</v>
          </cell>
          <cell r="J43" t="str">
            <v>SALTWATER MARSHES</v>
          </cell>
          <cell r="K43">
            <v>17192.156017310201</v>
          </cell>
          <cell r="L43">
            <v>0</v>
          </cell>
          <cell r="M43">
            <v>807.52821337960802</v>
          </cell>
          <cell r="N43">
            <v>6216.4222753938702</v>
          </cell>
        </row>
        <row r="44">
          <cell r="I44">
            <v>6430</v>
          </cell>
          <cell r="J44" t="str">
            <v>WET PRAIRIES</v>
          </cell>
          <cell r="K44">
            <v>1090.3756282325501</v>
          </cell>
          <cell r="L44">
            <v>436.22690335016102</v>
          </cell>
          <cell r="M44">
            <v>63.979333480690102</v>
          </cell>
          <cell r="N44">
            <v>0.85970109862300004</v>
          </cell>
        </row>
        <row r="45">
          <cell r="I45">
            <v>6440</v>
          </cell>
          <cell r="J45" t="str">
            <v>EMERGENT AQUATIC VEGETATION</v>
          </cell>
          <cell r="K45">
            <v>1576.83673600724</v>
          </cell>
          <cell r="L45">
            <v>805.33014658625405</v>
          </cell>
          <cell r="M45">
            <v>9.843052246329</v>
          </cell>
          <cell r="N45">
            <v>0</v>
          </cell>
        </row>
        <row r="46">
          <cell r="I46">
            <v>6530</v>
          </cell>
          <cell r="J46" t="str">
            <v>INTERMITTENT PONDS</v>
          </cell>
          <cell r="K46">
            <v>606.38521321051496</v>
          </cell>
          <cell r="L46">
            <v>532.18912563462504</v>
          </cell>
          <cell r="M46">
            <v>4.3773604754659896</v>
          </cell>
          <cell r="N46">
            <v>0</v>
          </cell>
        </row>
        <row r="47">
          <cell r="I47">
            <v>6600</v>
          </cell>
          <cell r="J47" t="str">
            <v>SALT FLATS</v>
          </cell>
          <cell r="K47">
            <v>1.1956187352700001</v>
          </cell>
          <cell r="L47">
            <v>0</v>
          </cell>
          <cell r="M47">
            <v>0</v>
          </cell>
          <cell r="N47">
            <v>0</v>
          </cell>
        </row>
        <row r="48">
          <cell r="I48">
            <v>7200</v>
          </cell>
          <cell r="J48" t="str">
            <v>SAND OTHER THAN BEACHES</v>
          </cell>
          <cell r="K48">
            <v>3.3334289478099999</v>
          </cell>
          <cell r="L48">
            <v>0</v>
          </cell>
          <cell r="M48">
            <v>0</v>
          </cell>
          <cell r="N48">
            <v>0</v>
          </cell>
        </row>
        <row r="49">
          <cell r="I49">
            <v>7400</v>
          </cell>
          <cell r="J49" t="str">
            <v>DISTURBED LAND</v>
          </cell>
          <cell r="K49">
            <v>991.73140361892001</v>
          </cell>
          <cell r="L49">
            <v>327.88792972809</v>
          </cell>
          <cell r="M49">
            <v>11.015853019830001</v>
          </cell>
          <cell r="N49">
            <v>0</v>
          </cell>
        </row>
        <row r="50">
          <cell r="I50">
            <v>8100</v>
          </cell>
          <cell r="J50" t="str">
            <v>TRANSPORTATION</v>
          </cell>
          <cell r="K50">
            <v>1471.8062673004099</v>
          </cell>
          <cell r="L50">
            <v>616.30323050203697</v>
          </cell>
          <cell r="M50">
            <v>201.25440273139901</v>
          </cell>
          <cell r="N50">
            <v>0</v>
          </cell>
        </row>
        <row r="51">
          <cell r="I51">
            <v>8200</v>
          </cell>
          <cell r="J51" t="str">
            <v>COMMUNICATIONS</v>
          </cell>
          <cell r="K51">
            <v>33.3651130208629</v>
          </cell>
          <cell r="L51">
            <v>23.688018139082999</v>
          </cell>
          <cell r="M51">
            <v>0</v>
          </cell>
          <cell r="N51">
            <v>0</v>
          </cell>
        </row>
        <row r="52">
          <cell r="I52">
            <v>8300</v>
          </cell>
          <cell r="J52" t="str">
            <v>UTILITIES</v>
          </cell>
          <cell r="K52">
            <v>3640.3415960357902</v>
          </cell>
          <cell r="L52">
            <v>1880.4787401180799</v>
          </cell>
          <cell r="M52">
            <v>314.85183392427001</v>
          </cell>
          <cell r="N52">
            <v>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rtilize Data"/>
      <sheetName val="acreages"/>
      <sheetName val="Store Fertilizer"/>
      <sheetName val="use data"/>
    </sheetNames>
    <sheetDataSet>
      <sheetData sheetId="0">
        <row r="2">
          <cell r="B2" t="str">
            <v>Self/Spouse</v>
          </cell>
          <cell r="C2">
            <v>0.67800000000000005</v>
          </cell>
        </row>
        <row r="3">
          <cell r="B3" t="str">
            <v>Lawn Service</v>
          </cell>
          <cell r="C3">
            <v>0.32100000000000001</v>
          </cell>
          <cell r="M3" t="str">
            <v>Self Application Rate Summary</v>
          </cell>
        </row>
        <row r="4">
          <cell r="M4" t="str">
            <v>Method</v>
          </cell>
          <cell r="N4" t="str">
            <v>%</v>
          </cell>
          <cell r="O4" t="str">
            <v>Rate                   (lb-N/1000 sq ft)</v>
          </cell>
          <cell r="P4" t="str">
            <v>Rate            (lb-N/ac)</v>
          </cell>
        </row>
        <row r="6">
          <cell r="M6" t="str">
            <v>BMP</v>
          </cell>
          <cell r="N6">
            <v>14.5</v>
          </cell>
          <cell r="O6">
            <v>0.5</v>
          </cell>
          <cell r="P6">
            <v>21.780086466943274</v>
          </cell>
        </row>
        <row r="7">
          <cell r="M7" t="str">
            <v>Fertilizer Label</v>
          </cell>
          <cell r="N7">
            <v>58.7</v>
          </cell>
          <cell r="O7">
            <v>0.79838333333333333</v>
          </cell>
          <cell r="P7">
            <v>34.777716067532786</v>
          </cell>
        </row>
        <row r="8">
          <cell r="M8" t="str">
            <v>None</v>
          </cell>
          <cell r="N8">
            <v>11.2</v>
          </cell>
          <cell r="O8">
            <v>0</v>
          </cell>
          <cell r="P8">
            <v>0</v>
          </cell>
        </row>
        <row r="9">
          <cell r="M9" t="str">
            <v>Other</v>
          </cell>
          <cell r="N9">
            <v>15.6</v>
          </cell>
          <cell r="O9">
            <v>1</v>
          </cell>
          <cell r="P9">
            <v>43.560172933886548</v>
          </cell>
        </row>
        <row r="11">
          <cell r="M11" t="str">
            <v>Lawn Service Application Rate Summary</v>
          </cell>
        </row>
        <row r="12">
          <cell r="M12" t="str">
            <v>GI BMP</v>
          </cell>
          <cell r="P12">
            <v>21.780086466943274</v>
          </cell>
        </row>
        <row r="20">
          <cell r="G20">
            <v>4.2699999999999996</v>
          </cell>
          <cell r="H20">
            <v>2.98</v>
          </cell>
        </row>
      </sheetData>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rban_Fertilizers_App_Rate"/>
      <sheetName val="Sheet4"/>
      <sheetName val="Max Coverage"/>
      <sheetName val="Probability of Fertilization"/>
    </sheetNames>
    <sheetDataSet>
      <sheetData sheetId="0">
        <row r="2">
          <cell r="B2" t="str">
            <v>Condo</v>
          </cell>
        </row>
        <row r="3">
          <cell r="B3" t="str">
            <v>Homes for the Aged</v>
          </cell>
        </row>
        <row r="4">
          <cell r="B4" t="str">
            <v>multi family 10 units</v>
          </cell>
        </row>
        <row r="5">
          <cell r="B5" t="str">
            <v>Multi Family 9 units</v>
          </cell>
        </row>
        <row r="6">
          <cell r="B6" t="str">
            <v>retirement homes</v>
          </cell>
        </row>
        <row r="7">
          <cell r="B7" t="str">
            <v>Single Family Residence</v>
          </cell>
        </row>
        <row r="8">
          <cell r="B8" t="str">
            <v>Vacant Single Family Residence</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perty_value_indicator"/>
      <sheetName val="Max Coverage"/>
    </sheetNames>
    <sheetDataSet>
      <sheetData sheetId="0">
        <row r="2">
          <cell r="C2">
            <v>4.1428384973808416</v>
          </cell>
          <cell r="D2">
            <v>10.057325401471539</v>
          </cell>
          <cell r="E2">
            <v>8.7412545568109437</v>
          </cell>
        </row>
        <row r="3">
          <cell r="C3">
            <v>3.7772420979342742</v>
          </cell>
          <cell r="D3">
            <v>46.445742067107922</v>
          </cell>
          <cell r="E3">
            <v>0</v>
          </cell>
        </row>
        <row r="4">
          <cell r="C4">
            <v>15.782872010384549</v>
          </cell>
          <cell r="D4">
            <v>55.242768661022112</v>
          </cell>
          <cell r="E4">
            <v>0</v>
          </cell>
        </row>
        <row r="5">
          <cell r="C5">
            <v>12.283471886277091</v>
          </cell>
          <cell r="D5">
            <v>28.576703765228491</v>
          </cell>
          <cell r="E5">
            <v>0</v>
          </cell>
        </row>
        <row r="6">
          <cell r="C6">
            <v>0</v>
          </cell>
          <cell r="D6">
            <v>2.6825662996062731</v>
          </cell>
          <cell r="E6">
            <v>0</v>
          </cell>
        </row>
        <row r="7">
          <cell r="C7">
            <v>855.90907181377781</v>
          </cell>
          <cell r="D7">
            <v>12695.481850516084</v>
          </cell>
          <cell r="E7">
            <v>106.12304848529283</v>
          </cell>
        </row>
        <row r="8">
          <cell r="C8">
            <v>282.93878046943041</v>
          </cell>
          <cell r="D8">
            <v>3401.4342541525275</v>
          </cell>
          <cell r="E8">
            <v>100.54744515363089</v>
          </cell>
        </row>
      </sheetData>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therUrban"/>
      <sheetName val="Max Coverage"/>
    </sheetNames>
    <sheetDataSet>
      <sheetData sheetId="0">
        <row r="2">
          <cell r="B2" t="str">
            <v>Clubs Lodges Union Halls</v>
          </cell>
          <cell r="C2">
            <v>12.027250031865345</v>
          </cell>
          <cell r="D2">
            <v>125.83948651854033</v>
          </cell>
          <cell r="E2">
            <v>12.9391912572741</v>
          </cell>
        </row>
        <row r="3">
          <cell r="B3" t="str">
            <v>Public County Schools</v>
          </cell>
          <cell r="C3">
            <v>0</v>
          </cell>
          <cell r="D3">
            <v>191.5894683718422</v>
          </cell>
          <cell r="E3">
            <v>5.5513738723320021</v>
          </cell>
        </row>
        <row r="4">
          <cell r="B4" t="str">
            <v>Churches</v>
          </cell>
          <cell r="C4">
            <v>54.410483317064681</v>
          </cell>
          <cell r="D4">
            <v>184.3631530024071</v>
          </cell>
          <cell r="E4">
            <v>0</v>
          </cell>
        </row>
        <row r="5">
          <cell r="B5" t="str">
            <v>Hotels Motels</v>
          </cell>
          <cell r="C5">
            <v>15.788926986940776</v>
          </cell>
          <cell r="D5">
            <v>5.7362507937499245</v>
          </cell>
          <cell r="E5">
            <v>0</v>
          </cell>
        </row>
        <row r="6">
          <cell r="B6" t="str">
            <v>Private Schools and Colleges</v>
          </cell>
          <cell r="C6">
            <v>0.13205989094535003</v>
          </cell>
          <cell r="D6">
            <v>9.3705829106787455</v>
          </cell>
          <cell r="E6">
            <v>0</v>
          </cell>
        </row>
        <row r="7">
          <cell r="B7" t="str">
            <v>Hospitals</v>
          </cell>
          <cell r="C7">
            <v>0</v>
          </cell>
          <cell r="D7">
            <v>13.493761680161677</v>
          </cell>
          <cell r="E7">
            <v>0</v>
          </cell>
        </row>
        <row r="8">
          <cell r="B8" t="str">
            <v>Outdoor recreations</v>
          </cell>
          <cell r="C8">
            <v>1.8576246244792503</v>
          </cell>
          <cell r="D8">
            <v>7.0547352230217601</v>
          </cell>
          <cell r="E8">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_Parcels_KB_matchTable"/>
      <sheetName val="Sheet1"/>
      <sheetName val="ParcelQuery"/>
      <sheetName val="PC_Code_Descrip"/>
    </sheetNames>
    <sheetDataSet>
      <sheetData sheetId="0"/>
      <sheetData sheetId="1"/>
      <sheetData sheetId="2"/>
      <sheetData sheetId="3">
        <row r="1">
          <cell r="A1" t="str">
            <v>PC</v>
          </cell>
          <cell r="B1" t="str">
            <v>Description</v>
          </cell>
        </row>
        <row r="2">
          <cell r="A2">
            <v>0</v>
          </cell>
          <cell r="B2" t="str">
            <v>Vacant Single Family Residence</v>
          </cell>
        </row>
        <row r="3">
          <cell r="A3">
            <v>1</v>
          </cell>
          <cell r="B3" t="str">
            <v>Single Family Residential</v>
          </cell>
        </row>
        <row r="4">
          <cell r="A4">
            <v>2</v>
          </cell>
          <cell r="B4" t="str">
            <v>Mobile Homes</v>
          </cell>
        </row>
        <row r="5">
          <cell r="A5">
            <v>3</v>
          </cell>
          <cell r="B5" t="str">
            <v>Multi Family 9 units</v>
          </cell>
        </row>
        <row r="6">
          <cell r="A6">
            <v>4</v>
          </cell>
          <cell r="B6" t="str">
            <v>Condo</v>
          </cell>
        </row>
        <row r="7">
          <cell r="A7">
            <v>5</v>
          </cell>
          <cell r="B7" t="str">
            <v>Cooperatives</v>
          </cell>
        </row>
        <row r="8">
          <cell r="A8">
            <v>6</v>
          </cell>
          <cell r="B8" t="str">
            <v>retirement homes</v>
          </cell>
        </row>
        <row r="9">
          <cell r="A9">
            <v>7</v>
          </cell>
          <cell r="B9" t="str">
            <v>misc residential</v>
          </cell>
        </row>
        <row r="10">
          <cell r="A10">
            <v>8</v>
          </cell>
          <cell r="B10" t="str">
            <v>multi family 10 units</v>
          </cell>
        </row>
        <row r="11">
          <cell r="A11">
            <v>10</v>
          </cell>
          <cell r="B11" t="str">
            <v>vacant commerical</v>
          </cell>
        </row>
        <row r="12">
          <cell r="A12">
            <v>11</v>
          </cell>
          <cell r="B12" t="str">
            <v>Stores 1 story</v>
          </cell>
        </row>
        <row r="13">
          <cell r="A13">
            <v>12</v>
          </cell>
          <cell r="B13" t="str">
            <v>Stores office residient combo</v>
          </cell>
        </row>
        <row r="14">
          <cell r="A14">
            <v>13</v>
          </cell>
          <cell r="B14" t="str">
            <v>Department Stores</v>
          </cell>
        </row>
        <row r="15">
          <cell r="A15">
            <v>14</v>
          </cell>
          <cell r="B15" t="str">
            <v>Supermarkets</v>
          </cell>
        </row>
        <row r="16">
          <cell r="A16">
            <v>15</v>
          </cell>
          <cell r="B16" t="str">
            <v>Regional Shopping Centers</v>
          </cell>
        </row>
        <row r="17">
          <cell r="A17">
            <v>16</v>
          </cell>
          <cell r="B17" t="str">
            <v>Community Shopping Centers</v>
          </cell>
        </row>
        <row r="18">
          <cell r="A18">
            <v>17</v>
          </cell>
          <cell r="B18" t="str">
            <v>Office Buildings, nonprofessional</v>
          </cell>
        </row>
        <row r="19">
          <cell r="A19">
            <v>18</v>
          </cell>
          <cell r="B19" t="str">
            <v>Office Buildings, nonprofessional, multi st</v>
          </cell>
        </row>
        <row r="20">
          <cell r="A20">
            <v>19</v>
          </cell>
          <cell r="B20" t="str">
            <v>professional services buildings</v>
          </cell>
        </row>
        <row r="21">
          <cell r="A21">
            <v>20</v>
          </cell>
          <cell r="B21" t="str">
            <v>Airport, bus, marinas</v>
          </cell>
        </row>
        <row r="22">
          <cell r="A22">
            <v>21</v>
          </cell>
          <cell r="B22" t="str">
            <v>Restaurants cafeterias</v>
          </cell>
        </row>
        <row r="23">
          <cell r="A23">
            <v>22</v>
          </cell>
          <cell r="B23" t="str">
            <v>Drivein Restaurants</v>
          </cell>
        </row>
        <row r="24">
          <cell r="A24">
            <v>23</v>
          </cell>
          <cell r="B24" t="str">
            <v>Financial Insitutions</v>
          </cell>
        </row>
        <row r="25">
          <cell r="A25">
            <v>24</v>
          </cell>
          <cell r="B25" t="str">
            <v>Insurance company Offices</v>
          </cell>
        </row>
        <row r="26">
          <cell r="A26">
            <v>25</v>
          </cell>
          <cell r="B26" t="str">
            <v>Repair Service Shops</v>
          </cell>
        </row>
        <row r="27">
          <cell r="A27">
            <v>26</v>
          </cell>
          <cell r="B27" t="str">
            <v>Service Stations</v>
          </cell>
        </row>
        <row r="28">
          <cell r="A28">
            <v>27</v>
          </cell>
          <cell r="B28" t="str">
            <v>Vehicle Sales and Service</v>
          </cell>
        </row>
        <row r="29">
          <cell r="A29">
            <v>28</v>
          </cell>
          <cell r="B29" t="str">
            <v>Mobile Home Parks</v>
          </cell>
        </row>
        <row r="30">
          <cell r="A30">
            <v>29</v>
          </cell>
          <cell r="B30" t="str">
            <v>Wholesales Outlets</v>
          </cell>
        </row>
        <row r="31">
          <cell r="A31">
            <v>30</v>
          </cell>
          <cell r="B31" t="str">
            <v>Florist Greenhouses</v>
          </cell>
        </row>
        <row r="32">
          <cell r="A32">
            <v>31</v>
          </cell>
          <cell r="B32" t="str">
            <v>Drivein Theaters open Statiums</v>
          </cell>
        </row>
        <row r="33">
          <cell r="A33">
            <v>32</v>
          </cell>
          <cell r="B33" t="str">
            <v>Enclosed Theaters Auditoriums</v>
          </cell>
        </row>
        <row r="34">
          <cell r="A34">
            <v>33</v>
          </cell>
          <cell r="B34" t="str">
            <v>Clubs Lounges Bars</v>
          </cell>
        </row>
        <row r="35">
          <cell r="A35">
            <v>34</v>
          </cell>
          <cell r="B35" t="str">
            <v>Bowling Skating Pool Arenas</v>
          </cell>
        </row>
        <row r="36">
          <cell r="A36">
            <v>35</v>
          </cell>
          <cell r="B36" t="str">
            <v>Tourist Attractions</v>
          </cell>
        </row>
        <row r="37">
          <cell r="A37">
            <v>36</v>
          </cell>
          <cell r="B37" t="str">
            <v>RV Campgrounds</v>
          </cell>
        </row>
        <row r="38">
          <cell r="A38">
            <v>37</v>
          </cell>
          <cell r="B38" t="str">
            <v>Race Tracks</v>
          </cell>
        </row>
        <row r="39">
          <cell r="A39">
            <v>38</v>
          </cell>
          <cell r="B39" t="str">
            <v>Golf Courses Driving Ranges</v>
          </cell>
        </row>
        <row r="40">
          <cell r="A40">
            <v>39</v>
          </cell>
          <cell r="B40" t="str">
            <v>Hotels Motels</v>
          </cell>
        </row>
        <row r="41">
          <cell r="A41">
            <v>40</v>
          </cell>
          <cell r="B41" t="str">
            <v>Vacant Industrial</v>
          </cell>
        </row>
        <row r="42">
          <cell r="A42">
            <v>41</v>
          </cell>
          <cell r="B42" t="str">
            <v>Light Manufacturing</v>
          </cell>
        </row>
        <row r="43">
          <cell r="A43">
            <v>42</v>
          </cell>
          <cell r="B43" t="str">
            <v>Heavy Industrial</v>
          </cell>
        </row>
        <row r="44">
          <cell r="A44">
            <v>43</v>
          </cell>
          <cell r="B44" t="str">
            <v>Lumber Yards</v>
          </cell>
        </row>
        <row r="45">
          <cell r="A45">
            <v>44</v>
          </cell>
          <cell r="B45" t="str">
            <v>Packing Plants</v>
          </cell>
        </row>
        <row r="46">
          <cell r="A46">
            <v>45</v>
          </cell>
          <cell r="B46" t="str">
            <v>Canneries Distilleries Winerie</v>
          </cell>
        </row>
        <row r="47">
          <cell r="A47">
            <v>46</v>
          </cell>
          <cell r="B47" t="str">
            <v>Other Food Processing</v>
          </cell>
        </row>
        <row r="48">
          <cell r="A48">
            <v>47</v>
          </cell>
          <cell r="B48" t="str">
            <v>Mineral Processing</v>
          </cell>
        </row>
        <row r="49">
          <cell r="A49">
            <v>48</v>
          </cell>
          <cell r="B49" t="str">
            <v>Warehouses Terminals</v>
          </cell>
        </row>
        <row r="50">
          <cell r="A50">
            <v>49</v>
          </cell>
          <cell r="B50" t="str">
            <v>Open Storage Junk Yards</v>
          </cell>
        </row>
        <row r="51">
          <cell r="A51">
            <v>50</v>
          </cell>
          <cell r="B51" t="str">
            <v>Improved Ag</v>
          </cell>
        </row>
        <row r="52">
          <cell r="A52">
            <v>51</v>
          </cell>
          <cell r="B52" t="str">
            <v>Cropland Soil Class 1</v>
          </cell>
        </row>
        <row r="53">
          <cell r="A53">
            <v>52</v>
          </cell>
          <cell r="B53" t="str">
            <v>Cropland Soil Class 2</v>
          </cell>
        </row>
        <row r="54">
          <cell r="A54">
            <v>53</v>
          </cell>
          <cell r="B54" t="str">
            <v>Cropland Soil Class 3</v>
          </cell>
        </row>
        <row r="55">
          <cell r="A55">
            <v>54</v>
          </cell>
          <cell r="B55" t="str">
            <v>Timberland Site 90+</v>
          </cell>
        </row>
        <row r="56">
          <cell r="A56">
            <v>55</v>
          </cell>
          <cell r="B56" t="str">
            <v>Timberland Site 80-89</v>
          </cell>
        </row>
        <row r="57">
          <cell r="A57">
            <v>56</v>
          </cell>
          <cell r="B57" t="str">
            <v>Timberland Site 70-79</v>
          </cell>
        </row>
        <row r="58">
          <cell r="A58">
            <v>57</v>
          </cell>
          <cell r="B58" t="str">
            <v>Timberland Site 60-69</v>
          </cell>
        </row>
        <row r="59">
          <cell r="A59">
            <v>58</v>
          </cell>
          <cell r="B59" t="str">
            <v>Timberland Site 50-59</v>
          </cell>
        </row>
        <row r="60">
          <cell r="A60">
            <v>59</v>
          </cell>
          <cell r="B60" t="str">
            <v>Timberland not class to pines</v>
          </cell>
        </row>
        <row r="61">
          <cell r="A61">
            <v>60</v>
          </cell>
          <cell r="B61" t="str">
            <v>Grazing Land</v>
          </cell>
        </row>
        <row r="62">
          <cell r="A62">
            <v>61</v>
          </cell>
          <cell r="B62" t="str">
            <v>Grazing Land</v>
          </cell>
        </row>
        <row r="63">
          <cell r="A63">
            <v>62</v>
          </cell>
          <cell r="B63" t="str">
            <v>Grazing Land</v>
          </cell>
        </row>
        <row r="64">
          <cell r="A64">
            <v>63</v>
          </cell>
          <cell r="B64" t="str">
            <v>Grazing Land</v>
          </cell>
        </row>
        <row r="65">
          <cell r="A65">
            <v>64</v>
          </cell>
          <cell r="B65" t="str">
            <v>Grazing Land</v>
          </cell>
        </row>
        <row r="66">
          <cell r="A66">
            <v>65</v>
          </cell>
          <cell r="B66" t="str">
            <v>Grazing Land</v>
          </cell>
        </row>
        <row r="67">
          <cell r="A67">
            <v>66</v>
          </cell>
          <cell r="B67" t="str">
            <v>Orchard Groves Citrus</v>
          </cell>
        </row>
        <row r="68">
          <cell r="A68">
            <v>67</v>
          </cell>
          <cell r="B68" t="str">
            <v>Poultry Bees Fish Rabbits</v>
          </cell>
        </row>
        <row r="69">
          <cell r="A69">
            <v>68</v>
          </cell>
          <cell r="B69" t="str">
            <v>Dairies Feed Lots</v>
          </cell>
        </row>
        <row r="70">
          <cell r="A70">
            <v>69</v>
          </cell>
          <cell r="B70" t="str">
            <v>Ornamentals Misc Ag</v>
          </cell>
        </row>
        <row r="71">
          <cell r="A71">
            <v>70</v>
          </cell>
          <cell r="B71" t="str">
            <v>Vacant Industrial</v>
          </cell>
        </row>
        <row r="72">
          <cell r="A72">
            <v>71</v>
          </cell>
          <cell r="B72" t="str">
            <v>Churches</v>
          </cell>
        </row>
        <row r="73">
          <cell r="A73">
            <v>72</v>
          </cell>
          <cell r="B73" t="str">
            <v>Private Schools and Colleges</v>
          </cell>
        </row>
        <row r="74">
          <cell r="A74">
            <v>73</v>
          </cell>
          <cell r="B74" t="str">
            <v>Privately owned hospitals</v>
          </cell>
        </row>
        <row r="75">
          <cell r="A75">
            <v>74</v>
          </cell>
          <cell r="B75" t="str">
            <v>Homes for the Aged</v>
          </cell>
        </row>
        <row r="76">
          <cell r="A76">
            <v>75</v>
          </cell>
          <cell r="B76" t="str">
            <v>Nonprofit services</v>
          </cell>
        </row>
        <row r="77">
          <cell r="A77">
            <v>76</v>
          </cell>
          <cell r="B77" t="str">
            <v>Mortuaries cemeteries cremetor</v>
          </cell>
        </row>
        <row r="78">
          <cell r="A78">
            <v>77</v>
          </cell>
          <cell r="B78" t="str">
            <v>Clubs Lodges Union Halls</v>
          </cell>
        </row>
        <row r="79">
          <cell r="A79">
            <v>78</v>
          </cell>
          <cell r="B79" t="str">
            <v>Sanitariums Convalescent</v>
          </cell>
        </row>
        <row r="80">
          <cell r="A80">
            <v>79</v>
          </cell>
          <cell r="B80" t="str">
            <v>Cultural Organizations</v>
          </cell>
        </row>
        <row r="81">
          <cell r="A81">
            <v>80</v>
          </cell>
          <cell r="B81" t="str">
            <v>Vacant Government</v>
          </cell>
        </row>
        <row r="82">
          <cell r="A82">
            <v>81</v>
          </cell>
          <cell r="B82" t="str">
            <v>Military</v>
          </cell>
        </row>
        <row r="83">
          <cell r="A83">
            <v>82</v>
          </cell>
          <cell r="B83" t="str">
            <v>Forest Parks Recreational Area</v>
          </cell>
        </row>
        <row r="84">
          <cell r="A84">
            <v>83</v>
          </cell>
          <cell r="B84" t="str">
            <v>Public County Schools</v>
          </cell>
        </row>
        <row r="85">
          <cell r="A85">
            <v>84</v>
          </cell>
          <cell r="B85" t="str">
            <v>Colleges</v>
          </cell>
        </row>
        <row r="86">
          <cell r="A86">
            <v>85</v>
          </cell>
          <cell r="B86" t="str">
            <v>Hospitals</v>
          </cell>
        </row>
        <row r="87">
          <cell r="A87">
            <v>86</v>
          </cell>
          <cell r="B87" t="str">
            <v>Counties Govt no schools</v>
          </cell>
        </row>
        <row r="88">
          <cell r="A88">
            <v>87</v>
          </cell>
          <cell r="B88" t="str">
            <v>State Govt</v>
          </cell>
        </row>
        <row r="89">
          <cell r="A89">
            <v>88</v>
          </cell>
          <cell r="B89" t="str">
            <v>Federal Govt</v>
          </cell>
        </row>
        <row r="90">
          <cell r="A90">
            <v>89</v>
          </cell>
          <cell r="B90" t="str">
            <v>Municipal</v>
          </cell>
        </row>
        <row r="91">
          <cell r="A91">
            <v>90</v>
          </cell>
          <cell r="B91" t="str">
            <v>Leasehold interests</v>
          </cell>
        </row>
        <row r="92">
          <cell r="A92">
            <v>91</v>
          </cell>
          <cell r="B92" t="str">
            <v>Utilities</v>
          </cell>
        </row>
        <row r="93">
          <cell r="A93">
            <v>92</v>
          </cell>
          <cell r="B93" t="str">
            <v>Mining Petro Gas lands</v>
          </cell>
        </row>
        <row r="94">
          <cell r="A94">
            <v>93</v>
          </cell>
          <cell r="B94" t="str">
            <v>Subsurface rights</v>
          </cell>
        </row>
        <row r="95">
          <cell r="A95">
            <v>94</v>
          </cell>
          <cell r="B95" t="str">
            <v>Right of ways</v>
          </cell>
        </row>
        <row r="96">
          <cell r="A96">
            <v>95</v>
          </cell>
          <cell r="B96" t="str">
            <v>Submerged lands</v>
          </cell>
        </row>
        <row r="97">
          <cell r="A97">
            <v>96</v>
          </cell>
          <cell r="B97" t="str">
            <v>Wastelands</v>
          </cell>
        </row>
        <row r="98">
          <cell r="A98">
            <v>97</v>
          </cell>
          <cell r="B98" t="str">
            <v>Outdoor recreations</v>
          </cell>
        </row>
        <row r="99">
          <cell r="A99">
            <v>98</v>
          </cell>
          <cell r="B99" t="str">
            <v>Centrally assessed</v>
          </cell>
        </row>
        <row r="100">
          <cell r="A100">
            <v>99</v>
          </cell>
          <cell r="B100" t="str">
            <v>Acreage non Ag</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ngs_Bay_PCcode"/>
    </sheetNames>
    <sheetDataSet>
      <sheetData sheetId="0">
        <row r="1">
          <cell r="B1" t="str">
            <v>PC</v>
          </cell>
          <cell r="C1" t="str">
            <v>Description</v>
          </cell>
          <cell r="D1" t="str">
            <v>BMAP</v>
          </cell>
          <cell r="E1" t="str">
            <v>High</v>
          </cell>
          <cell r="F1" t="str">
            <v>Medium</v>
          </cell>
          <cell r="G1" t="str">
            <v>Discharge</v>
          </cell>
        </row>
        <row r="2">
          <cell r="B2">
            <v>0</v>
          </cell>
          <cell r="C2" t="str">
            <v>Vacant Single Family Residence</v>
          </cell>
          <cell r="D2">
            <v>32036.996062476701</v>
          </cell>
          <cell r="E2">
            <v>29081.4586213941</v>
          </cell>
          <cell r="F2">
            <v>2625.2612602112299</v>
          </cell>
          <cell r="G2">
            <v>330.491471195023</v>
          </cell>
        </row>
        <row r="3">
          <cell r="B3">
            <v>1</v>
          </cell>
          <cell r="C3" t="str">
            <v>Single Family Residential</v>
          </cell>
          <cell r="D3">
            <v>26776.701098680001</v>
          </cell>
          <cell r="E3">
            <v>24684.6642062141</v>
          </cell>
          <cell r="F3">
            <v>1890.65797767544</v>
          </cell>
          <cell r="G3">
            <v>201.55448040839099</v>
          </cell>
        </row>
        <row r="4">
          <cell r="B4">
            <v>2</v>
          </cell>
          <cell r="C4" t="str">
            <v>Mobile Homes</v>
          </cell>
          <cell r="D4">
            <v>9352.3592529189591</v>
          </cell>
          <cell r="E4">
            <v>8785.7364040442699</v>
          </cell>
          <cell r="F4">
            <v>552.544501261596</v>
          </cell>
          <cell r="G4">
            <v>14.078400755255901</v>
          </cell>
        </row>
        <row r="5">
          <cell r="B5">
            <v>3</v>
          </cell>
          <cell r="C5" t="str">
            <v>Multi Family 9 units</v>
          </cell>
          <cell r="D5">
            <v>84.793052625990995</v>
          </cell>
          <cell r="E5">
            <v>60.518356985346003</v>
          </cell>
          <cell r="F5">
            <v>24.274695640853999</v>
          </cell>
          <cell r="G5" t="e">
            <v>#N/A</v>
          </cell>
        </row>
        <row r="6">
          <cell r="B6">
            <v>4</v>
          </cell>
          <cell r="C6" t="str">
            <v>Condo</v>
          </cell>
          <cell r="D6">
            <v>55.5866490080641</v>
          </cell>
          <cell r="E6">
            <v>24.873359751313401</v>
          </cell>
          <cell r="F6">
            <v>7.8059456686839503</v>
          </cell>
          <cell r="G6">
            <v>22.907343588168899</v>
          </cell>
        </row>
        <row r="7">
          <cell r="B7">
            <v>6</v>
          </cell>
          <cell r="C7" t="str">
            <v>retirement homes</v>
          </cell>
          <cell r="D7">
            <v>9.4517144093673</v>
          </cell>
          <cell r="E7">
            <v>9.4517144093751995</v>
          </cell>
          <cell r="F7" t="e">
            <v>#N/A</v>
          </cell>
          <cell r="G7" t="e">
            <v>#N/A</v>
          </cell>
        </row>
        <row r="8">
          <cell r="B8">
            <v>8</v>
          </cell>
          <cell r="C8" t="str">
            <v>multi family 10 units</v>
          </cell>
          <cell r="D8">
            <v>163.42693123266801</v>
          </cell>
          <cell r="E8">
            <v>127.56336500069</v>
          </cell>
          <cell r="F8">
            <v>35.863564854147</v>
          </cell>
          <cell r="G8" t="e">
            <v>#N/A</v>
          </cell>
        </row>
        <row r="9">
          <cell r="B9">
            <v>10</v>
          </cell>
          <cell r="C9" t="str">
            <v>vacant commerical</v>
          </cell>
          <cell r="D9">
            <v>3136.4634577483998</v>
          </cell>
          <cell r="E9">
            <v>2555.3413315119401</v>
          </cell>
          <cell r="F9">
            <v>581.12213684985102</v>
          </cell>
          <cell r="G9" t="e">
            <v>#N/A</v>
          </cell>
        </row>
        <row r="10">
          <cell r="B10">
            <v>11</v>
          </cell>
          <cell r="C10" t="str">
            <v>Stores 1 story</v>
          </cell>
          <cell r="D10">
            <v>226.601342179841</v>
          </cell>
          <cell r="E10">
            <v>180.04833652042001</v>
          </cell>
          <cell r="F10">
            <v>46.553006548651197</v>
          </cell>
          <cell r="G10" t="e">
            <v>#N/A</v>
          </cell>
        </row>
        <row r="11">
          <cell r="B11">
            <v>12</v>
          </cell>
          <cell r="C11" t="str">
            <v>Stores office residient combo</v>
          </cell>
          <cell r="D11">
            <v>312.957294858838</v>
          </cell>
          <cell r="E11">
            <v>284.616629684842</v>
          </cell>
          <cell r="F11">
            <v>28.340666041584601</v>
          </cell>
          <cell r="G11" t="e">
            <v>#N/A</v>
          </cell>
        </row>
        <row r="12">
          <cell r="B12">
            <v>13</v>
          </cell>
          <cell r="C12" t="str">
            <v>Department Stores</v>
          </cell>
          <cell r="D12">
            <v>116.851885839639</v>
          </cell>
          <cell r="E12">
            <v>104.72078890984299</v>
          </cell>
          <cell r="F12">
            <v>12.13109693</v>
          </cell>
          <cell r="G12" t="e">
            <v>#N/A</v>
          </cell>
        </row>
        <row r="13">
          <cell r="B13">
            <v>14</v>
          </cell>
          <cell r="C13" t="str">
            <v>Supermarkets</v>
          </cell>
          <cell r="D13">
            <v>12.01053721727</v>
          </cell>
          <cell r="E13">
            <v>8.8845308803999998</v>
          </cell>
          <cell r="F13">
            <v>3.1260063368800002</v>
          </cell>
          <cell r="G13" t="e">
            <v>#N/A</v>
          </cell>
        </row>
        <row r="14">
          <cell r="B14">
            <v>15</v>
          </cell>
          <cell r="C14" t="str">
            <v>Regional Shopping Centers</v>
          </cell>
          <cell r="D14">
            <v>42.563575305900002</v>
          </cell>
          <cell r="E14" t="e">
            <v>#N/A</v>
          </cell>
          <cell r="F14">
            <v>42.563575305900002</v>
          </cell>
          <cell r="G14" t="e">
            <v>#N/A</v>
          </cell>
        </row>
        <row r="15">
          <cell r="B15">
            <v>16</v>
          </cell>
          <cell r="C15" t="str">
            <v>Community Shopping Centers</v>
          </cell>
          <cell r="D15">
            <v>251.18489834222899</v>
          </cell>
          <cell r="E15">
            <v>196.46053849614299</v>
          </cell>
          <cell r="F15">
            <v>54.724364321106997</v>
          </cell>
          <cell r="G15" t="e">
            <v>#N/A</v>
          </cell>
        </row>
        <row r="16">
          <cell r="B16">
            <v>17</v>
          </cell>
          <cell r="C16" t="str">
            <v>Office Buildings, nonprofessional</v>
          </cell>
          <cell r="D16">
            <v>125.985133589282</v>
          </cell>
          <cell r="E16">
            <v>90.949680684514306</v>
          </cell>
          <cell r="F16">
            <v>34.0578145441741</v>
          </cell>
          <cell r="G16">
            <v>0.977638360604</v>
          </cell>
        </row>
        <row r="17">
          <cell r="B17">
            <v>18</v>
          </cell>
          <cell r="C17" t="str">
            <v>Office Buildings, nonprofessional, multi st</v>
          </cell>
          <cell r="D17">
            <v>13.9725799923654</v>
          </cell>
          <cell r="E17">
            <v>10.1344839585424</v>
          </cell>
          <cell r="F17">
            <v>3.8380960338599999</v>
          </cell>
          <cell r="G17" t="e">
            <v>#N/A</v>
          </cell>
        </row>
        <row r="18">
          <cell r="B18">
            <v>19</v>
          </cell>
          <cell r="C18" t="str">
            <v>professional services buildings</v>
          </cell>
          <cell r="D18">
            <v>175.48842264871001</v>
          </cell>
          <cell r="E18">
            <v>147.52549722040399</v>
          </cell>
          <cell r="F18">
            <v>27.962925359198799</v>
          </cell>
          <cell r="G18" t="e">
            <v>#N/A</v>
          </cell>
        </row>
        <row r="19">
          <cell r="B19">
            <v>20</v>
          </cell>
          <cell r="C19" t="str">
            <v>Airport, bus, marinas</v>
          </cell>
          <cell r="D19">
            <v>6.5818823686219998</v>
          </cell>
          <cell r="E19" t="e">
            <v>#N/A</v>
          </cell>
          <cell r="F19">
            <v>3.966586630668</v>
          </cell>
          <cell r="G19">
            <v>2.6152957380099999</v>
          </cell>
        </row>
        <row r="20">
          <cell r="B20">
            <v>21</v>
          </cell>
          <cell r="C20" t="str">
            <v>Restaurants cafeterias</v>
          </cell>
          <cell r="D20">
            <v>46.4633929159723</v>
          </cell>
          <cell r="E20">
            <v>30.534802132538601</v>
          </cell>
          <cell r="F20">
            <v>13.807400102529799</v>
          </cell>
          <cell r="G20">
            <v>2.1211906809199998</v>
          </cell>
        </row>
        <row r="21">
          <cell r="B21">
            <v>22</v>
          </cell>
          <cell r="C21" t="str">
            <v>Drivein Restaurants</v>
          </cell>
          <cell r="D21">
            <v>12.872358699085</v>
          </cell>
          <cell r="E21">
            <v>8.3936793948399995</v>
          </cell>
          <cell r="F21">
            <v>4.4786793042839896</v>
          </cell>
          <cell r="G21" t="e">
            <v>#N/A</v>
          </cell>
        </row>
        <row r="22">
          <cell r="B22">
            <v>23</v>
          </cell>
          <cell r="C22" t="str">
            <v>Financial Insitutions</v>
          </cell>
          <cell r="D22">
            <v>61.524452530267901</v>
          </cell>
          <cell r="E22">
            <v>42.679988362376001</v>
          </cell>
          <cell r="F22">
            <v>18.844464167790001</v>
          </cell>
          <cell r="G22" t="e">
            <v>#N/A</v>
          </cell>
        </row>
        <row r="23">
          <cell r="B23">
            <v>25</v>
          </cell>
          <cell r="C23" t="str">
            <v>Repair Service Shops</v>
          </cell>
          <cell r="D23">
            <v>73.727728247911003</v>
          </cell>
          <cell r="E23">
            <v>26.471542762113</v>
          </cell>
          <cell r="F23">
            <v>47.256185296545901</v>
          </cell>
          <cell r="G23" t="e">
            <v>#N/A</v>
          </cell>
        </row>
        <row r="24">
          <cell r="B24">
            <v>26</v>
          </cell>
          <cell r="C24" t="str">
            <v>Service Stations</v>
          </cell>
          <cell r="D24">
            <v>6.2460120754809996</v>
          </cell>
          <cell r="E24">
            <v>6.2460120754839998</v>
          </cell>
          <cell r="F24" t="e">
            <v>#N/A</v>
          </cell>
          <cell r="G24" t="e">
            <v>#N/A</v>
          </cell>
        </row>
        <row r="25">
          <cell r="B25">
            <v>27</v>
          </cell>
          <cell r="C25" t="str">
            <v>Vehicle Sales and Service</v>
          </cell>
          <cell r="D25">
            <v>171.75328278542599</v>
          </cell>
          <cell r="E25">
            <v>78.366118653325003</v>
          </cell>
          <cell r="F25">
            <v>93.387163900910593</v>
          </cell>
          <cell r="G25" t="e">
            <v>#N/A</v>
          </cell>
        </row>
        <row r="26">
          <cell r="B26">
            <v>28</v>
          </cell>
          <cell r="C26" t="str">
            <v>Mobile Home Parks</v>
          </cell>
          <cell r="D26">
            <v>294.42405084745201</v>
          </cell>
          <cell r="E26">
            <v>116.39042471570301</v>
          </cell>
          <cell r="F26">
            <v>178.03363192495601</v>
          </cell>
          <cell r="G26" t="e">
            <v>#N/A</v>
          </cell>
        </row>
        <row r="27">
          <cell r="B27">
            <v>29</v>
          </cell>
          <cell r="C27" t="str">
            <v>Wholesales Outlets</v>
          </cell>
          <cell r="D27">
            <v>22.143523692799899</v>
          </cell>
          <cell r="E27">
            <v>22.143523692700001</v>
          </cell>
          <cell r="F27" t="e">
            <v>#N/A</v>
          </cell>
          <cell r="G27" t="e">
            <v>#N/A</v>
          </cell>
        </row>
        <row r="28">
          <cell r="B28">
            <v>30</v>
          </cell>
          <cell r="C28" t="str">
            <v>Florist Greenhouses</v>
          </cell>
          <cell r="D28">
            <v>0.39026835699899998</v>
          </cell>
          <cell r="E28">
            <v>0.39026835700000001</v>
          </cell>
          <cell r="F28" t="e">
            <v>#N/A</v>
          </cell>
          <cell r="G28" t="e">
            <v>#N/A</v>
          </cell>
        </row>
        <row r="29">
          <cell r="B29">
            <v>32</v>
          </cell>
          <cell r="C29" t="str">
            <v>Enclosed Theaters Auditoriums</v>
          </cell>
          <cell r="D29">
            <v>4.0448808021899998</v>
          </cell>
          <cell r="E29">
            <v>4.0448808021999998</v>
          </cell>
          <cell r="F29" t="e">
            <v>#N/A</v>
          </cell>
          <cell r="G29" t="e">
            <v>#N/A</v>
          </cell>
        </row>
        <row r="30">
          <cell r="B30">
            <v>33</v>
          </cell>
          <cell r="C30" t="str">
            <v>Clubs Lounges Bars</v>
          </cell>
          <cell r="D30">
            <v>10.357389195107199</v>
          </cell>
          <cell r="E30">
            <v>7.2200673429490001</v>
          </cell>
          <cell r="F30">
            <v>3.1373218521399999</v>
          </cell>
          <cell r="G30" t="e">
            <v>#N/A</v>
          </cell>
        </row>
        <row r="31">
          <cell r="B31">
            <v>34</v>
          </cell>
          <cell r="C31" t="str">
            <v>Bowling Skating Pool Arenas</v>
          </cell>
          <cell r="D31">
            <v>12.440551345979999</v>
          </cell>
          <cell r="E31">
            <v>12.44055134597</v>
          </cell>
          <cell r="F31" t="e">
            <v>#N/A</v>
          </cell>
          <cell r="G31" t="e">
            <v>#N/A</v>
          </cell>
        </row>
        <row r="32">
          <cell r="B32">
            <v>35</v>
          </cell>
          <cell r="C32" t="str">
            <v>Tourist Attractions</v>
          </cell>
          <cell r="D32">
            <v>108.09761974200001</v>
          </cell>
          <cell r="E32">
            <v>108.09761974200001</v>
          </cell>
          <cell r="F32" t="e">
            <v>#N/A</v>
          </cell>
          <cell r="G32" t="e">
            <v>#N/A</v>
          </cell>
        </row>
        <row r="33">
          <cell r="B33">
            <v>36</v>
          </cell>
          <cell r="C33" t="str">
            <v>RV Campgrounds</v>
          </cell>
          <cell r="D33">
            <v>105.02351438557901</v>
          </cell>
          <cell r="E33">
            <v>69.733053462936994</v>
          </cell>
          <cell r="F33">
            <v>32.3517859444908</v>
          </cell>
          <cell r="G33">
            <v>2.9386749426400001</v>
          </cell>
        </row>
        <row r="34">
          <cell r="B34">
            <v>38</v>
          </cell>
          <cell r="C34" t="str">
            <v>Golf Courses Driving Ranges</v>
          </cell>
          <cell r="D34">
            <v>2351.5144649506001</v>
          </cell>
          <cell r="E34">
            <v>2153.73352169081</v>
          </cell>
          <cell r="F34">
            <v>197.78094325954299</v>
          </cell>
          <cell r="G34" t="e">
            <v>#N/A</v>
          </cell>
        </row>
        <row r="35">
          <cell r="B35">
            <v>39</v>
          </cell>
          <cell r="C35" t="str">
            <v>Hotels Motels</v>
          </cell>
          <cell r="D35">
            <v>79.722880669224907</v>
          </cell>
          <cell r="E35">
            <v>21.463402440379902</v>
          </cell>
          <cell r="F35">
            <v>58.259478228958002</v>
          </cell>
          <cell r="G35" t="e">
            <v>#N/A</v>
          </cell>
        </row>
        <row r="36">
          <cell r="B36">
            <v>40</v>
          </cell>
          <cell r="C36" t="str">
            <v>Vacant Industrial</v>
          </cell>
          <cell r="D36">
            <v>487.770770475213</v>
          </cell>
          <cell r="E36">
            <v>432.52492640567698</v>
          </cell>
          <cell r="F36">
            <v>52.176006725500997</v>
          </cell>
          <cell r="G36">
            <v>3.0698443943729998</v>
          </cell>
        </row>
        <row r="37">
          <cell r="B37">
            <v>41</v>
          </cell>
          <cell r="C37" t="str">
            <v>Light Manufacturing</v>
          </cell>
          <cell r="D37">
            <v>108.926079290443</v>
          </cell>
          <cell r="E37">
            <v>85.323764118496896</v>
          </cell>
          <cell r="F37">
            <v>23.602315172209899</v>
          </cell>
          <cell r="G37" t="e">
            <v>#N/A</v>
          </cell>
        </row>
        <row r="38">
          <cell r="B38">
            <v>43</v>
          </cell>
          <cell r="C38" t="str">
            <v>Lumber Yards</v>
          </cell>
          <cell r="D38">
            <v>22.737898241860002</v>
          </cell>
          <cell r="E38">
            <v>22.737898241699899</v>
          </cell>
          <cell r="F38" t="e">
            <v>#N/A</v>
          </cell>
          <cell r="G38" t="e">
            <v>#N/A</v>
          </cell>
        </row>
        <row r="39">
          <cell r="B39">
            <v>46</v>
          </cell>
          <cell r="C39" t="str">
            <v>Other Food Processing</v>
          </cell>
          <cell r="D39">
            <v>22.250190512869899</v>
          </cell>
          <cell r="E39">
            <v>2.8396662805499999</v>
          </cell>
          <cell r="F39" t="e">
            <v>#N/A</v>
          </cell>
          <cell r="G39">
            <v>19.4105242324</v>
          </cell>
        </row>
        <row r="40">
          <cell r="B40">
            <v>47</v>
          </cell>
          <cell r="C40" t="str">
            <v>Mineral Processing</v>
          </cell>
          <cell r="D40">
            <v>44.9816985385499</v>
          </cell>
          <cell r="E40">
            <v>40.194686630519897</v>
          </cell>
          <cell r="F40">
            <v>4.7870119082300002</v>
          </cell>
          <cell r="G40" t="e">
            <v>#N/A</v>
          </cell>
        </row>
        <row r="41">
          <cell r="B41">
            <v>48</v>
          </cell>
          <cell r="C41" t="str">
            <v>Warehouses Terminals</v>
          </cell>
          <cell r="D41">
            <v>276.26985579346803</v>
          </cell>
          <cell r="E41">
            <v>251.64565406243199</v>
          </cell>
          <cell r="F41">
            <v>24.6242017041039</v>
          </cell>
          <cell r="G41" t="e">
            <v>#N/A</v>
          </cell>
        </row>
        <row r="42">
          <cell r="B42">
            <v>49</v>
          </cell>
          <cell r="C42" t="str">
            <v>Open Storage Junk Yards</v>
          </cell>
          <cell r="D42">
            <v>57.574741111420003</v>
          </cell>
          <cell r="E42">
            <v>46.8196414886499</v>
          </cell>
          <cell r="F42" t="e">
            <v>#N/A</v>
          </cell>
          <cell r="G42">
            <v>10.7550996227</v>
          </cell>
        </row>
        <row r="43">
          <cell r="B43">
            <v>50</v>
          </cell>
          <cell r="C43" t="str">
            <v>Improved Ag</v>
          </cell>
          <cell r="D43">
            <v>6262.6301453961096</v>
          </cell>
          <cell r="E43">
            <v>3725.7115665810402</v>
          </cell>
          <cell r="F43">
            <v>2536.9189301435199</v>
          </cell>
          <cell r="G43" t="e">
            <v>#N/A</v>
          </cell>
        </row>
        <row r="44">
          <cell r="B44">
            <v>51</v>
          </cell>
          <cell r="C44" t="str">
            <v>Cropland Soil Class 1</v>
          </cell>
          <cell r="D44">
            <v>1329.86713004799</v>
          </cell>
          <cell r="E44">
            <v>1318.56959921728</v>
          </cell>
          <cell r="F44">
            <v>11.2975283380999</v>
          </cell>
          <cell r="G44" t="e">
            <v>#N/A</v>
          </cell>
        </row>
        <row r="45">
          <cell r="B45">
            <v>52</v>
          </cell>
          <cell r="C45" t="str">
            <v>Cropland Soil Class 2</v>
          </cell>
          <cell r="D45">
            <v>6.5664897442200001</v>
          </cell>
          <cell r="E45">
            <v>6.5664897442500001</v>
          </cell>
          <cell r="F45" t="e">
            <v>#N/A</v>
          </cell>
          <cell r="G45" t="e">
            <v>#N/A</v>
          </cell>
        </row>
        <row r="46">
          <cell r="B46">
            <v>53</v>
          </cell>
          <cell r="C46" t="str">
            <v>Cropland Soil Class 3</v>
          </cell>
          <cell r="D46">
            <v>52.804213005729899</v>
          </cell>
          <cell r="E46">
            <v>52.804213005869997</v>
          </cell>
          <cell r="F46" t="e">
            <v>#N/A</v>
          </cell>
          <cell r="G46" t="e">
            <v>#N/A</v>
          </cell>
        </row>
        <row r="47">
          <cell r="B47">
            <v>55</v>
          </cell>
          <cell r="C47" t="str">
            <v>Timberland Site 80-89</v>
          </cell>
          <cell r="D47">
            <v>7399.6159282933904</v>
          </cell>
          <cell r="E47">
            <v>7090.0228992108496</v>
          </cell>
          <cell r="F47">
            <v>250.830416814731</v>
          </cell>
          <cell r="G47">
            <v>58.7627092058</v>
          </cell>
        </row>
        <row r="48">
          <cell r="B48">
            <v>56</v>
          </cell>
          <cell r="C48" t="str">
            <v>Timberland Site 70-79</v>
          </cell>
          <cell r="D48">
            <v>4201.7820269132899</v>
          </cell>
          <cell r="E48">
            <v>4077.1098364130198</v>
          </cell>
          <cell r="F48">
            <v>118.91566077687099</v>
          </cell>
          <cell r="G48">
            <v>5.7565297232299999</v>
          </cell>
        </row>
        <row r="49">
          <cell r="B49">
            <v>57</v>
          </cell>
          <cell r="C49" t="str">
            <v>Timberland Site 60-69</v>
          </cell>
          <cell r="D49">
            <v>1028.1870533379499</v>
          </cell>
          <cell r="E49">
            <v>1028.1870563198099</v>
          </cell>
          <cell r="F49" t="e">
            <v>#N/A</v>
          </cell>
          <cell r="G49" t="e">
            <v>#N/A</v>
          </cell>
        </row>
        <row r="50">
          <cell r="B50">
            <v>58</v>
          </cell>
          <cell r="C50" t="str">
            <v>Timberland Site 50-59</v>
          </cell>
          <cell r="D50">
            <v>297.05848352407901</v>
          </cell>
          <cell r="E50">
            <v>244.63333089194501</v>
          </cell>
          <cell r="F50">
            <v>52.3475491833699</v>
          </cell>
          <cell r="G50">
            <v>7.7608522075599998E-2</v>
          </cell>
        </row>
        <row r="51">
          <cell r="B51">
            <v>60</v>
          </cell>
          <cell r="C51" t="str">
            <v>Grazing Land</v>
          </cell>
          <cell r="D51">
            <v>1869.30727273396</v>
          </cell>
          <cell r="E51">
            <v>1488.0904730966699</v>
          </cell>
          <cell r="F51">
            <v>381.21680232429901</v>
          </cell>
          <cell r="G51" t="e">
            <v>#N/A</v>
          </cell>
        </row>
        <row r="52">
          <cell r="B52">
            <v>61</v>
          </cell>
          <cell r="C52" t="str">
            <v>Grazing Land</v>
          </cell>
          <cell r="D52">
            <v>3133.2722732488801</v>
          </cell>
          <cell r="E52">
            <v>2817.4804253812599</v>
          </cell>
          <cell r="F52">
            <v>315.79184989170602</v>
          </cell>
          <cell r="G52" t="e">
            <v>#N/A</v>
          </cell>
        </row>
        <row r="53">
          <cell r="B53">
            <v>62</v>
          </cell>
          <cell r="C53" t="str">
            <v>Grazing Land</v>
          </cell>
          <cell r="D53">
            <v>3665.0099325309302</v>
          </cell>
          <cell r="E53">
            <v>3133.09969982333</v>
          </cell>
          <cell r="F53">
            <v>491.15927480050902</v>
          </cell>
          <cell r="G53">
            <v>40.7509571639999</v>
          </cell>
        </row>
        <row r="54">
          <cell r="B54">
            <v>63</v>
          </cell>
          <cell r="C54" t="str">
            <v>Grazing Land</v>
          </cell>
          <cell r="D54">
            <v>1940.79283340238</v>
          </cell>
          <cell r="E54">
            <v>1927.6328332416899</v>
          </cell>
          <cell r="F54">
            <v>13.1599973995699</v>
          </cell>
          <cell r="G54" t="e">
            <v>#N/A</v>
          </cell>
        </row>
        <row r="55">
          <cell r="B55">
            <v>66</v>
          </cell>
          <cell r="C55" t="str">
            <v>Orchard Groves Citrus</v>
          </cell>
          <cell r="D55">
            <v>23.2614876198</v>
          </cell>
          <cell r="E55">
            <v>23.26148761975</v>
          </cell>
          <cell r="F55" t="e">
            <v>#N/A</v>
          </cell>
          <cell r="G55" t="e">
            <v>#N/A</v>
          </cell>
        </row>
        <row r="56">
          <cell r="B56">
            <v>67</v>
          </cell>
          <cell r="C56" t="str">
            <v>Poultry Bees Fish Rabbits</v>
          </cell>
          <cell r="D56">
            <v>44.416933256775003</v>
          </cell>
          <cell r="E56">
            <v>31.213177931464401</v>
          </cell>
          <cell r="F56">
            <v>13.20375532538</v>
          </cell>
          <cell r="G56" t="e">
            <v>#N/A</v>
          </cell>
        </row>
        <row r="57">
          <cell r="B57">
            <v>68</v>
          </cell>
          <cell r="C57" t="str">
            <v>Dairies Feed Lots</v>
          </cell>
          <cell r="D57">
            <v>24.527721155279998</v>
          </cell>
          <cell r="E57">
            <v>24.527721155399998</v>
          </cell>
          <cell r="F57" t="e">
            <v>#N/A</v>
          </cell>
          <cell r="G57" t="e">
            <v>#N/A</v>
          </cell>
        </row>
        <row r="58">
          <cell r="B58">
            <v>69</v>
          </cell>
          <cell r="C58" t="str">
            <v>Ornamentals Misc Ag</v>
          </cell>
          <cell r="D58">
            <v>148.231591583301</v>
          </cell>
          <cell r="E58">
            <v>148.23159158330401</v>
          </cell>
          <cell r="F58" t="e">
            <v>#N/A</v>
          </cell>
          <cell r="G58" t="e">
            <v>#N/A</v>
          </cell>
        </row>
        <row r="59">
          <cell r="B59">
            <v>70</v>
          </cell>
          <cell r="C59" t="str">
            <v>Vacant Industrial</v>
          </cell>
          <cell r="D59">
            <v>48.431957941591001</v>
          </cell>
          <cell r="E59">
            <v>48.191044904324002</v>
          </cell>
          <cell r="F59">
            <v>0.24091303732399999</v>
          </cell>
          <cell r="G59" t="e">
            <v>#N/A</v>
          </cell>
        </row>
        <row r="60">
          <cell r="B60">
            <v>71</v>
          </cell>
          <cell r="C60" t="str">
            <v>Churches</v>
          </cell>
          <cell r="D60">
            <v>506.72301669694701</v>
          </cell>
          <cell r="E60">
            <v>404.67660580047101</v>
          </cell>
          <cell r="F60">
            <v>102.04641089699</v>
          </cell>
          <cell r="G60" t="e">
            <v>#N/A</v>
          </cell>
        </row>
        <row r="61">
          <cell r="B61">
            <v>72</v>
          </cell>
          <cell r="C61" t="str">
            <v>Private Schools and Colleges</v>
          </cell>
          <cell r="D61">
            <v>32.897623303342897</v>
          </cell>
          <cell r="E61">
            <v>32.408512596150899</v>
          </cell>
          <cell r="F61">
            <v>0.48911070719999999</v>
          </cell>
          <cell r="G61" t="e">
            <v>#N/A</v>
          </cell>
        </row>
        <row r="62">
          <cell r="B62">
            <v>73</v>
          </cell>
          <cell r="C62" t="str">
            <v>Privately owned hospitals</v>
          </cell>
          <cell r="D62">
            <v>35.183246736596899</v>
          </cell>
          <cell r="E62">
            <v>6.4055554536779997</v>
          </cell>
          <cell r="F62">
            <v>28.777691282989</v>
          </cell>
          <cell r="G62" t="e">
            <v>#N/A</v>
          </cell>
        </row>
        <row r="63">
          <cell r="B63">
            <v>74</v>
          </cell>
          <cell r="C63" t="str">
            <v>Homes for the Aged</v>
          </cell>
          <cell r="D63">
            <v>84.954206665485998</v>
          </cell>
          <cell r="E63">
            <v>77.271033110498195</v>
          </cell>
          <cell r="F63">
            <v>7.6831735551809999</v>
          </cell>
          <cell r="G63" t="e">
            <v>#N/A</v>
          </cell>
        </row>
        <row r="64">
          <cell r="B64">
            <v>75</v>
          </cell>
          <cell r="C64" t="str">
            <v>Nonprofit services</v>
          </cell>
          <cell r="D64">
            <v>31.708120234847001</v>
          </cell>
          <cell r="E64">
            <v>31.708120234861902</v>
          </cell>
          <cell r="F64" t="e">
            <v>#N/A</v>
          </cell>
          <cell r="G64" t="e">
            <v>#N/A</v>
          </cell>
        </row>
        <row r="65">
          <cell r="B65">
            <v>76</v>
          </cell>
          <cell r="C65" t="str">
            <v>Mortuaries cemeteries cremetor</v>
          </cell>
          <cell r="D65">
            <v>81.434078596830005</v>
          </cell>
          <cell r="E65">
            <v>76.795947742430002</v>
          </cell>
          <cell r="F65">
            <v>4.6381308543699999</v>
          </cell>
          <cell r="G65" t="e">
            <v>#N/A</v>
          </cell>
        </row>
        <row r="66">
          <cell r="B66">
            <v>77</v>
          </cell>
          <cell r="C66" t="str">
            <v>Clubs Lodges Union Halls</v>
          </cell>
          <cell r="D66">
            <v>336.50918289404399</v>
          </cell>
          <cell r="E66">
            <v>285.60434687528902</v>
          </cell>
          <cell r="F66">
            <v>28.7865595421524</v>
          </cell>
          <cell r="G66">
            <v>22.118275653353901</v>
          </cell>
        </row>
        <row r="67">
          <cell r="B67">
            <v>78</v>
          </cell>
          <cell r="C67" t="str">
            <v>Sanitariums Convalescent</v>
          </cell>
          <cell r="D67">
            <v>2.09794161102</v>
          </cell>
          <cell r="E67">
            <v>2.09794161102</v>
          </cell>
          <cell r="F67" t="e">
            <v>#N/A</v>
          </cell>
          <cell r="G67" t="e">
            <v>#N/A</v>
          </cell>
        </row>
        <row r="68">
          <cell r="B68">
            <v>79</v>
          </cell>
          <cell r="C68" t="str">
            <v>Cultural Organizations</v>
          </cell>
          <cell r="D68">
            <v>6.8502125188210004</v>
          </cell>
          <cell r="E68">
            <v>6.850212518887</v>
          </cell>
          <cell r="F68" t="e">
            <v>#N/A</v>
          </cell>
          <cell r="G68" t="e">
            <v>#N/A</v>
          </cell>
        </row>
        <row r="69">
          <cell r="B69">
            <v>80</v>
          </cell>
          <cell r="C69" t="str">
            <v>Vacant Government</v>
          </cell>
          <cell r="D69">
            <v>19824.6880475621</v>
          </cell>
          <cell r="E69">
            <v>5074.2902976631503</v>
          </cell>
          <cell r="F69">
            <v>5067.3309252773297</v>
          </cell>
          <cell r="G69">
            <v>9683.0671927207695</v>
          </cell>
        </row>
        <row r="70">
          <cell r="B70">
            <v>82</v>
          </cell>
          <cell r="C70" t="str">
            <v>Forest Parks Recreational Area</v>
          </cell>
          <cell r="D70">
            <v>5634.7281989496496</v>
          </cell>
          <cell r="E70">
            <v>5172.0408369595798</v>
          </cell>
          <cell r="F70">
            <v>244.16231275499899</v>
          </cell>
          <cell r="G70">
            <v>218.52508467178799</v>
          </cell>
        </row>
        <row r="71">
          <cell r="B71">
            <v>83</v>
          </cell>
          <cell r="C71" t="str">
            <v>Public County Schools</v>
          </cell>
          <cell r="D71">
            <v>703.55735806985001</v>
          </cell>
          <cell r="E71">
            <v>682.99671535307004</v>
          </cell>
          <cell r="F71" t="e">
            <v>#N/A</v>
          </cell>
          <cell r="G71">
            <v>20.560643971600001</v>
          </cell>
        </row>
        <row r="72">
          <cell r="B72">
            <v>85</v>
          </cell>
          <cell r="C72" t="str">
            <v>Hospitals</v>
          </cell>
          <cell r="D72">
            <v>49.976895111709901</v>
          </cell>
          <cell r="E72">
            <v>49.976895111840001</v>
          </cell>
          <cell r="F72" t="e">
            <v>#N/A</v>
          </cell>
          <cell r="G72" t="e">
            <v>#N/A</v>
          </cell>
        </row>
        <row r="73">
          <cell r="B73">
            <v>86</v>
          </cell>
          <cell r="C73" t="str">
            <v>Counties Govt no schools</v>
          </cell>
          <cell r="D73">
            <v>1066.1369423144999</v>
          </cell>
          <cell r="E73">
            <v>1049.64999211893</v>
          </cell>
          <cell r="F73">
            <v>1.3677929778190001</v>
          </cell>
          <cell r="G73">
            <v>15.1191575666</v>
          </cell>
        </row>
        <row r="74">
          <cell r="B74">
            <v>87</v>
          </cell>
          <cell r="C74" t="str">
            <v>State Govt</v>
          </cell>
          <cell r="D74">
            <v>10844.508482691899</v>
          </cell>
          <cell r="E74">
            <v>9831.1250711092507</v>
          </cell>
          <cell r="F74">
            <v>866.02227329185496</v>
          </cell>
          <cell r="G74">
            <v>147.36111417218001</v>
          </cell>
        </row>
        <row r="75">
          <cell r="B75">
            <v>88</v>
          </cell>
          <cell r="C75" t="str">
            <v>Federal Govt</v>
          </cell>
          <cell r="D75">
            <v>18.129907360916999</v>
          </cell>
          <cell r="E75">
            <v>15.2101189971699</v>
          </cell>
          <cell r="F75">
            <v>2.9197883636999999</v>
          </cell>
          <cell r="G75" t="e">
            <v>#N/A</v>
          </cell>
        </row>
        <row r="76">
          <cell r="B76">
            <v>89</v>
          </cell>
          <cell r="C76" t="str">
            <v>Municipal</v>
          </cell>
          <cell r="D76">
            <v>95.963997518465902</v>
          </cell>
          <cell r="E76">
            <v>42.731430613987001</v>
          </cell>
          <cell r="F76">
            <v>40.820845020081997</v>
          </cell>
          <cell r="G76">
            <v>12.4117218846</v>
          </cell>
        </row>
        <row r="77">
          <cell r="B77">
            <v>91</v>
          </cell>
          <cell r="C77" t="str">
            <v>Utilities</v>
          </cell>
          <cell r="D77">
            <v>1802.10788059435</v>
          </cell>
          <cell r="E77">
            <v>1439.41779788539</v>
          </cell>
          <cell r="F77">
            <v>362.69022640619602</v>
          </cell>
          <cell r="G77" t="e">
            <v>#N/A</v>
          </cell>
        </row>
        <row r="78">
          <cell r="B78">
            <v>92</v>
          </cell>
          <cell r="C78" t="str">
            <v>Mining Petro Gas lands</v>
          </cell>
          <cell r="D78">
            <v>270.34495213218997</v>
          </cell>
          <cell r="E78">
            <v>270.34495996954001</v>
          </cell>
          <cell r="F78" t="e">
            <v>#N/A</v>
          </cell>
          <cell r="G78" t="e">
            <v>#N/A</v>
          </cell>
        </row>
        <row r="79">
          <cell r="B79">
            <v>94</v>
          </cell>
          <cell r="C79" t="str">
            <v>Right of ways</v>
          </cell>
          <cell r="D79">
            <v>538.16547301587298</v>
          </cell>
          <cell r="E79">
            <v>511.547669376302</v>
          </cell>
          <cell r="F79">
            <v>21.667091159082599</v>
          </cell>
          <cell r="G79">
            <v>4.9507451794859998</v>
          </cell>
        </row>
        <row r="80">
          <cell r="B80">
            <v>95</v>
          </cell>
          <cell r="C80" t="str">
            <v>Submerged lands</v>
          </cell>
          <cell r="D80">
            <v>27.641857047271198</v>
          </cell>
          <cell r="E80">
            <v>23.418527530011101</v>
          </cell>
          <cell r="F80" t="e">
            <v>#N/A</v>
          </cell>
          <cell r="G80">
            <v>4.2233295172099998</v>
          </cell>
        </row>
        <row r="81">
          <cell r="B81">
            <v>96</v>
          </cell>
          <cell r="C81" t="str">
            <v>Wastelands</v>
          </cell>
          <cell r="D81">
            <v>345.06719260562198</v>
          </cell>
          <cell r="E81">
            <v>68.379815684181807</v>
          </cell>
          <cell r="F81">
            <v>98.936307914095096</v>
          </cell>
          <cell r="G81">
            <v>177.75106993958701</v>
          </cell>
        </row>
        <row r="82">
          <cell r="B82">
            <v>97</v>
          </cell>
          <cell r="C82" t="str">
            <v>Outdoor recreations</v>
          </cell>
          <cell r="D82">
            <v>12.5502986598979</v>
          </cell>
          <cell r="E82">
            <v>9.7982433652379903</v>
          </cell>
          <cell r="F82">
            <v>2.75203089664</v>
          </cell>
          <cell r="G82" t="e">
            <v>#N/A</v>
          </cell>
        </row>
        <row r="83">
          <cell r="B83">
            <v>99</v>
          </cell>
          <cell r="C83" t="str">
            <v>Acreage non Ag</v>
          </cell>
          <cell r="D83">
            <v>7054.3063194443503</v>
          </cell>
          <cell r="E83">
            <v>4732.3579110247601</v>
          </cell>
          <cell r="F83">
            <v>1949.32437190869</v>
          </cell>
          <cell r="G83">
            <v>372.62396796045903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EP1113_model_KB"/>
    </sheetNames>
    <sheetDataSet>
      <sheetData sheetId="0">
        <row r="2">
          <cell r="D2">
            <v>26886.950213857199</v>
          </cell>
        </row>
        <row r="3">
          <cell r="D3">
            <v>369789.73990129097</v>
          </cell>
        </row>
        <row r="4">
          <cell r="D4">
            <v>55961.098525864101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Summary"/>
      <sheetName val="Monthly Summary"/>
      <sheetName val="full weekly data"/>
      <sheetName val="2002"/>
      <sheetName val="2003"/>
      <sheetName val="2004"/>
      <sheetName val="2005"/>
      <sheetName val="2006"/>
      <sheetName val="2007"/>
      <sheetName val="2008"/>
      <sheetName val="2009"/>
      <sheetName val="2010"/>
      <sheetName val="2011"/>
      <sheetName val="2012"/>
      <sheetName val="2013"/>
      <sheetName val="Sheet1"/>
      <sheetName val="2014"/>
      <sheetName val="CASTNET SUM156"/>
    </sheetNames>
    <sheetDataSet>
      <sheetData sheetId="0">
        <row r="3">
          <cell r="G3">
            <v>2.6783569219465383E-2</v>
          </cell>
          <cell r="H3">
            <v>0.16436247276523328</v>
          </cell>
        </row>
        <row r="4">
          <cell r="G4">
            <v>2.0257254957737628E-2</v>
          </cell>
          <cell r="H4">
            <v>0.1491273538086918</v>
          </cell>
        </row>
        <row r="5">
          <cell r="G5">
            <v>4.3405232497466625E-2</v>
          </cell>
          <cell r="H5">
            <v>0.15347074757410337</v>
          </cell>
        </row>
        <row r="6">
          <cell r="G6">
            <v>2.2573967416918576E-2</v>
          </cell>
          <cell r="H6">
            <v>0.18270220389700259</v>
          </cell>
        </row>
        <row r="7">
          <cell r="G7">
            <v>2.3615799897808223E-2</v>
          </cell>
          <cell r="H7">
            <v>0.161040727672812</v>
          </cell>
        </row>
        <row r="8">
          <cell r="G8">
            <v>3.1107445301169854E-2</v>
          </cell>
          <cell r="H8">
            <v>0.13678981587635311</v>
          </cell>
        </row>
        <row r="9">
          <cell r="G9">
            <v>2.8673361568614754E-2</v>
          </cell>
          <cell r="H9">
            <v>0.10461874406523135</v>
          </cell>
        </row>
        <row r="10">
          <cell r="G10">
            <v>2.5623114262543951E-2</v>
          </cell>
          <cell r="H10">
            <v>8.7933503234792931E-2</v>
          </cell>
        </row>
        <row r="11">
          <cell r="G11">
            <v>2.0702068266252958E-2</v>
          </cell>
          <cell r="H11">
            <v>9.3937730934638544E-2</v>
          </cell>
        </row>
        <row r="12">
          <cell r="G12">
            <v>2.2807195887817162E-2</v>
          </cell>
          <cell r="H12">
            <v>0.12261989006985835</v>
          </cell>
        </row>
        <row r="13">
          <cell r="G13">
            <v>2.7285477978093414E-2</v>
          </cell>
          <cell r="H13">
            <v>8.6488101090007444E-2</v>
          </cell>
        </row>
        <row r="14">
          <cell r="G14">
            <v>2.6428404379031475E-2</v>
          </cell>
          <cell r="H14">
            <v>7.7796002330814379E-2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nadp"/>
      <sheetName val="annual-nadp"/>
      <sheetName val="summary"/>
      <sheetName val="NADP FL05 Cassahowitzka"/>
    </sheetNames>
    <sheetDataSet>
      <sheetData sheetId="0"/>
      <sheetData sheetId="1"/>
      <sheetData sheetId="2">
        <row r="23">
          <cell r="E23">
            <v>0.81057494193039392</v>
          </cell>
          <cell r="H23">
            <v>2.1952960120968004</v>
          </cell>
          <cell r="K23">
            <v>137.91</v>
          </cell>
        </row>
        <row r="24">
          <cell r="E24">
            <v>0.92142279723711462</v>
          </cell>
          <cell r="H24">
            <v>1.9836283525282381</v>
          </cell>
          <cell r="K24">
            <v>145.85</v>
          </cell>
        </row>
        <row r="25">
          <cell r="E25">
            <v>0.69279909566700337</v>
          </cell>
          <cell r="H25">
            <v>1.856627756787101</v>
          </cell>
          <cell r="K25">
            <v>145.57</v>
          </cell>
        </row>
        <row r="26">
          <cell r="E26">
            <v>1.8636295673442393</v>
          </cell>
          <cell r="H26">
            <v>2.6730601579801254</v>
          </cell>
          <cell r="K26">
            <v>171.48</v>
          </cell>
        </row>
        <row r="27">
          <cell r="E27">
            <v>0.58887923131695297</v>
          </cell>
          <cell r="H27">
            <v>1.7759924579038391</v>
          </cell>
          <cell r="K27">
            <v>125.32</v>
          </cell>
        </row>
        <row r="28">
          <cell r="E28">
            <v>0.54731128557693276</v>
          </cell>
          <cell r="H28">
            <v>1.441355967538303</v>
          </cell>
          <cell r="K28">
            <v>135.6</v>
          </cell>
        </row>
        <row r="29">
          <cell r="E29">
            <v>0.56809525844694275</v>
          </cell>
          <cell r="H29">
            <v>1.5784359756398478</v>
          </cell>
          <cell r="K29">
            <v>132.94</v>
          </cell>
        </row>
        <row r="30">
          <cell r="E30">
            <v>0.70665507758034352</v>
          </cell>
          <cell r="H30">
            <v>1.3183871367413289</v>
          </cell>
          <cell r="K30">
            <v>114.17</v>
          </cell>
        </row>
        <row r="31">
          <cell r="E31">
            <v>1.0738385982838554</v>
          </cell>
          <cell r="H31">
            <v>1.6489918621627018</v>
          </cell>
          <cell r="K31">
            <v>137.31</v>
          </cell>
        </row>
        <row r="32">
          <cell r="E32">
            <v>1.1846864535905759</v>
          </cell>
          <cell r="H32">
            <v>1.6651189219393541</v>
          </cell>
          <cell r="K32">
            <v>149.1</v>
          </cell>
        </row>
        <row r="33">
          <cell r="E33">
            <v>0.83135891480040403</v>
          </cell>
          <cell r="H33">
            <v>1.4131336129291614</v>
          </cell>
          <cell r="K33">
            <v>159.66</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WTF Summary"/>
      <sheetName val="FLA011878"/>
      <sheetName val="FLA287466"/>
      <sheetName val="FLA011869"/>
      <sheetName val="FLA011869 DATA"/>
      <sheetName val="FLA011915"/>
      <sheetName val="FLA011915 DATA"/>
      <sheetName val="FLA011846"/>
      <sheetName val="FLA011846 DATA"/>
      <sheetName val="FLA011921"/>
      <sheetName val=" FLA011921 DATA"/>
      <sheetName val="FLA011913"/>
      <sheetName val="FLA011913 DATA"/>
      <sheetName val="FLA011887"/>
      <sheetName val="FLA011872"/>
      <sheetName val="FLA011872 DATA"/>
      <sheetName val="FLA011922"/>
      <sheetName val="FLA011922 DATA"/>
      <sheetName val="FLA011918"/>
      <sheetName val="FLA011918 DATA"/>
      <sheetName val="FLA011856"/>
      <sheetName val="FLA011856 DATA"/>
      <sheetName val="FLA011920"/>
      <sheetName val="FLA011920 DATA"/>
      <sheetName val="FLA011861"/>
      <sheetName val="FLA011861  DATA"/>
      <sheetName val="FLA011863"/>
      <sheetName val="FLA011863 DATA"/>
      <sheetName val="FLA011876"/>
      <sheetName val="FLA011876 DATA"/>
      <sheetName val="FLA011909"/>
      <sheetName val="FLA011909 DATA"/>
      <sheetName val="FLA011854"/>
      <sheetName val="FLA011854 DATA"/>
      <sheetName val="FLA011848"/>
      <sheetName val="FLA011848 DATA"/>
      <sheetName val="FLA011844"/>
      <sheetName val="FLA011844 DATA"/>
      <sheetName val="FLA011928"/>
      <sheetName val="FLA011928 DATA"/>
      <sheetName val="FLA011855"/>
      <sheetName val="FLA011855 DATA"/>
      <sheetName val="FLA011924"/>
      <sheetName val="FLA011924 DATA"/>
      <sheetName val="FLA033065"/>
      <sheetName val="FLA033065 DATA"/>
      <sheetName val="FLA011895"/>
      <sheetName val="FLA011895 DATA"/>
      <sheetName val="FLA011845"/>
      <sheetName val="FLA011845 DATA"/>
      <sheetName val="FLA011914"/>
      <sheetName val="FLA011914 DATA"/>
      <sheetName val="FLA512389"/>
      <sheetName val="FLA011877"/>
      <sheetName val="FLA011877 DATA"/>
      <sheetName val="FLA011923"/>
      <sheetName val="FLA011923 DATA"/>
      <sheetName val="FLA011849"/>
      <sheetName val="FLA011849 DATA"/>
    </sheetNames>
    <sheetDataSet>
      <sheetData sheetId="0">
        <row r="2">
          <cell r="A2" t="str">
            <v>FLA011878</v>
          </cell>
          <cell r="B2" t="str">
            <v>Citrus Springs Elementary School</v>
          </cell>
        </row>
        <row r="4">
          <cell r="A4" t="str">
            <v>FLA011869</v>
          </cell>
          <cell r="B4" t="str">
            <v>Beverly Hills WWTF</v>
          </cell>
          <cell r="C4" t="str">
            <v>High</v>
          </cell>
          <cell r="F4">
            <v>6.2636363636363646</v>
          </cell>
          <cell r="G4">
            <v>0.46026666666666666</v>
          </cell>
          <cell r="H4">
            <v>0.57499999999999996</v>
          </cell>
        </row>
        <row r="5">
          <cell r="A5" t="str">
            <v>FLA011915</v>
          </cell>
          <cell r="B5" t="str">
            <v>Forest View</v>
          </cell>
          <cell r="C5" t="str">
            <v>Medium</v>
          </cell>
          <cell r="F5">
            <v>4.8891108891108885</v>
          </cell>
          <cell r="G5">
            <v>2.9000000000000001E-2</v>
          </cell>
          <cell r="H5">
            <v>0.34499999999999997</v>
          </cell>
        </row>
        <row r="6">
          <cell r="A6" t="str">
            <v>FLA011846</v>
          </cell>
          <cell r="B6" t="str">
            <v>New Horizons WWTF</v>
          </cell>
          <cell r="C6" t="str">
            <v>High</v>
          </cell>
          <cell r="F6">
            <v>5.4905094905094902</v>
          </cell>
          <cell r="G6">
            <v>4.000000000000001E-3</v>
          </cell>
          <cell r="H6">
            <v>0.01</v>
          </cell>
        </row>
        <row r="7">
          <cell r="A7" t="str">
            <v>FLA011921</v>
          </cell>
          <cell r="B7" t="str">
            <v>Canterbury Lake Estates</v>
          </cell>
          <cell r="C7" t="str">
            <v>High</v>
          </cell>
          <cell r="F7">
            <v>3.046753246753247</v>
          </cell>
          <cell r="G7">
            <v>2.4888888888888891E-2</v>
          </cell>
          <cell r="H7">
            <v>9.5000000000000001E-2</v>
          </cell>
        </row>
        <row r="8">
          <cell r="A8" t="str">
            <v>FLA011913</v>
          </cell>
          <cell r="B8" t="str">
            <v>River Cove Landings WWTF</v>
          </cell>
          <cell r="C8" t="str">
            <v>Discharge</v>
          </cell>
          <cell r="F8">
            <v>5.0259740259740244</v>
          </cell>
          <cell r="G8">
            <v>1.8000000000000002E-3</v>
          </cell>
          <cell r="H8">
            <v>0.01</v>
          </cell>
        </row>
        <row r="10">
          <cell r="A10" t="str">
            <v>FLA011872</v>
          </cell>
          <cell r="B10" t="str">
            <v>Imperial Gardens MHP</v>
          </cell>
          <cell r="C10" t="str">
            <v>Medium</v>
          </cell>
          <cell r="F10">
            <v>3.9998144712430435</v>
          </cell>
          <cell r="G10">
            <v>2.5000000000000001E-3</v>
          </cell>
          <cell r="H10">
            <v>5.0000000000000001E-3</v>
          </cell>
        </row>
        <row r="11">
          <cell r="A11" t="str">
            <v>FLA011922</v>
          </cell>
          <cell r="B11" t="str">
            <v>Quality Inn</v>
          </cell>
          <cell r="C11" t="str">
            <v>Medium</v>
          </cell>
          <cell r="F11">
            <v>14.617382617382617</v>
          </cell>
          <cell r="G11">
            <v>5.1833333333333332E-3</v>
          </cell>
          <cell r="H11">
            <v>1.4999999999999999E-2</v>
          </cell>
        </row>
        <row r="12">
          <cell r="A12" t="str">
            <v>FLA011918</v>
          </cell>
          <cell r="B12" t="str">
            <v>Citrus Center Shopping Center WWTF</v>
          </cell>
          <cell r="C12" t="str">
            <v>High</v>
          </cell>
          <cell r="F12">
            <v>1.543599257884972</v>
          </cell>
          <cell r="G12">
            <v>1.6666666666666666E-2</v>
          </cell>
          <cell r="H12">
            <v>0.06</v>
          </cell>
        </row>
        <row r="13">
          <cell r="A13" t="str">
            <v>FLA011856</v>
          </cell>
          <cell r="B13" t="str">
            <v>Anchorage WWTF</v>
          </cell>
          <cell r="C13" t="str">
            <v>Medium</v>
          </cell>
          <cell r="F13">
            <v>12.894248608534323</v>
          </cell>
          <cell r="G13">
            <v>1.9230769230769236E-3</v>
          </cell>
          <cell r="H13">
            <v>2.6800000000000001E-2</v>
          </cell>
        </row>
        <row r="14">
          <cell r="A14" t="str">
            <v>FLA011920</v>
          </cell>
          <cell r="B14" t="str">
            <v>Inverness Park</v>
          </cell>
          <cell r="C14" t="str">
            <v>High</v>
          </cell>
          <cell r="F14">
            <v>2.4207792207792203</v>
          </cell>
          <cell r="G14">
            <v>2.3333333333333331E-3</v>
          </cell>
          <cell r="H14">
            <v>0.02</v>
          </cell>
        </row>
        <row r="15">
          <cell r="A15" t="str">
            <v>FLA011861</v>
          </cell>
          <cell r="B15" t="str">
            <v>Seven Rivers Regional Medical Center</v>
          </cell>
          <cell r="C15" t="str">
            <v>Medium</v>
          </cell>
          <cell r="F15">
            <v>6.2537462537462529</v>
          </cell>
          <cell r="G15">
            <v>2.009090909090909E-2</v>
          </cell>
          <cell r="H15">
            <v>0.05</v>
          </cell>
        </row>
        <row r="16">
          <cell r="A16" t="str">
            <v>FLA011863</v>
          </cell>
          <cell r="B16" t="str">
            <v>Lake Rousseau RV Park &amp; Fishing Resort, LLC</v>
          </cell>
          <cell r="C16" t="str">
            <v>High</v>
          </cell>
          <cell r="F16">
            <v>7.8525974025974037</v>
          </cell>
          <cell r="G16">
            <v>2.5833333333333333E-3</v>
          </cell>
          <cell r="H16">
            <v>0.01</v>
          </cell>
        </row>
        <row r="17">
          <cell r="A17" t="str">
            <v>FLA011876</v>
          </cell>
          <cell r="B17" t="str">
            <v>Indian Springs Utilities</v>
          </cell>
          <cell r="C17" t="str">
            <v>Medium</v>
          </cell>
          <cell r="F17">
            <v>8.1354359925788504</v>
          </cell>
          <cell r="G17">
            <v>3.4458333333333334E-2</v>
          </cell>
          <cell r="H17">
            <v>0.05</v>
          </cell>
        </row>
        <row r="18">
          <cell r="A18" t="str">
            <v>FLA011909</v>
          </cell>
          <cell r="B18" t="str">
            <v>Florida Power Nuclear Operations Training Center</v>
          </cell>
          <cell r="C18" t="str">
            <v>High</v>
          </cell>
          <cell r="F18">
            <v>4.1074211502782934</v>
          </cell>
          <cell r="G18">
            <v>6.7499999999999993E-4</v>
          </cell>
          <cell r="H18">
            <v>3.5000000000000001E-3</v>
          </cell>
        </row>
        <row r="19">
          <cell r="A19" t="str">
            <v>FLA011854</v>
          </cell>
          <cell r="B19" t="str">
            <v>Pelican Bay Apartments</v>
          </cell>
          <cell r="C19" t="str">
            <v>Medium</v>
          </cell>
          <cell r="F19">
            <v>4.6363636363636349</v>
          </cell>
          <cell r="G19">
            <v>6.4166666666666677E-3</v>
          </cell>
          <cell r="H19">
            <v>0.02</v>
          </cell>
        </row>
        <row r="20">
          <cell r="A20" t="str">
            <v>FLA011848</v>
          </cell>
          <cell r="B20" t="str">
            <v>Crystal River City Of WWTF</v>
          </cell>
          <cell r="C20" t="str">
            <v>High</v>
          </cell>
          <cell r="F20">
            <v>3.2857142857142856</v>
          </cell>
          <cell r="G20">
            <v>0.67439999999999989</v>
          </cell>
          <cell r="H20">
            <v>1.5</v>
          </cell>
        </row>
        <row r="21">
          <cell r="A21" t="str">
            <v>FLA011844</v>
          </cell>
          <cell r="B21" t="str">
            <v>Brentwood Regional WWTF</v>
          </cell>
          <cell r="C21" t="str">
            <v>High</v>
          </cell>
          <cell r="F21">
            <v>4.5888888888888886</v>
          </cell>
          <cell r="G21">
            <v>0.32978571428571429</v>
          </cell>
          <cell r="H21">
            <v>0.5</v>
          </cell>
        </row>
        <row r="22">
          <cell r="A22" t="str">
            <v>FLA011928</v>
          </cell>
          <cell r="B22" t="str">
            <v>Ventura Village Apartments WWTF</v>
          </cell>
          <cell r="C22" t="str">
            <v>High</v>
          </cell>
          <cell r="F22">
            <v>5.009990009990009</v>
          </cell>
          <cell r="G22">
            <v>2.0909090909090916E-3</v>
          </cell>
          <cell r="H22">
            <v>0.01</v>
          </cell>
        </row>
        <row r="23">
          <cell r="A23" t="str">
            <v>FLA011855</v>
          </cell>
          <cell r="B23" t="str">
            <v>Sandy Oaks RVP &amp; MHC WWTF</v>
          </cell>
          <cell r="C23" t="str">
            <v>High</v>
          </cell>
          <cell r="F23">
            <v>5.3917748917748911</v>
          </cell>
          <cell r="H23">
            <v>5.0000000000000001E-3</v>
          </cell>
        </row>
        <row r="24">
          <cell r="A24" t="str">
            <v>FLA011924</v>
          </cell>
          <cell r="B24" t="str">
            <v>Lecanto Hills MHP WWTF</v>
          </cell>
          <cell r="C24" t="str">
            <v>High</v>
          </cell>
          <cell r="F24">
            <v>2.9930069930069929</v>
          </cell>
          <cell r="G24">
            <v>5.3333333333333332E-3</v>
          </cell>
          <cell r="H24">
            <v>1.2E-2</v>
          </cell>
        </row>
        <row r="25">
          <cell r="A25" t="str">
            <v>FLA033065</v>
          </cell>
          <cell r="B25" t="str">
            <v>Island Condominiums WWTF</v>
          </cell>
          <cell r="C25" t="str">
            <v>Discharge</v>
          </cell>
          <cell r="F25">
            <v>6.2297702297702298</v>
          </cell>
          <cell r="G25">
            <v>1.5416666666666671E-2</v>
          </cell>
          <cell r="H25">
            <v>0.03</v>
          </cell>
        </row>
        <row r="26">
          <cell r="A26" t="str">
            <v>FLA011895</v>
          </cell>
          <cell r="B26" t="str">
            <v>Thunderbird MHP WWTF</v>
          </cell>
          <cell r="C26" t="str">
            <v>Medium</v>
          </cell>
          <cell r="F26">
            <v>2.31968031968032</v>
          </cell>
          <cell r="G26">
            <v>3.166666666666667E-3</v>
          </cell>
          <cell r="H26">
            <v>5.0000000000000001E-3</v>
          </cell>
        </row>
        <row r="27">
          <cell r="A27" t="str">
            <v>FLA011845</v>
          </cell>
          <cell r="B27" t="str">
            <v>Meadowcrest WWTF (RIB)</v>
          </cell>
          <cell r="C27" t="str">
            <v>High</v>
          </cell>
          <cell r="F27">
            <v>8.6444444444444439</v>
          </cell>
          <cell r="G27">
            <v>0.26678571428571429</v>
          </cell>
          <cell r="H27">
            <v>0</v>
          </cell>
        </row>
        <row r="28">
          <cell r="A28" t="str">
            <v>FLA011845</v>
          </cell>
          <cell r="B28" t="str">
            <v>Meadowcrest WWTF (golf Course)</v>
          </cell>
          <cell r="C28" t="str">
            <v>High</v>
          </cell>
          <cell r="F28">
            <v>8.6444444444444439</v>
          </cell>
          <cell r="G28">
            <v>0.33071428571428563</v>
          </cell>
        </row>
        <row r="29">
          <cell r="A29" t="str">
            <v>FLA011914</v>
          </cell>
          <cell r="B29" t="str">
            <v>Greenbriar Of Citrus Hills</v>
          </cell>
          <cell r="C29" t="str">
            <v>High</v>
          </cell>
          <cell r="F29">
            <v>5.1796536796536792</v>
          </cell>
          <cell r="G29">
            <v>2.6727272727272721E-2</v>
          </cell>
          <cell r="H29">
            <v>0.5</v>
          </cell>
        </row>
        <row r="31">
          <cell r="A31" t="str">
            <v>FLA011877</v>
          </cell>
          <cell r="B31" t="str">
            <v>Citrus Springs WWTF</v>
          </cell>
          <cell r="C31" t="str">
            <v>High</v>
          </cell>
          <cell r="F31">
            <v>8.4458874458874451</v>
          </cell>
          <cell r="G31">
            <v>8.4909090909090892E-2</v>
          </cell>
          <cell r="H31">
            <v>0.2</v>
          </cell>
        </row>
        <row r="32">
          <cell r="A32" t="str">
            <v>FLA011923</v>
          </cell>
          <cell r="B32" t="str">
            <v>Crystal Isle WWTF</v>
          </cell>
          <cell r="C32" t="str">
            <v>Medium</v>
          </cell>
          <cell r="F32">
            <v>13.044955044955042</v>
          </cell>
          <cell r="G32">
            <v>1.5916666666666669E-2</v>
          </cell>
          <cell r="H32">
            <v>0.2</v>
          </cell>
        </row>
        <row r="33">
          <cell r="A33" t="str">
            <v>FLA011849</v>
          </cell>
          <cell r="B33" t="str">
            <v>Crystal Acres MHP WWTF</v>
          </cell>
          <cell r="C33" t="str">
            <v>High</v>
          </cell>
          <cell r="F33">
            <v>1.0765800865800865</v>
          </cell>
          <cell r="G33">
            <v>3.0692307692307703E-3</v>
          </cell>
          <cell r="H33">
            <v>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
          <cell r="J4">
            <v>2.0333333333333336E-3</v>
          </cell>
          <cell r="K4">
            <v>3.0500000000000002E-3</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eptic_KB"/>
    </sheetNames>
    <sheetDataSet>
      <sheetData sheetId="0">
        <row r="2">
          <cell r="C2">
            <v>246</v>
          </cell>
        </row>
        <row r="3">
          <cell r="C3">
            <v>37812</v>
          </cell>
        </row>
        <row r="4">
          <cell r="C4">
            <v>3446</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achua"/>
      <sheetName val="Citrus"/>
      <sheetName val="Jackson"/>
      <sheetName val="Lake"/>
      <sheetName val="Levy"/>
      <sheetName val="Marion"/>
      <sheetName val="Sumter"/>
      <sheetName val="Putnam"/>
      <sheetName val="Volusia"/>
    </sheetNames>
    <sheetDataSet>
      <sheetData sheetId="0"/>
      <sheetData sheetId="1">
        <row r="2">
          <cell r="C2">
            <v>4549.83</v>
          </cell>
          <cell r="D2">
            <v>675.08</v>
          </cell>
          <cell r="E2">
            <v>1023.43</v>
          </cell>
        </row>
        <row r="3">
          <cell r="C3">
            <v>5311.11</v>
          </cell>
          <cell r="D3">
            <v>607.21</v>
          </cell>
          <cell r="E3">
            <v>1346.95</v>
          </cell>
        </row>
        <row r="4">
          <cell r="C4">
            <v>4884.0200000000004</v>
          </cell>
          <cell r="D4">
            <v>424.03</v>
          </cell>
          <cell r="E4">
            <v>1753.81</v>
          </cell>
        </row>
        <row r="5">
          <cell r="C5">
            <v>3627.82</v>
          </cell>
          <cell r="D5">
            <v>377.55</v>
          </cell>
          <cell r="E5">
            <v>985.43</v>
          </cell>
          <cell r="G5">
            <v>446.1</v>
          </cell>
          <cell r="K5">
            <v>2642.4</v>
          </cell>
        </row>
        <row r="6">
          <cell r="C6">
            <v>4877.8</v>
          </cell>
          <cell r="D6">
            <v>333.14</v>
          </cell>
          <cell r="E6">
            <v>2566.56</v>
          </cell>
          <cell r="G6">
            <v>565.34</v>
          </cell>
          <cell r="K6">
            <v>1745.9</v>
          </cell>
        </row>
        <row r="7">
          <cell r="C7">
            <v>6986.56</v>
          </cell>
          <cell r="D7">
            <v>537.78</v>
          </cell>
          <cell r="E7">
            <v>3437.92</v>
          </cell>
          <cell r="G7">
            <v>482.72</v>
          </cell>
          <cell r="K7">
            <v>3065.9300000000003</v>
          </cell>
        </row>
        <row r="8">
          <cell r="C8">
            <v>5475.43</v>
          </cell>
          <cell r="D8">
            <v>548.35</v>
          </cell>
          <cell r="E8">
            <v>3006.22</v>
          </cell>
          <cell r="G8">
            <v>442.26</v>
          </cell>
          <cell r="K8">
            <v>2026.9699999999998</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tabSelected="1" workbookViewId="0">
      <selection activeCell="A16" sqref="A16"/>
    </sheetView>
  </sheetViews>
  <sheetFormatPr defaultRowHeight="15" x14ac:dyDescent="0.25"/>
  <cols>
    <col min="1" max="1" width="127.85546875" customWidth="1"/>
  </cols>
  <sheetData>
    <row r="2" spans="1:1" ht="56.25" x14ac:dyDescent="0.25">
      <c r="A2" s="443" t="s">
        <v>263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8"/>
  <sheetViews>
    <sheetView zoomScale="90" zoomScaleNormal="90" workbookViewId="0">
      <pane ySplit="2" topLeftCell="A10" activePane="bottomLeft" state="frozen"/>
      <selection pane="bottomLeft" activeCell="C3" sqref="C3"/>
    </sheetView>
  </sheetViews>
  <sheetFormatPr defaultRowHeight="15" x14ac:dyDescent="0.25"/>
  <cols>
    <col min="1" max="1" width="2" customWidth="1"/>
    <col min="2" max="2" width="10.140625" bestFit="1" customWidth="1"/>
    <col min="3" max="3" width="46" style="105" bestFit="1" customWidth="1"/>
    <col min="4" max="4" width="21.7109375" style="105" bestFit="1" customWidth="1"/>
    <col min="5" max="5" width="12" style="322" bestFit="1" customWidth="1"/>
    <col min="6" max="6" width="13.28515625" bestFit="1" customWidth="1"/>
    <col min="7" max="7" width="9.7109375" bestFit="1" customWidth="1"/>
    <col min="8" max="8" width="9.5703125" bestFit="1" customWidth="1"/>
    <col min="9" max="9" width="15.85546875" bestFit="1" customWidth="1"/>
    <col min="10" max="10" width="8.85546875" bestFit="1" customWidth="1"/>
    <col min="11" max="11" width="10" bestFit="1" customWidth="1"/>
    <col min="12" max="12" width="8.5703125" bestFit="1" customWidth="1"/>
    <col min="13" max="13" width="10.85546875" style="102" customWidth="1"/>
    <col min="14" max="14" width="6.28515625" style="102" customWidth="1"/>
    <col min="15" max="15" width="2.85546875" customWidth="1"/>
    <col min="16" max="16" width="17.5703125" bestFit="1" customWidth="1"/>
    <col min="17" max="17" width="24.42578125" bestFit="1" customWidth="1"/>
    <col min="18" max="18" width="9.5703125" bestFit="1" customWidth="1"/>
    <col min="19" max="19" width="9.7109375" bestFit="1" customWidth="1"/>
    <col min="20" max="20" width="8.42578125" bestFit="1" customWidth="1"/>
    <col min="21" max="21" width="9" bestFit="1" customWidth="1"/>
  </cols>
  <sheetData>
    <row r="1" spans="2:20" s="106" customFormat="1" ht="31.5" customHeight="1" x14ac:dyDescent="0.25">
      <c r="B1" s="352" t="s">
        <v>60</v>
      </c>
      <c r="C1" s="401" t="s">
        <v>61</v>
      </c>
      <c r="D1" s="352" t="s">
        <v>134</v>
      </c>
      <c r="E1" s="400" t="s">
        <v>135</v>
      </c>
      <c r="F1" s="352" t="s">
        <v>136</v>
      </c>
      <c r="G1" s="402" t="s">
        <v>67</v>
      </c>
      <c r="H1" s="357" t="s">
        <v>68</v>
      </c>
      <c r="K1" s="357" t="s">
        <v>245</v>
      </c>
      <c r="L1" s="357"/>
      <c r="M1" s="352" t="s">
        <v>246</v>
      </c>
      <c r="N1" s="352"/>
      <c r="P1" s="352" t="s">
        <v>152</v>
      </c>
    </row>
    <row r="2" spans="2:20" s="106" customFormat="1" ht="16.5" customHeight="1" x14ac:dyDescent="0.25">
      <c r="B2" s="352"/>
      <c r="C2" s="401"/>
      <c r="D2" s="352"/>
      <c r="E2" s="400"/>
      <c r="F2" s="352"/>
      <c r="G2" s="403"/>
      <c r="H2" s="357"/>
      <c r="K2" s="160" t="s">
        <v>46</v>
      </c>
      <c r="L2" s="160" t="s">
        <v>47</v>
      </c>
      <c r="M2" s="316" t="s">
        <v>46</v>
      </c>
      <c r="N2" s="316" t="s">
        <v>47</v>
      </c>
      <c r="P2" s="352"/>
    </row>
    <row r="3" spans="2:20" s="187" customFormat="1" x14ac:dyDescent="0.25">
      <c r="B3" s="187" t="str">
        <f>'[7]WWTF Summary'!A2</f>
        <v>FLA011878</v>
      </c>
      <c r="C3" s="318" t="str">
        <f>'[7]WWTF Summary'!B2</f>
        <v>Citrus Springs Elementary School</v>
      </c>
      <c r="D3" s="404" t="s">
        <v>236</v>
      </c>
      <c r="E3" s="404"/>
      <c r="F3" s="404"/>
      <c r="G3" s="404"/>
      <c r="H3" s="404"/>
      <c r="I3" s="404"/>
      <c r="J3" s="404"/>
      <c r="K3" s="404"/>
      <c r="L3" s="404"/>
      <c r="M3" s="320"/>
      <c r="N3" s="320"/>
      <c r="Q3" s="399" t="s">
        <v>153</v>
      </c>
      <c r="R3" s="399"/>
      <c r="S3" s="319"/>
      <c r="T3" s="319"/>
    </row>
    <row r="4" spans="2:20" x14ac:dyDescent="0.25">
      <c r="B4" t="str">
        <f>'[7]WWTF Summary'!A4</f>
        <v>FLA011869</v>
      </c>
      <c r="C4" s="105" t="str">
        <f>'[7]WWTF Summary'!B4</f>
        <v>Beverly Hills WWTF</v>
      </c>
      <c r="D4" s="162">
        <f>'[7]WWTF Summary'!H4</f>
        <v>0.57499999999999996</v>
      </c>
      <c r="E4" s="321">
        <f>'[7]WWTF Summary'!G4</f>
        <v>0.46026666666666666</v>
      </c>
      <c r="F4" s="163">
        <f t="shared" ref="F4:F32" si="0">E4*1000000*3.785412*365</f>
        <v>635939121.56800008</v>
      </c>
      <c r="G4" s="165">
        <f>'[7]WWTF Summary'!F4</f>
        <v>6.2636363636363646</v>
      </c>
      <c r="H4" s="161" t="str">
        <f>'[7]WWTF Summary'!C4</f>
        <v>High</v>
      </c>
      <c r="I4" t="s">
        <v>242</v>
      </c>
      <c r="K4" s="84">
        <f t="shared" ref="K4:K32" si="1">IF($K$2=H4,(G4*(0.000002204623)*F4),)</f>
        <v>8781.6558513811979</v>
      </c>
      <c r="L4" s="84">
        <f t="shared" ref="L4:L32" si="2">IF($L$2=H4,(G4*(0.000002204623)*F4),)</f>
        <v>0</v>
      </c>
      <c r="M4" s="84"/>
      <c r="N4" s="84"/>
      <c r="Q4" s="399"/>
      <c r="R4" s="399"/>
    </row>
    <row r="5" spans="2:20" x14ac:dyDescent="0.25">
      <c r="B5" s="258" t="str">
        <f>'[7]WWTF Summary'!A5</f>
        <v>FLA011915</v>
      </c>
      <c r="C5" s="295" t="str">
        <f>'[7]WWTF Summary'!B5</f>
        <v>Forest View</v>
      </c>
      <c r="D5" s="162">
        <f>'[7]WWTF Summary'!H5</f>
        <v>0.34499999999999997</v>
      </c>
      <c r="E5" s="322">
        <f>'[7]WWTF Summary'!G5</f>
        <v>2.9000000000000001E-2</v>
      </c>
      <c r="F5" s="163">
        <f t="shared" si="0"/>
        <v>40068586.020000003</v>
      </c>
      <c r="G5" s="164">
        <f>'[7]WWTF Summary'!F5</f>
        <v>4.8891108891108885</v>
      </c>
      <c r="H5" s="161" t="str">
        <f>'[7]WWTF Summary'!C5</f>
        <v>Medium</v>
      </c>
      <c r="I5" s="102" t="s">
        <v>242</v>
      </c>
      <c r="K5" s="84">
        <f t="shared" si="1"/>
        <v>0</v>
      </c>
      <c r="L5" s="296">
        <f t="shared" si="2"/>
        <v>431.88511707915308</v>
      </c>
      <c r="M5" s="296"/>
      <c r="N5" s="296"/>
      <c r="Q5" s="399"/>
      <c r="R5" s="399"/>
    </row>
    <row r="6" spans="2:20" x14ac:dyDescent="0.25">
      <c r="B6" t="str">
        <f>'[7]WWTF Summary'!A6</f>
        <v>FLA011846</v>
      </c>
      <c r="C6" s="105" t="str">
        <f>'[7]WWTF Summary'!B6</f>
        <v>New Horizons WWTF</v>
      </c>
      <c r="D6" s="162">
        <f>'[7]WWTF Summary'!H6</f>
        <v>0.01</v>
      </c>
      <c r="E6" s="322">
        <f>'[7]WWTF Summary'!G6</f>
        <v>4.000000000000001E-3</v>
      </c>
      <c r="F6" s="163">
        <f t="shared" si="0"/>
        <v>5526701.5200000014</v>
      </c>
      <c r="G6" s="164">
        <f>'[7]WWTF Summary'!F6</f>
        <v>5.4905094905094902</v>
      </c>
      <c r="H6" s="161" t="str">
        <f>'[7]WWTF Summary'!C6</f>
        <v>High</v>
      </c>
      <c r="I6" s="102" t="s">
        <v>242</v>
      </c>
      <c r="K6" s="84">
        <f t="shared" si="1"/>
        <v>66.897977917140651</v>
      </c>
      <c r="L6" s="84">
        <f t="shared" si="2"/>
        <v>0</v>
      </c>
      <c r="M6" s="84"/>
      <c r="N6" s="84"/>
      <c r="Q6" s="399"/>
      <c r="R6" s="399"/>
    </row>
    <row r="7" spans="2:20" x14ac:dyDescent="0.25">
      <c r="B7" t="str">
        <f>'[7]WWTF Summary'!A7</f>
        <v>FLA011921</v>
      </c>
      <c r="C7" s="105" t="str">
        <f>'[7]WWTF Summary'!B7</f>
        <v>Canterbury Lake Estates</v>
      </c>
      <c r="D7" s="162">
        <f>'[7]WWTF Summary'!H7</f>
        <v>9.5000000000000001E-2</v>
      </c>
      <c r="E7" s="322">
        <f>'[7]WWTF Summary'!G7</f>
        <v>2.4888888888888891E-2</v>
      </c>
      <c r="F7" s="163">
        <f t="shared" si="0"/>
        <v>34388365.013333336</v>
      </c>
      <c r="G7" s="164">
        <f>'[7]WWTF Summary'!F7</f>
        <v>3.046753246753247</v>
      </c>
      <c r="H7" s="161" t="str">
        <f>'[7]WWTF Summary'!C7</f>
        <v>High</v>
      </c>
      <c r="I7" s="102" t="s">
        <v>242</v>
      </c>
      <c r="K7" s="84">
        <f t="shared" si="1"/>
        <v>230.98466300531598</v>
      </c>
      <c r="L7" s="84">
        <f t="shared" si="2"/>
        <v>0</v>
      </c>
      <c r="M7" s="84"/>
      <c r="N7" s="84"/>
    </row>
    <row r="8" spans="2:20" x14ac:dyDescent="0.25">
      <c r="B8" s="258" t="str">
        <f>'[7]WWTF Summary'!A8</f>
        <v>FLA011913</v>
      </c>
      <c r="C8" s="295" t="str">
        <f>'[7]WWTF Summary'!B8</f>
        <v>River Cove Landings WWTF</v>
      </c>
      <c r="D8" s="162">
        <f>'[7]WWTF Summary'!H8</f>
        <v>0.01</v>
      </c>
      <c r="E8" s="322">
        <f>'[7]WWTF Summary'!G8</f>
        <v>1.8000000000000002E-3</v>
      </c>
      <c r="F8" s="163">
        <f>E8*1000000*3.785412*365</f>
        <v>2487015.6840000004</v>
      </c>
      <c r="G8" s="164">
        <f>'[7]WWTF Summary'!F8</f>
        <v>5.0259740259740244</v>
      </c>
      <c r="H8" s="161" t="str">
        <f>'[7]WWTF Summary'!C8</f>
        <v>Discharge</v>
      </c>
      <c r="I8" s="102" t="s">
        <v>243</v>
      </c>
      <c r="K8" s="84">
        <f t="shared" si="1"/>
        <v>0</v>
      </c>
      <c r="L8" s="84">
        <f t="shared" si="2"/>
        <v>0</v>
      </c>
      <c r="M8" s="84"/>
      <c r="N8" s="84"/>
      <c r="Q8" s="258" t="s">
        <v>216</v>
      </c>
    </row>
    <row r="9" spans="2:20" x14ac:dyDescent="0.25">
      <c r="B9" s="258" t="str">
        <f>'[7]WWTF Summary'!A10</f>
        <v>FLA011872</v>
      </c>
      <c r="C9" s="295" t="str">
        <f>'[7]WWTF Summary'!B10</f>
        <v>Imperial Gardens MHP</v>
      </c>
      <c r="D9" s="162">
        <f>'[7]WWTF Summary'!H10</f>
        <v>5.0000000000000001E-3</v>
      </c>
      <c r="E9" s="322">
        <f>'[7]WWTF Summary'!G10</f>
        <v>2.5000000000000001E-3</v>
      </c>
      <c r="F9" s="163">
        <f t="shared" si="0"/>
        <v>3454188.45</v>
      </c>
      <c r="G9" s="164">
        <f>'[7]WWTF Summary'!F10</f>
        <v>3.9998144712430435</v>
      </c>
      <c r="H9" s="161" t="str">
        <f>'[7]WWTF Summary'!C10</f>
        <v>Medium</v>
      </c>
      <c r="I9" s="102" t="s">
        <v>242</v>
      </c>
      <c r="K9" s="84">
        <f t="shared" si="1"/>
        <v>0</v>
      </c>
      <c r="L9" s="296">
        <f t="shared" si="2"/>
        <v>30.45932037732516</v>
      </c>
      <c r="M9" s="296"/>
      <c r="N9" s="296"/>
      <c r="Q9" s="258" t="s">
        <v>47</v>
      </c>
      <c r="R9" s="296">
        <f>L12+L18+L31</f>
        <v>798.61594882445434</v>
      </c>
      <c r="S9" s="297"/>
    </row>
    <row r="10" spans="2:20" x14ac:dyDescent="0.25">
      <c r="B10" t="str">
        <f>'[7]WWTF Summary'!A11</f>
        <v>FLA011922</v>
      </c>
      <c r="C10" s="105" t="str">
        <f>'[7]WWTF Summary'!B11</f>
        <v>Quality Inn</v>
      </c>
      <c r="D10" s="162">
        <f>'[7]WWTF Summary'!H11</f>
        <v>1.4999999999999999E-2</v>
      </c>
      <c r="E10" s="322">
        <f>'[7]WWTF Summary'!G11</f>
        <v>5.1833333333333332E-3</v>
      </c>
      <c r="F10" s="163">
        <f t="shared" si="0"/>
        <v>7161684.0529999994</v>
      </c>
      <c r="G10" s="164">
        <f>'[7]WWTF Summary'!F11</f>
        <v>14.617382617382617</v>
      </c>
      <c r="H10" s="161" t="str">
        <f>'[7]WWTF Summary'!C11</f>
        <v>Medium</v>
      </c>
      <c r="I10" s="102" t="s">
        <v>242</v>
      </c>
      <c r="K10" s="84">
        <f t="shared" si="1"/>
        <v>0</v>
      </c>
      <c r="L10" s="84">
        <f t="shared" si="2"/>
        <v>230.79112627880892</v>
      </c>
      <c r="M10" s="84"/>
      <c r="N10" s="84"/>
      <c r="Q10" s="258" t="s">
        <v>58</v>
      </c>
      <c r="R10" s="296">
        <f>(G8*(0.000002204623)*F8)+(G25*(0.000002204623)*F25)</f>
        <v>320.10893416785314</v>
      </c>
      <c r="S10" s="297"/>
    </row>
    <row r="11" spans="2:20" x14ac:dyDescent="0.25">
      <c r="B11" t="str">
        <f>'[7]WWTF Summary'!A12</f>
        <v>FLA011918</v>
      </c>
      <c r="C11" s="105" t="str">
        <f>'[7]WWTF Summary'!B12</f>
        <v>Citrus Center Shopping Center WWTF</v>
      </c>
      <c r="D11" s="162">
        <f>'[7]WWTF Summary'!H12</f>
        <v>0.06</v>
      </c>
      <c r="E11" s="322">
        <f>'[7]WWTF Summary'!G12</f>
        <v>1.6666666666666666E-2</v>
      </c>
      <c r="F11" s="163">
        <f t="shared" si="0"/>
        <v>23027923</v>
      </c>
      <c r="G11" s="164">
        <f>'[7]WWTF Summary'!F12</f>
        <v>1.543599257884972</v>
      </c>
      <c r="H11" s="161" t="str">
        <f>'[7]WWTF Summary'!C12</f>
        <v>High</v>
      </c>
      <c r="I11" s="102" t="s">
        <v>242</v>
      </c>
      <c r="K11" s="84">
        <f t="shared" si="1"/>
        <v>78.365275303228429</v>
      </c>
      <c r="L11" s="84">
        <f t="shared" si="2"/>
        <v>0</v>
      </c>
      <c r="M11" s="84"/>
      <c r="N11" s="84"/>
    </row>
    <row r="12" spans="2:20" x14ac:dyDescent="0.25">
      <c r="B12" s="258" t="str">
        <f>'[7]WWTF Summary'!A13</f>
        <v>FLA011856</v>
      </c>
      <c r="C12" s="295" t="str">
        <f>'[7]WWTF Summary'!B13</f>
        <v>Anchorage WWTF</v>
      </c>
      <c r="D12" s="162">
        <f>'[7]WWTF Summary'!H13</f>
        <v>2.6800000000000001E-2</v>
      </c>
      <c r="E12" s="322">
        <f>'[7]WWTF Summary'!G13</f>
        <v>1.9230769230769236E-3</v>
      </c>
      <c r="F12" s="163">
        <f t="shared" si="0"/>
        <v>2657068.038461539</v>
      </c>
      <c r="G12" s="164">
        <f>'[7]WWTF Summary'!F13</f>
        <v>12.894248608534323</v>
      </c>
      <c r="H12" s="161" t="str">
        <f>'[7]WWTF Summary'!C13</f>
        <v>Medium</v>
      </c>
      <c r="I12" s="102" t="s">
        <v>242</v>
      </c>
      <c r="K12" s="84">
        <f t="shared" si="1"/>
        <v>0</v>
      </c>
      <c r="L12" s="296">
        <f t="shared" si="2"/>
        <v>75.532359008520402</v>
      </c>
      <c r="M12" s="296"/>
      <c r="N12" s="296"/>
      <c r="R12" s="84">
        <f>SUM(R9:R10)</f>
        <v>1118.7248829923074</v>
      </c>
    </row>
    <row r="13" spans="2:20" x14ac:dyDescent="0.25">
      <c r="B13" t="str">
        <f>'[7]WWTF Summary'!A14</f>
        <v>FLA011920</v>
      </c>
      <c r="C13" s="105" t="str">
        <f>'[7]WWTF Summary'!B14</f>
        <v>Inverness Park</v>
      </c>
      <c r="D13" s="162">
        <f>'[7]WWTF Summary'!H14</f>
        <v>0.02</v>
      </c>
      <c r="E13" s="322">
        <f>'[7]WWTF Summary'!G14</f>
        <v>2.3333333333333331E-3</v>
      </c>
      <c r="F13" s="163">
        <f t="shared" si="0"/>
        <v>3223909.2199999997</v>
      </c>
      <c r="G13" s="164">
        <f>'[7]WWTF Summary'!F14</f>
        <v>2.4207792207792203</v>
      </c>
      <c r="H13" s="161" t="str">
        <f>'[7]WWTF Summary'!C14</f>
        <v>High</v>
      </c>
      <c r="I13" s="102" t="s">
        <v>241</v>
      </c>
      <c r="M13" s="84">
        <f>IF($K$2=H13,(G13*(0.000002204623)*F13),)</f>
        <v>17.205699002633821</v>
      </c>
      <c r="N13" s="84">
        <f>IF($L$2=H13,(G13*(0.000002204623)*F13),)</f>
        <v>0</v>
      </c>
    </row>
    <row r="14" spans="2:20" x14ac:dyDescent="0.25">
      <c r="B14" t="str">
        <f>'[7]WWTF Summary'!A15</f>
        <v>FLA011861</v>
      </c>
      <c r="C14" s="105" t="str">
        <f>'[7]WWTF Summary'!B15</f>
        <v>Seven Rivers Regional Medical Center</v>
      </c>
      <c r="D14" s="162">
        <f>'[7]WWTF Summary'!H15</f>
        <v>0.05</v>
      </c>
      <c r="E14" s="322">
        <f>'[7]WWTF Summary'!G15</f>
        <v>2.009090909090909E-2</v>
      </c>
      <c r="F14" s="163">
        <f t="shared" si="0"/>
        <v>27759114.452727269</v>
      </c>
      <c r="G14" s="164">
        <f>'[7]WWTF Summary'!F15</f>
        <v>6.2537462537462529</v>
      </c>
      <c r="H14" s="161" t="str">
        <f>'[7]WWTF Summary'!C15</f>
        <v>Medium</v>
      </c>
      <c r="I14" s="102" t="s">
        <v>242</v>
      </c>
      <c r="K14" s="84">
        <f t="shared" si="1"/>
        <v>0</v>
      </c>
      <c r="L14" s="84">
        <f t="shared" si="2"/>
        <v>382.71915330673284</v>
      </c>
      <c r="M14" s="84"/>
      <c r="N14" s="84"/>
    </row>
    <row r="15" spans="2:20" x14ac:dyDescent="0.25">
      <c r="B15" t="str">
        <f>'[7]WWTF Summary'!A16</f>
        <v>FLA011863</v>
      </c>
      <c r="C15" s="105" t="str">
        <f>'[7]WWTF Summary'!B16</f>
        <v>Lake Rousseau RV Park &amp; Fishing Resort, LLC</v>
      </c>
      <c r="D15" s="162">
        <f>'[7]WWTF Summary'!H16</f>
        <v>0.01</v>
      </c>
      <c r="E15" s="322">
        <f>'[7]WWTF Summary'!G16</f>
        <v>2.5833333333333333E-3</v>
      </c>
      <c r="F15" s="163">
        <f t="shared" si="0"/>
        <v>3569328.0649999999</v>
      </c>
      <c r="G15" s="164">
        <f>'[7]WWTF Summary'!F16</f>
        <v>7.8525974025974037</v>
      </c>
      <c r="H15" s="161" t="str">
        <f>'[7]WWTF Summary'!C16</f>
        <v>High</v>
      </c>
      <c r="I15" s="102" t="s">
        <v>242</v>
      </c>
      <c r="K15" s="84">
        <f t="shared" si="1"/>
        <v>61.792267581280441</v>
      </c>
      <c r="L15" s="84">
        <f t="shared" si="2"/>
        <v>0</v>
      </c>
      <c r="M15" s="84"/>
      <c r="N15" s="84"/>
      <c r="Q15" s="257" t="s">
        <v>258</v>
      </c>
    </row>
    <row r="16" spans="2:20" x14ac:dyDescent="0.25">
      <c r="B16" t="str">
        <f>'[7]WWTF Summary'!A17</f>
        <v>FLA011876</v>
      </c>
      <c r="C16" s="105" t="str">
        <f>'[7]WWTF Summary'!B17</f>
        <v>Indian Springs Utilities</v>
      </c>
      <c r="D16" s="162">
        <f>'[7]WWTF Summary'!H17</f>
        <v>0.05</v>
      </c>
      <c r="E16" s="322">
        <f>'[7]WWTF Summary'!G17</f>
        <v>3.4458333333333334E-2</v>
      </c>
      <c r="F16" s="163">
        <f t="shared" si="0"/>
        <v>47610230.802500002</v>
      </c>
      <c r="G16" s="164">
        <f>'[7]WWTF Summary'!F17</f>
        <v>8.1354359925788504</v>
      </c>
      <c r="H16" s="161" t="str">
        <f>'[7]WWTF Summary'!C17</f>
        <v>Medium</v>
      </c>
      <c r="I16" s="102" t="s">
        <v>242</v>
      </c>
      <c r="K16" s="84">
        <f t="shared" si="1"/>
        <v>0</v>
      </c>
      <c r="L16" s="84">
        <f t="shared" si="2"/>
        <v>853.91659415039408</v>
      </c>
      <c r="M16" s="84"/>
      <c r="N16" s="84"/>
      <c r="Q16" s="326" t="s">
        <v>259</v>
      </c>
    </row>
    <row r="17" spans="2:17" x14ac:dyDescent="0.25">
      <c r="B17" s="258" t="str">
        <f>'[7]WWTF Summary'!A18</f>
        <v>FLA011909</v>
      </c>
      <c r="C17" s="295" t="str">
        <f>'[7]WWTF Summary'!B18</f>
        <v>Florida Power Nuclear Operations Training Center</v>
      </c>
      <c r="D17" s="162">
        <f>'[7]WWTF Summary'!H18</f>
        <v>3.5000000000000001E-3</v>
      </c>
      <c r="E17" s="322">
        <f>'[7]WWTF Summary'!G18</f>
        <v>6.7499999999999993E-4</v>
      </c>
      <c r="F17" s="163">
        <f t="shared" si="0"/>
        <v>932630.88149999978</v>
      </c>
      <c r="G17" s="164">
        <f>'[7]WWTF Summary'!F18</f>
        <v>4.1074211502782934</v>
      </c>
      <c r="H17" s="161" t="str">
        <f>'[7]WWTF Summary'!C18</f>
        <v>High</v>
      </c>
      <c r="I17" s="102" t="s">
        <v>242</v>
      </c>
      <c r="K17" s="296">
        <f t="shared" si="1"/>
        <v>8.4452665399634679</v>
      </c>
      <c r="L17" s="84">
        <f t="shared" si="2"/>
        <v>0</v>
      </c>
      <c r="M17" s="84"/>
      <c r="N17" s="84"/>
    </row>
    <row r="18" spans="2:17" x14ac:dyDescent="0.25">
      <c r="B18" s="258" t="str">
        <f>'[7]WWTF Summary'!A19</f>
        <v>FLA011854</v>
      </c>
      <c r="C18" s="295" t="str">
        <f>'[7]WWTF Summary'!B19</f>
        <v>Pelican Bay Apartments</v>
      </c>
      <c r="D18" s="162">
        <f>'[7]WWTF Summary'!H19</f>
        <v>0.02</v>
      </c>
      <c r="E18" s="322">
        <f>'[7]WWTF Summary'!G19</f>
        <v>6.4166666666666677E-3</v>
      </c>
      <c r="F18" s="163">
        <f t="shared" si="0"/>
        <v>8865750.3550000023</v>
      </c>
      <c r="G18" s="164">
        <f>'[7]WWTF Summary'!F19</f>
        <v>4.6363636363636349</v>
      </c>
      <c r="H18" s="161" t="str">
        <f>'[7]WWTF Summary'!C19</f>
        <v>Medium</v>
      </c>
      <c r="I18" s="102" t="s">
        <v>242</v>
      </c>
      <c r="K18" s="84">
        <f t="shared" si="1"/>
        <v>0</v>
      </c>
      <c r="L18" s="296">
        <f t="shared" si="2"/>
        <v>90.620681308131765</v>
      </c>
      <c r="M18" s="296"/>
      <c r="N18" s="296"/>
    </row>
    <row r="19" spans="2:17" x14ac:dyDescent="0.25">
      <c r="B19" t="str">
        <f>'[7]WWTF Summary'!A20</f>
        <v>FLA011848</v>
      </c>
      <c r="C19" s="203" t="str">
        <f>'[7]WWTF Summary'!B20</f>
        <v>Crystal River City Of WWTF</v>
      </c>
      <c r="D19" s="162">
        <f>'[7]WWTF Summary'!H20</f>
        <v>1.5</v>
      </c>
      <c r="E19" s="321">
        <f>'[7]WWTF Summary'!G20</f>
        <v>0.67439999999999989</v>
      </c>
      <c r="F19" s="163">
        <f t="shared" si="0"/>
        <v>931801876.27199984</v>
      </c>
      <c r="G19" s="165">
        <f>'[7]WWTF Summary'!F20</f>
        <v>3.2857142857142856</v>
      </c>
      <c r="H19" s="161" t="str">
        <f>'[7]WWTF Summary'!C20</f>
        <v>High</v>
      </c>
      <c r="I19" s="102" t="s">
        <v>241</v>
      </c>
      <c r="M19" s="84">
        <f>IF($K$2=H19,(G19*(0.000002204623)*F19),)</f>
        <v>6749.7503572950445</v>
      </c>
      <c r="N19" s="84">
        <f>IF($L$2=H19,(G19*(0.000002204623)*F19),)</f>
        <v>0</v>
      </c>
    </row>
    <row r="20" spans="2:17" x14ac:dyDescent="0.25">
      <c r="B20" t="str">
        <f>'[7]WWTF Summary'!A21</f>
        <v>FLA011844</v>
      </c>
      <c r="C20" s="105" t="str">
        <f>'[7]WWTF Summary'!B21</f>
        <v>Brentwood Regional WWTF</v>
      </c>
      <c r="D20" s="162">
        <f>'[7]WWTF Summary'!H21</f>
        <v>0.5</v>
      </c>
      <c r="E20" s="321">
        <f>'[7]WWTF Summary'!G21</f>
        <v>0.32978571428571429</v>
      </c>
      <c r="F20" s="163">
        <f t="shared" si="0"/>
        <v>455656802.10428578</v>
      </c>
      <c r="G20" s="165">
        <f>'[7]WWTF Summary'!F21</f>
        <v>4.5888888888888886</v>
      </c>
      <c r="H20" s="161" t="str">
        <f>'[7]WWTF Summary'!C21</f>
        <v>High</v>
      </c>
      <c r="I20" s="102" t="s">
        <v>242</v>
      </c>
      <c r="K20" s="84">
        <f t="shared" si="1"/>
        <v>4609.7750607617218</v>
      </c>
      <c r="L20" s="84">
        <f t="shared" si="2"/>
        <v>0</v>
      </c>
      <c r="M20" s="84"/>
      <c r="N20" s="84"/>
    </row>
    <row r="21" spans="2:17" x14ac:dyDescent="0.25">
      <c r="B21" t="str">
        <f>'[7]WWTF Summary'!A22</f>
        <v>FLA011928</v>
      </c>
      <c r="C21" s="105" t="str">
        <f>'[7]WWTF Summary'!B22</f>
        <v>Ventura Village Apartments WWTF</v>
      </c>
      <c r="D21" s="162">
        <f>'[7]WWTF Summary'!H22</f>
        <v>0.01</v>
      </c>
      <c r="E21" s="322">
        <f>'[7]WWTF Summary'!G22</f>
        <v>2.0909090909090916E-3</v>
      </c>
      <c r="F21" s="163">
        <f t="shared" si="0"/>
        <v>2888957.6127272733</v>
      </c>
      <c r="G21" s="164">
        <f>'[7]WWTF Summary'!F22</f>
        <v>5.009990009990009</v>
      </c>
      <c r="H21" s="161" t="str">
        <f>'[7]WWTF Summary'!C22</f>
        <v>High</v>
      </c>
      <c r="I21" s="102" t="s">
        <v>244</v>
      </c>
      <c r="K21" s="84">
        <f t="shared" si="1"/>
        <v>31.908938992211635</v>
      </c>
      <c r="L21" s="84">
        <f t="shared" si="2"/>
        <v>0</v>
      </c>
      <c r="M21" s="84"/>
      <c r="N21" s="84"/>
    </row>
    <row r="22" spans="2:17" x14ac:dyDescent="0.25">
      <c r="B22" t="str">
        <f>'[7]WWTF Summary'!A23</f>
        <v>FLA011855</v>
      </c>
      <c r="C22" s="203" t="str">
        <f>'[7]WWTF Summary'!B23</f>
        <v>Sandy Oaks RVP &amp; MHC WWTF</v>
      </c>
      <c r="D22" s="162">
        <f>'[7]WWTF Summary'!H23</f>
        <v>5.0000000000000001E-3</v>
      </c>
      <c r="E22" s="322">
        <f>[7]FLA011855!$J$4</f>
        <v>2.0333333333333336E-3</v>
      </c>
      <c r="F22" s="163">
        <f t="shared" si="0"/>
        <v>2809406.6060000006</v>
      </c>
      <c r="G22" s="164">
        <f>'[7]WWTF Summary'!F23</f>
        <v>5.3917748917748911</v>
      </c>
      <c r="H22" s="161" t="str">
        <f>'[7]WWTF Summary'!C23</f>
        <v>High</v>
      </c>
      <c r="I22" s="102" t="s">
        <v>241</v>
      </c>
      <c r="K22" s="84"/>
      <c r="L22" s="84"/>
      <c r="M22" s="84">
        <f>IF($K$2=H22,(G22*(0.000002204623)*F22),)</f>
        <v>33.394941359457555</v>
      </c>
      <c r="N22" s="84">
        <f>IF($L$2=H22,(G22*(0.000002204623)*F22),)</f>
        <v>0</v>
      </c>
    </row>
    <row r="23" spans="2:17" s="102" customFormat="1" x14ac:dyDescent="0.25">
      <c r="B23" s="102" t="s">
        <v>239</v>
      </c>
      <c r="C23" s="203" t="s">
        <v>240</v>
      </c>
      <c r="D23" s="162">
        <v>5.0000000000000001E-3</v>
      </c>
      <c r="E23" s="322">
        <f>[7]FLA011855!$K$4</f>
        <v>3.0500000000000002E-3</v>
      </c>
      <c r="F23" s="163">
        <v>2809406.6060000006</v>
      </c>
      <c r="G23" s="164">
        <v>5.3917748917748911</v>
      </c>
      <c r="H23" s="317" t="s">
        <v>46</v>
      </c>
      <c r="I23" s="102" t="s">
        <v>242</v>
      </c>
      <c r="K23" s="84">
        <f t="shared" ref="K23" si="3">IF($K$2=H23,(G23*(0.000002204623)*F23),)</f>
        <v>33.394941359457555</v>
      </c>
      <c r="L23" s="84">
        <f t="shared" ref="L23" si="4">IF($L$2=H23,(G23*(0.000002204623)*F23),)</f>
        <v>0</v>
      </c>
      <c r="M23" s="84"/>
      <c r="N23" s="84"/>
    </row>
    <row r="24" spans="2:17" x14ac:dyDescent="0.25">
      <c r="B24" t="str">
        <f>'[7]WWTF Summary'!A24</f>
        <v>FLA011924</v>
      </c>
      <c r="C24" s="105" t="str">
        <f>'[7]WWTF Summary'!B24</f>
        <v>Lecanto Hills MHP WWTF</v>
      </c>
      <c r="D24" s="162">
        <f>'[7]WWTF Summary'!H24</f>
        <v>1.2E-2</v>
      </c>
      <c r="E24" s="322">
        <f>'[7]WWTF Summary'!G24</f>
        <v>5.3333333333333332E-3</v>
      </c>
      <c r="F24" s="163">
        <f t="shared" si="0"/>
        <v>7368935.3599999994</v>
      </c>
      <c r="G24" s="164">
        <f>'[7]WWTF Summary'!F24</f>
        <v>2.9930069930069929</v>
      </c>
      <c r="H24" s="161" t="str">
        <f>'[7]WWTF Summary'!C24</f>
        <v>High</v>
      </c>
      <c r="I24" s="102" t="s">
        <v>242</v>
      </c>
      <c r="K24" s="84">
        <f t="shared" si="1"/>
        <v>48.623566676310851</v>
      </c>
      <c r="L24" s="84">
        <f t="shared" si="2"/>
        <v>0</v>
      </c>
      <c r="M24" s="84"/>
      <c r="N24" s="84"/>
    </row>
    <row r="25" spans="2:17" x14ac:dyDescent="0.25">
      <c r="B25" s="258" t="str">
        <f>'[7]WWTF Summary'!A25</f>
        <v>FLA033065</v>
      </c>
      <c r="C25" s="295" t="str">
        <f>'[7]WWTF Summary'!B25</f>
        <v>Island Condominiums WWTF</v>
      </c>
      <c r="D25" s="162">
        <f>'[7]WWTF Summary'!H25</f>
        <v>0.03</v>
      </c>
      <c r="E25" s="322">
        <f>'[7]WWTF Summary'!G25</f>
        <v>1.5416666666666671E-2</v>
      </c>
      <c r="F25" s="163">
        <f t="shared" si="0"/>
        <v>21300828.775000006</v>
      </c>
      <c r="G25" s="164">
        <f>'[7]WWTF Summary'!F25</f>
        <v>6.2297702297702298</v>
      </c>
      <c r="H25" s="161" t="str">
        <f>'[7]WWTF Summary'!C25</f>
        <v>Discharge</v>
      </c>
      <c r="I25" s="102" t="s">
        <v>242</v>
      </c>
      <c r="K25" s="84">
        <f t="shared" si="1"/>
        <v>0</v>
      </c>
      <c r="L25" s="84">
        <f t="shared" si="2"/>
        <v>0</v>
      </c>
      <c r="M25" s="84"/>
      <c r="N25" s="84"/>
    </row>
    <row r="26" spans="2:17" x14ac:dyDescent="0.25">
      <c r="B26" t="str">
        <f>'[7]WWTF Summary'!A26</f>
        <v>FLA011895</v>
      </c>
      <c r="C26" s="105" t="str">
        <f>'[7]WWTF Summary'!B26</f>
        <v>Thunderbird MHP WWTF</v>
      </c>
      <c r="D26" s="162">
        <f>'[7]WWTF Summary'!H26</f>
        <v>5.0000000000000001E-3</v>
      </c>
      <c r="E26" s="322">
        <f>'[7]WWTF Summary'!G26</f>
        <v>3.166666666666667E-3</v>
      </c>
      <c r="F26" s="163">
        <f t="shared" si="0"/>
        <v>4375305.37</v>
      </c>
      <c r="G26" s="164">
        <f>'[7]WWTF Summary'!F26</f>
        <v>2.31968031968032</v>
      </c>
      <c r="H26" s="161" t="str">
        <f>'[7]WWTF Summary'!C26</f>
        <v>Medium</v>
      </c>
      <c r="I26" s="102" t="s">
        <v>242</v>
      </c>
      <c r="K26" s="84">
        <f t="shared" si="1"/>
        <v>0</v>
      </c>
      <c r="L26" s="84">
        <f t="shared" si="2"/>
        <v>22.375401729654985</v>
      </c>
      <c r="M26" s="84"/>
      <c r="N26" s="84"/>
    </row>
    <row r="27" spans="2:17" s="102" customFormat="1" x14ac:dyDescent="0.25">
      <c r="B27" s="102" t="str">
        <f>'[7]WWTF Summary'!A27</f>
        <v>FLA011845</v>
      </c>
      <c r="C27" s="105" t="str">
        <f>'[7]WWTF Summary'!B27</f>
        <v>Meadowcrest WWTF (RIB)</v>
      </c>
      <c r="D27" s="162">
        <f>'[7]WWTF Summary'!H27</f>
        <v>0</v>
      </c>
      <c r="E27" s="321">
        <f>'[7]WWTF Summary'!G27</f>
        <v>0.26678571428571429</v>
      </c>
      <c r="F27" s="163">
        <f t="shared" ref="F27" si="5">E27*1000000*3.785412*365</f>
        <v>368611253.16428578</v>
      </c>
      <c r="G27" s="165">
        <f>'[7]WWTF Summary'!F27</f>
        <v>8.6444444444444439</v>
      </c>
      <c r="H27" s="186" t="str">
        <f>'[7]WWTF Summary'!C27</f>
        <v>High</v>
      </c>
      <c r="I27" s="102" t="s">
        <v>242</v>
      </c>
      <c r="K27" s="84">
        <f t="shared" ref="K27" si="6">IF($K$2=H27,(G27*(0.000002204623)*F27),)</f>
        <v>7024.897808873111</v>
      </c>
      <c r="L27" s="84">
        <f t="shared" ref="L27" si="7">IF($L$2=H27,(G27*(0.000002204623)*F27),)</f>
        <v>0</v>
      </c>
      <c r="M27" s="84"/>
      <c r="N27" s="84"/>
    </row>
    <row r="28" spans="2:17" x14ac:dyDescent="0.25">
      <c r="B28" t="str">
        <f>'[7]WWTF Summary'!A28</f>
        <v>FLA011845</v>
      </c>
      <c r="C28" s="105" t="str">
        <f>'[7]WWTF Summary'!B28</f>
        <v>Meadowcrest WWTF (golf Course)</v>
      </c>
      <c r="D28" s="162">
        <f>'[7]WWTF Summary'!H28</f>
        <v>0</v>
      </c>
      <c r="E28" s="321">
        <f>'[7]WWTF Summary'!G28</f>
        <v>0.33071428571428563</v>
      </c>
      <c r="F28" s="163">
        <f t="shared" si="0"/>
        <v>456939786.38571411</v>
      </c>
      <c r="G28" s="165">
        <f>'[7]WWTF Summary'!F28</f>
        <v>8.6444444444444439</v>
      </c>
      <c r="H28" s="161" t="str">
        <f>'[7]WWTF Summary'!C28</f>
        <v>High</v>
      </c>
      <c r="I28" s="102"/>
      <c r="L28" s="84">
        <f t="shared" si="2"/>
        <v>0</v>
      </c>
      <c r="M28" s="84"/>
      <c r="N28" s="84"/>
      <c r="P28" s="84">
        <f>IF($K$2=H28,(G28*(0.000002204623)*F28),)</f>
        <v>8708.2401218427003</v>
      </c>
      <c r="Q28" s="47">
        <f>P28*0.4535924</f>
        <v>3949.9915366429227</v>
      </c>
    </row>
    <row r="29" spans="2:17" x14ac:dyDescent="0.25">
      <c r="B29" t="str">
        <f>'[7]WWTF Summary'!A29</f>
        <v>FLA011914</v>
      </c>
      <c r="C29" s="105" t="str">
        <f>'[7]WWTF Summary'!B29</f>
        <v>Greenbriar Of Citrus Hills</v>
      </c>
      <c r="D29" s="162">
        <f>'[7]WWTF Summary'!H29</f>
        <v>0.5</v>
      </c>
      <c r="E29" s="322">
        <f>'[7]WWTF Summary'!G29</f>
        <v>2.6727272727272721E-2</v>
      </c>
      <c r="F29" s="163">
        <f t="shared" si="0"/>
        <v>36928414.701818176</v>
      </c>
      <c r="G29" s="164">
        <f>'[7]WWTF Summary'!F29</f>
        <v>5.1796536796536792</v>
      </c>
      <c r="H29" s="161" t="str">
        <f>'[7]WWTF Summary'!C29</f>
        <v>High</v>
      </c>
      <c r="I29" s="102" t="s">
        <v>242</v>
      </c>
      <c r="K29" s="84">
        <f t="shared" si="1"/>
        <v>421.69234879992081</v>
      </c>
      <c r="L29" s="84">
        <f t="shared" si="2"/>
        <v>0</v>
      </c>
      <c r="M29" s="84"/>
      <c r="N29" s="84"/>
    </row>
    <row r="30" spans="2:17" x14ac:dyDescent="0.25">
      <c r="B30" t="str">
        <f>'[7]WWTF Summary'!A31</f>
        <v>FLA011877</v>
      </c>
      <c r="C30" s="105" t="str">
        <f>'[7]WWTF Summary'!B31</f>
        <v>Citrus Springs WWTF</v>
      </c>
      <c r="D30" s="162">
        <f>'[7]WWTF Summary'!H31</f>
        <v>0.2</v>
      </c>
      <c r="E30" s="322">
        <f>'[7]WWTF Summary'!G31</f>
        <v>8.4909090909090892E-2</v>
      </c>
      <c r="F30" s="163">
        <f t="shared" si="0"/>
        <v>117316800.4472727</v>
      </c>
      <c r="G30" s="164">
        <f>'[7]WWTF Summary'!F31</f>
        <v>8.4458874458874451</v>
      </c>
      <c r="H30" s="161" t="str">
        <f>'[7]WWTF Summary'!C31</f>
        <v>High</v>
      </c>
      <c r="I30" s="102" t="s">
        <v>242</v>
      </c>
      <c r="K30" s="84">
        <f>IF($K$2=H30,(G30*(0.000002204623)*F30),)</f>
        <v>2184.4385566833957</v>
      </c>
      <c r="L30" s="84">
        <f t="shared" si="2"/>
        <v>0</v>
      </c>
      <c r="M30" s="84"/>
      <c r="N30" s="84"/>
    </row>
    <row r="31" spans="2:17" x14ac:dyDescent="0.25">
      <c r="B31" s="258" t="str">
        <f>'[7]WWTF Summary'!A32</f>
        <v>FLA011923</v>
      </c>
      <c r="C31" s="295" t="str">
        <f>'[7]WWTF Summary'!B32</f>
        <v>Crystal Isle WWTF</v>
      </c>
      <c r="D31" s="162">
        <f>'[7]WWTF Summary'!H32</f>
        <v>0.2</v>
      </c>
      <c r="E31" s="322">
        <f>'[7]WWTF Summary'!G32</f>
        <v>1.5916666666666669E-2</v>
      </c>
      <c r="F31" s="163">
        <f t="shared" si="0"/>
        <v>21991666.465000004</v>
      </c>
      <c r="G31" s="164">
        <f>'[7]WWTF Summary'!F32</f>
        <v>13.044955044955042</v>
      </c>
      <c r="H31" s="161" t="str">
        <f>'[7]WWTF Summary'!C32</f>
        <v>Medium</v>
      </c>
      <c r="I31" s="102" t="s">
        <v>242</v>
      </c>
      <c r="K31" s="84">
        <f t="shared" si="1"/>
        <v>0</v>
      </c>
      <c r="L31" s="296">
        <f t="shared" si="2"/>
        <v>632.46290850780213</v>
      </c>
      <c r="M31" s="296"/>
      <c r="N31" s="296"/>
    </row>
    <row r="32" spans="2:17" x14ac:dyDescent="0.25">
      <c r="B32" t="str">
        <f>'[7]WWTF Summary'!A33</f>
        <v>FLA011849</v>
      </c>
      <c r="C32" s="105" t="str">
        <f>'[7]WWTF Summary'!B33</f>
        <v>Crystal Acres MHP WWTF</v>
      </c>
      <c r="D32" s="162">
        <f>'[7]WWTF Summary'!H33</f>
        <v>0.01</v>
      </c>
      <c r="E32" s="322">
        <f>'[7]WWTF Summary'!G33</f>
        <v>3.0692307692307703E-3</v>
      </c>
      <c r="F32" s="163">
        <f t="shared" si="0"/>
        <v>4240680.5893846173</v>
      </c>
      <c r="G32" s="164">
        <f>'[7]WWTF Summary'!F33</f>
        <v>1.0765800865800865</v>
      </c>
      <c r="H32" s="161" t="str">
        <f>'[7]WWTF Summary'!C33</f>
        <v>High</v>
      </c>
      <c r="I32" s="102" t="s">
        <v>242</v>
      </c>
      <c r="K32" s="84">
        <f t="shared" si="1"/>
        <v>10.065057000784314</v>
      </c>
      <c r="L32" s="84">
        <f t="shared" si="2"/>
        <v>0</v>
      </c>
      <c r="M32" s="84"/>
      <c r="N32" s="84"/>
    </row>
    <row r="33" spans="3:8" x14ac:dyDescent="0.25">
      <c r="C33" s="105">
        <f>COUNTA(C3:C32)</f>
        <v>30</v>
      </c>
      <c r="E33" s="322">
        <f>COUNTIF(E$3:E$32,"&gt;=0.1")</f>
        <v>5</v>
      </c>
      <c r="H33">
        <f>COUNTA(H10:H32)</f>
        <v>23</v>
      </c>
    </row>
    <row r="34" spans="3:8" x14ac:dyDescent="0.25">
      <c r="D34" s="105" t="s">
        <v>256</v>
      </c>
      <c r="E34" s="325">
        <f>COUNTIF(E$3:E$32,"&gt;=0.01")</f>
        <v>14</v>
      </c>
    </row>
    <row r="35" spans="3:8" x14ac:dyDescent="0.25">
      <c r="D35" s="105" t="s">
        <v>257</v>
      </c>
      <c r="E35" s="325">
        <f>COUNTIF(E$3:E$32,"&gt;=0.1")</f>
        <v>5</v>
      </c>
    </row>
    <row r="36" spans="3:8" x14ac:dyDescent="0.25">
      <c r="F36" t="s">
        <v>24</v>
      </c>
      <c r="G36" s="41">
        <f>MIN(G3:G32)</f>
        <v>1.0765800865800865</v>
      </c>
    </row>
    <row r="37" spans="3:8" x14ac:dyDescent="0.25">
      <c r="F37" t="s">
        <v>25</v>
      </c>
      <c r="G37" s="41">
        <f>MAX(G3:G32)</f>
        <v>14.617382617382617</v>
      </c>
    </row>
    <row r="38" spans="3:8" x14ac:dyDescent="0.25">
      <c r="F38" t="s">
        <v>222</v>
      </c>
      <c r="G38" s="41">
        <f>AVERAGE(G3:G32)</f>
        <v>5.9111702856530437</v>
      </c>
    </row>
  </sheetData>
  <mergeCells count="12">
    <mergeCell ref="P1:P2"/>
    <mergeCell ref="Q3:R6"/>
    <mergeCell ref="B1:B2"/>
    <mergeCell ref="F1:F2"/>
    <mergeCell ref="E1:E2"/>
    <mergeCell ref="K1:L1"/>
    <mergeCell ref="C1:C2"/>
    <mergeCell ref="D1:D2"/>
    <mergeCell ref="G1:G2"/>
    <mergeCell ref="H1:H2"/>
    <mergeCell ref="D3:L3"/>
    <mergeCell ref="M1:N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K15" sqref="K15"/>
    </sheetView>
  </sheetViews>
  <sheetFormatPr defaultRowHeight="15" x14ac:dyDescent="0.25"/>
  <cols>
    <col min="1" max="1" width="3.28515625" customWidth="1"/>
    <col min="2" max="2" width="20.42578125" bestFit="1" customWidth="1"/>
    <col min="3" max="3" width="9.85546875" customWidth="1"/>
    <col min="4" max="4" width="8" customWidth="1"/>
    <col min="5" max="5" width="8.28515625" bestFit="1" customWidth="1"/>
    <col min="6" max="6" width="13.5703125" bestFit="1" customWidth="1"/>
    <col min="8" max="8" width="11.5703125" bestFit="1" customWidth="1"/>
  </cols>
  <sheetData>
    <row r="1" spans="1:8" x14ac:dyDescent="0.25">
      <c r="A1" s="44"/>
      <c r="B1" s="405" t="s">
        <v>97</v>
      </c>
      <c r="C1" s="405"/>
      <c r="D1" s="405"/>
      <c r="E1" s="405"/>
      <c r="F1" s="45">
        <v>9.92</v>
      </c>
    </row>
    <row r="2" spans="1:8" x14ac:dyDescent="0.25">
      <c r="A2" s="44"/>
      <c r="B2" s="44"/>
      <c r="C2" s="44"/>
      <c r="D2" s="44"/>
      <c r="E2" s="44"/>
      <c r="F2" s="44"/>
    </row>
    <row r="3" spans="1:8" ht="15.75" thickBot="1" x14ac:dyDescent="0.3">
      <c r="A3" s="44"/>
      <c r="B3" s="44"/>
      <c r="C3" s="44"/>
      <c r="D3" s="44"/>
      <c r="E3" s="44"/>
      <c r="F3" s="44"/>
    </row>
    <row r="4" spans="1:8" ht="15" customHeight="1" x14ac:dyDescent="0.25">
      <c r="A4" s="44"/>
      <c r="B4" s="418" t="s">
        <v>0</v>
      </c>
      <c r="C4" s="416" t="s">
        <v>34</v>
      </c>
      <c r="D4" s="414" t="s">
        <v>31</v>
      </c>
      <c r="E4" s="408" t="s">
        <v>32</v>
      </c>
      <c r="F4" s="409"/>
      <c r="G4" s="410"/>
    </row>
    <row r="5" spans="1:8" ht="24" x14ac:dyDescent="0.25">
      <c r="A5" s="44"/>
      <c r="B5" s="419"/>
      <c r="C5" s="417"/>
      <c r="D5" s="415"/>
      <c r="E5" s="116" t="s">
        <v>33</v>
      </c>
      <c r="F5" s="117" t="s">
        <v>35</v>
      </c>
      <c r="G5" s="118" t="s">
        <v>36</v>
      </c>
      <c r="H5" s="299" t="s">
        <v>223</v>
      </c>
    </row>
    <row r="6" spans="1:8" s="49" customFormat="1" x14ac:dyDescent="0.25">
      <c r="B6" s="420" t="s">
        <v>89</v>
      </c>
      <c r="C6" s="411">
        <f>(C12/C13)</f>
        <v>2.2310754454694806</v>
      </c>
      <c r="D6" s="67" t="s">
        <v>43</v>
      </c>
      <c r="E6" s="46">
        <f>[8]totalSeptic_KB!$C$2</f>
        <v>246</v>
      </c>
      <c r="F6" s="46">
        <f>C6*E6</f>
        <v>548.84455958549222</v>
      </c>
      <c r="G6" s="48">
        <f t="shared" ref="G6" si="0">F6*$F$1</f>
        <v>5444.5380310880828</v>
      </c>
      <c r="H6" s="84">
        <f>0.4535924*G6</f>
        <v>2469.6010724125181</v>
      </c>
    </row>
    <row r="7" spans="1:8" s="49" customFormat="1" x14ac:dyDescent="0.25">
      <c r="B7" s="421"/>
      <c r="C7" s="412"/>
      <c r="D7" s="67" t="s">
        <v>44</v>
      </c>
      <c r="E7" s="46">
        <f>[8]totalSeptic_KB!$C$4</f>
        <v>3446</v>
      </c>
      <c r="F7" s="46">
        <f>C6*E7</f>
        <v>7688.2859850878303</v>
      </c>
      <c r="G7" s="204">
        <f>F7*$F$1</f>
        <v>76267.796972071272</v>
      </c>
      <c r="H7" s="84">
        <f t="shared" ref="H7:H9" si="1">0.4535924*G7</f>
        <v>34594.493071274541</v>
      </c>
    </row>
    <row r="8" spans="1:8" s="49" customFormat="1" ht="15.75" thickBot="1" x14ac:dyDescent="0.3">
      <c r="B8" s="422"/>
      <c r="C8" s="413"/>
      <c r="D8" s="68" t="s">
        <v>45</v>
      </c>
      <c r="E8" s="69">
        <f>[8]totalSeptic_KB!$C$3</f>
        <v>37812</v>
      </c>
      <c r="F8" s="69">
        <f>C6*E8</f>
        <v>84361.424744092001</v>
      </c>
      <c r="G8" s="70">
        <f>F8*$F$1</f>
        <v>836865.33346139267</v>
      </c>
      <c r="H8" s="84">
        <f t="shared" si="1"/>
        <v>379595.75508155342</v>
      </c>
    </row>
    <row r="9" spans="1:8" s="49" customFormat="1" ht="15.75" thickBot="1" x14ac:dyDescent="0.3">
      <c r="B9" s="406" t="s">
        <v>8</v>
      </c>
      <c r="C9" s="407"/>
      <c r="D9" s="407"/>
      <c r="E9" s="113">
        <f>SUM(E6:E8)</f>
        <v>41504</v>
      </c>
      <c r="F9" s="114">
        <f>SUM(F6:F8)</f>
        <v>92598.555288765318</v>
      </c>
      <c r="G9" s="115">
        <f>SUM(G6:G8)</f>
        <v>918577.66846455203</v>
      </c>
      <c r="H9" s="47">
        <f t="shared" si="1"/>
        <v>416659.84922524047</v>
      </c>
    </row>
    <row r="10" spans="1:8" s="49" customFormat="1" x14ac:dyDescent="0.25">
      <c r="B10" s="44"/>
      <c r="C10" s="44"/>
      <c r="D10" s="47"/>
      <c r="E10" s="47"/>
      <c r="F10" s="44"/>
      <c r="G10"/>
    </row>
    <row r="11" spans="1:8" s="49" customFormat="1" x14ac:dyDescent="0.25">
      <c r="B11" s="44"/>
      <c r="C11" s="44"/>
      <c r="D11" s="47"/>
      <c r="E11" s="47"/>
      <c r="F11" s="44"/>
      <c r="G11"/>
    </row>
    <row r="12" spans="1:8" s="49" customFormat="1" x14ac:dyDescent="0.25">
      <c r="B12" s="44" t="s">
        <v>93</v>
      </c>
      <c r="C12" s="44">
        <v>141236</v>
      </c>
      <c r="D12" s="44"/>
      <c r="E12" s="44"/>
      <c r="F12" s="44"/>
      <c r="G12"/>
    </row>
    <row r="13" spans="1:8" s="49" customFormat="1" x14ac:dyDescent="0.25">
      <c r="B13" s="44" t="s">
        <v>94</v>
      </c>
      <c r="C13" s="44">
        <v>63304</v>
      </c>
      <c r="D13" s="44"/>
      <c r="E13" s="44"/>
      <c r="F13" s="44"/>
      <c r="G13"/>
    </row>
    <row r="14" spans="1:8" s="49" customFormat="1" x14ac:dyDescent="0.25">
      <c r="B14" s="44"/>
      <c r="C14" s="44"/>
      <c r="D14" s="44"/>
      <c r="E14" s="44"/>
      <c r="F14" s="44"/>
      <c r="G14"/>
    </row>
    <row r="15" spans="1:8" s="49" customFormat="1" x14ac:dyDescent="0.25">
      <c r="B15"/>
      <c r="C15"/>
      <c r="D15"/>
      <c r="E15"/>
      <c r="F15"/>
      <c r="G15"/>
    </row>
    <row r="16" spans="1:8" s="49" customFormat="1" x14ac:dyDescent="0.25">
      <c r="B16"/>
      <c r="C16"/>
      <c r="D16"/>
      <c r="E16"/>
      <c r="F16"/>
      <c r="G16"/>
    </row>
    <row r="17" spans="1:7" x14ac:dyDescent="0.25">
      <c r="A17" s="44"/>
    </row>
    <row r="18" spans="1:7" x14ac:dyDescent="0.25">
      <c r="A18" s="44"/>
    </row>
    <row r="19" spans="1:7" x14ac:dyDescent="0.25">
      <c r="A19" s="44"/>
    </row>
    <row r="20" spans="1:7" x14ac:dyDescent="0.25">
      <c r="A20" s="44"/>
    </row>
    <row r="21" spans="1:7" x14ac:dyDescent="0.25">
      <c r="A21" s="44"/>
    </row>
    <row r="22" spans="1:7" x14ac:dyDescent="0.25">
      <c r="A22" s="44"/>
    </row>
    <row r="23" spans="1:7" x14ac:dyDescent="0.25">
      <c r="A23" s="44"/>
    </row>
    <row r="24" spans="1:7" x14ac:dyDescent="0.25">
      <c r="A24" s="44"/>
    </row>
    <row r="25" spans="1:7" x14ac:dyDescent="0.25">
      <c r="A25" s="44"/>
    </row>
    <row r="26" spans="1:7" s="72" customFormat="1" x14ac:dyDescent="0.25">
      <c r="B26"/>
      <c r="C26"/>
      <c r="D26"/>
      <c r="E26"/>
      <c r="F26"/>
      <c r="G26"/>
    </row>
    <row r="27" spans="1:7" x14ac:dyDescent="0.25">
      <c r="A27" s="44"/>
    </row>
    <row r="28" spans="1:7" x14ac:dyDescent="0.25">
      <c r="A28" s="44"/>
    </row>
    <row r="29" spans="1:7" x14ac:dyDescent="0.25">
      <c r="A29" s="44"/>
    </row>
    <row r="30" spans="1:7" x14ac:dyDescent="0.25">
      <c r="A30" s="44"/>
    </row>
    <row r="31" spans="1:7" x14ac:dyDescent="0.25">
      <c r="A31" s="44"/>
    </row>
    <row r="32" spans="1:7" x14ac:dyDescent="0.25">
      <c r="A32" s="44"/>
    </row>
    <row r="33" spans="1:1" x14ac:dyDescent="0.25">
      <c r="A33" s="44"/>
    </row>
    <row r="34" spans="1:1" x14ac:dyDescent="0.25">
      <c r="A34" s="44"/>
    </row>
  </sheetData>
  <mergeCells count="8">
    <mergeCell ref="B1:E1"/>
    <mergeCell ref="B9:D9"/>
    <mergeCell ref="E4:G4"/>
    <mergeCell ref="C6:C8"/>
    <mergeCell ref="D4:D5"/>
    <mergeCell ref="C4:C5"/>
    <mergeCell ref="B4:B5"/>
    <mergeCell ref="B6:B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79"/>
  <sheetViews>
    <sheetView workbookViewId="0">
      <selection activeCell="D25" sqref="D25"/>
    </sheetView>
  </sheetViews>
  <sheetFormatPr defaultRowHeight="15" x14ac:dyDescent="0.25"/>
  <cols>
    <col min="1" max="1" width="3.42578125" customWidth="1"/>
    <col min="2" max="2" width="9.140625" customWidth="1"/>
    <col min="3" max="3" width="14.5703125" customWidth="1"/>
    <col min="4" max="4" width="14.28515625" customWidth="1"/>
    <col min="5" max="5" width="14.28515625" style="49" customWidth="1"/>
    <col min="6" max="6" width="14.42578125" customWidth="1"/>
    <col min="7" max="8" width="11.7109375" bestFit="1" customWidth="1"/>
    <col min="9" max="9" width="9.140625" customWidth="1"/>
    <col min="11" max="11" width="23" customWidth="1"/>
    <col min="12" max="12" width="15.7109375" bestFit="1" customWidth="1"/>
    <col min="13" max="13" width="15.5703125" customWidth="1"/>
    <col min="16" max="16" width="10.5703125" bestFit="1" customWidth="1"/>
  </cols>
  <sheetData>
    <row r="1" spans="1:107" ht="34.5" customHeight="1" x14ac:dyDescent="0.25">
      <c r="A1" s="53"/>
      <c r="B1" s="32" t="s">
        <v>21</v>
      </c>
      <c r="C1" s="60" t="s">
        <v>37</v>
      </c>
      <c r="D1" s="60" t="s">
        <v>38</v>
      </c>
      <c r="E1" s="60" t="s">
        <v>39</v>
      </c>
      <c r="F1" s="60" t="s">
        <v>99</v>
      </c>
      <c r="G1" s="61" t="s">
        <v>100</v>
      </c>
      <c r="H1" s="61" t="s">
        <v>149</v>
      </c>
      <c r="I1" s="181" t="s">
        <v>73</v>
      </c>
      <c r="J1" s="64"/>
      <c r="K1" s="104" t="s">
        <v>69</v>
      </c>
      <c r="L1" s="103" t="s">
        <v>76</v>
      </c>
      <c r="M1" s="103"/>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3"/>
      <c r="DA1" s="53"/>
      <c r="DB1" s="53"/>
      <c r="DC1" s="53"/>
    </row>
    <row r="2" spans="1:107" x14ac:dyDescent="0.25">
      <c r="A2" s="423" t="s">
        <v>89</v>
      </c>
      <c r="B2" s="424"/>
      <c r="C2" s="54"/>
      <c r="D2" s="54"/>
      <c r="E2" s="54"/>
      <c r="F2" s="54"/>
      <c r="G2" s="62"/>
      <c r="H2" s="62"/>
      <c r="I2" s="55"/>
      <c r="J2" s="65"/>
      <c r="K2" s="50" t="s">
        <v>87</v>
      </c>
      <c r="L2" s="50">
        <v>30</v>
      </c>
      <c r="M2" s="107"/>
      <c r="N2" s="51"/>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5"/>
      <c r="DA2" s="55"/>
      <c r="DB2" s="55"/>
      <c r="DC2" s="55"/>
    </row>
    <row r="3" spans="1:107" x14ac:dyDescent="0.25">
      <c r="A3" s="56"/>
      <c r="B3" s="50">
        <v>2006</v>
      </c>
      <c r="C3" s="71">
        <f>[9]Citrus!C2</f>
        <v>4549.83</v>
      </c>
      <c r="D3" s="71">
        <f>[9]Citrus!D2</f>
        <v>675.08</v>
      </c>
      <c r="E3" s="65">
        <f>D3/C3</f>
        <v>0.14837477444212202</v>
      </c>
      <c r="F3" s="108">
        <f>D3*2000</f>
        <v>1350160</v>
      </c>
      <c r="G3" s="129">
        <f>([9]Citrus!$E2*E3)*2000</f>
        <v>303702.39081460185</v>
      </c>
      <c r="H3" s="129"/>
      <c r="I3" s="49"/>
      <c r="J3" s="65"/>
      <c r="K3" s="102" t="s">
        <v>70</v>
      </c>
      <c r="L3" s="49">
        <v>150</v>
      </c>
      <c r="M3" s="107"/>
      <c r="N3" s="51"/>
      <c r="O3" s="49"/>
      <c r="P3" s="47"/>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row>
    <row r="4" spans="1:107" x14ac:dyDescent="0.25">
      <c r="A4" s="56"/>
      <c r="B4" s="50">
        <v>2007</v>
      </c>
      <c r="C4" s="71">
        <f>[9]Citrus!C3</f>
        <v>5311.11</v>
      </c>
      <c r="D4" s="71">
        <f>[9]Citrus!D3</f>
        <v>607.21</v>
      </c>
      <c r="E4" s="65">
        <f t="shared" ref="E4:E9" si="0">D4/C4</f>
        <v>0.11432826659587168</v>
      </c>
      <c r="F4" s="108">
        <f t="shared" ref="F4:F9" si="1">D4*2000</f>
        <v>1214420</v>
      </c>
      <c r="G4" s="129">
        <f>([9]Citrus!$E3*E4)*2000</f>
        <v>307988.91738261876</v>
      </c>
      <c r="H4" s="129"/>
      <c r="I4" s="49"/>
      <c r="J4" s="65"/>
      <c r="K4" s="102" t="s">
        <v>71</v>
      </c>
      <c r="L4" s="107">
        <v>150</v>
      </c>
      <c r="M4" s="107"/>
      <c r="N4" s="51"/>
      <c r="O4" s="49"/>
      <c r="P4" s="47"/>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row>
    <row r="5" spans="1:107" x14ac:dyDescent="0.25">
      <c r="A5" s="56"/>
      <c r="B5" s="50">
        <v>2008</v>
      </c>
      <c r="C5" s="71">
        <f>[9]Citrus!C4</f>
        <v>4884.0200000000004</v>
      </c>
      <c r="D5" s="71">
        <f>[9]Citrus!D4</f>
        <v>424.03</v>
      </c>
      <c r="E5" s="65">
        <f t="shared" si="0"/>
        <v>8.6819873792490593E-2</v>
      </c>
      <c r="F5" s="108">
        <f t="shared" si="1"/>
        <v>848060</v>
      </c>
      <c r="G5" s="129">
        <f>([9]Citrus!$E4*E5)*2000</f>
        <v>304531.12571201584</v>
      </c>
      <c r="H5" s="129"/>
      <c r="I5" s="49"/>
      <c r="J5" s="65"/>
      <c r="K5" s="102" t="s">
        <v>72</v>
      </c>
      <c r="L5" s="49">
        <v>80</v>
      </c>
      <c r="M5" s="107"/>
      <c r="N5" s="51"/>
      <c r="O5" s="49"/>
      <c r="P5" s="47"/>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row>
    <row r="6" spans="1:107" x14ac:dyDescent="0.25">
      <c r="A6" s="56"/>
      <c r="B6" s="50">
        <v>2009</v>
      </c>
      <c r="C6" s="71">
        <f>[9]Citrus!C5</f>
        <v>3627.82</v>
      </c>
      <c r="D6" s="71">
        <f>[9]Citrus!D5</f>
        <v>377.55</v>
      </c>
      <c r="E6" s="65">
        <f t="shared" si="0"/>
        <v>0.10407076426063035</v>
      </c>
      <c r="F6" s="108">
        <f t="shared" si="1"/>
        <v>755100</v>
      </c>
      <c r="G6" s="129">
        <f>([9]Citrus!$E5*E6)*2000</f>
        <v>205108.90645070592</v>
      </c>
      <c r="H6" s="129">
        <f>([9]Citrus!$K5*E6)*2000</f>
        <v>549993.17496457917</v>
      </c>
      <c r="I6" s="109">
        <f>([9]Citrus!G5*E6)*2000</f>
        <v>92851.935873334398</v>
      </c>
      <c r="J6" s="65"/>
      <c r="K6" s="102" t="s">
        <v>74</v>
      </c>
      <c r="L6" s="102">
        <v>150</v>
      </c>
      <c r="M6" s="107"/>
      <c r="N6" s="51"/>
      <c r="O6" s="49"/>
      <c r="P6" s="47"/>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row>
    <row r="7" spans="1:107" x14ac:dyDescent="0.25">
      <c r="A7" s="56"/>
      <c r="B7" s="50">
        <v>2010</v>
      </c>
      <c r="C7" s="71">
        <f>[9]Citrus!C6</f>
        <v>4877.8</v>
      </c>
      <c r="D7" s="71">
        <f>[9]Citrus!D6</f>
        <v>333.14</v>
      </c>
      <c r="E7" s="65">
        <f t="shared" si="0"/>
        <v>6.8297183156340965E-2</v>
      </c>
      <c r="F7" s="108">
        <f t="shared" si="1"/>
        <v>666280</v>
      </c>
      <c r="G7" s="129">
        <f>([9]Citrus!$E6*E7)*2000</f>
        <v>350577.63680347695</v>
      </c>
      <c r="H7" s="129">
        <f>([9]Citrus!$K6*E7)*2000</f>
        <v>238480.1041453114</v>
      </c>
      <c r="I7" s="109">
        <f>([9]Citrus!G6*E7)*2000</f>
        <v>77222.259051211615</v>
      </c>
      <c r="J7" s="65"/>
      <c r="K7" s="102" t="s">
        <v>75</v>
      </c>
      <c r="L7" s="102">
        <v>150</v>
      </c>
      <c r="M7" s="107"/>
      <c r="N7" s="51"/>
      <c r="O7" s="49"/>
      <c r="P7" s="47"/>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row>
    <row r="8" spans="1:107" x14ac:dyDescent="0.25">
      <c r="A8" s="56"/>
      <c r="B8" s="50">
        <v>2011</v>
      </c>
      <c r="C8" s="71">
        <f>[9]Citrus!C7</f>
        <v>6986.56</v>
      </c>
      <c r="D8" s="71">
        <f>[9]Citrus!D7</f>
        <v>537.78</v>
      </c>
      <c r="E8" s="65">
        <f t="shared" si="0"/>
        <v>7.6973503412265831E-2</v>
      </c>
      <c r="F8" s="108">
        <f t="shared" si="1"/>
        <v>1075560</v>
      </c>
      <c r="G8" s="129">
        <f>([9]Citrus!$E7*E8)*2000</f>
        <v>529257.49370219384</v>
      </c>
      <c r="H8" s="129">
        <f>([9]Citrus!$K7*E8)*2000</f>
        <v>471990.74663353642</v>
      </c>
      <c r="I8" s="109">
        <f>([9]Citrus!G7*E8)*2000</f>
        <v>74313.299134337925</v>
      </c>
      <c r="J8" s="65"/>
      <c r="K8" s="102" t="s">
        <v>64</v>
      </c>
      <c r="L8" s="102">
        <v>130</v>
      </c>
      <c r="M8" s="107"/>
      <c r="N8" s="51"/>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row>
    <row r="9" spans="1:107" x14ac:dyDescent="0.25">
      <c r="A9" s="56"/>
      <c r="B9" s="59">
        <v>2012</v>
      </c>
      <c r="C9" s="73">
        <f>[9]Citrus!C8</f>
        <v>5475.43</v>
      </c>
      <c r="D9" s="73">
        <f>[9]Citrus!D8</f>
        <v>548.35</v>
      </c>
      <c r="E9" s="65">
        <f t="shared" si="0"/>
        <v>0.10014738568477727</v>
      </c>
      <c r="F9" s="108">
        <f t="shared" si="1"/>
        <v>1096700</v>
      </c>
      <c r="G9" s="129">
        <f>([9]Citrus!$E8*E9)*2000</f>
        <v>602130.14758658223</v>
      </c>
      <c r="H9" s="129">
        <f>([9]Citrus!$K8*E9)*2000</f>
        <v>405991.49272294593</v>
      </c>
      <c r="I9" s="109">
        <f>([9]Citrus!G8*E9)*2000</f>
        <v>88582.365585899184</v>
      </c>
      <c r="J9" s="65"/>
      <c r="K9" s="122" t="s">
        <v>80</v>
      </c>
      <c r="L9" s="122">
        <v>30</v>
      </c>
      <c r="M9" s="123"/>
      <c r="N9" s="51"/>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row>
    <row r="10" spans="1:107" x14ac:dyDescent="0.25">
      <c r="A10" s="56"/>
      <c r="B10" s="52" t="s">
        <v>23</v>
      </c>
      <c r="C10" s="51">
        <f>AVERAGE(C3:C9)</f>
        <v>5101.795714285714</v>
      </c>
      <c r="D10" s="51">
        <f t="shared" ref="D10:G10" si="2">AVERAGE(D3:D9)</f>
        <v>500.44857142857143</v>
      </c>
      <c r="E10" s="65">
        <f t="shared" si="2"/>
        <v>9.9858821620642663E-2</v>
      </c>
      <c r="F10" s="108">
        <f t="shared" si="2"/>
        <v>1000897.1428571428</v>
      </c>
      <c r="G10" s="108">
        <f t="shared" si="2"/>
        <v>371899.51692174218</v>
      </c>
      <c r="H10" s="108">
        <f>AVERAGE(H6:H9)</f>
        <v>416613.87961659324</v>
      </c>
      <c r="I10" s="108">
        <f>AVERAGE(I6:I9)</f>
        <v>83242.46491119577</v>
      </c>
      <c r="J10" s="65"/>
      <c r="K10" s="122" t="s">
        <v>81</v>
      </c>
      <c r="L10" s="122"/>
      <c r="M10" s="123"/>
      <c r="N10" s="51"/>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row>
    <row r="11" spans="1:107" x14ac:dyDescent="0.25">
      <c r="A11" s="55"/>
      <c r="B11" s="55"/>
      <c r="C11" s="55"/>
      <c r="D11" s="55"/>
      <c r="E11" s="55"/>
      <c r="F11" s="55"/>
      <c r="G11" s="62"/>
      <c r="H11" s="62"/>
      <c r="I11" s="50"/>
      <c r="J11" s="65"/>
      <c r="K11" s="122" t="s">
        <v>80</v>
      </c>
      <c r="L11" s="122">
        <v>100</v>
      </c>
      <c r="M11" s="123"/>
      <c r="N11" s="51"/>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row>
    <row r="12" spans="1:107" x14ac:dyDescent="0.25">
      <c r="J12" s="65"/>
      <c r="K12" s="122" t="s">
        <v>82</v>
      </c>
      <c r="L12" s="122"/>
      <c r="M12" s="123"/>
      <c r="N12" s="51"/>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row>
    <row r="13" spans="1:107" x14ac:dyDescent="0.25">
      <c r="J13" s="65"/>
      <c r="K13" s="102"/>
      <c r="L13" s="102"/>
      <c r="M13" s="107"/>
      <c r="N13" s="51"/>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row>
    <row r="14" spans="1:107" x14ac:dyDescent="0.25">
      <c r="J14" s="63"/>
      <c r="K14" s="102" t="s">
        <v>6</v>
      </c>
      <c r="L14" s="49">
        <v>60</v>
      </c>
      <c r="M14" s="107"/>
      <c r="N14" s="51"/>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row>
    <row r="15" spans="1:107" x14ac:dyDescent="0.25">
      <c r="J15" s="65"/>
      <c r="K15" s="102" t="s">
        <v>77</v>
      </c>
      <c r="L15" s="102"/>
      <c r="M15" s="107"/>
      <c r="N15" s="51"/>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row>
    <row r="16" spans="1:107" x14ac:dyDescent="0.25">
      <c r="J16" s="65"/>
      <c r="K16" s="102" t="s">
        <v>73</v>
      </c>
      <c r="L16" s="49">
        <v>150</v>
      </c>
      <c r="M16" s="107"/>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row>
    <row r="17" spans="10:107" x14ac:dyDescent="0.25">
      <c r="J17" s="65"/>
      <c r="K17" s="102" t="s">
        <v>78</v>
      </c>
      <c r="L17" s="49"/>
      <c r="M17" s="51"/>
      <c r="N17" s="50"/>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row>
    <row r="18" spans="10:107" x14ac:dyDescent="0.25">
      <c r="J18" s="65"/>
      <c r="K18" s="49"/>
      <c r="L18" s="49"/>
      <c r="M18" s="51"/>
      <c r="N18" s="50"/>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row>
    <row r="19" spans="10:107" x14ac:dyDescent="0.25">
      <c r="J19" s="65"/>
      <c r="K19" s="49"/>
      <c r="L19" s="49"/>
      <c r="M19" s="50"/>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row>
    <row r="20" spans="10:107" x14ac:dyDescent="0.25">
      <c r="J20" s="65"/>
      <c r="K20" s="49"/>
      <c r="L20" s="49"/>
      <c r="M20" s="50"/>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row>
    <row r="21" spans="10:107" x14ac:dyDescent="0.25">
      <c r="J21" s="65"/>
      <c r="K21" s="49"/>
      <c r="L21" s="49"/>
      <c r="M21" s="50"/>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row>
    <row r="22" spans="10:107" x14ac:dyDescent="0.25">
      <c r="J22" s="65"/>
      <c r="K22" s="50"/>
      <c r="L22" s="50"/>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row>
    <row r="23" spans="10:107" x14ac:dyDescent="0.25">
      <c r="J23" s="65"/>
      <c r="K23" s="66"/>
      <c r="L23" s="66"/>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row>
    <row r="24" spans="10:107" x14ac:dyDescent="0.25">
      <c r="J24" s="65"/>
      <c r="K24" s="66"/>
      <c r="L24" s="66"/>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row>
    <row r="25" spans="10:107" x14ac:dyDescent="0.25">
      <c r="J25" s="65"/>
      <c r="K25" s="50"/>
      <c r="L25" s="50"/>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row>
    <row r="26" spans="10:107" x14ac:dyDescent="0.25">
      <c r="J26" s="65"/>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row>
    <row r="27" spans="10:107" x14ac:dyDescent="0.25">
      <c r="J27" s="65"/>
      <c r="K27" s="49"/>
      <c r="L27" s="49"/>
      <c r="M27" s="49"/>
      <c r="N27" s="49"/>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row>
    <row r="28" spans="10:107" x14ac:dyDescent="0.25">
      <c r="J28" s="63"/>
      <c r="K28" s="49"/>
      <c r="L28" s="49"/>
      <c r="M28" s="49"/>
      <c r="N28" s="49"/>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row>
    <row r="29" spans="10:107" x14ac:dyDescent="0.25">
      <c r="J29" s="49"/>
      <c r="K29" s="49"/>
      <c r="L29" s="49"/>
      <c r="M29" s="49"/>
      <c r="N29" s="50"/>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row>
    <row r="30" spans="10:107" x14ac:dyDescent="0.25">
      <c r="J30" s="65"/>
      <c r="K30" s="49"/>
      <c r="L30" s="49"/>
      <c r="M30" s="49"/>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row>
    <row r="31" spans="10:107" x14ac:dyDescent="0.25">
      <c r="J31" s="65"/>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row>
    <row r="32" spans="10:107" x14ac:dyDescent="0.25">
      <c r="J32" s="65"/>
      <c r="K32" s="49"/>
      <c r="L32" s="49"/>
      <c r="M32" s="50"/>
      <c r="N32" s="50"/>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row>
    <row r="33" spans="10:107" x14ac:dyDescent="0.25">
      <c r="J33" s="65"/>
      <c r="K33" s="49"/>
      <c r="L33" s="49"/>
      <c r="M33" s="50"/>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row>
    <row r="34" spans="10:107" x14ac:dyDescent="0.25">
      <c r="J34" s="65"/>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row>
    <row r="35" spans="10:107" x14ac:dyDescent="0.25">
      <c r="J35" s="65"/>
      <c r="K35" s="49"/>
      <c r="L35" s="49"/>
      <c r="M35" s="50"/>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row>
    <row r="36" spans="10:107" x14ac:dyDescent="0.25">
      <c r="J36" s="65"/>
      <c r="K36" s="50"/>
      <c r="L36" s="50"/>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row>
    <row r="37" spans="10:107" x14ac:dyDescent="0.25">
      <c r="J37" s="65"/>
      <c r="K37" s="66"/>
      <c r="L37" s="66"/>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row>
    <row r="38" spans="10:107" x14ac:dyDescent="0.25">
      <c r="J38" s="65"/>
      <c r="K38" s="66"/>
      <c r="L38" s="66"/>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row>
    <row r="39" spans="10:107" x14ac:dyDescent="0.25">
      <c r="J39" s="65"/>
      <c r="K39" s="50"/>
      <c r="L39" s="50"/>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row>
    <row r="40" spans="10:107" x14ac:dyDescent="0.25">
      <c r="J40" s="65"/>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row>
    <row r="41" spans="10:107" x14ac:dyDescent="0.25">
      <c r="J41" s="65"/>
      <c r="K41" s="49"/>
      <c r="L41" s="49"/>
      <c r="M41" s="49"/>
      <c r="N41" s="49"/>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row>
    <row r="42" spans="10:107" x14ac:dyDescent="0.25">
      <c r="J42" s="63"/>
      <c r="K42" s="49"/>
      <c r="L42" s="49"/>
      <c r="M42" s="49"/>
      <c r="N42" s="49"/>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row>
    <row r="43" spans="10:107" x14ac:dyDescent="0.25">
      <c r="J43" s="65"/>
      <c r="K43" s="49"/>
      <c r="L43" s="49"/>
      <c r="M43" s="49"/>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row>
    <row r="44" spans="10:107" x14ac:dyDescent="0.25">
      <c r="J44" s="65"/>
      <c r="K44" s="49"/>
      <c r="L44" s="49"/>
      <c r="M44" s="49"/>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row>
    <row r="45" spans="10:107" x14ac:dyDescent="0.25">
      <c r="J45" s="49"/>
      <c r="K45" s="49"/>
      <c r="L45" s="49"/>
      <c r="M45" s="49"/>
      <c r="N45" s="50"/>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row>
    <row r="46" spans="10:107" x14ac:dyDescent="0.25">
      <c r="J46" s="49"/>
      <c r="K46" s="49"/>
      <c r="L46" s="49"/>
      <c r="M46" s="50"/>
      <c r="N46" s="50"/>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row>
    <row r="47" spans="10:107" x14ac:dyDescent="0.25">
      <c r="J47" s="49"/>
      <c r="K47" s="49"/>
      <c r="L47" s="49"/>
      <c r="M47" s="50"/>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row>
    <row r="48" spans="10:107" x14ac:dyDescent="0.25">
      <c r="J48" s="49"/>
      <c r="K48" s="49"/>
      <c r="L48" s="49"/>
      <c r="M48" s="50"/>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row>
    <row r="49" spans="1:107" x14ac:dyDescent="0.25">
      <c r="J49" s="49"/>
      <c r="K49" s="49"/>
      <c r="L49" s="49"/>
      <c r="M49" s="50"/>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row>
    <row r="50" spans="1:107" x14ac:dyDescent="0.25">
      <c r="J50" s="49"/>
      <c r="K50" s="50"/>
      <c r="L50" s="50"/>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row>
    <row r="51" spans="1:107" x14ac:dyDescent="0.25">
      <c r="J51" s="49"/>
      <c r="K51" s="66"/>
      <c r="L51" s="66"/>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row>
    <row r="52" spans="1:107" x14ac:dyDescent="0.25">
      <c r="J52" s="49"/>
      <c r="K52" s="66"/>
      <c r="L52" s="66"/>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row>
    <row r="53" spans="1:107" x14ac:dyDescent="0.25">
      <c r="J53" s="49"/>
      <c r="K53" s="50"/>
      <c r="L53" s="50"/>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row>
    <row r="54" spans="1:107" x14ac:dyDescent="0.25">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row>
    <row r="55" spans="1:107" x14ac:dyDescent="0.25">
      <c r="J55" s="65"/>
      <c r="K55" s="49"/>
      <c r="L55" s="49"/>
      <c r="M55" s="49"/>
      <c r="N55" s="49"/>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row>
    <row r="56" spans="1:107" x14ac:dyDescent="0.25">
      <c r="J56" s="65"/>
      <c r="K56" s="49"/>
      <c r="L56" s="49"/>
      <c r="M56" s="49"/>
      <c r="N56" s="49"/>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row>
    <row r="57" spans="1:107" x14ac:dyDescent="0.25">
      <c r="J57" s="65"/>
      <c r="K57" s="49"/>
      <c r="L57" s="49"/>
      <c r="M57" s="49"/>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row>
    <row r="58" spans="1:107" s="49" customFormat="1" x14ac:dyDescent="0.25">
      <c r="A58"/>
      <c r="B58"/>
      <c r="C58"/>
      <c r="D58"/>
      <c r="F58"/>
      <c r="G58"/>
      <c r="H58"/>
      <c r="I58"/>
      <c r="J58" s="65"/>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row>
    <row r="59" spans="1:107" s="49" customFormat="1" x14ac:dyDescent="0.25">
      <c r="A59"/>
      <c r="B59"/>
      <c r="C59"/>
      <c r="D59"/>
      <c r="F59"/>
      <c r="G59"/>
      <c r="H59"/>
      <c r="I59"/>
      <c r="N59" s="50"/>
    </row>
    <row r="60" spans="1:107" s="49" customFormat="1" x14ac:dyDescent="0.25">
      <c r="A60"/>
      <c r="B60"/>
      <c r="C60"/>
      <c r="D60"/>
      <c r="F60"/>
      <c r="G60"/>
      <c r="H60"/>
      <c r="I60"/>
      <c r="M60" s="50"/>
      <c r="N60" s="50"/>
    </row>
    <row r="61" spans="1:107" s="49" customFormat="1" x14ac:dyDescent="0.25">
      <c r="A61"/>
      <c r="B61"/>
      <c r="C61"/>
      <c r="D61"/>
      <c r="F61"/>
      <c r="G61"/>
      <c r="H61"/>
      <c r="I61"/>
      <c r="M61" s="50"/>
    </row>
    <row r="62" spans="1:107" s="49" customFormat="1" x14ac:dyDescent="0.25">
      <c r="A62"/>
      <c r="B62"/>
      <c r="C62"/>
      <c r="D62"/>
      <c r="F62"/>
      <c r="G62"/>
      <c r="H62"/>
      <c r="I62"/>
      <c r="M62" s="50"/>
    </row>
    <row r="63" spans="1:107" s="49" customFormat="1" x14ac:dyDescent="0.25">
      <c r="A63"/>
      <c r="B63"/>
      <c r="C63"/>
      <c r="D63"/>
      <c r="F63"/>
      <c r="G63"/>
      <c r="H63"/>
      <c r="I63"/>
      <c r="M63" s="50"/>
    </row>
    <row r="64" spans="1:107" s="49" customFormat="1" x14ac:dyDescent="0.25">
      <c r="A64"/>
      <c r="B64"/>
      <c r="C64"/>
      <c r="D64"/>
      <c r="F64"/>
      <c r="G64"/>
      <c r="H64"/>
      <c r="I64"/>
      <c r="K64" s="50"/>
      <c r="L64" s="50"/>
    </row>
    <row r="65" spans="1:107" s="49" customFormat="1" x14ac:dyDescent="0.25">
      <c r="A65"/>
      <c r="B65"/>
      <c r="C65"/>
      <c r="D65"/>
      <c r="F65"/>
      <c r="G65"/>
      <c r="H65"/>
      <c r="I65"/>
      <c r="K65" s="50"/>
      <c r="L65" s="50"/>
    </row>
    <row r="66" spans="1:107" s="49" customFormat="1" x14ac:dyDescent="0.25">
      <c r="A66"/>
      <c r="B66"/>
      <c r="C66"/>
      <c r="D66"/>
      <c r="F66"/>
      <c r="G66"/>
      <c r="H66"/>
      <c r="I66"/>
      <c r="K66" s="50"/>
      <c r="L66" s="50"/>
    </row>
    <row r="67" spans="1:107" s="49" customFormat="1" x14ac:dyDescent="0.25">
      <c r="A67"/>
      <c r="B67"/>
      <c r="C67"/>
      <c r="D67"/>
      <c r="F67"/>
      <c r="G67"/>
      <c r="H67"/>
      <c r="I67"/>
      <c r="K67" s="50"/>
      <c r="L67" s="50"/>
    </row>
    <row r="68" spans="1:107" s="49" customFormat="1" x14ac:dyDescent="0.25">
      <c r="A68"/>
      <c r="B68"/>
      <c r="C68"/>
      <c r="D68"/>
      <c r="F68"/>
      <c r="G68"/>
      <c r="H68"/>
      <c r="I68"/>
    </row>
    <row r="69" spans="1:107" s="49" customFormat="1" x14ac:dyDescent="0.25">
      <c r="A69"/>
      <c r="B69"/>
      <c r="C69"/>
      <c r="D69"/>
      <c r="F69"/>
      <c r="G69"/>
      <c r="H69"/>
      <c r="I69"/>
      <c r="J69" s="65"/>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c r="DA69" s="50"/>
      <c r="DB69" s="50"/>
      <c r="DC69" s="50"/>
    </row>
    <row r="70" spans="1:107" s="49" customFormat="1" x14ac:dyDescent="0.25">
      <c r="A70"/>
      <c r="B70"/>
      <c r="C70"/>
      <c r="D70"/>
      <c r="F70"/>
      <c r="G70"/>
      <c r="H70"/>
      <c r="I70"/>
      <c r="J70" s="65"/>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c r="CU70" s="50"/>
      <c r="CV70" s="50"/>
      <c r="CW70" s="50"/>
      <c r="CX70" s="50"/>
      <c r="CY70" s="50"/>
      <c r="CZ70" s="50"/>
      <c r="DA70" s="50"/>
      <c r="DB70" s="50"/>
      <c r="DC70" s="50"/>
    </row>
    <row r="71" spans="1:107" x14ac:dyDescent="0.25">
      <c r="K71" s="49"/>
      <c r="L71" s="49"/>
      <c r="M71" s="49"/>
      <c r="N71" s="50"/>
    </row>
    <row r="72" spans="1:107" x14ac:dyDescent="0.25">
      <c r="K72" s="49"/>
      <c r="L72" s="49"/>
      <c r="M72" s="49"/>
      <c r="N72" s="50"/>
    </row>
    <row r="73" spans="1:107" x14ac:dyDescent="0.25">
      <c r="K73" s="49"/>
      <c r="L73" s="49"/>
      <c r="M73" s="49"/>
    </row>
    <row r="74" spans="1:107" x14ac:dyDescent="0.25">
      <c r="K74" s="49"/>
      <c r="L74" s="49"/>
      <c r="M74" s="50"/>
    </row>
    <row r="75" spans="1:107" x14ac:dyDescent="0.25">
      <c r="K75" s="49"/>
      <c r="L75" s="49"/>
      <c r="M75" s="50"/>
    </row>
    <row r="76" spans="1:107" x14ac:dyDescent="0.25">
      <c r="K76" s="49"/>
      <c r="L76" s="49"/>
    </row>
    <row r="77" spans="1:107" x14ac:dyDescent="0.25">
      <c r="K77" s="49"/>
      <c r="L77" s="49"/>
    </row>
    <row r="78" spans="1:107" x14ac:dyDescent="0.25">
      <c r="K78" s="50"/>
      <c r="L78" s="50"/>
    </row>
    <row r="79" spans="1:107" x14ac:dyDescent="0.25">
      <c r="K79" s="50"/>
      <c r="L79" s="50"/>
    </row>
  </sheetData>
  <mergeCells count="1">
    <mergeCell ref="A2:B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B7" sqref="B7"/>
    </sheetView>
  </sheetViews>
  <sheetFormatPr defaultRowHeight="15" x14ac:dyDescent="0.25"/>
  <cols>
    <col min="1" max="1" width="2.28515625" customWidth="1"/>
    <col min="2" max="2" width="14.140625" bestFit="1" customWidth="1"/>
    <col min="3" max="3" width="6.5703125" style="231" bestFit="1" customWidth="1"/>
    <col min="4" max="4" width="8.7109375" bestFit="1" customWidth="1"/>
    <col min="5" max="5" width="8.7109375" style="102" customWidth="1"/>
    <col min="6" max="6" width="6.5703125" bestFit="1" customWidth="1"/>
    <col min="7" max="7" width="9" style="102" bestFit="1" customWidth="1"/>
    <col min="8" max="8" width="7.28515625" bestFit="1" customWidth="1"/>
    <col min="9" max="9" width="9" style="102" bestFit="1" customWidth="1"/>
    <col min="10" max="11" width="9" style="102" customWidth="1"/>
    <col min="12" max="13" width="7.28515625" style="102" customWidth="1"/>
    <col min="14" max="14" width="9" style="102" bestFit="1" customWidth="1"/>
    <col min="15" max="15" width="103.5703125" bestFit="1" customWidth="1"/>
  </cols>
  <sheetData>
    <row r="1" spans="1:17" x14ac:dyDescent="0.25">
      <c r="B1" s="20" t="s">
        <v>162</v>
      </c>
      <c r="C1" s="231" t="s">
        <v>8</v>
      </c>
      <c r="D1" s="56" t="s">
        <v>173</v>
      </c>
      <c r="E1" s="310" t="s">
        <v>194</v>
      </c>
      <c r="F1" s="56" t="s">
        <v>174</v>
      </c>
      <c r="G1" s="310" t="s">
        <v>194</v>
      </c>
      <c r="H1" s="56" t="s">
        <v>175</v>
      </c>
      <c r="I1" s="310" t="s">
        <v>194</v>
      </c>
      <c r="J1" s="59" t="s">
        <v>228</v>
      </c>
      <c r="K1" s="312" t="s">
        <v>194</v>
      </c>
      <c r="L1" s="102" t="s">
        <v>178</v>
      </c>
      <c r="M1" s="102" t="s">
        <v>179</v>
      </c>
      <c r="N1" s="20" t="s">
        <v>197</v>
      </c>
      <c r="O1" s="20" t="s">
        <v>176</v>
      </c>
    </row>
    <row r="2" spans="1:17" s="102" customFormat="1" x14ac:dyDescent="0.25">
      <c r="A2" s="327" t="s">
        <v>199</v>
      </c>
      <c r="B2" s="327"/>
      <c r="C2" s="327"/>
      <c r="D2" s="327"/>
      <c r="E2" s="310"/>
      <c r="F2" s="56"/>
      <c r="G2" s="310"/>
      <c r="H2" s="56"/>
      <c r="I2" s="310"/>
      <c r="J2" s="50"/>
      <c r="K2" s="310"/>
      <c r="N2" s="251"/>
      <c r="O2" s="251"/>
      <c r="Q2" s="256" t="s">
        <v>204</v>
      </c>
    </row>
    <row r="3" spans="1:17" x14ac:dyDescent="0.25">
      <c r="B3" s="258" t="s">
        <v>163</v>
      </c>
      <c r="C3" s="313">
        <v>543.76941026480995</v>
      </c>
      <c r="D3" s="56">
        <v>85</v>
      </c>
      <c r="E3" s="310">
        <v>6</v>
      </c>
      <c r="F3" s="56">
        <v>125</v>
      </c>
      <c r="G3" s="310">
        <v>4</v>
      </c>
      <c r="H3" s="56">
        <v>10</v>
      </c>
      <c r="I3" s="310">
        <v>6</v>
      </c>
      <c r="J3" s="50">
        <v>10</v>
      </c>
      <c r="K3" s="310">
        <v>6</v>
      </c>
      <c r="L3" s="59">
        <v>19</v>
      </c>
      <c r="M3" s="59">
        <v>38</v>
      </c>
      <c r="N3" s="109">
        <f>(K3*J3+I3*H3+G3*F3+E3*D3)+WWTF!P28</f>
        <v>9838.2401218427003</v>
      </c>
      <c r="O3" t="s">
        <v>220</v>
      </c>
      <c r="Q3" s="257" t="s">
        <v>205</v>
      </c>
    </row>
    <row r="4" spans="1:17" x14ac:dyDescent="0.25">
      <c r="B4" s="256" t="s">
        <v>164</v>
      </c>
      <c r="C4" s="313">
        <v>283.99185342679999</v>
      </c>
      <c r="D4" s="56"/>
      <c r="E4" s="310"/>
      <c r="F4" s="56"/>
      <c r="G4" s="310"/>
      <c r="H4" s="56"/>
      <c r="I4" s="310"/>
      <c r="J4" s="50"/>
      <c r="K4" s="310"/>
      <c r="N4" s="109">
        <f>C4*$C$27*$C$24</f>
        <v>40076.930355590011</v>
      </c>
      <c r="O4" t="s">
        <v>230</v>
      </c>
      <c r="Q4" s="258" t="s">
        <v>206</v>
      </c>
    </row>
    <row r="5" spans="1:17" x14ac:dyDescent="0.25">
      <c r="B5" t="s">
        <v>165</v>
      </c>
      <c r="C5" s="313">
        <v>240.51918507799999</v>
      </c>
      <c r="D5" s="56"/>
      <c r="E5" s="310"/>
      <c r="F5" s="56"/>
      <c r="G5" s="310"/>
      <c r="H5" s="56"/>
      <c r="I5" s="310"/>
      <c r="J5" s="50"/>
      <c r="K5" s="310"/>
      <c r="N5" s="109">
        <f>C5*$C$27*$C$24</f>
        <v>33942.067398207357</v>
      </c>
      <c r="O5" t="s">
        <v>218</v>
      </c>
    </row>
    <row r="6" spans="1:17" x14ac:dyDescent="0.25">
      <c r="B6" s="258" t="s">
        <v>167</v>
      </c>
      <c r="C6" s="313">
        <v>185</v>
      </c>
      <c r="D6" s="56">
        <v>35</v>
      </c>
      <c r="E6" s="311">
        <v>3.5</v>
      </c>
      <c r="F6" s="56">
        <v>15</v>
      </c>
      <c r="G6" s="310">
        <v>2</v>
      </c>
      <c r="H6" s="56">
        <v>3</v>
      </c>
      <c r="I6" s="311">
        <f>12/0.02295675</f>
        <v>522.72207520663858</v>
      </c>
      <c r="J6" s="107">
        <v>5</v>
      </c>
      <c r="K6" s="311">
        <f>3.5/0.02295675</f>
        <v>152.4606052686029</v>
      </c>
      <c r="N6" s="109">
        <f>K6*J6+I6*H6+G6*F6+E6*D6</f>
        <v>2482.9692519629302</v>
      </c>
      <c r="O6" s="102" t="s">
        <v>221</v>
      </c>
    </row>
    <row r="7" spans="1:17" x14ac:dyDescent="0.25">
      <c r="B7" s="256" t="s">
        <v>168</v>
      </c>
      <c r="C7" s="313">
        <v>221.92309192559998</v>
      </c>
      <c r="D7" s="56">
        <v>40</v>
      </c>
      <c r="E7" s="310"/>
      <c r="F7" s="56"/>
      <c r="G7" s="310"/>
      <c r="H7" s="56">
        <v>4</v>
      </c>
      <c r="I7" s="310">
        <v>10</v>
      </c>
      <c r="J7" s="50"/>
      <c r="K7" s="310"/>
      <c r="N7" s="109">
        <f>C7*$C$27*$C$24</f>
        <v>31317.78673254067</v>
      </c>
      <c r="O7" t="s">
        <v>217</v>
      </c>
    </row>
    <row r="8" spans="1:17" x14ac:dyDescent="0.25">
      <c r="B8" s="258" t="s">
        <v>170</v>
      </c>
      <c r="C8" s="313">
        <v>163.067596718</v>
      </c>
      <c r="D8" s="56">
        <v>22</v>
      </c>
      <c r="E8" s="311">
        <f>2/0.02295675</f>
        <v>87.120345867773096</v>
      </c>
      <c r="F8" s="56">
        <v>40</v>
      </c>
      <c r="G8" s="311">
        <f>1/0.02295675</f>
        <v>43.560172933886548</v>
      </c>
      <c r="H8" s="56">
        <v>2.5</v>
      </c>
      <c r="I8" s="311">
        <f>5/0.02295675</f>
        <v>217.80086466943271</v>
      </c>
      <c r="J8" s="50"/>
      <c r="K8" s="310"/>
      <c r="L8" s="102">
        <v>10</v>
      </c>
      <c r="M8" s="102">
        <v>2</v>
      </c>
      <c r="N8" s="109">
        <f>K8*J8+I8*H8+G8*F8+E8*D8</f>
        <v>4203.5566881200521</v>
      </c>
      <c r="O8" t="s">
        <v>203</v>
      </c>
      <c r="P8" t="s">
        <v>207</v>
      </c>
      <c r="Q8" t="s">
        <v>208</v>
      </c>
    </row>
    <row r="9" spans="1:17" x14ac:dyDescent="0.25">
      <c r="B9" s="256" t="s">
        <v>171</v>
      </c>
      <c r="C9" s="313">
        <v>202.62337300549999</v>
      </c>
      <c r="D9" s="56"/>
      <c r="E9" s="310"/>
      <c r="F9" s="56"/>
      <c r="G9" s="310"/>
      <c r="H9" s="56"/>
      <c r="I9" s="310"/>
      <c r="J9" s="50"/>
      <c r="K9" s="310"/>
      <c r="N9" s="109">
        <f>C9*$C$27*$C$24</f>
        <v>28594.210398536154</v>
      </c>
      <c r="O9" s="102" t="s">
        <v>231</v>
      </c>
    </row>
    <row r="10" spans="1:17" x14ac:dyDescent="0.25">
      <c r="B10" s="256" t="s">
        <v>172</v>
      </c>
      <c r="C10" s="313">
        <v>134.14900502500001</v>
      </c>
      <c r="D10" s="56"/>
      <c r="E10" s="310"/>
      <c r="F10" s="56"/>
      <c r="G10" s="310"/>
      <c r="H10" s="56"/>
      <c r="I10" s="310"/>
      <c r="J10" s="50"/>
      <c r="K10" s="310"/>
      <c r="N10" s="109">
        <f>C10*$C$27*$C$24</f>
        <v>18931.107589128002</v>
      </c>
      <c r="O10" t="s">
        <v>232</v>
      </c>
    </row>
    <row r="11" spans="1:17" s="102" customFormat="1" x14ac:dyDescent="0.25">
      <c r="B11" s="187" t="s">
        <v>166</v>
      </c>
      <c r="C11" s="314">
        <v>206.13026413</v>
      </c>
      <c r="D11" s="425" t="s">
        <v>202</v>
      </c>
      <c r="E11" s="425"/>
      <c r="F11" s="425"/>
      <c r="G11" s="425"/>
      <c r="H11" s="425"/>
      <c r="I11" s="425"/>
      <c r="J11" s="425"/>
      <c r="K11" s="425"/>
      <c r="L11" s="425"/>
      <c r="M11" s="425"/>
      <c r="N11" s="255">
        <f>C11*$C$27*$C$24</f>
        <v>29089.102874025601</v>
      </c>
      <c r="O11" s="187" t="s">
        <v>177</v>
      </c>
    </row>
    <row r="12" spans="1:17" s="102" customFormat="1" x14ac:dyDescent="0.25">
      <c r="B12" s="187"/>
      <c r="C12" s="314"/>
      <c r="D12" s="308"/>
      <c r="E12" s="308"/>
      <c r="F12" s="308"/>
      <c r="G12" s="308"/>
      <c r="H12" s="308"/>
      <c r="I12" s="308"/>
      <c r="J12" s="308"/>
      <c r="K12" s="308"/>
      <c r="L12" s="308"/>
      <c r="M12" s="308"/>
      <c r="N12" s="255"/>
      <c r="O12" s="187"/>
    </row>
    <row r="13" spans="1:17" s="102" customFormat="1" x14ac:dyDescent="0.25">
      <c r="B13" s="102" t="s">
        <v>22</v>
      </c>
      <c r="C13" s="315">
        <f>SUM(C3:C10)</f>
        <v>1975.0435154437098</v>
      </c>
      <c r="D13" s="56"/>
      <c r="E13" s="310"/>
      <c r="F13" s="56"/>
      <c r="G13" s="310"/>
      <c r="H13" s="56"/>
      <c r="I13" s="310"/>
      <c r="J13" s="50"/>
      <c r="K13" s="310"/>
      <c r="N13" s="252">
        <f>SUM(N3:N10)</f>
        <v>169386.86853592788</v>
      </c>
    </row>
    <row r="14" spans="1:17" s="102" customFormat="1" x14ac:dyDescent="0.25">
      <c r="C14" s="315"/>
      <c r="D14" s="50"/>
      <c r="E14" s="50"/>
      <c r="F14" s="50"/>
      <c r="G14" s="50"/>
      <c r="H14" s="50"/>
      <c r="I14" s="50"/>
      <c r="J14" s="50"/>
      <c r="K14" s="50"/>
      <c r="N14" s="252"/>
    </row>
    <row r="15" spans="1:17" s="102" customFormat="1" x14ac:dyDescent="0.25">
      <c r="A15" s="327" t="s">
        <v>200</v>
      </c>
      <c r="B15" s="327"/>
      <c r="C15" s="327"/>
      <c r="D15" s="327"/>
      <c r="N15" s="109"/>
    </row>
    <row r="16" spans="1:17" x14ac:dyDescent="0.25">
      <c r="B16" s="256" t="s">
        <v>169</v>
      </c>
      <c r="C16" s="313">
        <v>197.78094325990003</v>
      </c>
      <c r="D16" s="56"/>
      <c r="E16" s="310"/>
      <c r="F16" s="56"/>
      <c r="G16" s="310"/>
      <c r="H16" s="56"/>
      <c r="I16" s="310"/>
      <c r="J16" s="50"/>
      <c r="K16" s="310"/>
      <c r="N16" s="109">
        <f>C16*$C$27*$C$24</f>
        <v>27910.84671283709</v>
      </c>
      <c r="O16" s="102" t="s">
        <v>219</v>
      </c>
    </row>
    <row r="17" spans="2:14" x14ac:dyDescent="0.25">
      <c r="D17" s="56"/>
      <c r="E17" s="310"/>
      <c r="F17" s="56"/>
      <c r="G17" s="310"/>
      <c r="H17" s="56"/>
      <c r="I17" s="310"/>
      <c r="J17" s="50"/>
      <c r="K17" s="310"/>
    </row>
    <row r="18" spans="2:14" x14ac:dyDescent="0.25">
      <c r="B18" s="16" t="s">
        <v>22</v>
      </c>
      <c r="C18" s="315">
        <f>C13+C16</f>
        <v>2172.8244587036097</v>
      </c>
      <c r="D18" s="56"/>
      <c r="E18" s="310"/>
      <c r="F18" s="56"/>
      <c r="G18" s="310"/>
      <c r="H18" s="56"/>
      <c r="I18" s="310"/>
      <c r="J18" s="50"/>
      <c r="K18" s="310"/>
      <c r="M18" s="16"/>
      <c r="N18" s="270">
        <f>SUM(N16)+N13</f>
        <v>197297.71524876496</v>
      </c>
    </row>
    <row r="19" spans="2:14" s="102" customFormat="1" x14ac:dyDescent="0.25">
      <c r="B19" s="16"/>
      <c r="C19" s="269"/>
      <c r="D19" s="327" t="s">
        <v>227</v>
      </c>
      <c r="E19" s="327"/>
      <c r="F19" s="327"/>
      <c r="G19" s="327"/>
      <c r="H19" s="327"/>
      <c r="I19" s="327"/>
      <c r="J19" s="327"/>
      <c r="K19" s="327"/>
      <c r="L19" s="327"/>
      <c r="M19" s="327"/>
      <c r="N19" s="270"/>
    </row>
    <row r="20" spans="2:14" s="102" customFormat="1" x14ac:dyDescent="0.25">
      <c r="B20" s="16"/>
      <c r="C20" s="315">
        <f>C18*0.4046873</f>
        <v>879.31446356672541</v>
      </c>
      <c r="D20" s="16"/>
      <c r="E20" s="16"/>
      <c r="F20" s="16"/>
      <c r="G20" s="16"/>
      <c r="H20" s="16"/>
      <c r="I20" s="16"/>
      <c r="J20" s="16"/>
      <c r="K20" s="16"/>
      <c r="L20" s="16"/>
      <c r="M20" s="16"/>
      <c r="N20" s="270"/>
    </row>
    <row r="21" spans="2:14" x14ac:dyDescent="0.25">
      <c r="C21" s="231">
        <f>C20*0.72</f>
        <v>633.10641376804222</v>
      </c>
      <c r="D21" t="s">
        <v>17</v>
      </c>
    </row>
    <row r="23" spans="2:14" x14ac:dyDescent="0.25">
      <c r="B23" t="s">
        <v>194</v>
      </c>
      <c r="C23" s="231">
        <v>4.5</v>
      </c>
      <c r="D23" t="s">
        <v>195</v>
      </c>
    </row>
    <row r="24" spans="2:14" x14ac:dyDescent="0.25">
      <c r="C24" s="231">
        <v>196</v>
      </c>
      <c r="D24" t="s">
        <v>196</v>
      </c>
    </row>
    <row r="25" spans="2:14" x14ac:dyDescent="0.25">
      <c r="C25" s="231">
        <f>C24*(0.4535924/0.4046873)</f>
        <v>219.68594121930687</v>
      </c>
      <c r="D25" t="s">
        <v>229</v>
      </c>
    </row>
    <row r="27" spans="2:14" x14ac:dyDescent="0.25">
      <c r="B27" t="s">
        <v>198</v>
      </c>
      <c r="C27" s="231">
        <v>0.72</v>
      </c>
    </row>
  </sheetData>
  <mergeCells count="4">
    <mergeCell ref="D19:M19"/>
    <mergeCell ref="A15:D15"/>
    <mergeCell ref="A2:D2"/>
    <mergeCell ref="D11:M1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B1" workbookViewId="0">
      <selection activeCell="C7" sqref="C7"/>
    </sheetView>
  </sheetViews>
  <sheetFormatPr defaultRowHeight="15" x14ac:dyDescent="0.25"/>
  <cols>
    <col min="1" max="1" width="3.5703125" style="105" customWidth="1"/>
    <col min="2" max="2" width="29.28515625" style="125" bestFit="1" customWidth="1"/>
    <col min="3" max="3" width="12.5703125" style="125" customWidth="1"/>
    <col min="4" max="4" width="9.42578125" style="125" customWidth="1"/>
    <col min="5" max="5" width="11.28515625" style="125" customWidth="1"/>
    <col min="6" max="7" width="12.28515625" style="125" bestFit="1" customWidth="1"/>
    <col min="8" max="9" width="9" style="238" bestFit="1" customWidth="1"/>
    <col min="10" max="10" width="8.5703125" style="238" bestFit="1" customWidth="1"/>
    <col min="11" max="11" width="8.85546875" style="238" bestFit="1" customWidth="1"/>
    <col min="12" max="12" width="9" style="238" bestFit="1" customWidth="1"/>
    <col min="13" max="13" width="9" style="125" bestFit="1" customWidth="1"/>
    <col min="14" max="14" width="2.7109375" style="125" customWidth="1"/>
    <col min="15" max="15" width="14.28515625" style="125" bestFit="1" customWidth="1"/>
    <col min="16" max="16" width="4.5703125" style="125" bestFit="1" customWidth="1"/>
    <col min="17" max="17" width="13.42578125" style="125" customWidth="1"/>
    <col min="18" max="18" width="9" style="125" bestFit="1" customWidth="1"/>
    <col min="19" max="19" width="18.28515625" customWidth="1"/>
  </cols>
  <sheetData>
    <row r="1" spans="1:19" x14ac:dyDescent="0.25">
      <c r="B1" s="393" t="s">
        <v>187</v>
      </c>
      <c r="C1" s="393" t="s">
        <v>201</v>
      </c>
      <c r="D1" s="393"/>
      <c r="E1" s="393"/>
      <c r="F1" s="391" t="s">
        <v>260</v>
      </c>
      <c r="G1" s="391"/>
      <c r="H1" s="391"/>
      <c r="I1" s="391"/>
      <c r="J1" s="391" t="s">
        <v>188</v>
      </c>
      <c r="K1" s="391"/>
      <c r="L1" s="391"/>
      <c r="M1" s="391"/>
      <c r="O1" s="426" t="str">
        <f>'[10]Fertilize Data'!M3</f>
        <v>Self Application Rate Summary</v>
      </c>
      <c r="P1" s="427"/>
      <c r="Q1" s="427"/>
      <c r="R1" s="427"/>
      <c r="S1" s="428"/>
    </row>
    <row r="2" spans="1:19" s="102" customFormat="1" ht="30" x14ac:dyDescent="0.25">
      <c r="A2" s="105"/>
      <c r="B2" s="393"/>
      <c r="C2" s="237" t="s">
        <v>47</v>
      </c>
      <c r="D2" s="237" t="s">
        <v>46</v>
      </c>
      <c r="E2" s="237" t="s">
        <v>58</v>
      </c>
      <c r="F2" s="237" t="s">
        <v>189</v>
      </c>
      <c r="G2" s="237" t="s">
        <v>191</v>
      </c>
      <c r="H2" s="237" t="s">
        <v>190</v>
      </c>
      <c r="I2" s="237" t="s">
        <v>192</v>
      </c>
      <c r="J2" s="237" t="s">
        <v>189</v>
      </c>
      <c r="K2" s="237" t="s">
        <v>191</v>
      </c>
      <c r="L2" s="237" t="s">
        <v>190</v>
      </c>
      <c r="M2" s="237" t="s">
        <v>192</v>
      </c>
      <c r="N2" s="238"/>
      <c r="O2" s="429" t="str">
        <f>'[10]Fertilize Data'!M4</f>
        <v>Method</v>
      </c>
      <c r="P2" s="357" t="str">
        <f>'[10]Fertilize Data'!N4</f>
        <v>%</v>
      </c>
      <c r="Q2" s="352" t="str">
        <f>'[10]Fertilize Data'!O4</f>
        <v>Rate                   (lb-N/1000 sq ft)</v>
      </c>
      <c r="R2" s="352" t="str">
        <f>'[10]Fertilize Data'!$P4</f>
        <v>Rate            (lb-N/ac)</v>
      </c>
      <c r="S2" s="430" t="s">
        <v>193</v>
      </c>
    </row>
    <row r="3" spans="1:19" x14ac:dyDescent="0.25">
      <c r="B3" s="125" t="str">
        <f>[11]Summary!$B2</f>
        <v>Condo</v>
      </c>
      <c r="C3" s="150">
        <f>[12]Summary!C2</f>
        <v>4.1428384973808416</v>
      </c>
      <c r="D3" s="150">
        <f>[12]Summary!D2</f>
        <v>10.057325401471539</v>
      </c>
      <c r="E3" s="150">
        <f>[12]Summary!E2</f>
        <v>8.7412545568109437</v>
      </c>
      <c r="F3" s="150">
        <f>C3*$Q$16</f>
        <v>2.8088445012242107</v>
      </c>
      <c r="G3" s="163">
        <f>((F3*$P$4)*$R$4)+(($P$5*F3)*$R$5)+((F3*$P$7)*$R$7)*$S$4</f>
        <v>123.09166973657722</v>
      </c>
      <c r="H3" s="150">
        <f>D3*$Q$16</f>
        <v>6.8188666221977039</v>
      </c>
      <c r="I3" s="163">
        <f>((H3*$P$4)*$R$4)+(($P$5*H3)*$R$5)+((H3*$P$7)*$R$7)*$S$4</f>
        <v>298.82240824349947</v>
      </c>
      <c r="J3" s="150">
        <f>C3*$Q$17</f>
        <v>1.3298511576592502</v>
      </c>
      <c r="K3" s="163">
        <f>J3*$R$10*$S$10</f>
        <v>123.67744657246776</v>
      </c>
      <c r="L3" s="150">
        <f>D3*$Q$17</f>
        <v>3.228401453872364</v>
      </c>
      <c r="M3" s="163">
        <f>L3*$R$10*$S$10</f>
        <v>300.24446422152511</v>
      </c>
      <c r="O3" s="429"/>
      <c r="P3" s="357"/>
      <c r="Q3" s="352"/>
      <c r="R3" s="352"/>
      <c r="S3" s="430"/>
    </row>
    <row r="4" spans="1:19" x14ac:dyDescent="0.25">
      <c r="B4" s="238" t="str">
        <f>[11]Summary!$B3</f>
        <v>Homes for the Aged</v>
      </c>
      <c r="C4" s="150">
        <f>[12]Summary!C3</f>
        <v>3.7772420979342742</v>
      </c>
      <c r="D4" s="150">
        <f>[12]Summary!D3</f>
        <v>46.445742067107922</v>
      </c>
      <c r="E4" s="150">
        <f>[12]Summary!E3</f>
        <v>0</v>
      </c>
      <c r="F4" s="150">
        <f t="shared" ref="F4:F9" si="0">C4*$Q$16</f>
        <v>2.5609701423994382</v>
      </c>
      <c r="G4" s="163">
        <f t="shared" ref="G4:G9" si="1">((F4*$P$4)*$R$4)+(($P$5*F4)*$R$5)+((F4*$P$7)*$R$7)*$S$4</f>
        <v>112.22910019977067</v>
      </c>
      <c r="H4" s="150">
        <f t="shared" ref="H4:H9" si="2">D4*$Q$16</f>
        <v>31.490213121499174</v>
      </c>
      <c r="I4" s="163">
        <f t="shared" ref="I4:I9" si="3">((H4*$P$4)*$R$4)+(($P$5*H4)*$R$5)+((H4*$P$7)*$R$7)*$S$4</f>
        <v>1379.9919902282259</v>
      </c>
      <c r="J4" s="150">
        <f t="shared" ref="J4:J9" si="4">C4*$Q$17</f>
        <v>1.212494713436902</v>
      </c>
      <c r="K4" s="163">
        <f t="shared" ref="K4:K8" si="5">J4*$R$10*$S$10</f>
        <v>112.7631835162985</v>
      </c>
      <c r="L4" s="150">
        <f t="shared" ref="L4:L9" si="6">D4*$Q$17</f>
        <v>14.909083203541643</v>
      </c>
      <c r="M4" s="163">
        <f t="shared" ref="M4:M8" si="7">L4*$R$10*$S$10</f>
        <v>1386.5591880192712</v>
      </c>
      <c r="O4" s="246" t="str">
        <f>'[10]Fertilize Data'!M6</f>
        <v>BMP</v>
      </c>
      <c r="P4" s="65">
        <f>'[10]Fertilize Data'!N6/100</f>
        <v>0.14499999999999999</v>
      </c>
      <c r="Q4" s="50">
        <f>'[10]Fertilize Data'!O6</f>
        <v>0.5</v>
      </c>
      <c r="R4" s="51">
        <f>'[10]Fertilize Data'!P6</f>
        <v>21.780086466943274</v>
      </c>
      <c r="S4" s="435">
        <f>'[10]Fertilize Data'!$H$20</f>
        <v>2.98</v>
      </c>
    </row>
    <row r="5" spans="1:19" x14ac:dyDescent="0.25">
      <c r="B5" s="238" t="str">
        <f>[11]Summary!$B4</f>
        <v>multi family 10 units</v>
      </c>
      <c r="C5" s="150">
        <f>[12]Summary!C4</f>
        <v>15.782872010384549</v>
      </c>
      <c r="D5" s="150">
        <f>[12]Summary!D4</f>
        <v>55.242768661022112</v>
      </c>
      <c r="E5" s="150">
        <f>[12]Summary!E4</f>
        <v>0</v>
      </c>
      <c r="F5" s="150">
        <f t="shared" si="0"/>
        <v>10.700787223040725</v>
      </c>
      <c r="G5" s="163">
        <f t="shared" si="1"/>
        <v>468.93936855736717</v>
      </c>
      <c r="H5" s="150">
        <f t="shared" si="2"/>
        <v>37.454597152172994</v>
      </c>
      <c r="I5" s="163">
        <f t="shared" si="3"/>
        <v>1641.3685060751645</v>
      </c>
      <c r="J5" s="150">
        <f t="shared" si="4"/>
        <v>5.0663019153334403</v>
      </c>
      <c r="K5" s="163">
        <f t="shared" si="5"/>
        <v>471.17098845598332</v>
      </c>
      <c r="L5" s="150">
        <f t="shared" si="6"/>
        <v>17.732928740188097</v>
      </c>
      <c r="M5" s="163">
        <f t="shared" si="7"/>
        <v>1649.1795598375895</v>
      </c>
      <c r="O5" s="246" t="str">
        <f>'[10]Fertilize Data'!M7</f>
        <v>Fertilizer Label</v>
      </c>
      <c r="P5" s="65">
        <f>'[10]Fertilize Data'!N7/100</f>
        <v>0.58700000000000008</v>
      </c>
      <c r="Q5" s="51">
        <f>'[10]Fertilize Data'!O7</f>
        <v>0.79838333333333333</v>
      </c>
      <c r="R5" s="51">
        <f>'[10]Fertilize Data'!P7</f>
        <v>34.777716067532786</v>
      </c>
      <c r="S5" s="435"/>
    </row>
    <row r="6" spans="1:19" x14ac:dyDescent="0.25">
      <c r="B6" s="238" t="str">
        <f>[11]Summary!$B5</f>
        <v>Multi Family 9 units</v>
      </c>
      <c r="C6" s="150">
        <f>[12]Summary!C5</f>
        <v>12.283471886277091</v>
      </c>
      <c r="D6" s="150">
        <f>[12]Summary!D5</f>
        <v>28.576703765228491</v>
      </c>
      <c r="E6" s="150">
        <f>[12]Summary!E5</f>
        <v>0</v>
      </c>
      <c r="F6" s="150">
        <f t="shared" si="0"/>
        <v>8.3281939388958683</v>
      </c>
      <c r="G6" s="163">
        <f t="shared" si="1"/>
        <v>364.96548576538851</v>
      </c>
      <c r="H6" s="150">
        <f t="shared" si="2"/>
        <v>19.375005152824919</v>
      </c>
      <c r="I6" s="163">
        <f t="shared" si="3"/>
        <v>849.06862390444462</v>
      </c>
      <c r="J6" s="150">
        <f t="shared" si="4"/>
        <v>3.9429944754949462</v>
      </c>
      <c r="K6" s="163">
        <f t="shared" si="5"/>
        <v>366.70230782587737</v>
      </c>
      <c r="L6" s="150">
        <f t="shared" si="6"/>
        <v>9.1731219086383451</v>
      </c>
      <c r="M6" s="163">
        <f t="shared" si="7"/>
        <v>853.1092282201472</v>
      </c>
      <c r="O6" s="246" t="str">
        <f>'[10]Fertilize Data'!M8</f>
        <v>None</v>
      </c>
      <c r="P6" s="65">
        <f>'[10]Fertilize Data'!N8/100</f>
        <v>0.11199999999999999</v>
      </c>
      <c r="Q6" s="50">
        <f>'[10]Fertilize Data'!O8</f>
        <v>0</v>
      </c>
      <c r="R6" s="51">
        <f>'[10]Fertilize Data'!P8</f>
        <v>0</v>
      </c>
      <c r="S6" s="435"/>
    </row>
    <row r="7" spans="1:19" ht="15.75" thickBot="1" x14ac:dyDescent="0.3">
      <c r="B7" s="238" t="str">
        <f>[11]Summary!$B6</f>
        <v>retirement homes</v>
      </c>
      <c r="C7" s="150">
        <f>[12]Summary!C6</f>
        <v>0</v>
      </c>
      <c r="D7" s="150">
        <f>[12]Summary!D6</f>
        <v>2.6825662996062731</v>
      </c>
      <c r="E7" s="150">
        <f>[12]Summary!E6</f>
        <v>0</v>
      </c>
      <c r="F7" s="150">
        <f t="shared" si="0"/>
        <v>0</v>
      </c>
      <c r="G7" s="163">
        <f t="shared" si="1"/>
        <v>0</v>
      </c>
      <c r="H7" s="150">
        <f t="shared" si="2"/>
        <v>1.8187799511330534</v>
      </c>
      <c r="I7" s="163">
        <f t="shared" si="3"/>
        <v>79.704184753126469</v>
      </c>
      <c r="J7" s="150">
        <f t="shared" si="4"/>
        <v>0</v>
      </c>
      <c r="K7" s="163">
        <f t="shared" si="5"/>
        <v>0</v>
      </c>
      <c r="L7" s="150">
        <f t="shared" si="6"/>
        <v>0.86110378217361372</v>
      </c>
      <c r="M7" s="163">
        <f t="shared" si="7"/>
        <v>80.083486335856136</v>
      </c>
      <c r="O7" s="247" t="str">
        <f>'[10]Fertilize Data'!M9</f>
        <v>Other</v>
      </c>
      <c r="P7" s="249">
        <f>'[10]Fertilize Data'!N9/100</f>
        <v>0.156</v>
      </c>
      <c r="Q7" s="243">
        <f>'[10]Fertilize Data'!O9</f>
        <v>1</v>
      </c>
      <c r="R7" s="244">
        <f>'[10]Fertilize Data'!P9</f>
        <v>43.560172933886548</v>
      </c>
      <c r="S7" s="436"/>
    </row>
    <row r="8" spans="1:19" ht="15.75" thickBot="1" x14ac:dyDescent="0.3">
      <c r="B8" s="238" t="str">
        <f>[11]Summary!$B7</f>
        <v>Single Family Residence</v>
      </c>
      <c r="C8" s="150">
        <f>[12]Summary!C7</f>
        <v>855.90907181377781</v>
      </c>
      <c r="D8" s="150">
        <f>[12]Summary!D7</f>
        <v>12695.481850516084</v>
      </c>
      <c r="E8" s="150">
        <f>[12]Summary!E7</f>
        <v>106.12304848529283</v>
      </c>
      <c r="F8" s="150">
        <f t="shared" si="0"/>
        <v>580.30635068974141</v>
      </c>
      <c r="G8" s="163">
        <f t="shared" si="1"/>
        <v>25430.69850752061</v>
      </c>
      <c r="H8" s="150">
        <f t="shared" si="2"/>
        <v>8607.5366946499053</v>
      </c>
      <c r="I8" s="163">
        <f t="shared" si="3"/>
        <v>377207.09124393843</v>
      </c>
      <c r="J8" s="150">
        <f t="shared" si="4"/>
        <v>274.74681205222271</v>
      </c>
      <c r="K8" s="163">
        <f t="shared" si="5"/>
        <v>25551.719809271584</v>
      </c>
      <c r="L8" s="150">
        <f t="shared" si="6"/>
        <v>4075.249674015663</v>
      </c>
      <c r="M8" s="163">
        <f t="shared" si="7"/>
        <v>379002.16947187384</v>
      </c>
      <c r="O8" s="102"/>
      <c r="P8" s="102"/>
      <c r="Q8" s="102"/>
      <c r="R8" s="102"/>
      <c r="S8" s="102"/>
    </row>
    <row r="9" spans="1:19" x14ac:dyDescent="0.25">
      <c r="B9" s="238" t="str">
        <f>[11]Summary!$B8</f>
        <v>Vacant Single Family Residence</v>
      </c>
      <c r="C9" s="150">
        <f>[12]Summary!C8</f>
        <v>282.93878046943041</v>
      </c>
      <c r="D9" s="150">
        <f>[12]Summary!D8</f>
        <v>3401.4342541525275</v>
      </c>
      <c r="E9" s="150">
        <f>[12]Summary!E8</f>
        <v>100.54744515363089</v>
      </c>
      <c r="F9" s="150">
        <f t="shared" si="0"/>
        <v>191.83249315827382</v>
      </c>
      <c r="G9" s="163">
        <f t="shared" si="1"/>
        <v>8406.6532989957013</v>
      </c>
      <c r="H9" s="150">
        <f t="shared" si="2"/>
        <v>2306.172424315414</v>
      </c>
      <c r="I9" s="163">
        <f t="shared" si="3"/>
        <v>101063.12908589706</v>
      </c>
      <c r="J9" s="150">
        <f t="shared" si="4"/>
        <v>90.82334853068717</v>
      </c>
      <c r="K9" s="163">
        <v>0</v>
      </c>
      <c r="L9" s="150">
        <f t="shared" si="6"/>
        <v>1091.8603955829612</v>
      </c>
      <c r="M9" s="163">
        <v>0</v>
      </c>
      <c r="O9" s="426" t="str">
        <f>'[10]Fertilize Data'!M11</f>
        <v>Lawn Service Application Rate Summary</v>
      </c>
      <c r="P9" s="427"/>
      <c r="Q9" s="427"/>
      <c r="R9" s="427"/>
      <c r="S9" s="428"/>
    </row>
    <row r="10" spans="1:19" ht="15.75" thickBot="1" x14ac:dyDescent="0.3">
      <c r="O10" s="245" t="str">
        <f>'[10]Fertilize Data'!M12</f>
        <v>GI BMP</v>
      </c>
      <c r="P10" s="243"/>
      <c r="Q10" s="243">
        <v>0.5</v>
      </c>
      <c r="R10" s="244">
        <f>'[10]Fertilize Data'!P12</f>
        <v>21.780086466943274</v>
      </c>
      <c r="S10" s="248">
        <f>'[10]Fertilize Data'!$G$20</f>
        <v>4.2699999999999996</v>
      </c>
    </row>
    <row r="11" spans="1:19" x14ac:dyDescent="0.25">
      <c r="B11" s="102" t="str">
        <f>[13]Summary!B2</f>
        <v>Clubs Lodges Union Halls</v>
      </c>
      <c r="C11" s="41">
        <f>[13]Summary!C2</f>
        <v>12.027250031865345</v>
      </c>
      <c r="D11" s="41">
        <f>[13]Summary!D2</f>
        <v>125.83948651854033</v>
      </c>
      <c r="E11" s="41">
        <f>[13]Summary!E2</f>
        <v>12.9391912572741</v>
      </c>
      <c r="F11"/>
      <c r="G11"/>
      <c r="H11"/>
      <c r="I11"/>
      <c r="J11" s="41">
        <f>C11</f>
        <v>12.027250031865345</v>
      </c>
      <c r="K11" s="163">
        <f>J11*$R$10*$S$10</f>
        <v>1118.5459099407585</v>
      </c>
      <c r="L11" s="41">
        <f>D11</f>
        <v>125.83948651854033</v>
      </c>
      <c r="M11" s="163">
        <f>L11*$R$10*$S$10</f>
        <v>11703.19421159718</v>
      </c>
      <c r="N11"/>
    </row>
    <row r="12" spans="1:19" x14ac:dyDescent="0.25">
      <c r="B12" s="102" t="str">
        <f>[13]Summary!B3</f>
        <v>Public County Schools</v>
      </c>
      <c r="C12" s="41">
        <f>[13]Summary!C3</f>
        <v>0</v>
      </c>
      <c r="D12" s="41">
        <f>[13]Summary!D3</f>
        <v>191.5894683718422</v>
      </c>
      <c r="E12" s="41">
        <f>[13]Summary!E3</f>
        <v>5.5513738723320021</v>
      </c>
      <c r="F12"/>
      <c r="G12"/>
      <c r="H12"/>
      <c r="I12" s="47"/>
      <c r="J12" s="41">
        <f t="shared" ref="J12:J17" si="8">C12</f>
        <v>0</v>
      </c>
      <c r="K12" s="163">
        <f t="shared" ref="K12:K17" si="9">J12*$R$10*$S$10</f>
        <v>0</v>
      </c>
      <c r="L12" s="41">
        <f t="shared" ref="L12:L17" si="10">D12</f>
        <v>191.5894683718422</v>
      </c>
      <c r="M12" s="163">
        <f t="shared" ref="M12:M17" si="11">L12*$R$10*$S$10</f>
        <v>17818.006249747159</v>
      </c>
      <c r="N12"/>
      <c r="O12"/>
      <c r="P12"/>
      <c r="Q12"/>
      <c r="R12"/>
      <c r="S12">
        <f>Q10*S10</f>
        <v>2.1349999999999998</v>
      </c>
    </row>
    <row r="13" spans="1:19" x14ac:dyDescent="0.25">
      <c r="B13" s="102" t="str">
        <f>[13]Summary!B4</f>
        <v>Churches</v>
      </c>
      <c r="C13" s="41">
        <f>[13]Summary!C4</f>
        <v>54.410483317064681</v>
      </c>
      <c r="D13" s="41">
        <f>[13]Summary!D4</f>
        <v>184.3631530024071</v>
      </c>
      <c r="E13" s="41">
        <f>[13]Summary!E4</f>
        <v>0</v>
      </c>
      <c r="F13"/>
      <c r="G13"/>
      <c r="H13"/>
      <c r="I13"/>
      <c r="J13" s="41">
        <f t="shared" si="8"/>
        <v>54.410483317064681</v>
      </c>
      <c r="K13" s="163">
        <f t="shared" si="9"/>
        <v>5060.2276838809103</v>
      </c>
      <c r="L13" s="41">
        <f t="shared" si="10"/>
        <v>184.3631530024071</v>
      </c>
      <c r="M13" s="163">
        <f t="shared" si="11"/>
        <v>17145.951916544767</v>
      </c>
      <c r="N13"/>
      <c r="O13"/>
      <c r="P13"/>
      <c r="Q13"/>
      <c r="R13"/>
    </row>
    <row r="14" spans="1:19" ht="15.75" thickBot="1" x14ac:dyDescent="0.3">
      <c r="B14" s="102" t="str">
        <f>[13]Summary!B5</f>
        <v>Hotels Motels</v>
      </c>
      <c r="C14" s="41">
        <f>[13]Summary!C5</f>
        <v>15.788926986940776</v>
      </c>
      <c r="D14" s="41">
        <f>[13]Summary!D5</f>
        <v>5.7362507937499245</v>
      </c>
      <c r="E14" s="41">
        <f>[13]Summary!E5</f>
        <v>0</v>
      </c>
      <c r="F14"/>
      <c r="G14"/>
      <c r="H14"/>
      <c r="I14"/>
      <c r="J14" s="41">
        <f t="shared" si="8"/>
        <v>15.788926986940776</v>
      </c>
      <c r="K14" s="163">
        <f t="shared" si="9"/>
        <v>1468.3855126321694</v>
      </c>
      <c r="L14" s="41">
        <f t="shared" si="10"/>
        <v>5.7362507937499245</v>
      </c>
      <c r="M14" s="163">
        <f t="shared" si="11"/>
        <v>533.47688347244662</v>
      </c>
      <c r="N14"/>
      <c r="O14"/>
      <c r="P14"/>
      <c r="Q14"/>
      <c r="R14"/>
    </row>
    <row r="15" spans="1:19" x14ac:dyDescent="0.25">
      <c r="B15" s="102" t="str">
        <f>[13]Summary!B6</f>
        <v>Private Schools and Colleges</v>
      </c>
      <c r="C15" s="41">
        <f>[13]Summary!C6</f>
        <v>0.13205989094535003</v>
      </c>
      <c r="D15" s="41">
        <f>[13]Summary!D6</f>
        <v>9.3705829106787455</v>
      </c>
      <c r="E15" s="41">
        <f>[13]Summary!E6</f>
        <v>0</v>
      </c>
      <c r="F15"/>
      <c r="G15"/>
      <c r="H15"/>
      <c r="I15"/>
      <c r="J15" s="41">
        <f t="shared" si="8"/>
        <v>0.13205989094535003</v>
      </c>
      <c r="K15" s="163">
        <f t="shared" si="9"/>
        <v>12.281697852192593</v>
      </c>
      <c r="L15" s="41">
        <f t="shared" si="10"/>
        <v>9.3705829106787455</v>
      </c>
      <c r="M15" s="163">
        <f t="shared" si="11"/>
        <v>871.47329279184203</v>
      </c>
      <c r="N15"/>
      <c r="O15" s="426" t="s">
        <v>261</v>
      </c>
      <c r="P15" s="427"/>
      <c r="Q15" s="428"/>
      <c r="R15"/>
    </row>
    <row r="16" spans="1:19" x14ac:dyDescent="0.25">
      <c r="B16" s="102" t="str">
        <f>[13]Summary!B7</f>
        <v>Hospitals</v>
      </c>
      <c r="C16" s="41">
        <f>[13]Summary!C7</f>
        <v>0</v>
      </c>
      <c r="D16" s="41">
        <f>[13]Summary!D7</f>
        <v>13.493761680161677</v>
      </c>
      <c r="E16" s="41">
        <f>[13]Summary!E7</f>
        <v>0</v>
      </c>
      <c r="F16"/>
      <c r="G16"/>
      <c r="H16"/>
      <c r="I16"/>
      <c r="J16" s="41">
        <f t="shared" si="8"/>
        <v>0</v>
      </c>
      <c r="K16" s="163">
        <f t="shared" si="9"/>
        <v>0</v>
      </c>
      <c r="L16" s="41">
        <f t="shared" si="10"/>
        <v>13.493761680161677</v>
      </c>
      <c r="M16" s="163">
        <f t="shared" si="11"/>
        <v>1254.9329145957149</v>
      </c>
      <c r="N16"/>
      <c r="O16" s="433" t="str">
        <f>'[10]Fertilize Data'!B2</f>
        <v>Self/Spouse</v>
      </c>
      <c r="P16" s="434"/>
      <c r="Q16" s="253">
        <f>'[10]Fertilize Data'!C2</f>
        <v>0.67800000000000005</v>
      </c>
      <c r="R16"/>
    </row>
    <row r="17" spans="2:18" ht="15.75" thickBot="1" x14ac:dyDescent="0.3">
      <c r="B17" s="102" t="str">
        <f>[13]Summary!B8</f>
        <v>Outdoor recreations</v>
      </c>
      <c r="C17" s="41">
        <f>[13]Summary!C8</f>
        <v>1.8576246244792503</v>
      </c>
      <c r="D17" s="41">
        <f>[13]Summary!D8</f>
        <v>7.0547352230217601</v>
      </c>
      <c r="E17" s="41">
        <f>[13]Summary!E8</f>
        <v>0</v>
      </c>
      <c r="F17"/>
      <c r="G17"/>
      <c r="H17"/>
      <c r="I17"/>
      <c r="J17" s="41">
        <f t="shared" si="8"/>
        <v>1.8576246244792503</v>
      </c>
      <c r="K17" s="163">
        <f t="shared" si="9"/>
        <v>172.76089051208027</v>
      </c>
      <c r="L17" s="41">
        <f t="shared" si="10"/>
        <v>7.0547352230217601</v>
      </c>
      <c r="M17" s="163">
        <f t="shared" si="11"/>
        <v>656.09721328809417</v>
      </c>
      <c r="N17"/>
      <c r="O17" s="431" t="str">
        <f>'[10]Fertilize Data'!B3</f>
        <v>Lawn Service</v>
      </c>
      <c r="P17" s="432"/>
      <c r="Q17" s="254">
        <f>'[10]Fertilize Data'!C3</f>
        <v>0.32100000000000001</v>
      </c>
      <c r="R17"/>
    </row>
    <row r="18" spans="2:18" x14ac:dyDescent="0.25">
      <c r="F18"/>
      <c r="G18"/>
      <c r="H18"/>
      <c r="I18"/>
      <c r="J18"/>
      <c r="K18"/>
      <c r="L18"/>
      <c r="M18"/>
      <c r="N18"/>
      <c r="O18"/>
      <c r="P18"/>
      <c r="Q18"/>
      <c r="R18"/>
    </row>
    <row r="19" spans="2:18" x14ac:dyDescent="0.25">
      <c r="F19"/>
      <c r="G19"/>
      <c r="H19"/>
      <c r="I19"/>
      <c r="J19"/>
      <c r="K19"/>
      <c r="L19"/>
      <c r="M19"/>
      <c r="N19"/>
      <c r="O19"/>
      <c r="P19"/>
      <c r="Q19"/>
      <c r="R19"/>
    </row>
    <row r="20" spans="2:18" x14ac:dyDescent="0.25">
      <c r="F20"/>
      <c r="G20"/>
      <c r="H20"/>
      <c r="I20"/>
      <c r="J20"/>
      <c r="K20"/>
      <c r="L20"/>
      <c r="M20"/>
      <c r="N20"/>
      <c r="O20"/>
      <c r="P20"/>
      <c r="Q20"/>
      <c r="R20"/>
    </row>
    <row r="21" spans="2:18" x14ac:dyDescent="0.25">
      <c r="B21" s="242" t="s">
        <v>22</v>
      </c>
      <c r="F21" s="109">
        <f t="shared" ref="F21:H21" si="12">SUM(F3:F17)</f>
        <v>796.53763965357541</v>
      </c>
      <c r="G21" s="250">
        <f>SUM(G3:G17)</f>
        <v>34906.577430775418</v>
      </c>
      <c r="H21" s="109">
        <f t="shared" si="12"/>
        <v>11010.666580965146</v>
      </c>
      <c r="I21" s="250">
        <f>SUM(I3:I17)</f>
        <v>482519.17604303994</v>
      </c>
      <c r="J21" s="109">
        <f>SUM(J3:J17)</f>
        <v>461.33814769612979</v>
      </c>
      <c r="K21" s="250">
        <f t="shared" ref="K21:L21" si="13">SUM(K3:K17)</f>
        <v>34458.235430460329</v>
      </c>
      <c r="L21" s="109">
        <f t="shared" si="13"/>
        <v>5750.4621471874389</v>
      </c>
      <c r="M21" s="250">
        <f>SUM(M3:M17)</f>
        <v>433254.47808054549</v>
      </c>
      <c r="N21"/>
      <c r="O21"/>
      <c r="P21"/>
      <c r="Q21"/>
      <c r="R21"/>
    </row>
    <row r="22" spans="2:18" x14ac:dyDescent="0.25">
      <c r="F22"/>
      <c r="G22"/>
      <c r="H22"/>
      <c r="I22"/>
      <c r="J22"/>
      <c r="K22"/>
      <c r="L22"/>
      <c r="M22"/>
      <c r="N22"/>
      <c r="O22"/>
      <c r="P22"/>
      <c r="Q22"/>
      <c r="R22"/>
    </row>
    <row r="23" spans="2:18" x14ac:dyDescent="0.25">
      <c r="F23"/>
      <c r="G23" t="s">
        <v>225</v>
      </c>
      <c r="H23" s="47">
        <f>G21+I21</f>
        <v>517425.75347381539</v>
      </c>
      <c r="I23"/>
      <c r="J23"/>
      <c r="K23" s="102" t="s">
        <v>225</v>
      </c>
      <c r="L23" s="47">
        <f>K21+M21</f>
        <v>467712.7135110058</v>
      </c>
      <c r="M23"/>
      <c r="N23"/>
      <c r="O23"/>
      <c r="P23"/>
      <c r="Q23"/>
      <c r="R23"/>
    </row>
    <row r="24" spans="2:18" x14ac:dyDescent="0.25">
      <c r="F24"/>
      <c r="G24" t="s">
        <v>226</v>
      </c>
      <c r="H24" s="47">
        <f>H23*0.4535924</f>
        <v>234700.38933999627</v>
      </c>
      <c r="I24"/>
      <c r="J24"/>
      <c r="K24" s="102" t="s">
        <v>226</v>
      </c>
      <c r="L24" s="47">
        <f>L23*0.4535924</f>
        <v>212150.93223196955</v>
      </c>
      <c r="M24"/>
      <c r="N24"/>
      <c r="O24"/>
      <c r="P24"/>
      <c r="Q24"/>
      <c r="R24"/>
    </row>
    <row r="25" spans="2:18" x14ac:dyDescent="0.25">
      <c r="F25"/>
      <c r="G25"/>
      <c r="H25"/>
      <c r="I25"/>
      <c r="J25"/>
      <c r="K25"/>
      <c r="L25"/>
      <c r="M25"/>
      <c r="N25"/>
      <c r="O25"/>
      <c r="P25"/>
      <c r="Q25"/>
      <c r="R25"/>
    </row>
    <row r="26" spans="2:18" x14ac:dyDescent="0.25">
      <c r="F26"/>
      <c r="G26"/>
      <c r="H26"/>
      <c r="I26"/>
      <c r="J26"/>
      <c r="K26"/>
      <c r="L26"/>
      <c r="M26"/>
      <c r="N26"/>
      <c r="O26"/>
      <c r="P26"/>
      <c r="Q26"/>
      <c r="R26"/>
    </row>
    <row r="27" spans="2:18" x14ac:dyDescent="0.25">
      <c r="F27"/>
      <c r="G27"/>
      <c r="H27"/>
      <c r="I27"/>
      <c r="J27"/>
      <c r="K27"/>
      <c r="L27"/>
      <c r="M27"/>
      <c r="N27"/>
      <c r="O27"/>
      <c r="P27"/>
      <c r="Q27"/>
      <c r="R27"/>
    </row>
    <row r="28" spans="2:18" x14ac:dyDescent="0.25">
      <c r="F28"/>
      <c r="G28"/>
      <c r="H28"/>
      <c r="I28"/>
      <c r="J28"/>
      <c r="K28"/>
      <c r="L28"/>
      <c r="M28"/>
      <c r="N28"/>
      <c r="O28"/>
      <c r="P28"/>
      <c r="Q28"/>
      <c r="R28"/>
    </row>
    <row r="29" spans="2:18" x14ac:dyDescent="0.25">
      <c r="O29"/>
      <c r="P29"/>
      <c r="Q29"/>
      <c r="R29"/>
    </row>
  </sheetData>
  <mergeCells count="15">
    <mergeCell ref="O17:P17"/>
    <mergeCell ref="O16:P16"/>
    <mergeCell ref="O15:Q15"/>
    <mergeCell ref="O9:S9"/>
    <mergeCell ref="S4:S7"/>
    <mergeCell ref="B1:B2"/>
    <mergeCell ref="C1:E1"/>
    <mergeCell ref="F1:I1"/>
    <mergeCell ref="J1:M1"/>
    <mergeCell ref="O1:S1"/>
    <mergeCell ref="O2:O3"/>
    <mergeCell ref="P2:P3"/>
    <mergeCell ref="Q2:Q3"/>
    <mergeCell ref="R2:R3"/>
    <mergeCell ref="S2:S3"/>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30"/>
  <sheetViews>
    <sheetView workbookViewId="0">
      <selection activeCell="B6" sqref="B6"/>
    </sheetView>
  </sheetViews>
  <sheetFormatPr defaultRowHeight="15" x14ac:dyDescent="0.25"/>
  <cols>
    <col min="1" max="1" width="3" customWidth="1"/>
    <col min="2" max="2" width="21.5703125" bestFit="1" customWidth="1"/>
    <col min="3" max="3" width="5.5703125" bestFit="1" customWidth="1"/>
    <col min="4" max="4" width="12.140625" bestFit="1" customWidth="1"/>
    <col min="5" max="5" width="14.42578125" bestFit="1" customWidth="1"/>
    <col min="6" max="6" width="6.7109375" customWidth="1"/>
    <col min="7" max="7" width="8.5703125" customWidth="1"/>
    <col min="8" max="8" width="8.7109375" style="102" customWidth="1"/>
    <col min="9" max="9" width="8.5703125" style="102" bestFit="1" customWidth="1"/>
    <col min="10" max="10" width="9" style="102" bestFit="1" customWidth="1"/>
    <col min="11" max="11" width="12.85546875" customWidth="1"/>
    <col min="12" max="12" width="11.5703125" bestFit="1" customWidth="1"/>
    <col min="13" max="13" width="8.5703125" bestFit="1" customWidth="1"/>
    <col min="14" max="14" width="9" bestFit="1" customWidth="1"/>
  </cols>
  <sheetData>
    <row r="1" spans="2:14" s="102" customFormat="1" ht="29.25" customHeight="1" x14ac:dyDescent="0.25">
      <c r="C1" s="440" t="s">
        <v>106</v>
      </c>
      <c r="D1" s="440"/>
      <c r="E1" s="440"/>
      <c r="F1" s="391" t="s">
        <v>86</v>
      </c>
      <c r="G1" s="391"/>
      <c r="H1" s="440" t="s">
        <v>144</v>
      </c>
      <c r="I1" s="440"/>
      <c r="J1" s="440"/>
      <c r="K1" s="393" t="s">
        <v>103</v>
      </c>
      <c r="L1" s="393" t="s">
        <v>104</v>
      </c>
      <c r="M1" s="393"/>
      <c r="N1" s="393"/>
    </row>
    <row r="2" spans="2:14" x14ac:dyDescent="0.25">
      <c r="C2" s="16">
        <v>2012</v>
      </c>
      <c r="D2" s="16">
        <v>2007</v>
      </c>
      <c r="E2" s="16">
        <v>2002</v>
      </c>
      <c r="F2" s="53" t="s">
        <v>46</v>
      </c>
      <c r="G2" s="53" t="s">
        <v>47</v>
      </c>
      <c r="H2" s="53" t="s">
        <v>46</v>
      </c>
      <c r="I2" s="16" t="s">
        <v>47</v>
      </c>
      <c r="J2" s="16" t="s">
        <v>105</v>
      </c>
      <c r="K2" s="393"/>
      <c r="L2" s="53" t="s">
        <v>46</v>
      </c>
      <c r="M2" s="53" t="s">
        <v>47</v>
      </c>
      <c r="N2" s="53" t="s">
        <v>105</v>
      </c>
    </row>
    <row r="3" spans="2:14" s="187" customFormat="1" x14ac:dyDescent="0.25">
      <c r="B3" s="261" t="s">
        <v>101</v>
      </c>
      <c r="C3" s="262">
        <v>5888</v>
      </c>
      <c r="D3" s="255">
        <v>4382</v>
      </c>
      <c r="E3" s="255">
        <v>4781</v>
      </c>
      <c r="F3" s="441">
        <f>Landuse!F8</f>
        <v>0.32327670262269315</v>
      </c>
      <c r="G3" s="441">
        <f>Landuse!G8</f>
        <v>5.0579478896849148E-2</v>
      </c>
      <c r="H3" s="263">
        <f>$F$3*C3</f>
        <v>1903.4532250424172</v>
      </c>
      <c r="I3" s="263">
        <f>$G$3*C3</f>
        <v>297.81197174464779</v>
      </c>
      <c r="J3" s="263">
        <f>I3+H3</f>
        <v>2201.2651967870652</v>
      </c>
      <c r="K3" s="189">
        <v>0.33700000000000002</v>
      </c>
      <c r="L3" s="264">
        <f>H3*K3*365</f>
        <v>234134.26394634251</v>
      </c>
      <c r="M3" s="263">
        <f t="shared" ref="M3:M11" si="0">I3*K3*365</f>
        <v>36632.361584450402</v>
      </c>
      <c r="N3" s="263">
        <f>M3+L3</f>
        <v>270766.62553079292</v>
      </c>
    </row>
    <row r="4" spans="2:14" s="187" customFormat="1" x14ac:dyDescent="0.25">
      <c r="B4" s="261" t="s">
        <v>102</v>
      </c>
      <c r="C4" s="262">
        <v>2337</v>
      </c>
      <c r="D4" s="255">
        <v>2534</v>
      </c>
      <c r="E4" s="255">
        <v>2101</v>
      </c>
      <c r="F4" s="442"/>
      <c r="G4" s="442"/>
      <c r="H4" s="263">
        <f t="shared" ref="H4:H11" si="1">$F$3*C4</f>
        <v>755.4976540292339</v>
      </c>
      <c r="I4" s="263">
        <f t="shared" ref="I4:I11" si="2">$G$3*C4</f>
        <v>118.20424218193646</v>
      </c>
      <c r="J4" s="263">
        <f t="shared" ref="J4:J11" si="3">I4+H4</f>
        <v>873.70189621117038</v>
      </c>
      <c r="K4" s="189">
        <v>6.8000000000000005E-2</v>
      </c>
      <c r="L4" s="263">
        <f t="shared" ref="L4:L11" si="4">H4*K4*365</f>
        <v>18751.451773005589</v>
      </c>
      <c r="M4" s="263">
        <f t="shared" si="0"/>
        <v>2933.8292909556631</v>
      </c>
      <c r="N4" s="263">
        <f t="shared" ref="N4:N11" si="5">M4+L4</f>
        <v>21685.281063961251</v>
      </c>
    </row>
    <row r="5" spans="2:14" x14ac:dyDescent="0.25">
      <c r="B5" s="16" t="s">
        <v>48</v>
      </c>
      <c r="C5" s="129">
        <v>348</v>
      </c>
      <c r="D5" s="109">
        <v>0</v>
      </c>
      <c r="E5" s="109">
        <v>50</v>
      </c>
      <c r="F5" s="442"/>
      <c r="G5" s="442"/>
      <c r="H5" s="47">
        <f t="shared" si="1"/>
        <v>112.50029251269721</v>
      </c>
      <c r="I5" s="47">
        <f t="shared" si="2"/>
        <v>17.601658656103503</v>
      </c>
      <c r="J5" s="47">
        <f t="shared" si="3"/>
        <v>130.10195116880072</v>
      </c>
      <c r="K5">
        <v>0.159</v>
      </c>
      <c r="L5" s="47">
        <f t="shared" si="4"/>
        <v>6528.9544759743821</v>
      </c>
      <c r="M5" s="47">
        <f t="shared" si="0"/>
        <v>1021.5122601069668</v>
      </c>
      <c r="N5" s="47">
        <f t="shared" si="5"/>
        <v>7550.4667360813492</v>
      </c>
    </row>
    <row r="6" spans="2:14" x14ac:dyDescent="0.25">
      <c r="B6" s="16" t="s">
        <v>49</v>
      </c>
      <c r="C6" s="129">
        <v>1775</v>
      </c>
      <c r="D6" s="109">
        <v>1230</v>
      </c>
      <c r="E6" s="109">
        <v>1094</v>
      </c>
      <c r="F6" s="442"/>
      <c r="G6" s="442"/>
      <c r="H6" s="47">
        <f>$F$3*C6</f>
        <v>573.81614715528031</v>
      </c>
      <c r="I6" s="47">
        <f t="shared" si="2"/>
        <v>89.778575041907231</v>
      </c>
      <c r="J6" s="47">
        <f t="shared" si="3"/>
        <v>663.59472219718759</v>
      </c>
      <c r="K6">
        <v>3.0000000000000001E-3</v>
      </c>
      <c r="L6" s="47">
        <f t="shared" si="4"/>
        <v>628.32868113503196</v>
      </c>
      <c r="M6" s="47">
        <f t="shared" si="0"/>
        <v>98.307539670888417</v>
      </c>
      <c r="N6" s="47">
        <f t="shared" si="5"/>
        <v>726.6362208059204</v>
      </c>
    </row>
    <row r="7" spans="2:14" x14ac:dyDescent="0.25">
      <c r="B7" s="16" t="s">
        <v>40</v>
      </c>
      <c r="C7" s="129">
        <v>903</v>
      </c>
      <c r="D7" s="109">
        <v>645</v>
      </c>
      <c r="E7" s="109">
        <v>716</v>
      </c>
      <c r="F7" s="442"/>
      <c r="G7" s="442"/>
      <c r="H7" s="47">
        <f t="shared" si="1"/>
        <v>291.91886246829193</v>
      </c>
      <c r="I7" s="47">
        <f t="shared" si="2"/>
        <v>45.673269443854778</v>
      </c>
      <c r="J7" s="47">
        <f t="shared" si="3"/>
        <v>337.59213191214673</v>
      </c>
      <c r="K7">
        <v>3.5000000000000003E-2</v>
      </c>
      <c r="L7" s="47">
        <f t="shared" si="4"/>
        <v>3729.26346803243</v>
      </c>
      <c r="M7" s="47">
        <f t="shared" si="0"/>
        <v>583.4760171452449</v>
      </c>
      <c r="N7" s="47">
        <f t="shared" si="5"/>
        <v>4312.7394851776753</v>
      </c>
    </row>
    <row r="8" spans="2:14" x14ac:dyDescent="0.25">
      <c r="B8" s="16" t="s">
        <v>50</v>
      </c>
      <c r="C8" s="129">
        <v>196</v>
      </c>
      <c r="D8" s="109">
        <v>667</v>
      </c>
      <c r="E8" s="109">
        <v>210</v>
      </c>
      <c r="F8" s="442"/>
      <c r="G8" s="442"/>
      <c r="H8" s="47">
        <f t="shared" si="1"/>
        <v>63.362233714047854</v>
      </c>
      <c r="I8" s="47">
        <f t="shared" si="2"/>
        <v>9.9135778637824323</v>
      </c>
      <c r="J8" s="47">
        <f t="shared" si="3"/>
        <v>73.275811577830282</v>
      </c>
      <c r="K8">
        <v>0.19</v>
      </c>
      <c r="L8" s="47">
        <f t="shared" si="4"/>
        <v>4394.170908069219</v>
      </c>
      <c r="M8" s="47">
        <f t="shared" si="0"/>
        <v>687.50662485331168</v>
      </c>
      <c r="N8" s="47">
        <f t="shared" si="5"/>
        <v>5081.6775329225311</v>
      </c>
    </row>
    <row r="9" spans="2:14" x14ac:dyDescent="0.25">
      <c r="B9" s="16" t="s">
        <v>51</v>
      </c>
      <c r="C9" s="129">
        <v>279</v>
      </c>
      <c r="D9" s="109">
        <v>102</v>
      </c>
      <c r="E9" s="109">
        <v>0</v>
      </c>
      <c r="F9" s="442"/>
      <c r="G9" s="442"/>
      <c r="H9" s="47">
        <f t="shared" si="1"/>
        <v>90.194200031731384</v>
      </c>
      <c r="I9" s="47">
        <f t="shared" si="2"/>
        <v>14.111674612220913</v>
      </c>
      <c r="J9" s="47">
        <f t="shared" si="3"/>
        <v>104.30587464395229</v>
      </c>
      <c r="K9">
        <v>0.19800000000000001</v>
      </c>
      <c r="L9" s="47">
        <f t="shared" si="4"/>
        <v>6518.3348362932284</v>
      </c>
      <c r="M9" s="47">
        <f t="shared" si="0"/>
        <v>1019.8507242252055</v>
      </c>
      <c r="N9" s="47">
        <f t="shared" si="5"/>
        <v>7538.1855605184337</v>
      </c>
    </row>
    <row r="10" spans="2:14" x14ac:dyDescent="0.25">
      <c r="B10" s="16" t="s">
        <v>52</v>
      </c>
      <c r="C10" s="129">
        <v>27</v>
      </c>
      <c r="D10" s="109">
        <v>96</v>
      </c>
      <c r="E10" s="109">
        <v>52</v>
      </c>
      <c r="F10" s="442"/>
      <c r="G10" s="442"/>
      <c r="H10" s="47">
        <f t="shared" si="1"/>
        <v>8.7284709708127153</v>
      </c>
      <c r="I10" s="47">
        <f t="shared" si="2"/>
        <v>1.3656459302149271</v>
      </c>
      <c r="J10" s="47">
        <f t="shared" si="3"/>
        <v>10.094116901027643</v>
      </c>
      <c r="K10">
        <v>6.0000000000000001E-3</v>
      </c>
      <c r="L10" s="47">
        <f t="shared" si="4"/>
        <v>19.115351426079847</v>
      </c>
      <c r="M10" s="47">
        <f t="shared" si="0"/>
        <v>2.9907645871706907</v>
      </c>
      <c r="N10" s="47">
        <f t="shared" si="5"/>
        <v>22.106116013250539</v>
      </c>
    </row>
    <row r="11" spans="2:14" x14ac:dyDescent="0.25">
      <c r="B11" s="16" t="s">
        <v>53</v>
      </c>
      <c r="C11" s="129">
        <v>1159</v>
      </c>
      <c r="D11" s="109">
        <v>1044</v>
      </c>
      <c r="E11" s="109">
        <v>1275</v>
      </c>
      <c r="F11" s="442"/>
      <c r="G11" s="442"/>
      <c r="H11" s="47">
        <f t="shared" si="1"/>
        <v>374.67769833970135</v>
      </c>
      <c r="I11" s="47">
        <f t="shared" si="2"/>
        <v>58.621616041448164</v>
      </c>
      <c r="J11" s="47">
        <f t="shared" si="3"/>
        <v>433.29931438114954</v>
      </c>
      <c r="K11">
        <v>0.27300000000000002</v>
      </c>
      <c r="L11" s="47">
        <f t="shared" si="4"/>
        <v>37334.759251059542</v>
      </c>
      <c r="M11" s="47">
        <f t="shared" si="0"/>
        <v>5841.3509304501022</v>
      </c>
      <c r="N11" s="47">
        <f t="shared" si="5"/>
        <v>43176.110181509648</v>
      </c>
    </row>
    <row r="12" spans="2:14" x14ac:dyDescent="0.25">
      <c r="L12" s="16"/>
      <c r="M12" s="16"/>
      <c r="N12" s="16"/>
    </row>
    <row r="13" spans="2:14" x14ac:dyDescent="0.25">
      <c r="H13" s="47"/>
      <c r="L13" s="268">
        <f>SUM(L5:L11)+SUM(L23:L26)</f>
        <v>245564.93644016795</v>
      </c>
      <c r="M13" s="268">
        <f t="shared" ref="M13:N13" si="6">SUM(M5:M11)+SUM(M23:M26)</f>
        <v>173841.016803459</v>
      </c>
      <c r="N13" s="268">
        <f t="shared" si="6"/>
        <v>89517.827739143162</v>
      </c>
    </row>
    <row r="16" spans="2:14" ht="15" customHeight="1" x14ac:dyDescent="0.25">
      <c r="B16" s="438" t="s">
        <v>247</v>
      </c>
      <c r="C16" s="438"/>
      <c r="D16" s="438"/>
      <c r="E16" s="438"/>
      <c r="F16" s="438"/>
      <c r="G16" s="438"/>
      <c r="H16" s="438"/>
      <c r="I16" s="438"/>
      <c r="J16" s="438"/>
      <c r="K16" s="438"/>
      <c r="L16" s="438"/>
      <c r="M16" s="438"/>
      <c r="N16" s="438"/>
    </row>
    <row r="17" spans="2:19" x14ac:dyDescent="0.25">
      <c r="B17" s="438"/>
      <c r="C17" s="438"/>
      <c r="D17" s="438"/>
      <c r="E17" s="438"/>
      <c r="F17" s="438"/>
      <c r="G17" s="438"/>
      <c r="H17" s="438"/>
      <c r="I17" s="438"/>
      <c r="J17" s="438"/>
      <c r="K17" s="438"/>
      <c r="L17" s="438"/>
      <c r="M17" s="438"/>
      <c r="N17" s="438"/>
    </row>
    <row r="18" spans="2:19" x14ac:dyDescent="0.25">
      <c r="B18" s="438"/>
      <c r="C18" s="438"/>
      <c r="D18" s="438"/>
      <c r="E18" s="438"/>
      <c r="F18" s="438"/>
      <c r="G18" s="438"/>
      <c r="H18" s="438"/>
      <c r="I18" s="438"/>
      <c r="J18" s="438"/>
      <c r="K18" s="438"/>
      <c r="L18" s="438"/>
      <c r="M18" s="438"/>
      <c r="N18" s="438"/>
    </row>
    <row r="19" spans="2:19" x14ac:dyDescent="0.25">
      <c r="B19" s="438"/>
      <c r="C19" s="438"/>
      <c r="D19" s="438"/>
      <c r="E19" s="438"/>
      <c r="F19" s="438"/>
      <c r="G19" s="438"/>
      <c r="H19" s="438"/>
      <c r="I19" s="438"/>
      <c r="J19" s="438"/>
      <c r="K19" s="438"/>
      <c r="L19" s="438"/>
      <c r="M19" s="438"/>
      <c r="N19" s="438"/>
    </row>
    <row r="20" spans="2:19" x14ac:dyDescent="0.25">
      <c r="B20" s="265"/>
      <c r="C20" s="265"/>
      <c r="D20" s="265"/>
      <c r="E20" s="265"/>
      <c r="F20" s="265"/>
      <c r="G20" s="265"/>
      <c r="H20" s="265"/>
      <c r="I20" s="265"/>
      <c r="J20" s="265"/>
      <c r="K20" s="265"/>
      <c r="L20" s="265"/>
      <c r="M20" s="265"/>
      <c r="N20" s="265"/>
    </row>
    <row r="21" spans="2:19" x14ac:dyDescent="0.25">
      <c r="C21" s="391" t="s">
        <v>213</v>
      </c>
      <c r="D21" s="391" t="s">
        <v>211</v>
      </c>
      <c r="E21" s="437" t="s">
        <v>212</v>
      </c>
      <c r="F21" s="439" t="s">
        <v>209</v>
      </c>
      <c r="G21" s="357"/>
      <c r="H21" s="437"/>
      <c r="I21" s="439" t="s">
        <v>214</v>
      </c>
      <c r="J21" s="357"/>
      <c r="K21" s="437"/>
      <c r="L21" s="393" t="s">
        <v>104</v>
      </c>
      <c r="M21" s="393"/>
      <c r="N21" s="393"/>
      <c r="O21" s="102"/>
      <c r="P21" s="109"/>
      <c r="Q21" s="109"/>
      <c r="R21" s="109"/>
      <c r="S21" s="102"/>
    </row>
    <row r="22" spans="2:19" x14ac:dyDescent="0.25">
      <c r="C22" s="391"/>
      <c r="D22" s="391"/>
      <c r="E22" s="437"/>
      <c r="F22" s="267" t="s">
        <v>46</v>
      </c>
      <c r="G22" s="259" t="s">
        <v>47</v>
      </c>
      <c r="H22" s="266" t="s">
        <v>105</v>
      </c>
      <c r="I22" s="267" t="s">
        <v>46</v>
      </c>
      <c r="J22" s="259" t="s">
        <v>47</v>
      </c>
      <c r="K22" s="266" t="s">
        <v>105</v>
      </c>
      <c r="L22" s="260" t="s">
        <v>46</v>
      </c>
      <c r="M22" s="260" t="s">
        <v>47</v>
      </c>
      <c r="N22" s="260" t="s">
        <v>105</v>
      </c>
      <c r="O22" s="102"/>
      <c r="P22" s="109"/>
      <c r="Q22" s="109"/>
      <c r="R22" s="109"/>
      <c r="S22" s="102"/>
    </row>
    <row r="23" spans="2:19" x14ac:dyDescent="0.25">
      <c r="C23" s="102">
        <v>60</v>
      </c>
      <c r="D23" s="148" t="s">
        <v>210</v>
      </c>
      <c r="E23" s="148" t="s">
        <v>125</v>
      </c>
      <c r="F23" s="136">
        <f>'PA Landuse'!D24</f>
        <v>1869.30727273396</v>
      </c>
      <c r="G23" s="141">
        <f>'PA Landuse'!E24</f>
        <v>1488.0904730966699</v>
      </c>
      <c r="H23" s="202">
        <f>'PA Landuse'!F24</f>
        <v>381.21680232429901</v>
      </c>
      <c r="I23" s="136">
        <f>F23/7</f>
        <v>267.0438961048514</v>
      </c>
      <c r="J23" s="136">
        <f>G23/7</f>
        <v>212.58435329952428</v>
      </c>
      <c r="K23" s="202">
        <f t="shared" ref="K23" si="7">H23/7</f>
        <v>54.459543189185574</v>
      </c>
      <c r="L23" s="129">
        <f>I23*$K$3*365</f>
        <v>32847.734440377251</v>
      </c>
      <c r="M23" s="129">
        <f t="shared" ref="M23:N23" si="8">J23*$K$3*365</f>
        <v>26148.938377607989</v>
      </c>
      <c r="N23" s="129">
        <f t="shared" si="8"/>
        <v>6698.7961099857721</v>
      </c>
      <c r="O23" s="109"/>
      <c r="P23" s="109"/>
      <c r="Q23" s="102"/>
    </row>
    <row r="24" spans="2:19" x14ac:dyDescent="0.25">
      <c r="C24" s="102">
        <v>61</v>
      </c>
      <c r="D24" s="148" t="s">
        <v>210</v>
      </c>
      <c r="E24" s="148" t="s">
        <v>126</v>
      </c>
      <c r="F24" s="136">
        <f>'PA Landuse'!D25</f>
        <v>3133.2722732488801</v>
      </c>
      <c r="G24" s="141">
        <f>'PA Landuse'!E25</f>
        <v>2817.4804253812599</v>
      </c>
      <c r="H24" s="202">
        <f>'PA Landuse'!F25</f>
        <v>315.79184989170602</v>
      </c>
      <c r="I24" s="136">
        <f t="shared" ref="I24:I26" si="9">F24/7</f>
        <v>447.61032474984</v>
      </c>
      <c r="J24" s="136">
        <f t="shared" ref="J24:J26" si="10">G24/7</f>
        <v>402.49720362589426</v>
      </c>
      <c r="K24" s="202">
        <f t="shared" ref="K24:K26" si="11">H24/7</f>
        <v>45.113121413100863</v>
      </c>
      <c r="L24" s="129">
        <f t="shared" ref="L24:L26" si="12">I24*$K$3*365</f>
        <v>55058.307995854077</v>
      </c>
      <c r="M24" s="129">
        <f t="shared" ref="M24:M26" si="13">J24*$K$3*365</f>
        <v>49509.168532003132</v>
      </c>
      <c r="N24" s="129">
        <f t="shared" ref="N24:N26" si="14">K24*$K$3*365</f>
        <v>5549.139499418472</v>
      </c>
      <c r="O24" s="109"/>
      <c r="P24" s="109"/>
      <c r="Q24" s="102"/>
    </row>
    <row r="25" spans="2:19" x14ac:dyDescent="0.25">
      <c r="C25" s="102">
        <v>62</v>
      </c>
      <c r="D25" s="148" t="s">
        <v>210</v>
      </c>
      <c r="E25" s="148" t="s">
        <v>126</v>
      </c>
      <c r="F25" s="136">
        <f>'PA Landuse'!D26</f>
        <v>3665.0099325309302</v>
      </c>
      <c r="G25" s="141">
        <f>'PA Landuse'!E26</f>
        <v>3133.09969982333</v>
      </c>
      <c r="H25" s="202">
        <f>'PA Landuse'!F26</f>
        <v>491.15927480050902</v>
      </c>
      <c r="I25" s="136">
        <f t="shared" si="9"/>
        <v>523.57284750441863</v>
      </c>
      <c r="J25" s="136">
        <f t="shared" si="10"/>
        <v>447.58567140333287</v>
      </c>
      <c r="K25" s="202">
        <f t="shared" si="11"/>
        <v>70.165610685787001</v>
      </c>
      <c r="L25" s="129">
        <f t="shared" si="12"/>
        <v>64402.07810728102</v>
      </c>
      <c r="M25" s="129">
        <f t="shared" si="13"/>
        <v>55055.275510966967</v>
      </c>
      <c r="N25" s="129">
        <f t="shared" si="14"/>
        <v>8630.7209424052307</v>
      </c>
    </row>
    <row r="26" spans="2:19" x14ac:dyDescent="0.25">
      <c r="C26" s="102">
        <v>63</v>
      </c>
      <c r="D26" s="148" t="s">
        <v>210</v>
      </c>
      <c r="E26" s="148" t="s">
        <v>127</v>
      </c>
      <c r="F26" s="136">
        <f>'PA Landuse'!D27</f>
        <v>1940.79283340238</v>
      </c>
      <c r="G26" s="141">
        <f>'PA Landuse'!E27</f>
        <v>1927.6328332416899</v>
      </c>
      <c r="H26" s="202">
        <f>'PA Landuse'!F27</f>
        <v>13.1599973995699</v>
      </c>
      <c r="I26" s="136">
        <f t="shared" si="9"/>
        <v>277.25611905748286</v>
      </c>
      <c r="J26" s="136">
        <f t="shared" si="10"/>
        <v>275.37611903452711</v>
      </c>
      <c r="K26" s="202">
        <f t="shared" si="11"/>
        <v>1.8799996285099856</v>
      </c>
      <c r="L26" s="129">
        <f t="shared" si="12"/>
        <v>34103.888924665684</v>
      </c>
      <c r="M26" s="129">
        <f t="shared" si="13"/>
        <v>33872.639521842015</v>
      </c>
      <c r="N26" s="129">
        <f t="shared" si="14"/>
        <v>231.24935430487076</v>
      </c>
    </row>
    <row r="28" spans="2:19" x14ac:dyDescent="0.25">
      <c r="F28" s="129">
        <f>SUM(F23:F26)*0.4046873</f>
        <v>4293.0775951771056</v>
      </c>
      <c r="G28" s="129">
        <f>SUM(G23:G26)*0.4046873</f>
        <v>3790.4240466918518</v>
      </c>
      <c r="I28" s="129">
        <f>SUM(I23:I26)</f>
        <v>1515.483187416593</v>
      </c>
      <c r="J28" s="129">
        <f>SUM(J23:J26)</f>
        <v>1338.0433473632786</v>
      </c>
    </row>
    <row r="29" spans="2:19" x14ac:dyDescent="0.25">
      <c r="I29" s="109">
        <f>I28*0.153*365</f>
        <v>84632.158601279632</v>
      </c>
      <c r="J29" s="109">
        <f>J28*0.153*365</f>
        <v>74723.030733502295</v>
      </c>
    </row>
    <row r="30" spans="2:19" x14ac:dyDescent="0.25">
      <c r="J30" s="47">
        <f>J29+I29</f>
        <v>159355.18933478193</v>
      </c>
    </row>
  </sheetData>
  <mergeCells count="14">
    <mergeCell ref="H1:J1"/>
    <mergeCell ref="F3:F11"/>
    <mergeCell ref="G3:G11"/>
    <mergeCell ref="C1:E1"/>
    <mergeCell ref="L1:N1"/>
    <mergeCell ref="F1:G1"/>
    <mergeCell ref="K1:K2"/>
    <mergeCell ref="E21:E22"/>
    <mergeCell ref="D21:D22"/>
    <mergeCell ref="B16:N19"/>
    <mergeCell ref="F21:H21"/>
    <mergeCell ref="C21:C22"/>
    <mergeCell ref="I21:K21"/>
    <mergeCell ref="L21:N2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E4"/>
  <sheetViews>
    <sheetView workbookViewId="0">
      <selection activeCell="D7" sqref="D7"/>
    </sheetView>
  </sheetViews>
  <sheetFormatPr defaultRowHeight="15" x14ac:dyDescent="0.25"/>
  <cols>
    <col min="5" max="5" width="11.5703125" bestFit="1" customWidth="1"/>
  </cols>
  <sheetData>
    <row r="2" spans="4:5" x14ac:dyDescent="0.25">
      <c r="D2" t="s">
        <v>58</v>
      </c>
      <c r="E2" s="109">
        <v>24411.487370999999</v>
      </c>
    </row>
    <row r="3" spans="4:5" x14ac:dyDescent="0.25">
      <c r="D3" t="s">
        <v>47</v>
      </c>
      <c r="E3" s="109">
        <v>59226.764966000002</v>
      </c>
    </row>
    <row r="4" spans="4:5" x14ac:dyDescent="0.25">
      <c r="D4" t="s">
        <v>46</v>
      </c>
      <c r="E4" s="109">
        <v>346587.17138199997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80"/>
  <sheetViews>
    <sheetView topLeftCell="B28" zoomScale="90" zoomScaleNormal="90" workbookViewId="0">
      <selection activeCell="O9" sqref="O9"/>
    </sheetView>
  </sheetViews>
  <sheetFormatPr defaultRowHeight="15" x14ac:dyDescent="0.25"/>
  <cols>
    <col min="1" max="1" width="2.28515625" customWidth="1"/>
    <col min="2" max="2" width="17.28515625" bestFit="1" customWidth="1"/>
    <col min="3" max="3" width="9.140625" bestFit="1" customWidth="1"/>
    <col min="4" max="4" width="12.42578125" customWidth="1"/>
    <col min="5" max="5" width="8.28515625" customWidth="1"/>
    <col min="6" max="6" width="11.85546875" bestFit="1" customWidth="1"/>
    <col min="7" max="7" width="9.42578125" style="102" customWidth="1"/>
    <col min="8" max="8" width="9.5703125" bestFit="1" customWidth="1"/>
    <col min="9" max="9" width="11" bestFit="1" customWidth="1"/>
    <col min="10" max="10" width="9.28515625" customWidth="1"/>
    <col min="11" max="11" width="12.7109375" style="102" customWidth="1"/>
    <col min="12" max="12" width="10.5703125" bestFit="1" customWidth="1"/>
    <col min="21" max="21" width="9.140625" customWidth="1"/>
  </cols>
  <sheetData>
    <row r="1" spans="2:27" x14ac:dyDescent="0.25">
      <c r="B1" s="337" t="s">
        <v>119</v>
      </c>
      <c r="C1" s="338"/>
      <c r="D1" s="338"/>
      <c r="E1" s="347">
        <f>'Attenuation Summary'!O1</f>
        <v>932562.06884340977</v>
      </c>
      <c r="F1" s="348"/>
      <c r="G1" s="298">
        <f>E1*0.4535924</f>
        <v>423003.06695564749</v>
      </c>
      <c r="H1">
        <f>G1/(0.4046873*'Input Summary'!C13)</f>
        <v>6.3812758757523991</v>
      </c>
      <c r="I1" t="s">
        <v>255</v>
      </c>
      <c r="K1"/>
    </row>
    <row r="2" spans="2:27" ht="15.75" thickBot="1" x14ac:dyDescent="0.3">
      <c r="B2" s="339"/>
      <c r="C2" s="340"/>
      <c r="D2" s="340"/>
      <c r="E2" s="349"/>
      <c r="F2" s="350"/>
      <c r="G2" s="324">
        <f>E1/'Input Summary'!L13</f>
        <v>0.22876162522808419</v>
      </c>
      <c r="H2">
        <f>E1*(0.4046873)</f>
        <v>377396.02572265366</v>
      </c>
      <c r="I2" t="s">
        <v>262</v>
      </c>
      <c r="K2"/>
    </row>
    <row r="3" spans="2:27" ht="15.75" thickBot="1" x14ac:dyDescent="0.3">
      <c r="B3" s="1"/>
      <c r="C3" s="1"/>
      <c r="D3" s="1"/>
      <c r="E3" s="1"/>
      <c r="F3" s="1"/>
      <c r="H3" s="1"/>
      <c r="I3" s="1"/>
      <c r="J3" s="1"/>
      <c r="K3" s="294"/>
      <c r="L3" s="294"/>
      <c r="M3" s="294"/>
      <c r="N3" s="294"/>
      <c r="O3" s="294"/>
      <c r="P3" s="327"/>
      <c r="Q3" s="327"/>
      <c r="R3" s="327"/>
      <c r="S3" s="327"/>
      <c r="T3" s="327"/>
      <c r="U3" s="327"/>
      <c r="V3" s="327"/>
      <c r="W3" s="327"/>
      <c r="X3" s="327"/>
      <c r="Y3" s="327"/>
    </row>
    <row r="4" spans="2:27" x14ac:dyDescent="0.25">
      <c r="B4" s="343" t="s">
        <v>0</v>
      </c>
      <c r="C4" s="345" t="s">
        <v>95</v>
      </c>
      <c r="D4" s="334" t="s">
        <v>83</v>
      </c>
      <c r="E4" s="334" t="s">
        <v>2</v>
      </c>
      <c r="F4" s="334" t="s">
        <v>249</v>
      </c>
      <c r="G4" s="334" t="s">
        <v>73</v>
      </c>
      <c r="H4" s="334" t="s">
        <v>84</v>
      </c>
      <c r="I4" s="334"/>
      <c r="J4" s="341" t="s">
        <v>5</v>
      </c>
      <c r="K4" s="331"/>
      <c r="M4" s="16"/>
      <c r="N4" s="16"/>
      <c r="O4" s="16"/>
      <c r="P4" s="16"/>
      <c r="Q4" s="16"/>
      <c r="R4" s="16"/>
      <c r="S4" s="16"/>
      <c r="T4" s="16"/>
      <c r="U4" s="16"/>
      <c r="V4" s="16"/>
      <c r="W4" s="16"/>
      <c r="X4" s="16"/>
      <c r="Y4" s="16"/>
      <c r="Z4" s="16"/>
      <c r="AA4" s="16"/>
    </row>
    <row r="5" spans="2:27" ht="15.75" thickBot="1" x14ac:dyDescent="0.3">
      <c r="B5" s="344"/>
      <c r="C5" s="346"/>
      <c r="D5" s="335"/>
      <c r="E5" s="335"/>
      <c r="F5" s="335"/>
      <c r="G5" s="335"/>
      <c r="H5" s="277" t="s">
        <v>85</v>
      </c>
      <c r="I5" s="277" t="s">
        <v>154</v>
      </c>
      <c r="J5" s="342"/>
      <c r="K5" s="332"/>
      <c r="L5" s="49"/>
    </row>
    <row r="6" spans="2:27" s="72" customFormat="1" ht="15.75" thickBot="1" x14ac:dyDescent="0.3">
      <c r="B6" s="126" t="s">
        <v>62</v>
      </c>
      <c r="C6" s="127"/>
      <c r="D6" s="128" t="s">
        <v>215</v>
      </c>
      <c r="E6" s="216"/>
      <c r="F6" s="216" t="s">
        <v>63</v>
      </c>
      <c r="G6" s="216"/>
      <c r="H6" s="333" t="s">
        <v>79</v>
      </c>
      <c r="I6" s="333"/>
      <c r="J6" s="216">
        <v>2012</v>
      </c>
      <c r="K6" s="276"/>
      <c r="L6" s="49"/>
    </row>
    <row r="7" spans="2:27" ht="15.75" thickBot="1" x14ac:dyDescent="0.3">
      <c r="B7" s="328" t="s">
        <v>7</v>
      </c>
      <c r="C7" s="329"/>
      <c r="D7" s="329"/>
      <c r="E7" s="329"/>
      <c r="F7" s="329"/>
      <c r="G7" s="329"/>
      <c r="H7" s="329"/>
      <c r="I7" s="329"/>
      <c r="J7" s="329"/>
      <c r="K7" s="330"/>
    </row>
    <row r="8" spans="2:27" ht="15.75" thickBot="1" x14ac:dyDescent="0.3">
      <c r="B8" s="278" t="s">
        <v>89</v>
      </c>
      <c r="C8" s="279">
        <f>'Attenuation Summary'!C10+'Input Summary'!C10</f>
        <v>178752.90555699999</v>
      </c>
      <c r="D8" s="279">
        <f>('Attenuation Summary'!D4*'Attenuation Summary'!$P$6)+('Attenuation Summary'!D7*'Attenuation Summary'!$P$7)</f>
        <v>79540.883163305654</v>
      </c>
      <c r="E8" s="279">
        <f>(('Attenuation Summary'!E4+'Attenuation Summary'!K4)*'Attenuation Summary'!$P$6)+(('Attenuation Summary'!E7+'Attenuation Summary'!K7)*'Attenuation Summary'!$P$7)</f>
        <v>19404.895224402171</v>
      </c>
      <c r="F8" s="279">
        <f>('Attenuation Summary'!F4*'Attenuation Summary'!$P$6)+('Attenuation Summary'!F7*'Attenuation Summary'!$P$7)</f>
        <v>474787.61916077341</v>
      </c>
      <c r="G8" s="279">
        <f>('Attenuation Summary'!G4*'Attenuation Summary'!$P$6)+('Attenuation Summary'!G7*'Attenuation Summary'!$P$7)</f>
        <v>50219.407861343498</v>
      </c>
      <c r="H8" s="279">
        <f>('Attenuation Summary'!H4*'Attenuation Summary'!$P$6)+('Attenuation Summary'!H7*'Attenuation Summary'!$P$7)</f>
        <v>171775.73902836893</v>
      </c>
      <c r="I8" s="279">
        <f>('Attenuation Summary'!I4*'Attenuation Summary'!$P$6)+('Attenuation Summary'!I7*'Attenuation Summary'!$P$7)</f>
        <v>106040.62928542784</v>
      </c>
      <c r="J8" s="280">
        <f>('Attenuation Summary'!J4*'Attenuation Summary'!$P$6)+('Attenuation Summary'!J7*'Attenuation Summary'!$P$7)</f>
        <v>30792.89511978806</v>
      </c>
      <c r="K8" s="273"/>
    </row>
    <row r="9" spans="2:27" s="49" customFormat="1" x14ac:dyDescent="0.25">
      <c r="B9" s="281" t="s">
        <v>8</v>
      </c>
      <c r="C9" s="282">
        <f t="shared" ref="C9:J9" si="0">SUM(C8:C8)</f>
        <v>178752.90555699999</v>
      </c>
      <c r="D9" s="282">
        <f t="shared" si="0"/>
        <v>79540.883163305654</v>
      </c>
      <c r="E9" s="282">
        <f t="shared" si="0"/>
        <v>19404.895224402171</v>
      </c>
      <c r="F9" s="282">
        <f t="shared" si="0"/>
        <v>474787.61916077341</v>
      </c>
      <c r="G9" s="282">
        <f>SUM(G8:G8)</f>
        <v>50219.407861343498</v>
      </c>
      <c r="H9" s="282">
        <f t="shared" si="0"/>
        <v>171775.73902836893</v>
      </c>
      <c r="I9" s="282">
        <f t="shared" si="0"/>
        <v>106040.62928542784</v>
      </c>
      <c r="J9" s="283">
        <f t="shared" si="0"/>
        <v>30792.89511978806</v>
      </c>
      <c r="K9" s="274">
        <f>SUM(K8:K8)</f>
        <v>0</v>
      </c>
      <c r="L9"/>
    </row>
    <row r="10" spans="2:27" s="49" customFormat="1" ht="15.75" thickBot="1" x14ac:dyDescent="0.3">
      <c r="B10" s="284" t="s">
        <v>9</v>
      </c>
      <c r="C10" s="285"/>
      <c r="D10" s="286">
        <f>D9/$E$1</f>
        <v>8.5292856980505913E-2</v>
      </c>
      <c r="E10" s="286">
        <f t="shared" ref="E10:J10" si="1">E9/$E$1</f>
        <v>2.0808154087232692E-2</v>
      </c>
      <c r="F10" s="286">
        <f t="shared" si="1"/>
        <v>0.50912173572491393</v>
      </c>
      <c r="G10" s="286">
        <f t="shared" ref="G10" si="2">G9/$E$1</f>
        <v>5.3851008462768649E-2</v>
      </c>
      <c r="H10" s="286">
        <f t="shared" si="1"/>
        <v>0.18419764728519372</v>
      </c>
      <c r="I10" s="286">
        <f t="shared" si="1"/>
        <v>0.11370892386492031</v>
      </c>
      <c r="J10" s="287">
        <f t="shared" si="1"/>
        <v>3.3019673594464644E-2</v>
      </c>
      <c r="K10" s="275">
        <f>K9/$E$1</f>
        <v>0</v>
      </c>
      <c r="L10" s="111">
        <f>SUM(D10:K10)</f>
        <v>0.99999999999999989</v>
      </c>
    </row>
    <row r="11" spans="2:27" ht="15.75" thickBot="1" x14ac:dyDescent="0.3">
      <c r="B11" s="28"/>
      <c r="C11" s="28"/>
      <c r="D11" s="29"/>
      <c r="E11" s="29"/>
      <c r="F11" s="29"/>
      <c r="G11" s="29"/>
      <c r="H11" s="29"/>
      <c r="I11" s="29"/>
      <c r="J11" s="29"/>
      <c r="K11" s="29"/>
    </row>
    <row r="12" spans="2:27" ht="15.75" thickBot="1" x14ac:dyDescent="0.3">
      <c r="B12" s="328" t="s">
        <v>10</v>
      </c>
      <c r="C12" s="329"/>
      <c r="D12" s="329"/>
      <c r="E12" s="329"/>
      <c r="F12" s="329"/>
      <c r="G12" s="329"/>
      <c r="H12" s="329"/>
      <c r="I12" s="329"/>
      <c r="J12" s="329"/>
      <c r="K12" s="330"/>
    </row>
    <row r="13" spans="2:27" x14ac:dyDescent="0.25">
      <c r="B13" s="288" t="s">
        <v>41</v>
      </c>
      <c r="C13" s="289">
        <f>'Attenuation Summary'!C4</f>
        <v>142132.407049</v>
      </c>
      <c r="D13" s="289">
        <f>'Attenuation Summary'!D4*'Attenuation Summary'!$P$6</f>
        <v>73372.226917536347</v>
      </c>
      <c r="E13" s="289">
        <f>('Attenuation Summary'!E4+'Attenuation Summary'!K4)*'Attenuation Summary'!$P$6</f>
        <v>18373.359226247223</v>
      </c>
      <c r="F13" s="289">
        <f>'Attenuation Summary'!F4*'Attenuation Summary'!$P$6</f>
        <v>451907.28006915201</v>
      </c>
      <c r="G13" s="289">
        <f>'Attenuation Summary'!G4*'Attenuation Summary'!$P$6</f>
        <v>30489.636336467011</v>
      </c>
      <c r="H13" s="289">
        <f>'Attenuation Summary'!H4*'Attenuation Summary'!$P$6</f>
        <v>164839.25774224536</v>
      </c>
      <c r="I13" s="289">
        <f>'Attenuation Summary'!I4*'Attenuation Summary'!$P$6</f>
        <v>96692.706225039612</v>
      </c>
      <c r="J13" s="290">
        <f>'Attenuation Summary'!J4*'Attenuation Summary'!$P$6</f>
        <v>22100.844279615114</v>
      </c>
      <c r="K13" s="271">
        <f>'Attenuation Summary'!K4*'Attenuation Summary'!$P$6</f>
        <v>2448.1263591565694</v>
      </c>
      <c r="L13" s="214">
        <f>SUM(D13:K13)</f>
        <v>860223.43715545919</v>
      </c>
    </row>
    <row r="14" spans="2:27" ht="15.75" thickBot="1" x14ac:dyDescent="0.3">
      <c r="B14" s="291" t="s">
        <v>42</v>
      </c>
      <c r="C14" s="292">
        <f>'Attenuation Summary'!C7</f>
        <v>21668.544478</v>
      </c>
      <c r="D14" s="292">
        <f>'Attenuation Summary'!D7*'Attenuation Summary'!$P$7</f>
        <v>6168.6562457693035</v>
      </c>
      <c r="E14" s="292">
        <f>('Attenuation Summary'!E7+'Attenuation Summary'!K7)*'Attenuation Summary'!$P$7</f>
        <v>1031.5359981549464</v>
      </c>
      <c r="F14" s="292">
        <f>'Attenuation Summary'!F7*'Attenuation Summary'!$P$7</f>
        <v>22880.339091621379</v>
      </c>
      <c r="G14" s="292">
        <f>'Attenuation Summary'!G7*'Attenuation Summary'!$P$7</f>
        <v>19729.771524876491</v>
      </c>
      <c r="H14" s="292">
        <f>'Attenuation Summary'!H7*'Attenuation Summary'!$P$7</f>
        <v>6936.4812861235741</v>
      </c>
      <c r="I14" s="292">
        <f>'Attenuation Summary'!I7*'Attenuation Summary'!$P$7</f>
        <v>9347.9230603882279</v>
      </c>
      <c r="J14" s="293">
        <f>'Attenuation Summary'!J7*'Attenuation Summary'!$P$7</f>
        <v>8692.0508401729476</v>
      </c>
      <c r="K14" s="272">
        <f>'Attenuation Summary'!K7*'Attenuation Summary'!$P$7</f>
        <v>0</v>
      </c>
      <c r="L14" s="214">
        <f>SUM(D14:K14)</f>
        <v>74786.758047106865</v>
      </c>
    </row>
    <row r="15" spans="2:27" x14ac:dyDescent="0.25">
      <c r="L15" s="110">
        <f>SUM(D14:K14)</f>
        <v>74786.758047106865</v>
      </c>
    </row>
    <row r="16" spans="2:27" x14ac:dyDescent="0.25">
      <c r="B16" s="327"/>
      <c r="C16" s="327"/>
      <c r="D16" s="327"/>
      <c r="E16" s="327"/>
      <c r="F16" s="327"/>
      <c r="G16" s="327"/>
      <c r="H16" s="327"/>
      <c r="I16" s="327"/>
      <c r="J16" s="327"/>
      <c r="K16" s="124"/>
    </row>
    <row r="48" spans="2:7" x14ac:dyDescent="0.25">
      <c r="B48" s="336" t="s">
        <v>250</v>
      </c>
      <c r="C48" s="336"/>
      <c r="D48" s="336"/>
      <c r="E48" s="336"/>
      <c r="F48" s="336"/>
      <c r="G48" s="336"/>
    </row>
    <row r="49" spans="2:4" x14ac:dyDescent="0.25">
      <c r="B49" t="s">
        <v>251</v>
      </c>
      <c r="C49" s="129">
        <f>D8</f>
        <v>79540.883163305654</v>
      </c>
      <c r="D49" s="31">
        <f>C49/$C$55</f>
        <v>8.5292856980505927E-2</v>
      </c>
    </row>
    <row r="50" spans="2:4" x14ac:dyDescent="0.25">
      <c r="B50" t="s">
        <v>2</v>
      </c>
      <c r="C50" s="129">
        <f>E8</f>
        <v>19404.895224402171</v>
      </c>
      <c r="D50" s="31">
        <f t="shared" ref="D50:D54" si="3">C50/$C$55</f>
        <v>2.0808154087232696E-2</v>
      </c>
    </row>
    <row r="51" spans="2:4" x14ac:dyDescent="0.25">
      <c r="B51" t="s">
        <v>249</v>
      </c>
      <c r="C51" s="129">
        <f>F8</f>
        <v>474787.61916077341</v>
      </c>
      <c r="D51" s="31">
        <f t="shared" si="3"/>
        <v>0.50912173572491404</v>
      </c>
    </row>
    <row r="52" spans="2:4" x14ac:dyDescent="0.25">
      <c r="B52" t="s">
        <v>252</v>
      </c>
      <c r="C52" s="129">
        <f>G8+H8</f>
        <v>221995.14688971243</v>
      </c>
      <c r="D52" s="31">
        <f t="shared" si="3"/>
        <v>0.23804865574796241</v>
      </c>
    </row>
    <row r="53" spans="2:4" x14ac:dyDescent="0.25">
      <c r="B53" t="s">
        <v>253</v>
      </c>
      <c r="C53" s="129">
        <f>I8</f>
        <v>106040.62928542784</v>
      </c>
      <c r="D53" s="31">
        <f t="shared" si="3"/>
        <v>0.11370892386492033</v>
      </c>
    </row>
    <row r="54" spans="2:4" x14ac:dyDescent="0.25">
      <c r="B54" t="s">
        <v>254</v>
      </c>
      <c r="C54" s="129">
        <f>J8</f>
        <v>30792.89511978806</v>
      </c>
      <c r="D54" s="31">
        <f t="shared" si="3"/>
        <v>3.3019673594464657E-2</v>
      </c>
    </row>
    <row r="55" spans="2:4" x14ac:dyDescent="0.25">
      <c r="C55" s="129">
        <f>SUM(C49:C54)</f>
        <v>932562.06884340954</v>
      </c>
      <c r="D55" s="129">
        <f>SUM(D49:D54)</f>
        <v>1</v>
      </c>
    </row>
    <row r="67" spans="2:11" x14ac:dyDescent="0.25">
      <c r="B67" s="102"/>
      <c r="G67"/>
      <c r="K67"/>
    </row>
    <row r="68" spans="2:11" x14ac:dyDescent="0.25">
      <c r="B68" s="102"/>
      <c r="G68"/>
      <c r="K68"/>
    </row>
    <row r="69" spans="2:11" x14ac:dyDescent="0.25">
      <c r="B69" s="102"/>
      <c r="G69"/>
      <c r="K69"/>
    </row>
    <row r="70" spans="2:11" x14ac:dyDescent="0.25">
      <c r="G70"/>
      <c r="K70"/>
    </row>
    <row r="71" spans="2:11" ht="15" customHeight="1" x14ac:dyDescent="0.25">
      <c r="G71"/>
      <c r="K71"/>
    </row>
    <row r="72" spans="2:11" x14ac:dyDescent="0.25">
      <c r="G72"/>
      <c r="K72"/>
    </row>
    <row r="73" spans="2:11" x14ac:dyDescent="0.25">
      <c r="G73"/>
      <c r="K73"/>
    </row>
    <row r="74" spans="2:11" x14ac:dyDescent="0.25">
      <c r="G74"/>
      <c r="K74"/>
    </row>
    <row r="75" spans="2:11" x14ac:dyDescent="0.25">
      <c r="G75"/>
      <c r="K75"/>
    </row>
    <row r="76" spans="2:11" x14ac:dyDescent="0.25">
      <c r="G76"/>
      <c r="K76"/>
    </row>
    <row r="77" spans="2:11" x14ac:dyDescent="0.25">
      <c r="G77"/>
      <c r="K77"/>
    </row>
    <row r="78" spans="2:11" x14ac:dyDescent="0.25">
      <c r="G78"/>
      <c r="K78"/>
    </row>
    <row r="79" spans="2:11" x14ac:dyDescent="0.25">
      <c r="G79"/>
      <c r="K79"/>
    </row>
    <row r="80" spans="2:11" x14ac:dyDescent="0.25">
      <c r="B80" s="102"/>
      <c r="G80"/>
      <c r="K80"/>
    </row>
  </sheetData>
  <mergeCells count="18">
    <mergeCell ref="B48:G48"/>
    <mergeCell ref="B1:D2"/>
    <mergeCell ref="J4:J5"/>
    <mergeCell ref="F4:F5"/>
    <mergeCell ref="H4:I4"/>
    <mergeCell ref="B4:B5"/>
    <mergeCell ref="C4:C5"/>
    <mergeCell ref="D4:D5"/>
    <mergeCell ref="E4:E5"/>
    <mergeCell ref="E1:F2"/>
    <mergeCell ref="B16:J16"/>
    <mergeCell ref="U3:Y3"/>
    <mergeCell ref="P3:T3"/>
    <mergeCell ref="B7:K7"/>
    <mergeCell ref="B12:K12"/>
    <mergeCell ref="K4:K5"/>
    <mergeCell ref="H6:I6"/>
    <mergeCell ref="G4:G5"/>
  </mergeCells>
  <pageMargins left="0.25" right="0.25" top="0.75" bottom="0.75" header="0.3" footer="0.3"/>
  <pageSetup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workbookViewId="0">
      <selection activeCell="E4" sqref="E4"/>
    </sheetView>
  </sheetViews>
  <sheetFormatPr defaultRowHeight="15" x14ac:dyDescent="0.25"/>
  <cols>
    <col min="1" max="1" width="2" customWidth="1"/>
    <col min="2" max="2" width="21.5703125" bestFit="1" customWidth="1"/>
    <col min="3" max="3" width="10.5703125" bestFit="1" customWidth="1"/>
    <col min="4" max="4" width="11.7109375" customWidth="1"/>
    <col min="5" max="5" width="9.28515625" customWidth="1"/>
    <col min="6" max="6" width="12" bestFit="1" customWidth="1"/>
    <col min="7" max="7" width="12" style="102" customWidth="1"/>
    <col min="8" max="8" width="11" customWidth="1"/>
    <col min="9" max="9" width="11.140625" bestFit="1" customWidth="1"/>
    <col min="10" max="10" width="12.140625" bestFit="1" customWidth="1"/>
    <col min="11" max="11" width="12.140625" style="102" customWidth="1"/>
    <col min="12" max="12" width="1.5703125" customWidth="1"/>
    <col min="13" max="13" width="10.85546875" bestFit="1" customWidth="1"/>
    <col min="14" max="14" width="9.140625" bestFit="1" customWidth="1"/>
    <col min="15" max="15" width="13.42578125" customWidth="1"/>
    <col min="16" max="16" width="9.140625" customWidth="1"/>
    <col min="17" max="17" width="11.42578125" customWidth="1"/>
  </cols>
  <sheetData>
    <row r="1" spans="1:18" ht="15.75" thickBot="1" x14ac:dyDescent="0.3">
      <c r="A1" s="13"/>
      <c r="B1" s="357" t="s">
        <v>137</v>
      </c>
      <c r="C1" s="357" t="s">
        <v>95</v>
      </c>
      <c r="D1" s="352" t="s">
        <v>1</v>
      </c>
      <c r="E1" s="352" t="s">
        <v>237</v>
      </c>
      <c r="F1" s="352" t="s">
        <v>3</v>
      </c>
      <c r="G1" s="352" t="s">
        <v>73</v>
      </c>
      <c r="H1" s="352" t="s">
        <v>4</v>
      </c>
      <c r="I1" s="352"/>
      <c r="J1" s="352" t="s">
        <v>5</v>
      </c>
      <c r="K1" s="352" t="str">
        <f>'Input Summary'!K1:K2</f>
        <v>WWTF-Sprayfield</v>
      </c>
      <c r="L1" s="12"/>
      <c r="M1" s="354" t="s">
        <v>121</v>
      </c>
      <c r="N1" s="355"/>
      <c r="O1" s="27">
        <f>SUM(Q6:Q7)</f>
        <v>932562.06884340977</v>
      </c>
      <c r="P1" s="12"/>
      <c r="Q1" s="12"/>
    </row>
    <row r="2" spans="1:18" x14ac:dyDescent="0.25">
      <c r="A2" s="13"/>
      <c r="B2" s="357"/>
      <c r="C2" s="357"/>
      <c r="D2" s="352"/>
      <c r="E2" s="352"/>
      <c r="F2" s="352"/>
      <c r="G2" s="352"/>
      <c r="H2" s="15" t="s">
        <v>85</v>
      </c>
      <c r="I2" s="112" t="s">
        <v>154</v>
      </c>
      <c r="J2" s="352"/>
      <c r="K2" s="352"/>
      <c r="L2" s="12"/>
      <c r="M2" s="12"/>
      <c r="N2" s="12"/>
      <c r="O2" s="12"/>
      <c r="P2" s="12"/>
      <c r="Q2" s="12"/>
    </row>
    <row r="3" spans="1:18" x14ac:dyDescent="0.25">
      <c r="A3" s="13"/>
      <c r="B3" s="353" t="s">
        <v>11</v>
      </c>
      <c r="C3" s="353"/>
      <c r="D3" s="17">
        <v>0.9</v>
      </c>
      <c r="E3" s="17">
        <v>0.25</v>
      </c>
      <c r="F3" s="17">
        <v>0.4</v>
      </c>
      <c r="G3" s="17">
        <v>0.8</v>
      </c>
      <c r="H3" s="17">
        <v>0.8</v>
      </c>
      <c r="I3" s="17">
        <v>0.7</v>
      </c>
      <c r="J3" s="17">
        <v>0.9</v>
      </c>
      <c r="K3" s="17">
        <v>0.6</v>
      </c>
      <c r="L3" s="12"/>
      <c r="M3" s="102"/>
      <c r="N3" s="102"/>
      <c r="O3" s="102"/>
      <c r="P3" s="102"/>
      <c r="Q3" s="102"/>
      <c r="R3" s="102"/>
    </row>
    <row r="4" spans="1:18" s="102" customFormat="1" x14ac:dyDescent="0.25">
      <c r="A4" s="50"/>
      <c r="B4" s="180" t="s">
        <v>46</v>
      </c>
      <c r="C4" s="171">
        <f>'Input Summary'!C4</f>
        <v>142132.407049</v>
      </c>
      <c r="D4" s="171">
        <f>'Input Summary'!D4*(1-D$3)</f>
        <v>81524.696575040376</v>
      </c>
      <c r="E4" s="171">
        <f>'Input Summary'!E4*(1-E$3)</f>
        <v>17694.703185656283</v>
      </c>
      <c r="F4" s="171">
        <f>'Input Summary'!F4*(1-F$3)</f>
        <v>502119.20007683558</v>
      </c>
      <c r="G4" s="171">
        <f>'Input Summary'!G4*(1-G$3)</f>
        <v>33877.373707185565</v>
      </c>
      <c r="H4" s="171">
        <f>'Input Summary'!H4*(1-H$3)</f>
        <v>183154.73082471706</v>
      </c>
      <c r="I4" s="171">
        <f>'Input Summary'!I4*(1-I$3)</f>
        <v>107436.34025004401</v>
      </c>
      <c r="J4" s="171">
        <f>'Input Summary'!J4*(1-J$3)</f>
        <v>24556.493644016791</v>
      </c>
      <c r="K4" s="172">
        <f>'Input Summary'!K4*(1-K$3)</f>
        <v>2720.1403990628546</v>
      </c>
      <c r="M4" s="336"/>
      <c r="N4" s="356" t="s">
        <v>95</v>
      </c>
      <c r="O4" s="356" t="s">
        <v>120</v>
      </c>
      <c r="P4" s="356" t="s">
        <v>15</v>
      </c>
      <c r="Q4" s="356" t="s">
        <v>12</v>
      </c>
      <c r="R4"/>
    </row>
    <row r="5" spans="1:18" s="102" customFormat="1" x14ac:dyDescent="0.25">
      <c r="A5" s="50"/>
      <c r="B5" s="173"/>
      <c r="C5" s="174"/>
      <c r="D5" s="175">
        <f t="shared" ref="D5:J5" si="0">D4/$O$6</f>
        <v>8.5537816248665785E-2</v>
      </c>
      <c r="E5" s="175">
        <f t="shared" si="0"/>
        <v>1.8565739380289114E-2</v>
      </c>
      <c r="F5" s="175">
        <f t="shared" si="0"/>
        <v>0.52683642718701085</v>
      </c>
      <c r="G5" s="175">
        <f t="shared" si="0"/>
        <v>3.5545015055472293E-2</v>
      </c>
      <c r="H5" s="175">
        <f t="shared" si="0"/>
        <v>0.19217067181523248</v>
      </c>
      <c r="I5" s="175">
        <f t="shared" si="0"/>
        <v>0.1127249817149393</v>
      </c>
      <c r="J5" s="175">
        <f t="shared" si="0"/>
        <v>2.5765307069864397E-2</v>
      </c>
      <c r="K5" s="176">
        <f>K4/$O$6</f>
        <v>2.8540415285255622E-3</v>
      </c>
      <c r="L5" s="50"/>
      <c r="M5" s="358"/>
      <c r="N5" s="356"/>
      <c r="O5" s="356"/>
      <c r="P5" s="356"/>
      <c r="Q5" s="356"/>
      <c r="R5"/>
    </row>
    <row r="6" spans="1:18" s="102" customFormat="1" x14ac:dyDescent="0.25">
      <c r="A6" s="50"/>
      <c r="C6" s="169"/>
      <c r="D6" s="169"/>
      <c r="E6" s="169"/>
      <c r="F6" s="169"/>
      <c r="G6" s="169"/>
      <c r="H6" s="169"/>
      <c r="I6" s="169"/>
      <c r="J6" s="169"/>
      <c r="K6" s="169"/>
      <c r="L6" s="50"/>
      <c r="M6" s="215" t="s">
        <v>46</v>
      </c>
      <c r="N6" s="21">
        <f>C4</f>
        <v>142132.407049</v>
      </c>
      <c r="O6" s="22">
        <f>SUM(D4:K4)</f>
        <v>953083.67866255867</v>
      </c>
      <c r="P6" s="24">
        <v>0.9</v>
      </c>
      <c r="Q6" s="25">
        <f>O6*P6</f>
        <v>857775.31079630286</v>
      </c>
      <c r="R6"/>
    </row>
    <row r="7" spans="1:18" s="102" customFormat="1" x14ac:dyDescent="0.25">
      <c r="A7" s="50"/>
      <c r="B7" s="180" t="s">
        <v>47</v>
      </c>
      <c r="C7" s="171">
        <f>'Input Summary'!C7</f>
        <v>21668.544478</v>
      </c>
      <c r="D7" s="171">
        <f>'Input Summary'!D7*(1-D$3)</f>
        <v>12337.312491538607</v>
      </c>
      <c r="E7" s="171">
        <f>'Input Summary'!E7*(1-E$3)</f>
        <v>2063.0719963098927</v>
      </c>
      <c r="F7" s="171">
        <f>'Input Summary'!F7*(1-F$3)</f>
        <v>45760.678183242759</v>
      </c>
      <c r="G7" s="171">
        <f>'Input Summary'!G7*(1-G$3)</f>
        <v>39459.543049752981</v>
      </c>
      <c r="H7" s="171">
        <f>'Input Summary'!H7*(1-H$3)</f>
        <v>13872.962572247148</v>
      </c>
      <c r="I7" s="171">
        <f>'Input Summary'!I7*(1-I$3)</f>
        <v>18695.846120776456</v>
      </c>
      <c r="J7" s="171">
        <f>'Input Summary'!J7*(1-J$3)</f>
        <v>17384.101680345895</v>
      </c>
      <c r="K7" s="172">
        <f>'Input Summary'!K7*(1-K$3)</f>
        <v>0</v>
      </c>
      <c r="L7" s="50"/>
      <c r="M7" s="215" t="s">
        <v>47</v>
      </c>
      <c r="N7" s="21">
        <f>C7</f>
        <v>21668.544478</v>
      </c>
      <c r="O7" s="23">
        <f>SUM(D7:K7)</f>
        <v>149573.51609421373</v>
      </c>
      <c r="P7" s="24">
        <v>0.5</v>
      </c>
      <c r="Q7" s="25">
        <f t="shared" ref="Q7" si="1">O7*P7</f>
        <v>74786.758047106865</v>
      </c>
      <c r="R7"/>
    </row>
    <row r="8" spans="1:18" s="102" customFormat="1" x14ac:dyDescent="0.25">
      <c r="A8" s="50"/>
      <c r="B8" s="173"/>
      <c r="C8" s="174"/>
      <c r="D8" s="177">
        <f t="shared" ref="D8:J8" si="2">D7/$O$7</f>
        <v>8.2483268520394684E-2</v>
      </c>
      <c r="E8" s="177">
        <f t="shared" si="2"/>
        <v>1.3793030010810201E-2</v>
      </c>
      <c r="F8" s="177">
        <f t="shared" si="2"/>
        <v>0.30594104744063721</v>
      </c>
      <c r="G8" s="177">
        <f t="shared" si="2"/>
        <v>0.26381370231945411</v>
      </c>
      <c r="H8" s="177">
        <f t="shared" si="2"/>
        <v>9.2750126723696272E-2</v>
      </c>
      <c r="I8" s="177">
        <f t="shared" si="2"/>
        <v>0.12499436136140753</v>
      </c>
      <c r="J8" s="177">
        <f t="shared" si="2"/>
        <v>0.11622446362360002</v>
      </c>
      <c r="K8" s="178">
        <f t="shared" ref="K8" si="3">K7/$O$7</f>
        <v>0</v>
      </c>
      <c r="L8" s="50"/>
      <c r="M8" s="215" t="s">
        <v>13</v>
      </c>
      <c r="N8" s="21">
        <f>C10</f>
        <v>163800.951527</v>
      </c>
      <c r="O8" s="22">
        <f>SUM(D10:K10)</f>
        <v>1102657.1947567721</v>
      </c>
      <c r="P8" s="26"/>
      <c r="Q8" s="18"/>
      <c r="R8"/>
    </row>
    <row r="9" spans="1:18" s="102" customFormat="1" x14ac:dyDescent="0.25">
      <c r="A9" s="50"/>
      <c r="B9" s="166"/>
      <c r="C9" s="169"/>
      <c r="D9" s="169"/>
      <c r="E9" s="169"/>
      <c r="F9" s="169"/>
      <c r="G9" s="169"/>
      <c r="H9" s="169"/>
      <c r="I9" s="169"/>
      <c r="J9" s="169"/>
      <c r="K9" s="169"/>
      <c r="L9" s="50"/>
      <c r="M9" s="12"/>
      <c r="N9" s="12"/>
      <c r="O9" s="12"/>
      <c r="P9" s="12"/>
      <c r="Q9" s="12"/>
      <c r="R9"/>
    </row>
    <row r="10" spans="1:18" s="102" customFormat="1" x14ac:dyDescent="0.25">
      <c r="A10" s="50"/>
      <c r="B10" s="180" t="s">
        <v>141</v>
      </c>
      <c r="C10" s="171">
        <f t="shared" ref="C10:J10" si="4">SUM(C4,C7)</f>
        <v>163800.951527</v>
      </c>
      <c r="D10" s="171">
        <f t="shared" si="4"/>
        <v>93862.00906657899</v>
      </c>
      <c r="E10" s="171">
        <f t="shared" si="4"/>
        <v>19757.775181966175</v>
      </c>
      <c r="F10" s="171">
        <f t="shared" si="4"/>
        <v>547879.87826007837</v>
      </c>
      <c r="G10" s="171">
        <f t="shared" si="4"/>
        <v>73336.916756938546</v>
      </c>
      <c r="H10" s="171">
        <f t="shared" si="4"/>
        <v>197027.6933969642</v>
      </c>
      <c r="I10" s="171">
        <f t="shared" si="4"/>
        <v>126132.18637082048</v>
      </c>
      <c r="J10" s="171">
        <f t="shared" si="4"/>
        <v>41940.595324362686</v>
      </c>
      <c r="K10" s="172">
        <f t="shared" ref="K10" si="5">SUM(K4,K7)</f>
        <v>2720.1403990628546</v>
      </c>
      <c r="L10" s="50"/>
      <c r="M10" s="351" t="s">
        <v>14</v>
      </c>
      <c r="N10" s="351"/>
      <c r="O10" s="351"/>
      <c r="P10" s="351"/>
      <c r="Q10" s="351"/>
      <c r="R10"/>
    </row>
    <row r="11" spans="1:18" s="102" customFormat="1" x14ac:dyDescent="0.25">
      <c r="A11" s="50"/>
      <c r="B11" s="179"/>
      <c r="C11" s="174"/>
      <c r="D11" s="175">
        <f>D10/$O$8</f>
        <v>8.512347220233156E-2</v>
      </c>
      <c r="E11" s="175">
        <f>E10/$O$8</f>
        <v>1.7918329718353138E-2</v>
      </c>
      <c r="F11" s="175">
        <f>F10/$O$8</f>
        <v>0.49687235603711954</v>
      </c>
      <c r="G11" s="175"/>
      <c r="H11" s="175">
        <f>H10/$O$8</f>
        <v>0.1786844491051684</v>
      </c>
      <c r="I11" s="175">
        <f>I10/$O$8</f>
        <v>0.11438930156225312</v>
      </c>
      <c r="J11" s="175">
        <f>J10/$O$8</f>
        <v>3.8035933129347679E-2</v>
      </c>
      <c r="K11" s="176">
        <f>K10/$O$8</f>
        <v>2.4668957968055271E-3</v>
      </c>
      <c r="L11" s="50"/>
      <c r="M11" s="12"/>
      <c r="N11" s="12"/>
      <c r="O11" s="12"/>
      <c r="P11" s="12"/>
      <c r="Q11" s="12"/>
      <c r="R11"/>
    </row>
    <row r="12" spans="1:18" x14ac:dyDescent="0.25">
      <c r="A12" s="13"/>
      <c r="B12" s="169"/>
      <c r="C12" s="50"/>
      <c r="D12" s="50"/>
      <c r="E12" s="50"/>
      <c r="F12" s="50"/>
      <c r="G12" s="50"/>
      <c r="H12" s="50"/>
      <c r="I12" s="50"/>
      <c r="J12" s="50"/>
      <c r="K12" s="50"/>
      <c r="L12" s="50"/>
    </row>
    <row r="13" spans="1:18" x14ac:dyDescent="0.25">
      <c r="A13" s="13"/>
      <c r="B13" s="58"/>
      <c r="C13" s="50"/>
      <c r="D13" s="50"/>
      <c r="E13" s="50"/>
      <c r="F13" s="50"/>
      <c r="G13" s="50"/>
      <c r="H13" s="50"/>
      <c r="I13" s="50"/>
      <c r="J13" s="50"/>
      <c r="K13" s="50"/>
      <c r="L13" s="50"/>
    </row>
    <row r="14" spans="1:18" x14ac:dyDescent="0.25">
      <c r="A14" s="13"/>
      <c r="B14" s="28"/>
      <c r="L14" s="50"/>
    </row>
    <row r="15" spans="1:18" x14ac:dyDescent="0.25">
      <c r="A15" s="13"/>
      <c r="B15" s="167"/>
      <c r="L15" s="50"/>
      <c r="M15" s="49"/>
      <c r="N15" s="49"/>
      <c r="O15" s="49"/>
      <c r="P15" s="49"/>
      <c r="Q15" s="49"/>
    </row>
    <row r="16" spans="1:18" x14ac:dyDescent="0.25">
      <c r="A16" s="13"/>
      <c r="B16" s="169"/>
      <c r="L16" s="50"/>
      <c r="M16" s="49"/>
      <c r="N16" s="49"/>
      <c r="O16" s="49"/>
      <c r="P16" s="49"/>
      <c r="Q16" s="49"/>
      <c r="R16" s="49"/>
    </row>
    <row r="17" spans="1:18" x14ac:dyDescent="0.25">
      <c r="A17" s="13"/>
      <c r="B17" s="58"/>
      <c r="L17" s="50"/>
      <c r="R17" s="49"/>
    </row>
    <row r="18" spans="1:18" x14ac:dyDescent="0.25">
      <c r="A18" s="13"/>
      <c r="B18" s="28"/>
      <c r="L18" s="49"/>
    </row>
    <row r="19" spans="1:18" x14ac:dyDescent="0.25">
      <c r="A19" s="13"/>
      <c r="B19" s="170"/>
      <c r="L19" s="12"/>
    </row>
    <row r="20" spans="1:18" x14ac:dyDescent="0.25">
      <c r="A20" s="15"/>
      <c r="B20" s="169"/>
      <c r="L20" s="16"/>
    </row>
    <row r="21" spans="1:18" x14ac:dyDescent="0.25">
      <c r="A21" s="15"/>
      <c r="B21" s="58"/>
      <c r="L21" s="12"/>
    </row>
    <row r="22" spans="1:18" x14ac:dyDescent="0.25">
      <c r="A22" s="13"/>
      <c r="B22" s="28"/>
      <c r="L22" s="12"/>
    </row>
    <row r="23" spans="1:18" x14ac:dyDescent="0.25">
      <c r="A23" s="13"/>
      <c r="B23" s="50"/>
      <c r="L23" s="12"/>
    </row>
    <row r="24" spans="1:18" s="49" customFormat="1" x14ac:dyDescent="0.25">
      <c r="A24" s="50"/>
      <c r="B24" s="50"/>
      <c r="C24"/>
      <c r="D24"/>
      <c r="E24"/>
      <c r="F24"/>
      <c r="G24" s="102"/>
      <c r="H24"/>
      <c r="I24"/>
      <c r="J24"/>
      <c r="K24" s="102"/>
      <c r="L24" s="12"/>
      <c r="M24"/>
      <c r="N24"/>
      <c r="O24"/>
      <c r="P24"/>
      <c r="Q24"/>
      <c r="R24"/>
    </row>
    <row r="25" spans="1:18" s="49" customFormat="1" x14ac:dyDescent="0.25">
      <c r="A25" s="50"/>
      <c r="B25"/>
      <c r="C25"/>
      <c r="D25"/>
      <c r="E25"/>
      <c r="F25"/>
      <c r="G25" s="102"/>
      <c r="H25"/>
      <c r="I25"/>
      <c r="J25"/>
      <c r="K25" s="102"/>
      <c r="L25" s="12"/>
      <c r="R25"/>
    </row>
    <row r="26" spans="1:18" ht="15" customHeight="1" x14ac:dyDescent="0.25">
      <c r="A26" s="13"/>
      <c r="L26" s="12"/>
      <c r="M26" s="49"/>
      <c r="N26" s="49"/>
      <c r="O26" s="49"/>
      <c r="P26" s="49"/>
      <c r="Q26" s="49"/>
      <c r="R26" s="49"/>
    </row>
    <row r="27" spans="1:18" x14ac:dyDescent="0.25">
      <c r="A27" s="14"/>
      <c r="L27" s="49"/>
      <c r="R27" s="49"/>
    </row>
    <row r="28" spans="1:18" x14ac:dyDescent="0.25">
      <c r="A28" s="13"/>
      <c r="L28" s="49"/>
    </row>
    <row r="29" spans="1:18" ht="15.75" customHeight="1" x14ac:dyDescent="0.25">
      <c r="A29" s="13"/>
      <c r="L29" s="12"/>
    </row>
    <row r="30" spans="1:18" x14ac:dyDescent="0.25">
      <c r="A30" s="13"/>
      <c r="L30" s="12"/>
    </row>
    <row r="31" spans="1:18" x14ac:dyDescent="0.25">
      <c r="A31" s="13"/>
      <c r="L31" s="16"/>
    </row>
    <row r="32" spans="1:18" x14ac:dyDescent="0.25">
      <c r="A32" s="13"/>
      <c r="L32" s="12"/>
      <c r="M32" s="19"/>
      <c r="N32" s="19"/>
      <c r="O32" s="19"/>
      <c r="P32" s="19"/>
      <c r="Q32" s="19"/>
    </row>
    <row r="33" spans="1:18" x14ac:dyDescent="0.25">
      <c r="A33" s="13"/>
      <c r="L33" s="12"/>
      <c r="M33" s="20"/>
      <c r="N33" s="20"/>
      <c r="O33" s="20"/>
      <c r="P33" s="20"/>
      <c r="Q33" s="12"/>
    </row>
    <row r="34" spans="1:18" s="49" customFormat="1" x14ac:dyDescent="0.25">
      <c r="A34" s="50"/>
      <c r="B34"/>
      <c r="C34"/>
      <c r="D34"/>
      <c r="E34"/>
      <c r="F34"/>
      <c r="G34" s="102"/>
      <c r="H34"/>
      <c r="I34"/>
      <c r="J34"/>
      <c r="K34" s="102"/>
      <c r="L34" s="12"/>
      <c r="M34"/>
      <c r="N34"/>
      <c r="O34"/>
      <c r="P34"/>
      <c r="Q34"/>
      <c r="R34"/>
    </row>
    <row r="35" spans="1:18" s="49" customFormat="1" x14ac:dyDescent="0.25">
      <c r="A35" s="50"/>
      <c r="B35"/>
      <c r="C35"/>
      <c r="D35"/>
      <c r="E35"/>
      <c r="F35"/>
      <c r="G35" s="102"/>
      <c r="H35"/>
      <c r="I35"/>
      <c r="J35"/>
      <c r="K35" s="102"/>
      <c r="L35" s="12"/>
      <c r="R35"/>
    </row>
    <row r="36" spans="1:18" x14ac:dyDescent="0.25">
      <c r="A36" s="13"/>
      <c r="L36" s="12"/>
      <c r="M36" s="49"/>
      <c r="N36" s="49"/>
      <c r="O36" s="49"/>
      <c r="P36" s="49"/>
      <c r="Q36" s="49"/>
      <c r="R36" s="49"/>
    </row>
    <row r="37" spans="1:18" ht="15" customHeight="1" x14ac:dyDescent="0.25">
      <c r="A37" s="13"/>
      <c r="L37" s="49"/>
      <c r="R37" s="49"/>
    </row>
    <row r="38" spans="1:18" x14ac:dyDescent="0.25">
      <c r="A38" s="14"/>
      <c r="L38" s="49"/>
    </row>
    <row r="39" spans="1:18" x14ac:dyDescent="0.25">
      <c r="A39" s="13"/>
      <c r="L39" s="12"/>
    </row>
    <row r="40" spans="1:18" x14ac:dyDescent="0.25">
      <c r="A40" s="13"/>
      <c r="L40" s="12"/>
    </row>
    <row r="41" spans="1:18" x14ac:dyDescent="0.25">
      <c r="A41" s="13"/>
    </row>
    <row r="42" spans="1:18" x14ac:dyDescent="0.25">
      <c r="A42" s="13"/>
    </row>
    <row r="43" spans="1:18" x14ac:dyDescent="0.25">
      <c r="A43" s="13"/>
    </row>
    <row r="44" spans="1:18" s="49" customFormat="1" x14ac:dyDescent="0.25">
      <c r="A44" s="50"/>
      <c r="B44"/>
      <c r="C44"/>
      <c r="D44"/>
      <c r="E44"/>
      <c r="F44"/>
      <c r="G44" s="102"/>
      <c r="H44"/>
      <c r="I44"/>
      <c r="J44"/>
      <c r="K44" s="102"/>
      <c r="L44"/>
      <c r="M44"/>
      <c r="N44"/>
      <c r="O44"/>
      <c r="P44"/>
      <c r="Q44"/>
      <c r="R44"/>
    </row>
    <row r="45" spans="1:18" s="49" customFormat="1" x14ac:dyDescent="0.25">
      <c r="A45" s="50"/>
      <c r="B45"/>
      <c r="C45"/>
      <c r="D45"/>
      <c r="E45"/>
      <c r="F45"/>
      <c r="G45" s="102"/>
      <c r="H45"/>
      <c r="I45"/>
      <c r="J45"/>
      <c r="K45" s="102"/>
      <c r="L45"/>
      <c r="M45"/>
      <c r="N45"/>
      <c r="O45"/>
      <c r="P45"/>
      <c r="Q45"/>
      <c r="R45"/>
    </row>
    <row r="46" spans="1:18" x14ac:dyDescent="0.25">
      <c r="A46" s="13"/>
    </row>
    <row r="47" spans="1:18" x14ac:dyDescent="0.25">
      <c r="A47" s="13"/>
    </row>
  </sheetData>
  <mergeCells count="17">
    <mergeCell ref="G1:G2"/>
    <mergeCell ref="M10:Q10"/>
    <mergeCell ref="J1:J2"/>
    <mergeCell ref="H1:I1"/>
    <mergeCell ref="K1:K2"/>
    <mergeCell ref="B3:C3"/>
    <mergeCell ref="M1:N1"/>
    <mergeCell ref="Q4:Q5"/>
    <mergeCell ref="P4:P5"/>
    <mergeCell ref="O4:O5"/>
    <mergeCell ref="B1:B2"/>
    <mergeCell ref="C1:C2"/>
    <mergeCell ref="D1:D2"/>
    <mergeCell ref="E1:E2"/>
    <mergeCell ref="F1:F2"/>
    <mergeCell ref="N4:N5"/>
    <mergeCell ref="M4:M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workbookViewId="0">
      <pane ySplit="2" topLeftCell="A3" activePane="bottomLeft" state="frozen"/>
      <selection pane="bottomLeft" activeCell="F5" sqref="F5"/>
    </sheetView>
  </sheetViews>
  <sheetFormatPr defaultRowHeight="15" x14ac:dyDescent="0.25"/>
  <cols>
    <col min="1" max="1" width="3.28515625" style="10" customWidth="1"/>
    <col min="2" max="2" width="18.5703125" style="10" customWidth="1"/>
    <col min="3" max="3" width="10.7109375" style="121" bestFit="1" customWidth="1"/>
    <col min="4" max="4" width="9.140625" style="121" bestFit="1" customWidth="1"/>
    <col min="5" max="5" width="10.5703125" style="121" bestFit="1" customWidth="1"/>
    <col min="6" max="6" width="12.42578125" style="121" bestFit="1" customWidth="1"/>
    <col min="7" max="7" width="12.42578125" style="121" customWidth="1"/>
    <col min="8" max="10" width="11.5703125" style="121" bestFit="1" customWidth="1"/>
    <col min="11" max="11" width="11.5703125" style="121" customWidth="1"/>
    <col min="12" max="13" width="10.5703125" style="10" bestFit="1" customWidth="1"/>
    <col min="14" max="16384" width="9.140625" style="10"/>
  </cols>
  <sheetData>
    <row r="1" spans="1:25" x14ac:dyDescent="0.25">
      <c r="B1" s="360" t="s">
        <v>137</v>
      </c>
      <c r="C1" s="361" t="s">
        <v>95</v>
      </c>
      <c r="D1" s="362" t="s">
        <v>1</v>
      </c>
      <c r="E1" s="362" t="s">
        <v>237</v>
      </c>
      <c r="F1" s="362" t="s">
        <v>3</v>
      </c>
      <c r="G1" s="359" t="s">
        <v>143</v>
      </c>
      <c r="H1" s="362" t="s">
        <v>4</v>
      </c>
      <c r="I1" s="362"/>
      <c r="J1" s="362" t="s">
        <v>5</v>
      </c>
      <c r="K1" s="362" t="s">
        <v>238</v>
      </c>
      <c r="M1" s="3"/>
    </row>
    <row r="2" spans="1:25" x14ac:dyDescent="0.25">
      <c r="B2" s="360"/>
      <c r="C2" s="361"/>
      <c r="D2" s="362"/>
      <c r="E2" s="362"/>
      <c r="F2" s="362"/>
      <c r="G2" s="359"/>
      <c r="H2" s="119" t="s">
        <v>85</v>
      </c>
      <c r="I2" s="119" t="s">
        <v>154</v>
      </c>
      <c r="J2" s="362"/>
      <c r="K2" s="362"/>
      <c r="M2" s="4"/>
      <c r="N2" s="4"/>
      <c r="O2" s="4"/>
      <c r="P2" s="4"/>
      <c r="Q2" s="7"/>
      <c r="R2" s="4"/>
    </row>
    <row r="3" spans="1:25" ht="15.75" thickBot="1" x14ac:dyDescent="0.3">
      <c r="B3" s="184"/>
      <c r="C3" s="185"/>
      <c r="D3" s="183"/>
      <c r="E3" s="183"/>
      <c r="F3" s="183"/>
      <c r="G3" s="182"/>
      <c r="H3" s="183"/>
      <c r="I3" s="183"/>
      <c r="J3" s="183"/>
      <c r="K3" s="183"/>
      <c r="M3" s="168"/>
      <c r="N3" s="168"/>
      <c r="O3" s="168"/>
      <c r="P3" s="168"/>
      <c r="Q3" s="7"/>
      <c r="R3" s="168"/>
    </row>
    <row r="4" spans="1:25" x14ac:dyDescent="0.25">
      <c r="B4" s="191" t="s">
        <v>46</v>
      </c>
      <c r="C4" s="192">
        <f>Areas!H3</f>
        <v>142132.407049</v>
      </c>
      <c r="D4" s="192">
        <f>'Atm Dep'!D3</f>
        <v>815246.96575040394</v>
      </c>
      <c r="E4" s="192">
        <f>SUM(WWTF!K3:K32)</f>
        <v>23592.937580875045</v>
      </c>
      <c r="F4" s="192">
        <f>'Septic Tanks'!$G$8</f>
        <v>836865.33346139267</v>
      </c>
      <c r="G4" s="192">
        <f>'Golf Courses'!$N$13</f>
        <v>169386.86853592788</v>
      </c>
      <c r="H4" s="192">
        <f>'Urban Fertilizers'!I21+'Urban Fertilizers'!M21</f>
        <v>915773.65412358544</v>
      </c>
      <c r="I4" s="192">
        <f>'PA Landuse'!K15</f>
        <v>358121.13416681334</v>
      </c>
      <c r="J4" s="192">
        <f>Livestock!L13</f>
        <v>245564.93644016795</v>
      </c>
      <c r="K4" s="192">
        <f>SUM(WWTF!M3:M32)</f>
        <v>6800.3509976571358</v>
      </c>
      <c r="M4" s="364" t="s">
        <v>96</v>
      </c>
      <c r="N4" s="365"/>
      <c r="O4" s="365"/>
      <c r="P4" s="365"/>
      <c r="Q4" s="366"/>
      <c r="R4" s="168"/>
    </row>
    <row r="5" spans="1:25" ht="15.75" thickBot="1" x14ac:dyDescent="0.3">
      <c r="B5" s="194"/>
      <c r="C5" s="195"/>
      <c r="D5" s="196">
        <f t="shared" ref="D5:K5" si="0">D4/SUM($D4:$K4)</f>
        <v>0.24181601979501505</v>
      </c>
      <c r="E5" s="196">
        <f t="shared" si="0"/>
        <v>6.9980637779228777E-3</v>
      </c>
      <c r="F5" s="196">
        <f t="shared" si="0"/>
        <v>0.24822839279848216</v>
      </c>
      <c r="G5" s="196">
        <f t="shared" si="0"/>
        <v>5.0243006200209529E-2</v>
      </c>
      <c r="H5" s="196">
        <f t="shared" si="0"/>
        <v>0.2716339334908987</v>
      </c>
      <c r="I5" s="196">
        <f t="shared" si="0"/>
        <v>0.10622477716183082</v>
      </c>
      <c r="J5" s="196">
        <f t="shared" si="0"/>
        <v>7.2838707809870618E-2</v>
      </c>
      <c r="K5" s="197">
        <f t="shared" si="0"/>
        <v>2.017098965770292E-3</v>
      </c>
      <c r="M5" s="367"/>
      <c r="N5" s="368"/>
      <c r="O5" s="368"/>
      <c r="P5" s="368"/>
      <c r="Q5" s="369"/>
      <c r="R5" s="168"/>
    </row>
    <row r="6" spans="1:25" s="300" customFormat="1" x14ac:dyDescent="0.25">
      <c r="A6" s="300" t="s">
        <v>224</v>
      </c>
      <c r="B6" s="301"/>
      <c r="C6" s="302"/>
      <c r="D6" s="302">
        <f>D4*0.4535924</f>
        <v>369789.82778744353</v>
      </c>
      <c r="E6" s="302">
        <f t="shared" ref="E6:J6" si="1">E4*0.4535924</f>
        <v>10701.577180359305</v>
      </c>
      <c r="F6" s="302">
        <f t="shared" si="1"/>
        <v>379595.75508155342</v>
      </c>
      <c r="G6" s="302">
        <f t="shared" si="1"/>
        <v>76832.596227696005</v>
      </c>
      <c r="H6" s="302">
        <f t="shared" si="1"/>
        <v>415387.96963068703</v>
      </c>
      <c r="I6" s="302">
        <f t="shared" si="1"/>
        <v>162441.02473744686</v>
      </c>
      <c r="J6" s="302">
        <f t="shared" si="1"/>
        <v>111386.38887574324</v>
      </c>
      <c r="K6" s="302"/>
      <c r="M6" s="303"/>
      <c r="N6" s="303"/>
      <c r="O6" s="303"/>
      <c r="P6" s="303"/>
      <c r="Q6" s="304"/>
      <c r="R6" s="303"/>
    </row>
    <row r="7" spans="1:25" x14ac:dyDescent="0.25">
      <c r="B7" s="191" t="s">
        <v>47</v>
      </c>
      <c r="C7" s="192">
        <f>Areas!J3</f>
        <v>21668.544478</v>
      </c>
      <c r="D7" s="192">
        <f>'Atm Dep'!D4</f>
        <v>123373.1249153861</v>
      </c>
      <c r="E7" s="192">
        <f>SUM(WWTF!L3:L32)</f>
        <v>2750.7626617465235</v>
      </c>
      <c r="F7" s="192">
        <f>'Septic Tanks'!$G$7</f>
        <v>76267.796972071272</v>
      </c>
      <c r="G7" s="192">
        <f>'Golf Courses'!$N$18</f>
        <v>197297.71524876496</v>
      </c>
      <c r="H7" s="192">
        <f>'Urban Fertilizers'!G21+'Urban Fertilizers'!K21</f>
        <v>69364.812861235754</v>
      </c>
      <c r="I7" s="192">
        <f>'PA Landuse'!L15</f>
        <v>62319.487069254843</v>
      </c>
      <c r="J7" s="192">
        <f>Livestock!M13</f>
        <v>173841.016803459</v>
      </c>
      <c r="K7" s="192">
        <f>SUM(WWTF!N3:N32)</f>
        <v>0</v>
      </c>
      <c r="M7" s="168"/>
      <c r="N7" s="168"/>
      <c r="O7" s="168"/>
      <c r="P7" s="168"/>
      <c r="Q7" s="7"/>
      <c r="R7" s="168"/>
    </row>
    <row r="8" spans="1:25" x14ac:dyDescent="0.25">
      <c r="B8" s="194"/>
      <c r="C8" s="195"/>
      <c r="D8" s="196">
        <f t="shared" ref="D8:K8" si="2">D7/SUM($D7:$K7)</f>
        <v>0.17494405891315817</v>
      </c>
      <c r="E8" s="196">
        <f t="shared" si="2"/>
        <v>3.9006030323277038E-3</v>
      </c>
      <c r="F8" s="196">
        <f t="shared" si="2"/>
        <v>0.10814833437841245</v>
      </c>
      <c r="G8" s="196">
        <f t="shared" si="2"/>
        <v>0.2797697078969496</v>
      </c>
      <c r="H8" s="196">
        <f t="shared" si="2"/>
        <v>9.8359848759758908E-2</v>
      </c>
      <c r="I8" s="196">
        <f t="shared" si="2"/>
        <v>8.8369521520661881E-2</v>
      </c>
      <c r="J8" s="196">
        <f t="shared" si="2"/>
        <v>0.24650792549873118</v>
      </c>
      <c r="K8" s="197">
        <f t="shared" si="2"/>
        <v>0</v>
      </c>
      <c r="M8" s="168"/>
      <c r="N8" s="168"/>
      <c r="O8" s="168"/>
      <c r="P8" s="168"/>
      <c r="Q8" s="7"/>
      <c r="R8" s="168"/>
    </row>
    <row r="9" spans="1:25" s="300" customFormat="1" x14ac:dyDescent="0.25">
      <c r="A9" s="305" t="s">
        <v>224</v>
      </c>
      <c r="B9" s="301"/>
      <c r="C9" s="302"/>
      <c r="D9" s="302">
        <f>D7*0.4535924</f>
        <v>55961.111825869775</v>
      </c>
      <c r="E9" s="302">
        <f t="shared" ref="E9:J9" si="3">E7*0.4535924</f>
        <v>1247.7250375719939</v>
      </c>
      <c r="F9" s="302">
        <f t="shared" si="3"/>
        <v>34594.493071274541</v>
      </c>
      <c r="G9" s="302">
        <f t="shared" si="3"/>
        <v>89492.744174203894</v>
      </c>
      <c r="H9" s="302">
        <f t="shared" si="3"/>
        <v>31463.351941278794</v>
      </c>
      <c r="I9" s="302">
        <f t="shared" si="3"/>
        <v>28267.64570651227</v>
      </c>
      <c r="J9" s="302">
        <f t="shared" si="3"/>
        <v>78852.964030321295</v>
      </c>
      <c r="K9" s="302"/>
      <c r="L9" s="305"/>
      <c r="R9" s="306"/>
      <c r="S9" s="303"/>
      <c r="T9" s="303"/>
      <c r="U9" s="303"/>
      <c r="V9" s="303"/>
      <c r="W9" s="303"/>
      <c r="X9" s="303"/>
      <c r="Y9" s="303"/>
    </row>
    <row r="10" spans="1:25" x14ac:dyDescent="0.25">
      <c r="A10" s="58"/>
      <c r="B10" s="191" t="s">
        <v>58</v>
      </c>
      <c r="C10" s="192">
        <f>Areas!F3</f>
        <v>14951.954030000001</v>
      </c>
      <c r="D10" s="192">
        <f>'Atm Dep'!D5</f>
        <v>59275.588841324505</v>
      </c>
      <c r="E10" s="192"/>
      <c r="F10" s="192">
        <f>'Septic Tanks'!$G$6</f>
        <v>5444.5380310880828</v>
      </c>
      <c r="G10" s="192"/>
      <c r="H10" s="192">
        <f>Fertilizers!H10*Landuse!H22</f>
        <v>1055.2365074007398</v>
      </c>
      <c r="I10" s="192">
        <f>'PA Landuse'!G15</f>
        <v>0</v>
      </c>
      <c r="J10" s="192">
        <v>0</v>
      </c>
      <c r="K10" s="193"/>
      <c r="L10" s="2"/>
      <c r="R10" s="5"/>
      <c r="S10" s="4"/>
      <c r="T10" s="4"/>
      <c r="U10" s="4"/>
      <c r="V10" s="4"/>
      <c r="W10" s="4"/>
      <c r="X10" s="4"/>
      <c r="Y10" s="4"/>
    </row>
    <row r="11" spans="1:25" x14ac:dyDescent="0.25">
      <c r="A11" s="58"/>
      <c r="B11" s="194"/>
      <c r="C11" s="195"/>
      <c r="D11" s="196">
        <f t="shared" ref="D11:K11" si="4">D10/SUM($D10:$K10)</f>
        <v>0.90118223291361366</v>
      </c>
      <c r="E11" s="196">
        <f t="shared" si="4"/>
        <v>0</v>
      </c>
      <c r="F11" s="196">
        <f t="shared" si="4"/>
        <v>8.277473131769926E-2</v>
      </c>
      <c r="G11" s="196">
        <f t="shared" si="4"/>
        <v>0</v>
      </c>
      <c r="H11" s="196">
        <f t="shared" si="4"/>
        <v>1.6043035768687146E-2</v>
      </c>
      <c r="I11" s="196">
        <f t="shared" si="4"/>
        <v>0</v>
      </c>
      <c r="J11" s="196">
        <f t="shared" si="4"/>
        <v>0</v>
      </c>
      <c r="K11" s="197">
        <f t="shared" si="4"/>
        <v>0</v>
      </c>
      <c r="Q11" s="2"/>
      <c r="R11" s="6"/>
    </row>
    <row r="12" spans="1:25" s="300" customFormat="1" ht="15" customHeight="1" x14ac:dyDescent="0.25">
      <c r="A12" s="305" t="s">
        <v>224</v>
      </c>
      <c r="B12" s="301"/>
      <c r="C12" s="302"/>
      <c r="D12" s="302">
        <f>D10*0.4535924</f>
        <v>26886.956603949602</v>
      </c>
      <c r="E12" s="302">
        <f t="shared" ref="E12:J12" si="5">E10*0.4535924</f>
        <v>0</v>
      </c>
      <c r="F12" s="302">
        <f t="shared" si="5"/>
        <v>2469.6010724125181</v>
      </c>
      <c r="G12" s="302">
        <f t="shared" si="5"/>
        <v>0</v>
      </c>
      <c r="H12" s="302">
        <f t="shared" si="5"/>
        <v>478.64725995951932</v>
      </c>
      <c r="I12" s="302">
        <f t="shared" si="5"/>
        <v>0</v>
      </c>
      <c r="J12" s="302">
        <f t="shared" si="5"/>
        <v>0</v>
      </c>
      <c r="K12" s="302"/>
      <c r="M12" s="307"/>
    </row>
    <row r="13" spans="1:25" x14ac:dyDescent="0.25">
      <c r="A13" s="58"/>
      <c r="B13" s="191" t="s">
        <v>138</v>
      </c>
      <c r="C13" s="192">
        <f>SUM(C7,C4)</f>
        <v>163800.951527</v>
      </c>
      <c r="D13" s="192">
        <f t="shared" ref="D13:K13" si="6">SUM(D7,D4)</f>
        <v>938620.09066579002</v>
      </c>
      <c r="E13" s="192">
        <f t="shared" si="6"/>
        <v>26343.700242621569</v>
      </c>
      <c r="F13" s="192">
        <f t="shared" si="6"/>
        <v>913133.13043346396</v>
      </c>
      <c r="G13" s="192">
        <f t="shared" si="6"/>
        <v>366684.5837846928</v>
      </c>
      <c r="H13" s="192">
        <f t="shared" si="6"/>
        <v>985138.46698482125</v>
      </c>
      <c r="I13" s="192">
        <f>SUM(I7,I4)</f>
        <v>420440.6212360682</v>
      </c>
      <c r="J13" s="192">
        <f t="shared" si="6"/>
        <v>419405.95324362698</v>
      </c>
      <c r="K13" s="193">
        <f t="shared" si="6"/>
        <v>6800.3509976571358</v>
      </c>
      <c r="L13" s="323">
        <f>SUM(D13:K13)</f>
        <v>4076566.8975887424</v>
      </c>
      <c r="M13" s="6">
        <f>L13*0.4535924</f>
        <v>1849099.7628378319</v>
      </c>
    </row>
    <row r="14" spans="1:25" ht="15" customHeight="1" x14ac:dyDescent="0.25">
      <c r="A14" s="58"/>
      <c r="B14" s="194"/>
      <c r="C14" s="195"/>
      <c r="D14" s="196">
        <f t="shared" ref="D14:K14" si="7">D13/SUM($D13:$K13)</f>
        <v>0.23024768493826914</v>
      </c>
      <c r="E14" s="196">
        <f t="shared" si="7"/>
        <v>6.4622268944497544E-3</v>
      </c>
      <c r="F14" s="196">
        <f t="shared" si="7"/>
        <v>0.22399562018069055</v>
      </c>
      <c r="G14" s="196">
        <f t="shared" si="7"/>
        <v>8.9949360085709348E-2</v>
      </c>
      <c r="H14" s="196">
        <f t="shared" si="7"/>
        <v>0.24165884964810047</v>
      </c>
      <c r="I14" s="196">
        <f t="shared" si="7"/>
        <v>0.10313595527765178</v>
      </c>
      <c r="J14" s="196">
        <f t="shared" si="7"/>
        <v>0.10288214661501136</v>
      </c>
      <c r="K14" s="197">
        <f t="shared" si="7"/>
        <v>1.6681563601175025E-3</v>
      </c>
      <c r="L14" s="10" t="s">
        <v>248</v>
      </c>
      <c r="M14" s="10" t="s">
        <v>224</v>
      </c>
    </row>
    <row r="15" spans="1:25" s="300" customFormat="1" x14ac:dyDescent="0.25">
      <c r="A15" s="305" t="s">
        <v>224</v>
      </c>
      <c r="B15" s="301"/>
      <c r="C15" s="302"/>
      <c r="D15" s="302">
        <f>D13*0.4535924</f>
        <v>425750.9396133133</v>
      </c>
      <c r="E15" s="302">
        <f t="shared" ref="E15:J15" si="8">E13*0.4535924</f>
        <v>11949.302217931299</v>
      </c>
      <c r="F15" s="302">
        <f t="shared" si="8"/>
        <v>414190.24815282796</v>
      </c>
      <c r="G15" s="302">
        <f t="shared" si="8"/>
        <v>166325.34040189988</v>
      </c>
      <c r="H15" s="302">
        <f t="shared" si="8"/>
        <v>446851.32157196582</v>
      </c>
      <c r="I15" s="302">
        <f>I13*0.4535924</f>
        <v>190708.67044395916</v>
      </c>
      <c r="J15" s="302">
        <f t="shared" si="8"/>
        <v>190239.35290606454</v>
      </c>
      <c r="K15" s="302"/>
      <c r="N15" s="10">
        <f>M13/M16</f>
        <v>27.894870345452475</v>
      </c>
    </row>
    <row r="16" spans="1:25" x14ac:dyDescent="0.25">
      <c r="A16" s="58"/>
      <c r="B16" s="191" t="s">
        <v>139</v>
      </c>
      <c r="C16" s="192">
        <f>Areas!D3</f>
        <v>386781.54407800001</v>
      </c>
      <c r="D16" s="192"/>
      <c r="E16" s="192"/>
      <c r="F16" s="192"/>
      <c r="G16" s="192"/>
      <c r="H16" s="192">
        <f>Fertilizers!H10</f>
        <v>416613.87961659324</v>
      </c>
      <c r="I16" s="192">
        <f>Fertilizers!G10</f>
        <v>371899.51692174218</v>
      </c>
      <c r="J16" s="192"/>
      <c r="K16" s="193"/>
      <c r="M16" s="323">
        <f>C13*0.4046873</f>
        <v>66288.164810892515</v>
      </c>
    </row>
    <row r="17" spans="1:21" x14ac:dyDescent="0.25">
      <c r="A17" s="168"/>
      <c r="B17" s="198"/>
      <c r="C17" s="195"/>
      <c r="D17" s="195"/>
      <c r="E17" s="195"/>
      <c r="F17" s="195"/>
      <c r="G17" s="205"/>
      <c r="H17" s="363" t="s">
        <v>140</v>
      </c>
      <c r="I17" s="363"/>
      <c r="J17" s="195"/>
      <c r="K17" s="206"/>
      <c r="L17" s="4"/>
      <c r="M17" s="10" t="s">
        <v>17</v>
      </c>
    </row>
    <row r="18" spans="1:21" x14ac:dyDescent="0.25">
      <c r="A18" s="168"/>
      <c r="B18" s="58"/>
      <c r="C18" s="120"/>
      <c r="D18" s="120"/>
      <c r="E18" s="120"/>
      <c r="F18" s="120"/>
      <c r="G18" s="120"/>
      <c r="H18" s="120"/>
      <c r="I18" s="120"/>
      <c r="J18" s="120"/>
      <c r="K18" s="120"/>
      <c r="L18" s="4"/>
    </row>
    <row r="19" spans="1:21" x14ac:dyDescent="0.25">
      <c r="A19" s="168"/>
      <c r="B19" s="58"/>
      <c r="C19" s="120"/>
      <c r="D19" s="120"/>
      <c r="E19" s="120"/>
      <c r="F19" s="120"/>
      <c r="G19" s="120"/>
      <c r="H19" s="120"/>
      <c r="I19" s="120"/>
      <c r="J19" s="120"/>
      <c r="K19" s="120"/>
      <c r="L19" s="4"/>
    </row>
    <row r="20" spans="1:21" x14ac:dyDescent="0.25">
      <c r="A20" s="168"/>
      <c r="B20" s="58"/>
      <c r="C20" s="120" t="s">
        <v>46</v>
      </c>
      <c r="D20" s="120">
        <f>D4*0.4535924</f>
        <v>369789.82778744353</v>
      </c>
      <c r="E20" s="120">
        <f>(K4+E4)*0.4535924</f>
        <v>13786.164710229001</v>
      </c>
      <c r="F20" s="120">
        <f t="shared" ref="F20:J20" si="9">F4*0.4535924</f>
        <v>379595.75508155342</v>
      </c>
      <c r="G20" s="120"/>
      <c r="H20" s="120">
        <f>(H4+G4)*0.4535924</f>
        <v>492220.56585838308</v>
      </c>
      <c r="I20" s="120">
        <f t="shared" si="9"/>
        <v>162441.02473744686</v>
      </c>
      <c r="J20" s="120">
        <f t="shared" si="9"/>
        <v>111386.38887574324</v>
      </c>
      <c r="K20" s="120"/>
      <c r="L20" s="4"/>
    </row>
    <row r="21" spans="1:21" x14ac:dyDescent="0.25">
      <c r="A21" s="58"/>
      <c r="C21" s="121" t="s">
        <v>47</v>
      </c>
      <c r="D21" s="121">
        <f>D7*0.4535924</f>
        <v>55961.111825869775</v>
      </c>
      <c r="E21" s="121">
        <f t="shared" ref="E21:J21" si="10">E7*0.4535924</f>
        <v>1247.7250375719939</v>
      </c>
      <c r="F21" s="121">
        <f t="shared" si="10"/>
        <v>34594.493071274541</v>
      </c>
      <c r="H21" s="121">
        <f>(H7+G7)*0.4535924</f>
        <v>120956.09611548269</v>
      </c>
      <c r="I21" s="121">
        <f t="shared" si="10"/>
        <v>28267.64570651227</v>
      </c>
      <c r="J21" s="121">
        <f t="shared" si="10"/>
        <v>78852.964030321295</v>
      </c>
      <c r="N21" s="2"/>
      <c r="O21" s="2"/>
    </row>
    <row r="22" spans="1:21" ht="15.75" customHeight="1" x14ac:dyDescent="0.25">
      <c r="A22" s="58"/>
      <c r="C22" s="121" t="s">
        <v>8</v>
      </c>
      <c r="D22" s="121">
        <f>D13*0.4535924</f>
        <v>425750.9396133133</v>
      </c>
      <c r="E22" s="121">
        <f t="shared" ref="E22:J22" si="11">E13*0.4535924</f>
        <v>11949.302217931299</v>
      </c>
      <c r="F22" s="121">
        <f t="shared" si="11"/>
        <v>414190.24815282796</v>
      </c>
      <c r="H22" s="121">
        <f>(H13+G13)*0.4535924</f>
        <v>613176.6619738657</v>
      </c>
      <c r="I22" s="121">
        <f t="shared" si="11"/>
        <v>190708.67044395916</v>
      </c>
      <c r="J22" s="121">
        <f t="shared" si="11"/>
        <v>190239.35290606454</v>
      </c>
      <c r="M22" s="2"/>
      <c r="N22" s="2"/>
      <c r="O22" s="2"/>
    </row>
    <row r="23" spans="1:21" x14ac:dyDescent="0.25">
      <c r="M23" s="9"/>
      <c r="N23" s="2"/>
      <c r="O23" s="2"/>
    </row>
    <row r="24" spans="1:21" ht="15.75" customHeight="1" x14ac:dyDescent="0.25"/>
    <row r="25" spans="1:21" x14ac:dyDescent="0.25">
      <c r="M25" s="8"/>
      <c r="N25" s="9"/>
      <c r="O25" s="2"/>
      <c r="P25" s="2"/>
    </row>
    <row r="26" spans="1:21" x14ac:dyDescent="0.25">
      <c r="M26" s="8"/>
      <c r="N26" s="9"/>
      <c r="O26" s="58"/>
      <c r="P26" s="58"/>
    </row>
    <row r="27" spans="1:21" x14ac:dyDescent="0.25">
      <c r="M27" s="8"/>
      <c r="N27" s="9"/>
      <c r="O27" s="2"/>
      <c r="P27" s="2"/>
    </row>
    <row r="28" spans="1:21" x14ac:dyDescent="0.25">
      <c r="M28" s="8"/>
      <c r="N28" s="9"/>
      <c r="O28" s="58"/>
      <c r="P28" s="58"/>
    </row>
    <row r="29" spans="1:21" x14ac:dyDescent="0.25">
      <c r="L29" s="11"/>
      <c r="R29" s="8"/>
      <c r="S29" s="2"/>
      <c r="T29" s="2"/>
      <c r="U29" s="2"/>
    </row>
    <row r="30" spans="1:21" x14ac:dyDescent="0.25">
      <c r="L30" s="11"/>
      <c r="R30" s="8"/>
      <c r="S30" s="58"/>
      <c r="T30" s="58"/>
      <c r="U30" s="58"/>
    </row>
    <row r="31" spans="1:21" x14ac:dyDescent="0.25">
      <c r="L31" s="11"/>
      <c r="R31" s="8"/>
      <c r="S31" s="58"/>
      <c r="T31" s="58"/>
      <c r="U31" s="58"/>
    </row>
    <row r="32" spans="1:21" x14ac:dyDescent="0.25">
      <c r="L32" s="11"/>
      <c r="R32" s="8"/>
      <c r="S32" s="58"/>
      <c r="T32" s="58"/>
      <c r="U32" s="58"/>
    </row>
    <row r="33" spans="12:21" x14ac:dyDescent="0.25">
      <c r="L33" s="11"/>
      <c r="R33" s="8"/>
      <c r="S33" s="58"/>
      <c r="T33" s="58"/>
      <c r="U33" s="58"/>
    </row>
    <row r="34" spans="12:21" x14ac:dyDescent="0.25">
      <c r="L34" s="11"/>
      <c r="R34" s="8"/>
      <c r="S34" s="58"/>
      <c r="T34" s="58"/>
      <c r="U34" s="58"/>
    </row>
    <row r="35" spans="12:21" x14ac:dyDescent="0.25">
      <c r="R35" s="8"/>
      <c r="S35" s="2"/>
      <c r="T35" s="2"/>
      <c r="U35" s="2"/>
    </row>
    <row r="36" spans="12:21" x14ac:dyDescent="0.25">
      <c r="R36" s="8"/>
    </row>
    <row r="37" spans="12:21" x14ac:dyDescent="0.25">
      <c r="R37" s="8"/>
    </row>
    <row r="38" spans="12:21" x14ac:dyDescent="0.25">
      <c r="R38" s="8"/>
    </row>
    <row r="39" spans="12:21" x14ac:dyDescent="0.25">
      <c r="R39" s="8"/>
    </row>
    <row r="40" spans="12:21" x14ac:dyDescent="0.25">
      <c r="R40" s="8"/>
    </row>
    <row r="41" spans="12:21" x14ac:dyDescent="0.25">
      <c r="R41" s="2"/>
    </row>
    <row r="42" spans="12:21" x14ac:dyDescent="0.25">
      <c r="R42" s="2"/>
    </row>
  </sheetData>
  <mergeCells count="11">
    <mergeCell ref="H17:I17"/>
    <mergeCell ref="M4:Q5"/>
    <mergeCell ref="J1:J2"/>
    <mergeCell ref="H1:I1"/>
    <mergeCell ref="K1:K2"/>
    <mergeCell ref="G1:G2"/>
    <mergeCell ref="B1:B2"/>
    <mergeCell ref="C1:C2"/>
    <mergeCell ref="F1:F2"/>
    <mergeCell ref="E1:E2"/>
    <mergeCell ref="D1: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5"/>
  <sheetViews>
    <sheetView zoomScaleNormal="100" workbookViewId="0">
      <selection activeCell="D14" sqref="D14"/>
    </sheetView>
  </sheetViews>
  <sheetFormatPr defaultRowHeight="15" x14ac:dyDescent="0.25"/>
  <cols>
    <col min="1" max="1" width="2" customWidth="1"/>
    <col min="2" max="2" width="23" bestFit="1" customWidth="1"/>
    <col min="3" max="3" width="9" bestFit="1" customWidth="1"/>
    <col min="4" max="4" width="8.7109375" bestFit="1" customWidth="1"/>
    <col min="5" max="5" width="8" bestFit="1" customWidth="1"/>
    <col min="6" max="6" width="11.85546875" bestFit="1" customWidth="1"/>
    <col min="7" max="7" width="12.28515625" bestFit="1" customWidth="1"/>
    <col min="8" max="9" width="9" bestFit="1" customWidth="1"/>
    <col min="10" max="10" width="9.140625" bestFit="1" customWidth="1"/>
    <col min="11" max="11" width="5.140625" bestFit="1" customWidth="1"/>
  </cols>
  <sheetData>
    <row r="1" spans="2:11" x14ac:dyDescent="0.25">
      <c r="B1" s="357" t="s">
        <v>137</v>
      </c>
      <c r="C1" s="357" t="s">
        <v>95</v>
      </c>
      <c r="D1" s="352" t="s">
        <v>1</v>
      </c>
      <c r="E1" s="352" t="s">
        <v>2</v>
      </c>
      <c r="F1" s="352" t="s">
        <v>3</v>
      </c>
      <c r="G1" s="352" t="s">
        <v>73</v>
      </c>
      <c r="H1" s="352" t="s">
        <v>4</v>
      </c>
      <c r="I1" s="352"/>
      <c r="J1" s="352" t="s">
        <v>5</v>
      </c>
      <c r="K1" s="352"/>
    </row>
    <row r="2" spans="2:11" ht="15.75" thickBot="1" x14ac:dyDescent="0.3">
      <c r="B2" s="357"/>
      <c r="C2" s="357"/>
      <c r="D2" s="352"/>
      <c r="E2" s="352"/>
      <c r="F2" s="352"/>
      <c r="G2" s="352"/>
      <c r="H2" s="219" t="s">
        <v>85</v>
      </c>
      <c r="I2" s="219" t="s">
        <v>154</v>
      </c>
      <c r="J2" s="352"/>
      <c r="K2" s="352"/>
    </row>
    <row r="3" spans="2:11" x14ac:dyDescent="0.25">
      <c r="B3" s="370" t="s">
        <v>156</v>
      </c>
      <c r="C3" s="371"/>
      <c r="D3" s="221">
        <v>0.95</v>
      </c>
      <c r="E3" s="221">
        <v>0.7</v>
      </c>
      <c r="F3" s="221">
        <v>0.5</v>
      </c>
      <c r="G3" s="221">
        <v>0.85</v>
      </c>
      <c r="H3" s="221">
        <v>0.85</v>
      </c>
      <c r="I3" s="221">
        <v>0.85</v>
      </c>
      <c r="J3" s="222">
        <v>0.95</v>
      </c>
      <c r="K3" s="17"/>
    </row>
    <row r="4" spans="2:11" x14ac:dyDescent="0.25">
      <c r="B4" s="223" t="s">
        <v>46</v>
      </c>
      <c r="C4" s="220">
        <f>'Input Summary'!C4</f>
        <v>142132.407049</v>
      </c>
      <c r="D4" s="220">
        <f>'Input Summary'!D4*(1-D$3)</f>
        <v>40762.348287520232</v>
      </c>
      <c r="E4" s="220">
        <f>'Input Summary'!E4*(1-E$3)</f>
        <v>7077.8812742625141</v>
      </c>
      <c r="F4" s="220">
        <f>'Input Summary'!F4*(1-F$3)</f>
        <v>418432.66673069634</v>
      </c>
      <c r="G4" s="220">
        <f>'Input Summary'!G4*(1-G$3)</f>
        <v>25408.030280389186</v>
      </c>
      <c r="H4" s="220">
        <f>'Input Summary'!H4*(1-H$3)</f>
        <v>137366.04811853784</v>
      </c>
      <c r="I4" s="220">
        <f>'Input Summary'!I4*(1-I$3)</f>
        <v>53718.170125022007</v>
      </c>
      <c r="J4" s="224">
        <f>'Input Summary'!J4*(1-J$3)</f>
        <v>12278.246822008408</v>
      </c>
      <c r="K4" s="220"/>
    </row>
    <row r="5" spans="2:11" x14ac:dyDescent="0.25">
      <c r="B5" s="223" t="s">
        <v>47</v>
      </c>
      <c r="C5" s="220">
        <f>'Input Summary'!C7</f>
        <v>21668.544478</v>
      </c>
      <c r="D5" s="220">
        <f>'Input Summary'!D7*(1-D$3)</f>
        <v>6168.6562457693108</v>
      </c>
      <c r="E5" s="220">
        <f>'Input Summary'!E7*(1-E$3)</f>
        <v>825.22879852395715</v>
      </c>
      <c r="F5" s="220">
        <f>'Input Summary'!F7*(1-F$3)</f>
        <v>38133.898486035636</v>
      </c>
      <c r="G5" s="220">
        <f>'Input Summary'!G7*(1-G$3)</f>
        <v>29594.657287314749</v>
      </c>
      <c r="H5" s="220">
        <f>'Input Summary'!H7*(1-H$3)</f>
        <v>10404.721929185365</v>
      </c>
      <c r="I5" s="220">
        <f>'Input Summary'!I7*(1-I$3)</f>
        <v>9347.9230603882279</v>
      </c>
      <c r="J5" s="224">
        <f>'Input Summary'!J7*(1-J$3)</f>
        <v>8692.0508401729585</v>
      </c>
      <c r="K5" s="220"/>
    </row>
    <row r="6" spans="2:11" x14ac:dyDescent="0.25">
      <c r="B6" s="223" t="s">
        <v>141</v>
      </c>
      <c r="C6" s="220">
        <f t="shared" ref="C6:J6" si="0">SUM(C4,C5)</f>
        <v>163800.951527</v>
      </c>
      <c r="D6" s="220">
        <f t="shared" si="0"/>
        <v>46931.004533289539</v>
      </c>
      <c r="E6" s="220">
        <f t="shared" si="0"/>
        <v>7903.1100727864714</v>
      </c>
      <c r="F6" s="220">
        <f t="shared" si="0"/>
        <v>456566.56521673198</v>
      </c>
      <c r="G6" s="220">
        <f t="shared" si="0"/>
        <v>55002.687567703935</v>
      </c>
      <c r="H6" s="220">
        <f t="shared" si="0"/>
        <v>147770.7700477232</v>
      </c>
      <c r="I6" s="220">
        <f t="shared" si="0"/>
        <v>63066.093185410238</v>
      </c>
      <c r="J6" s="224">
        <f t="shared" si="0"/>
        <v>20970.297662181365</v>
      </c>
      <c r="K6" s="220"/>
    </row>
    <row r="7" spans="2:11" x14ac:dyDescent="0.25">
      <c r="B7" s="229" t="s">
        <v>155</v>
      </c>
      <c r="C7" s="217">
        <f>C6</f>
        <v>163800.951527</v>
      </c>
      <c r="D7" s="108">
        <f>(D4*0.9)+(D5*0.5)</f>
        <v>39770.441581652864</v>
      </c>
      <c r="E7" s="108">
        <f t="shared" ref="E7:J7" si="1">(E4*0.9)+(E5*0.5)</f>
        <v>6782.7075460982414</v>
      </c>
      <c r="F7" s="108">
        <f t="shared" si="1"/>
        <v>395656.34930064454</v>
      </c>
      <c r="G7" s="108">
        <f t="shared" si="1"/>
        <v>37664.555896007645</v>
      </c>
      <c r="H7" s="108">
        <f t="shared" si="1"/>
        <v>128831.80427127673</v>
      </c>
      <c r="I7" s="108">
        <f t="shared" si="1"/>
        <v>53020.314642713922</v>
      </c>
      <c r="J7" s="230">
        <f t="shared" si="1"/>
        <v>15396.447559894048</v>
      </c>
    </row>
    <row r="8" spans="2:11" s="102" customFormat="1" ht="15.75" thickBot="1" x14ac:dyDescent="0.3">
      <c r="B8" s="225" t="s">
        <v>158</v>
      </c>
      <c r="C8" s="226"/>
      <c r="D8" s="227">
        <f>(D7-'Load Summary'!D$9)*-1</f>
        <v>39770.441581652791</v>
      </c>
      <c r="E8" s="227">
        <f>(E7-'Load Summary'!E$9)*-1</f>
        <v>12622.18767830393</v>
      </c>
      <c r="F8" s="227">
        <f>(F7-'Load Summary'!F$9)*-1</f>
        <v>79131.269860128872</v>
      </c>
      <c r="G8" s="227">
        <f>(G7-'Load Summary'!G$9)*-1</f>
        <v>12554.851965335853</v>
      </c>
      <c r="H8" s="227">
        <f>(H7-'Load Summary'!H$9)*-1</f>
        <v>42943.934757092196</v>
      </c>
      <c r="I8" s="227">
        <f>(I7-'Load Summary'!I$9)*-1</f>
        <v>53020.314642713922</v>
      </c>
      <c r="J8" s="228">
        <f>(J7-'Load Summary'!J$9)*-1</f>
        <v>15396.447559894012</v>
      </c>
    </row>
    <row r="9" spans="2:11" ht="15.75" thickBot="1" x14ac:dyDescent="0.3">
      <c r="B9" s="50"/>
      <c r="C9" s="50"/>
      <c r="D9" s="50"/>
      <c r="E9" s="50"/>
      <c r="F9" s="50"/>
      <c r="G9" s="50"/>
      <c r="H9" s="50"/>
      <c r="I9" s="50"/>
      <c r="J9" s="50"/>
    </row>
    <row r="10" spans="2:11" x14ac:dyDescent="0.25">
      <c r="B10" s="370" t="s">
        <v>157</v>
      </c>
      <c r="C10" s="371"/>
      <c r="D10" s="221">
        <v>0.85</v>
      </c>
      <c r="E10" s="221">
        <v>0.5</v>
      </c>
      <c r="F10" s="221">
        <v>0.3</v>
      </c>
      <c r="G10" s="221">
        <v>0.4</v>
      </c>
      <c r="H10" s="221">
        <v>0.4</v>
      </c>
      <c r="I10" s="221">
        <v>0.4</v>
      </c>
      <c r="J10" s="222">
        <v>0.8</v>
      </c>
    </row>
    <row r="11" spans="2:11" x14ac:dyDescent="0.25">
      <c r="B11" s="223" t="s">
        <v>46</v>
      </c>
      <c r="C11" s="220">
        <f>'Input Summary'!C4</f>
        <v>142132.407049</v>
      </c>
      <c r="D11" s="220">
        <f>'Input Summary'!D4*(1-D$10)</f>
        <v>122287.04486256061</v>
      </c>
      <c r="E11" s="220">
        <f>'Input Summary'!E4*(1-E$10)</f>
        <v>11796.468790437522</v>
      </c>
      <c r="F11" s="220">
        <f>'Input Summary'!F4*(1-F$10)</f>
        <v>585805.73342297482</v>
      </c>
      <c r="G11" s="220">
        <f>'Input Summary'!G4*(1-G$10)</f>
        <v>101632.12112155672</v>
      </c>
      <c r="H11" s="220">
        <f>'Input Summary'!H4*(1-H$10)</f>
        <v>549464.19247415126</v>
      </c>
      <c r="I11" s="220">
        <f>'Input Summary'!I4*(1-I$10)</f>
        <v>214872.680500088</v>
      </c>
      <c r="J11" s="224">
        <f>'Input Summary'!J4*(1-J$10)</f>
        <v>49112.987288033582</v>
      </c>
    </row>
    <row r="12" spans="2:11" x14ac:dyDescent="0.25">
      <c r="B12" s="223" t="s">
        <v>47</v>
      </c>
      <c r="C12" s="220">
        <f>'Input Summary'!C7</f>
        <v>21668.544478</v>
      </c>
      <c r="D12" s="220">
        <f>'Input Summary'!D7*(1-D$10)</f>
        <v>18505.968737307918</v>
      </c>
      <c r="E12" s="220">
        <f>'Input Summary'!E7*(1-E$10)</f>
        <v>1375.3813308732617</v>
      </c>
      <c r="F12" s="220">
        <f>'Input Summary'!F7*(1-F$10)</f>
        <v>53387.457880449889</v>
      </c>
      <c r="G12" s="220">
        <f>'Input Summary'!G7*(1-G$10)</f>
        <v>118378.62914925897</v>
      </c>
      <c r="H12" s="220">
        <f>'Input Summary'!H7*(1-H$10)</f>
        <v>41618.887716741454</v>
      </c>
      <c r="I12" s="220">
        <f>'Input Summary'!I7*(1-I$10)</f>
        <v>37391.692241552904</v>
      </c>
      <c r="J12" s="224">
        <f>'Input Summary'!J7*(1-J$10)</f>
        <v>34768.20336069179</v>
      </c>
    </row>
    <row r="13" spans="2:11" x14ac:dyDescent="0.25">
      <c r="B13" s="223" t="s">
        <v>141</v>
      </c>
      <c r="C13" s="220">
        <f t="shared" ref="C13:J13" si="2">SUM(C11,C12)</f>
        <v>163800.951527</v>
      </c>
      <c r="D13" s="220">
        <f t="shared" si="2"/>
        <v>140793.01359986851</v>
      </c>
      <c r="E13" s="220">
        <f t="shared" si="2"/>
        <v>13171.850121310785</v>
      </c>
      <c r="F13" s="220">
        <f t="shared" si="2"/>
        <v>639193.19130342477</v>
      </c>
      <c r="G13" s="220">
        <f t="shared" si="2"/>
        <v>220010.75027081568</v>
      </c>
      <c r="H13" s="220">
        <f t="shared" si="2"/>
        <v>591083.08019089268</v>
      </c>
      <c r="I13" s="220">
        <f t="shared" si="2"/>
        <v>252264.37274164089</v>
      </c>
      <c r="J13" s="224">
        <f t="shared" si="2"/>
        <v>83881.190648725373</v>
      </c>
    </row>
    <row r="14" spans="2:11" x14ac:dyDescent="0.25">
      <c r="B14" s="229" t="s">
        <v>155</v>
      </c>
      <c r="C14" s="217">
        <f>C13</f>
        <v>163800.951527</v>
      </c>
      <c r="D14" s="108">
        <f>(D11*0.9)+(D12*0.5)</f>
        <v>119311.3247449585</v>
      </c>
      <c r="E14" s="108">
        <f t="shared" ref="E14:J14" si="3">(E11*0.9)+(E12*0.5)</f>
        <v>11304.512576830401</v>
      </c>
      <c r="F14" s="108">
        <f t="shared" si="3"/>
        <v>553918.88902090234</v>
      </c>
      <c r="G14" s="108">
        <f t="shared" si="3"/>
        <v>150658.22358403052</v>
      </c>
      <c r="H14" s="108">
        <f t="shared" si="3"/>
        <v>515327.21708510688</v>
      </c>
      <c r="I14" s="108">
        <f t="shared" si="3"/>
        <v>212081.25857085566</v>
      </c>
      <c r="J14" s="230">
        <f t="shared" si="3"/>
        <v>61585.790239576119</v>
      </c>
    </row>
    <row r="15" spans="2:11" s="102" customFormat="1" ht="15.75" thickBot="1" x14ac:dyDescent="0.3">
      <c r="B15" s="225" t="s">
        <v>159</v>
      </c>
      <c r="C15" s="226"/>
      <c r="D15" s="227">
        <f>(D14-'Load Summary'!D$9)</f>
        <v>39770.441581652849</v>
      </c>
      <c r="E15" s="227">
        <f>(E14-'Load Summary'!E$9)</f>
        <v>-8100.3826475717706</v>
      </c>
      <c r="F15" s="227">
        <f>(F14-'Load Summary'!F$9)</f>
        <v>79131.26986012893</v>
      </c>
      <c r="G15" s="227">
        <f>(G14-'Load Summary'!G$9)</f>
        <v>100438.81572268702</v>
      </c>
      <c r="H15" s="227">
        <f>(H14-'Load Summary'!H$9)</f>
        <v>343551.47805673792</v>
      </c>
      <c r="I15" s="227">
        <f>(I14-'Load Summary'!I$9)</f>
        <v>106040.62928542781</v>
      </c>
      <c r="J15" s="228">
        <f>(J14-'Load Summary'!J$9)</f>
        <v>30792.89511978806</v>
      </c>
    </row>
  </sheetData>
  <mergeCells count="11">
    <mergeCell ref="K1:K2"/>
    <mergeCell ref="B3:C3"/>
    <mergeCell ref="B10:C10"/>
    <mergeCell ref="J1:J2"/>
    <mergeCell ref="G1:G2"/>
    <mergeCell ref="H1:I1"/>
    <mergeCell ref="B1:B2"/>
    <mergeCell ref="C1:C2"/>
    <mergeCell ref="D1:D2"/>
    <mergeCell ref="E1:E2"/>
    <mergeCell ref="F1:F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8"/>
  <sheetViews>
    <sheetView workbookViewId="0">
      <selection activeCell="E7" sqref="E7"/>
    </sheetView>
  </sheetViews>
  <sheetFormatPr defaultRowHeight="15" x14ac:dyDescent="0.25"/>
  <cols>
    <col min="1" max="1" width="1.5703125" customWidth="1"/>
    <col min="2" max="2" width="8" bestFit="1" customWidth="1"/>
    <col min="3" max="4" width="11.5703125" style="72" bestFit="1" customWidth="1"/>
    <col min="5" max="6" width="10.5703125" style="41" bestFit="1" customWidth="1"/>
    <col min="7" max="7" width="10.5703125" style="72" bestFit="1" customWidth="1"/>
    <col min="8" max="8" width="11.5703125" style="72" bestFit="1" customWidth="1"/>
    <col min="9" max="9" width="10.5703125" style="72" bestFit="1" customWidth="1"/>
    <col min="10" max="10" width="11.5703125" style="72" bestFit="1" customWidth="1"/>
    <col min="11" max="11" width="10.5703125" bestFit="1" customWidth="1"/>
  </cols>
  <sheetData>
    <row r="1" spans="2:10" ht="15" customHeight="1" x14ac:dyDescent="0.25">
      <c r="B1" s="352" t="s">
        <v>0</v>
      </c>
      <c r="C1" s="372" t="s">
        <v>16</v>
      </c>
      <c r="D1" s="373"/>
      <c r="E1" s="375" t="s">
        <v>58</v>
      </c>
      <c r="F1" s="376"/>
      <c r="G1" s="352" t="s">
        <v>46</v>
      </c>
      <c r="H1" s="352"/>
      <c r="I1" s="372" t="s">
        <v>47</v>
      </c>
      <c r="J1" s="373"/>
    </row>
    <row r="2" spans="2:10" x14ac:dyDescent="0.25">
      <c r="B2" s="374"/>
      <c r="C2" s="87" t="s">
        <v>17</v>
      </c>
      <c r="D2" s="88" t="s">
        <v>59</v>
      </c>
      <c r="E2" s="90" t="s">
        <v>17</v>
      </c>
      <c r="F2" s="91" t="s">
        <v>59</v>
      </c>
      <c r="G2" s="89" t="s">
        <v>17</v>
      </c>
      <c r="H2" s="89" t="s">
        <v>59</v>
      </c>
      <c r="I2" s="87" t="s">
        <v>17</v>
      </c>
      <c r="J2" s="88" t="s">
        <v>59</v>
      </c>
    </row>
    <row r="3" spans="2:10" ht="18" customHeight="1" x14ac:dyDescent="0.25">
      <c r="B3" s="58" t="s">
        <v>89</v>
      </c>
      <c r="C3" s="85">
        <v>156524.937572</v>
      </c>
      <c r="D3" s="86">
        <v>386781.54407800001</v>
      </c>
      <c r="E3" s="85">
        <v>6050.8411189999997</v>
      </c>
      <c r="F3" s="86">
        <v>14951.954030000001</v>
      </c>
      <c r="G3" s="83">
        <v>57518.944430000003</v>
      </c>
      <c r="H3" s="86">
        <v>142132.407049</v>
      </c>
      <c r="I3" s="85">
        <v>8768.9488380000003</v>
      </c>
      <c r="J3" s="86">
        <v>21668.544478</v>
      </c>
    </row>
    <row r="4" spans="2:10" ht="18" customHeight="1" x14ac:dyDescent="0.25">
      <c r="B4" s="58"/>
      <c r="D4" s="84"/>
    </row>
    <row r="5" spans="2:10" x14ac:dyDescent="0.25">
      <c r="B5" s="58"/>
    </row>
    <row r="6" spans="2:10" x14ac:dyDescent="0.25">
      <c r="B6" s="58"/>
      <c r="E6" s="83">
        <f>SUM(E3,G3,I3)</f>
        <v>72338.734387000004</v>
      </c>
    </row>
    <row r="7" spans="2:10" x14ac:dyDescent="0.25">
      <c r="B7" s="58"/>
      <c r="E7" s="84"/>
      <c r="G7" s="84"/>
      <c r="I7" s="84"/>
    </row>
    <row r="8" spans="2:10" x14ac:dyDescent="0.25">
      <c r="B8" s="58"/>
    </row>
  </sheetData>
  <sortState ref="B4:N7">
    <sortCondition ref="B3:B7"/>
  </sortState>
  <mergeCells count="5">
    <mergeCell ref="I1:J1"/>
    <mergeCell ref="C1:D1"/>
    <mergeCell ref="B1:B2"/>
    <mergeCell ref="E1:F1"/>
    <mergeCell ref="G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90" zoomScaleNormal="90" workbookViewId="0">
      <pane xSplit="4" ySplit="2" topLeftCell="E3" activePane="bottomRight" state="frozen"/>
      <selection pane="topRight" activeCell="E1" sqref="E1"/>
      <selection pane="bottomLeft" activeCell="A3" sqref="A3"/>
      <selection pane="bottomRight" activeCell="K14" sqref="J14:K14"/>
    </sheetView>
  </sheetViews>
  <sheetFormatPr defaultRowHeight="15" x14ac:dyDescent="0.25"/>
  <cols>
    <col min="1" max="1" width="3" customWidth="1"/>
    <col min="2" max="2" width="5.28515625" bestFit="1" customWidth="1"/>
    <col min="3" max="3" width="8.42578125" style="99" customWidth="1"/>
    <col min="4" max="4" width="54.5703125" customWidth="1"/>
    <col min="5" max="5" width="9.28515625" style="141" bestFit="1" customWidth="1"/>
    <col min="6" max="6" width="8.28515625" style="141" bestFit="1" customWidth="1"/>
    <col min="7" max="7" width="8.7109375" style="141" bestFit="1" customWidth="1"/>
    <col min="8" max="8" width="9.7109375" style="202" bestFit="1" customWidth="1"/>
    <col min="11" max="11" width="11.140625" bestFit="1" customWidth="1"/>
  </cols>
  <sheetData>
    <row r="1" spans="1:13" x14ac:dyDescent="0.25">
      <c r="A1" s="30"/>
      <c r="B1" s="385"/>
      <c r="C1" s="387" t="s">
        <v>66</v>
      </c>
      <c r="D1" s="383" t="s">
        <v>65</v>
      </c>
      <c r="E1" s="377" t="s">
        <v>98</v>
      </c>
      <c r="F1" s="378"/>
      <c r="G1" s="378"/>
      <c r="H1" s="379"/>
    </row>
    <row r="2" spans="1:13" x14ac:dyDescent="0.25">
      <c r="A2" s="30"/>
      <c r="B2" s="386"/>
      <c r="C2" s="388"/>
      <c r="D2" s="384"/>
      <c r="E2" s="130" t="s">
        <v>0</v>
      </c>
      <c r="F2" s="131" t="s">
        <v>46</v>
      </c>
      <c r="G2" s="132" t="s">
        <v>47</v>
      </c>
      <c r="H2" s="132" t="s">
        <v>58</v>
      </c>
    </row>
    <row r="3" spans="1:13" x14ac:dyDescent="0.25">
      <c r="A3" s="30"/>
      <c r="B3" s="380" t="s">
        <v>5</v>
      </c>
      <c r="C3" s="100">
        <v>2100</v>
      </c>
      <c r="D3" s="74" t="s">
        <v>112</v>
      </c>
      <c r="E3" s="133">
        <f>VLOOKUP($C3,[1]KingsBay_Recharge_landuse_ac!$I$2:$N$52,3,FALSE)</f>
        <v>28127.952219505099</v>
      </c>
      <c r="F3" s="134">
        <f>VLOOKUP($C3,[1]KingsBay_Recharge_landuse_ac!$I$2:$N$52,4,FALSE)</f>
        <v>8976.69300132221</v>
      </c>
      <c r="G3" s="135">
        <f>VLOOKUP($C3,[1]KingsBay_Recharge_landuse_ac!$I$2:$N$52,5,FALSE)</f>
        <v>1459.7368358915401</v>
      </c>
      <c r="H3" s="202">
        <f>VLOOKUP($C3,[1]KingsBay_Recharge_landuse_ac!$I$2:$N$52,6,FALSE)</f>
        <v>0</v>
      </c>
    </row>
    <row r="4" spans="1:13" x14ac:dyDescent="0.25">
      <c r="A4" s="30"/>
      <c r="B4" s="381"/>
      <c r="C4" s="100">
        <v>2300</v>
      </c>
      <c r="D4" s="74" t="s">
        <v>115</v>
      </c>
      <c r="E4" s="133">
        <f>VLOOKUP(C4,[1]KingsBay_Recharge_landuse_ac!$I$2:$N$52,3,FALSE)</f>
        <v>19.008700892810001</v>
      </c>
      <c r="F4" s="136">
        <f>VLOOKUP($C4,[1]KingsBay_Recharge_landuse_ac!$I$2:$N$52,4,FALSE)</f>
        <v>0</v>
      </c>
      <c r="G4" s="134">
        <f>VLOOKUP($C4,[1]KingsBay_Recharge_landuse_ac!$I$2:$N$52,5,FALSE)</f>
        <v>0</v>
      </c>
      <c r="H4" s="202">
        <f>VLOOKUP($C4,[1]KingsBay_Recharge_landuse_ac!$I$2:$N$52,6,FALSE)</f>
        <v>0</v>
      </c>
    </row>
    <row r="5" spans="1:13" s="72" customFormat="1" x14ac:dyDescent="0.25">
      <c r="B5" s="381"/>
      <c r="C5" s="100">
        <v>2500</v>
      </c>
      <c r="D5" s="74" t="s">
        <v>116</v>
      </c>
      <c r="E5" s="133">
        <f>VLOOKUP(C5,[1]KingsBay_Recharge_landuse_ac!$I$2:$N$52,3,FALSE)</f>
        <v>698.64162138549</v>
      </c>
      <c r="F5" s="136">
        <f>VLOOKUP($C5,[1]KingsBay_Recharge_landuse_ac!$I$2:$N$52,4,FALSE)</f>
        <v>338.50024339789002</v>
      </c>
      <c r="G5" s="134">
        <f>VLOOKUP($C5,[1]KingsBay_Recharge_landuse_ac!$I$2:$N$52,5,FALSE)</f>
        <v>0</v>
      </c>
      <c r="H5" s="202">
        <f>VLOOKUP($C5,[1]KingsBay_Recharge_landuse_ac!$I$2:$N$52,6,FALSE)</f>
        <v>0</v>
      </c>
    </row>
    <row r="6" spans="1:13" s="72" customFormat="1" x14ac:dyDescent="0.25">
      <c r="B6" s="381"/>
      <c r="C6" s="100">
        <v>2550</v>
      </c>
      <c r="D6" s="74" t="s">
        <v>117</v>
      </c>
      <c r="E6" s="133">
        <f>VLOOKUP(C6,[1]KingsBay_Recharge_landuse_ac!$I$2:$N$52,3,FALSE)</f>
        <v>14.65596084966</v>
      </c>
      <c r="F6" s="136">
        <f>VLOOKUP($C6,[1]KingsBay_Recharge_landuse_ac!$I$2:$N$52,4,FALSE)</f>
        <v>14.65596084966</v>
      </c>
      <c r="G6" s="134">
        <f>VLOOKUP($C6,[1]KingsBay_Recharge_landuse_ac!$I$2:$N$52,5,FALSE)</f>
        <v>0</v>
      </c>
      <c r="H6" s="202">
        <f>VLOOKUP($C6,[1]KingsBay_Recharge_landuse_ac!$I$2:$N$52,6,FALSE)</f>
        <v>0</v>
      </c>
    </row>
    <row r="7" spans="1:13" x14ac:dyDescent="0.25">
      <c r="A7" s="30"/>
      <c r="B7" s="381"/>
      <c r="C7" s="97"/>
      <c r="D7" s="75" t="s">
        <v>8</v>
      </c>
      <c r="E7" s="137">
        <f>SUM(E3:E6)</f>
        <v>28860.25850263306</v>
      </c>
      <c r="F7" s="138">
        <f>SUM(F3:F6)</f>
        <v>9329.8492055697589</v>
      </c>
      <c r="G7" s="138">
        <f t="shared" ref="G7:H7" si="0">SUM(G3:G6)</f>
        <v>1459.7368358915401</v>
      </c>
      <c r="H7" s="138">
        <f t="shared" si="0"/>
        <v>0</v>
      </c>
      <c r="I7" s="129">
        <f>SUM(F7:G7)</f>
        <v>10789.586041461298</v>
      </c>
      <c r="K7" s="109">
        <f>E7*0.4046873</f>
        <v>11679.380090732617</v>
      </c>
      <c r="L7" s="109">
        <f t="shared" ref="L7:M7" si="1">F7*0.4046873</f>
        <v>3775.6714844091707</v>
      </c>
      <c r="M7" s="109">
        <f t="shared" si="1"/>
        <v>590.73695882749053</v>
      </c>
    </row>
    <row r="8" spans="1:13" x14ac:dyDescent="0.25">
      <c r="A8" s="31"/>
      <c r="B8" s="382"/>
      <c r="C8" s="98"/>
      <c r="D8" s="76" t="s">
        <v>18</v>
      </c>
      <c r="E8" s="139"/>
      <c r="F8" s="142">
        <f>F7/$E7</f>
        <v>0.32327670262269315</v>
      </c>
      <c r="G8" s="142">
        <f t="shared" ref="G8:H8" si="2">G7/$E7</f>
        <v>5.0579478896849148E-2</v>
      </c>
      <c r="H8" s="142">
        <f t="shared" si="2"/>
        <v>0</v>
      </c>
      <c r="I8" s="31">
        <f>I7/E7</f>
        <v>0.37385618151954225</v>
      </c>
    </row>
    <row r="9" spans="1:13" x14ac:dyDescent="0.25">
      <c r="A9" s="30"/>
      <c r="B9" s="380" t="s">
        <v>4</v>
      </c>
      <c r="C9" s="100">
        <v>2140</v>
      </c>
      <c r="D9" s="74" t="s">
        <v>113</v>
      </c>
      <c r="E9" s="133">
        <f>VLOOKUP($C9,[1]KingsBay_Recharge_landuse_ac!$I$2:$N$52,3,FALSE)</f>
        <v>533.44783151609897</v>
      </c>
      <c r="F9" s="134">
        <f>VLOOKUP($C9,[1]KingsBay_Recharge_landuse_ac!$I$2:$N$52,4,FALSE)</f>
        <v>69.163924857460003</v>
      </c>
      <c r="G9" s="135">
        <f>VLOOKUP($C9,[1]KingsBay_Recharge_landuse_ac!$I$2:$N$52,5,FALSE)</f>
        <v>0</v>
      </c>
      <c r="H9" s="202">
        <f>VLOOKUP($C9,[1]KingsBay_Recharge_landuse_ac!$I$2:$N$52,6,FALSE)</f>
        <v>0</v>
      </c>
    </row>
    <row r="10" spans="1:13" s="101" customFormat="1" x14ac:dyDescent="0.25">
      <c r="B10" s="381"/>
      <c r="C10" s="100">
        <v>2200</v>
      </c>
      <c r="D10" s="74" t="s">
        <v>114</v>
      </c>
      <c r="E10" s="133">
        <f>VLOOKUP(C10,[1]KingsBay_Recharge_landuse_ac!$I$2:$N$52,3,FALSE)</f>
        <v>230.66407786153999</v>
      </c>
      <c r="F10" s="136">
        <f>VLOOKUP($C10,[1]KingsBay_Recharge_landuse_ac!$I$2:$N$52,4,FALSE)</f>
        <v>0</v>
      </c>
      <c r="G10" s="134">
        <f>VLOOKUP($C10,[1]KingsBay_Recharge_landuse_ac!$I$2:$N$52,5,FALSE)</f>
        <v>0</v>
      </c>
      <c r="H10" s="202">
        <f>VLOOKUP($C10,[1]KingsBay_Recharge_landuse_ac!$I$2:$N$52,6,FALSE)</f>
        <v>0</v>
      </c>
    </row>
    <row r="11" spans="1:13" s="101" customFormat="1" x14ac:dyDescent="0.25">
      <c r="B11" s="381"/>
      <c r="C11" s="100">
        <v>2400</v>
      </c>
      <c r="D11" s="74" t="s">
        <v>118</v>
      </c>
      <c r="E11" s="133">
        <f>VLOOKUP(C11,[1]KingsBay_Recharge_landuse_ac!$I$2:$N$52,3,FALSE)</f>
        <v>315.836814751676</v>
      </c>
      <c r="F11" s="136">
        <f>VLOOKUP($C11,[1]KingsBay_Recharge_landuse_ac!$I$2:$N$52,4,FALSE)</f>
        <v>86.156694758629996</v>
      </c>
      <c r="G11" s="134">
        <f>VLOOKUP($C11,[1]KingsBay_Recharge_landuse_ac!$I$2:$N$52,5,FALSE)</f>
        <v>0</v>
      </c>
      <c r="H11" s="202">
        <f>VLOOKUP($C11,[1]KingsBay_Recharge_landuse_ac!$I$2:$N$52,6,FALSE)</f>
        <v>0</v>
      </c>
    </row>
    <row r="12" spans="1:13" x14ac:dyDescent="0.25">
      <c r="A12" s="30"/>
      <c r="B12" s="381"/>
      <c r="C12" s="97"/>
      <c r="D12" s="75" t="s">
        <v>8</v>
      </c>
      <c r="E12" s="137">
        <f>SUM(E9:E11)</f>
        <v>1079.948724129315</v>
      </c>
      <c r="F12" s="138">
        <f t="shared" ref="F12:H12" si="3">SUM(F9:F11)</f>
        <v>155.32061961609</v>
      </c>
      <c r="G12" s="138">
        <f t="shared" si="3"/>
        <v>0</v>
      </c>
      <c r="H12" s="138">
        <f t="shared" si="3"/>
        <v>0</v>
      </c>
    </row>
    <row r="13" spans="1:13" x14ac:dyDescent="0.25">
      <c r="A13" s="30"/>
      <c r="B13" s="382"/>
      <c r="C13" s="98"/>
      <c r="D13" s="77" t="s">
        <v>19</v>
      </c>
      <c r="E13" s="140"/>
      <c r="F13" s="143">
        <f>F12/$E12</f>
        <v>0.14382221687544827</v>
      </c>
      <c r="G13" s="143">
        <f t="shared" ref="G13:H13" si="4">G12/$E12</f>
        <v>0</v>
      </c>
      <c r="H13" s="143">
        <f t="shared" si="4"/>
        <v>0</v>
      </c>
    </row>
    <row r="14" spans="1:13" x14ac:dyDescent="0.25">
      <c r="A14" s="30"/>
      <c r="B14" s="380" t="s">
        <v>6</v>
      </c>
      <c r="C14" s="96">
        <v>1100</v>
      </c>
      <c r="D14" s="74" t="s">
        <v>107</v>
      </c>
      <c r="E14" s="133">
        <f>VLOOKUP($C14,[1]KingsBay_Recharge_landuse_ac!$I$2:$N$52,3,FALSE)</f>
        <v>72347.066949094806</v>
      </c>
      <c r="F14" s="134">
        <f>VLOOKUP($C14,[1]KingsBay_Recharge_landuse_ac!$I$2:$N$52,4,FALSE)</f>
        <v>44743.456502785099</v>
      </c>
      <c r="G14" s="135">
        <f>VLOOKUP($C14,[1]KingsBay_Recharge_landuse_ac!$I$2:$N$52,5,FALSE)</f>
        <v>2102.2256575654301</v>
      </c>
      <c r="H14" s="202">
        <f>VLOOKUP($C14,[1]KingsBay_Recharge_landuse_ac!$I$2:$N$52,6,FALSE)</f>
        <v>90.786277807061495</v>
      </c>
    </row>
    <row r="15" spans="1:13" x14ac:dyDescent="0.25">
      <c r="A15" s="30"/>
      <c r="B15" s="381"/>
      <c r="C15" s="96">
        <v>1200</v>
      </c>
      <c r="D15" s="74" t="s">
        <v>108</v>
      </c>
      <c r="E15" s="133">
        <f>VLOOKUP(C15,[1]KingsBay_Recharge_landuse_ac!$I$2:$N$52,3,FALSE)</f>
        <v>18188.741069521198</v>
      </c>
      <c r="F15" s="136">
        <f>VLOOKUP($C15,[1]KingsBay_Recharge_landuse_ac!$I$2:$N$52,4,FALSE)</f>
        <v>6783.4308882855303</v>
      </c>
      <c r="G15" s="134">
        <f>VLOOKUP($C15,[1]KingsBay_Recharge_landuse_ac!$I$2:$N$52,5,FALSE)</f>
        <v>1132.52607595526</v>
      </c>
      <c r="H15" s="202">
        <f>VLOOKUP($C15,[1]KingsBay_Recharge_landuse_ac!$I$2:$N$52,6,FALSE)</f>
        <v>68.963089656135693</v>
      </c>
    </row>
    <row r="16" spans="1:13" s="72" customFormat="1" x14ac:dyDescent="0.25">
      <c r="B16" s="381"/>
      <c r="C16" s="95">
        <v>1300</v>
      </c>
      <c r="D16" s="74" t="s">
        <v>109</v>
      </c>
      <c r="E16" s="133">
        <f>VLOOKUP(C16,[1]KingsBay_Recharge_landuse_ac!$I$2:$N$52,3,FALSE)</f>
        <v>3848.14643203682</v>
      </c>
      <c r="F16" s="136">
        <f>VLOOKUP($C16,[1]KingsBay_Recharge_landuse_ac!$I$2:$N$52,4,FALSE)</f>
        <v>2380.9072629443199</v>
      </c>
      <c r="G16" s="134">
        <f>VLOOKUP($C16,[1]KingsBay_Recharge_landuse_ac!$I$2:$N$52,5,FALSE)</f>
        <v>133.83257815718699</v>
      </c>
      <c r="H16" s="202">
        <f>VLOOKUP($C16,[1]KingsBay_Recharge_landuse_ac!$I$2:$N$52,6,FALSE)</f>
        <v>47.202972197629997</v>
      </c>
    </row>
    <row r="17" spans="2:8" s="72" customFormat="1" x14ac:dyDescent="0.25">
      <c r="B17" s="381"/>
      <c r="C17" s="96">
        <v>1800</v>
      </c>
      <c r="D17" s="74" t="s">
        <v>110</v>
      </c>
      <c r="E17" s="133">
        <f>VLOOKUP(C17,[1]KingsBay_Recharge_landuse_ac!$I$2:$N$52,3,FALSE)</f>
        <v>836.60645661667695</v>
      </c>
      <c r="F17" s="136">
        <f>VLOOKUP($C17,[1]KingsBay_Recharge_landuse_ac!$I$2:$N$52,4,FALSE)</f>
        <v>351.00935268267</v>
      </c>
      <c r="G17" s="134">
        <f>VLOOKUP($C17,[1]KingsBay_Recharge_landuse_ac!$I$2:$N$52,5,FALSE)</f>
        <v>77.733450275604</v>
      </c>
      <c r="H17" s="202">
        <f>VLOOKUP($C17,[1]KingsBay_Recharge_landuse_ac!$I$2:$N$52,6,FALSE)</f>
        <v>34.230724660020002</v>
      </c>
    </row>
    <row r="18" spans="2:8" s="72" customFormat="1" x14ac:dyDescent="0.25">
      <c r="B18" s="381"/>
      <c r="C18" s="96">
        <v>1820</v>
      </c>
      <c r="D18" s="74" t="s">
        <v>111</v>
      </c>
      <c r="E18" s="133">
        <f>VLOOKUP(C18,[1]KingsBay_Recharge_landuse_ac!$I$2:$N$52,3,FALSE)</f>
        <v>2521.03268754685</v>
      </c>
      <c r="F18" s="136">
        <f>VLOOKUP($C18,[1]KingsBay_Recharge_landuse_ac!$I$2:$N$52,4,FALSE)</f>
        <v>1717.66243866165</v>
      </c>
      <c r="G18" s="134">
        <f>VLOOKUP($C18,[1]KingsBay_Recharge_landuse_ac!$I$2:$N$52,5,FALSE)</f>
        <v>176.749959864999</v>
      </c>
      <c r="H18" s="202">
        <f>VLOOKUP($C18,[1]KingsBay_Recharge_landuse_ac!$I$2:$N$52,6,FALSE)</f>
        <v>0</v>
      </c>
    </row>
    <row r="19" spans="2:8" x14ac:dyDescent="0.25">
      <c r="B19" s="381"/>
      <c r="C19" s="97"/>
      <c r="D19" s="78" t="s">
        <v>8</v>
      </c>
      <c r="E19" s="137">
        <f>SUM(E14:E18)</f>
        <v>97741.593594816353</v>
      </c>
      <c r="F19" s="138">
        <f t="shared" ref="F19:H19" si="5">SUM(F14:F18)</f>
        <v>55976.46644535927</v>
      </c>
      <c r="G19" s="138">
        <f t="shared" si="5"/>
        <v>3623.0677218184801</v>
      </c>
      <c r="H19" s="138">
        <f t="shared" si="5"/>
        <v>241.18306432084719</v>
      </c>
    </row>
    <row r="20" spans="2:8" x14ac:dyDescent="0.25">
      <c r="B20" s="382"/>
      <c r="C20" s="98"/>
      <c r="D20" s="200" t="s">
        <v>20</v>
      </c>
      <c r="E20" s="213"/>
      <c r="F20" s="144">
        <f>F19/$E19</f>
        <v>0.57269852461591064</v>
      </c>
      <c r="G20" s="144">
        <f>G19/$E19</f>
        <v>3.7067819221750717E-2</v>
      </c>
      <c r="H20" s="144">
        <f t="shared" ref="H20:H24" si="6">H19/$E19</f>
        <v>2.4675581341620169E-3</v>
      </c>
    </row>
    <row r="21" spans="2:8" x14ac:dyDescent="0.25">
      <c r="B21" s="50"/>
      <c r="C21" s="97"/>
      <c r="D21" s="199" t="s">
        <v>150</v>
      </c>
      <c r="E21" s="201">
        <f>SUM(E14:E17)</f>
        <v>95220.560907269508</v>
      </c>
      <c r="F21" s="201">
        <f t="shared" ref="F21:H21" si="7">SUM(F14:F17)</f>
        <v>54258.804006697617</v>
      </c>
      <c r="G21" s="201">
        <f t="shared" si="7"/>
        <v>3446.3177619534813</v>
      </c>
      <c r="H21" s="201">
        <f t="shared" si="7"/>
        <v>241.18306432084719</v>
      </c>
    </row>
    <row r="22" spans="2:8" x14ac:dyDescent="0.25">
      <c r="B22" s="207"/>
      <c r="C22" s="98"/>
      <c r="D22" s="208" t="s">
        <v>9</v>
      </c>
      <c r="E22" s="209"/>
      <c r="F22" s="144">
        <f>F21/$E21</f>
        <v>0.56982235233352097</v>
      </c>
      <c r="G22" s="144">
        <f>G21/$E21</f>
        <v>3.61930000108871E-2</v>
      </c>
      <c r="H22" s="144">
        <f t="shared" si="6"/>
        <v>2.5328885066716127E-3</v>
      </c>
    </row>
    <row r="23" spans="2:8" x14ac:dyDescent="0.25">
      <c r="B23" s="55"/>
      <c r="C23" s="210"/>
      <c r="D23" s="211" t="s">
        <v>151</v>
      </c>
      <c r="E23" s="212">
        <f>E18</f>
        <v>2521.03268754685</v>
      </c>
      <c r="F23" s="212">
        <f t="shared" ref="F23:H23" si="8">F18</f>
        <v>1717.66243866165</v>
      </c>
      <c r="G23" s="212">
        <f t="shared" si="8"/>
        <v>176.749959864999</v>
      </c>
      <c r="H23" s="212">
        <f t="shared" si="8"/>
        <v>0</v>
      </c>
    </row>
    <row r="24" spans="2:8" x14ac:dyDescent="0.25">
      <c r="B24" s="207"/>
      <c r="C24" s="98"/>
      <c r="D24" s="208" t="s">
        <v>9</v>
      </c>
      <c r="E24" s="209"/>
      <c r="F24" s="144">
        <f>F23/$E23</f>
        <v>0.68133287090896932</v>
      </c>
      <c r="G24" s="144">
        <f>G23/$E23</f>
        <v>7.0110142061263675E-2</v>
      </c>
      <c r="H24" s="144">
        <f t="shared" si="6"/>
        <v>0</v>
      </c>
    </row>
    <row r="25" spans="2:8" x14ac:dyDescent="0.25">
      <c r="B25" s="72"/>
    </row>
    <row r="26" spans="2:8" x14ac:dyDescent="0.25">
      <c r="B26" s="72"/>
    </row>
    <row r="27" spans="2:8" x14ac:dyDescent="0.25">
      <c r="B27" s="72"/>
    </row>
    <row r="28" spans="2:8" x14ac:dyDescent="0.25">
      <c r="B28" s="72"/>
    </row>
    <row r="29" spans="2:8" x14ac:dyDescent="0.25">
      <c r="B29" s="72"/>
    </row>
  </sheetData>
  <mergeCells count="7">
    <mergeCell ref="E1:H1"/>
    <mergeCell ref="B9:B13"/>
    <mergeCell ref="B14:B20"/>
    <mergeCell ref="D1:D2"/>
    <mergeCell ref="B3:B8"/>
    <mergeCell ref="B1:B2"/>
    <mergeCell ref="C1:C2"/>
  </mergeCells>
  <printOptions gridLines="1"/>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27" sqref="J27"/>
    </sheetView>
  </sheetViews>
  <sheetFormatPr defaultRowHeight="15" x14ac:dyDescent="0.25"/>
  <cols>
    <col min="1" max="1" width="2" customWidth="1"/>
    <col min="2" max="2" width="5.28515625" customWidth="1"/>
    <col min="3" max="3" width="29.28515625" bestFit="1" customWidth="1"/>
    <col min="4" max="4" width="8.5703125" style="41" bestFit="1" customWidth="1"/>
    <col min="5" max="5" width="8" style="41" bestFit="1" customWidth="1"/>
    <col min="6" max="6" width="8.5703125" style="41" bestFit="1" customWidth="1"/>
    <col min="7" max="7" width="10" style="41" customWidth="1"/>
    <col min="8" max="8" width="2.42578125" customWidth="1"/>
    <col min="9" max="9" width="21" customWidth="1"/>
    <col min="10" max="10" width="11.140625" customWidth="1"/>
    <col min="11" max="11" width="13.42578125" style="102" bestFit="1" customWidth="1"/>
    <col min="12" max="12" width="12" style="41" bestFit="1" customWidth="1"/>
    <col min="13" max="13" width="1.42578125" style="41" customWidth="1"/>
    <col min="14" max="14" width="15.140625" style="41" bestFit="1" customWidth="1"/>
    <col min="15" max="15" width="13.42578125" style="41" bestFit="1" customWidth="1"/>
    <col min="16" max="16" width="18.7109375" customWidth="1"/>
    <col min="17" max="17" width="8.28515625" bestFit="1" customWidth="1"/>
    <col min="18" max="18" width="23.5703125" bestFit="1" customWidth="1"/>
    <col min="19" max="19" width="12" style="41" bestFit="1" customWidth="1"/>
  </cols>
  <sheetData>
    <row r="1" spans="1:22" s="145" customFormat="1" x14ac:dyDescent="0.25">
      <c r="B1" s="393" t="s">
        <v>122</v>
      </c>
      <c r="C1" s="391" t="s">
        <v>123</v>
      </c>
      <c r="D1" s="389" t="s">
        <v>130</v>
      </c>
      <c r="E1" s="389"/>
      <c r="F1" s="389"/>
      <c r="G1" s="389"/>
      <c r="H1" s="146"/>
      <c r="I1" s="389" t="s">
        <v>128</v>
      </c>
      <c r="J1" s="390" t="s">
        <v>129</v>
      </c>
      <c r="K1" s="391" t="s">
        <v>131</v>
      </c>
      <c r="L1" s="391"/>
      <c r="M1" s="150"/>
      <c r="N1" s="239" t="s">
        <v>181</v>
      </c>
      <c r="O1" s="239" t="s">
        <v>184</v>
      </c>
      <c r="P1" s="236">
        <v>3523416651</v>
      </c>
      <c r="S1" s="150"/>
    </row>
    <row r="2" spans="1:22" s="145" customFormat="1" x14ac:dyDescent="0.25">
      <c r="B2" s="393"/>
      <c r="C2" s="391"/>
      <c r="D2" s="159" t="s">
        <v>105</v>
      </c>
      <c r="E2" s="159" t="s">
        <v>46</v>
      </c>
      <c r="F2" s="159" t="s">
        <v>47</v>
      </c>
      <c r="G2" s="159" t="s">
        <v>58</v>
      </c>
      <c r="H2" s="146"/>
      <c r="I2" s="389"/>
      <c r="J2" s="390"/>
      <c r="K2" s="159" t="s">
        <v>46</v>
      </c>
      <c r="L2" s="159" t="s">
        <v>47</v>
      </c>
      <c r="M2" s="150"/>
      <c r="N2" s="239" t="s">
        <v>182</v>
      </c>
      <c r="O2" s="239" t="s">
        <v>185</v>
      </c>
      <c r="P2" s="236">
        <v>3525647155</v>
      </c>
      <c r="S2" s="150"/>
    </row>
    <row r="3" spans="1:22" ht="6.75" customHeight="1" x14ac:dyDescent="0.25">
      <c r="B3" s="153"/>
      <c r="C3" s="153"/>
      <c r="D3" s="154"/>
      <c r="E3" s="155"/>
      <c r="F3" s="155"/>
      <c r="G3" s="155"/>
      <c r="H3" s="153"/>
      <c r="I3" s="153"/>
      <c r="J3" s="153"/>
      <c r="K3" s="153"/>
      <c r="L3" s="154"/>
      <c r="N3" s="240"/>
      <c r="O3" s="240"/>
      <c r="P3" s="241"/>
    </row>
    <row r="4" spans="1:22" x14ac:dyDescent="0.25">
      <c r="B4" s="392" t="s">
        <v>142</v>
      </c>
      <c r="C4" s="392"/>
      <c r="D4" s="149">
        <f>SUM(D5:D11,D13)</f>
        <v>59212.299983455268</v>
      </c>
      <c r="E4" s="149">
        <f t="shared" ref="E4:G4" si="0">SUM(E5:E11,E13)</f>
        <v>54066.190925222421</v>
      </c>
      <c r="F4" s="149">
        <f t="shared" si="0"/>
        <v>4591.5466176055361</v>
      </c>
      <c r="G4" s="149">
        <f t="shared" si="0"/>
        <v>554.95329519158292</v>
      </c>
      <c r="H4" s="55"/>
      <c r="I4" s="55"/>
      <c r="J4" s="55"/>
      <c r="K4" s="55"/>
      <c r="L4" s="151"/>
      <c r="N4" s="240" t="s">
        <v>183</v>
      </c>
      <c r="O4" s="240" t="s">
        <v>186</v>
      </c>
      <c r="P4" s="241">
        <v>3523416665</v>
      </c>
    </row>
    <row r="5" spans="1:22" x14ac:dyDescent="0.25">
      <c r="B5" s="102">
        <v>0</v>
      </c>
      <c r="C5" s="102" t="str">
        <f>VLOOKUP(B5,[2]PC_Code_Descrip!$A:$B,2,FALSE)</f>
        <v>Vacant Single Family Residence</v>
      </c>
      <c r="D5" s="109">
        <f>VLOOKUP(B5,[3]Kings_Bay_PCcode!$B:$D,3,FALSE)</f>
        <v>32036.996062476701</v>
      </c>
      <c r="E5" s="109">
        <f>IFERROR((VLOOKUP($B5,[3]Kings_Bay_PCcode!$B:$G,4,FALSE)),0)</f>
        <v>29081.4586213941</v>
      </c>
      <c r="F5" s="109">
        <f>IFERROR((VLOOKUP($B5,[3]Kings_Bay_PCcode!$B:$G,5,FALSE)),0)</f>
        <v>2625.2612602112299</v>
      </c>
      <c r="G5" s="109">
        <f>IFERROR((VLOOKUP($B5,[3]Kings_Bay_PCcode!$B:$G,6,FALSE)),0)</f>
        <v>330.491471195023</v>
      </c>
      <c r="O5" s="240"/>
      <c r="P5" s="241"/>
    </row>
    <row r="6" spans="1:22" x14ac:dyDescent="0.25">
      <c r="B6" s="102">
        <v>1</v>
      </c>
      <c r="C6" s="102" t="str">
        <f>VLOOKUP(B6,[2]PC_Code_Descrip!$A:$B,2,FALSE)</f>
        <v>Single Family Residential</v>
      </c>
      <c r="D6" s="109">
        <f>VLOOKUP(B6,[3]Kings_Bay_PCcode!$B:$D,3,FALSE)</f>
        <v>26776.701098680001</v>
      </c>
      <c r="E6" s="109">
        <f>IFERROR((VLOOKUP($B6,[3]Kings_Bay_PCcode!$B:$G,4,FALSE)),0)</f>
        <v>24684.6642062141</v>
      </c>
      <c r="F6" s="109">
        <f>IFERROR((VLOOKUP($B6,[3]Kings_Bay_PCcode!$B:$G,5,FALSE)),0)</f>
        <v>1890.65797767544</v>
      </c>
      <c r="G6" s="109">
        <f>IFERROR((VLOOKUP($B6,[3]Kings_Bay_PCcode!$B:$G,6,FALSE)),0)</f>
        <v>201.55448040839099</v>
      </c>
    </row>
    <row r="7" spans="1:22" x14ac:dyDescent="0.25">
      <c r="B7" s="102">
        <v>3</v>
      </c>
      <c r="C7" s="102" t="str">
        <f>VLOOKUP(B7,[2]PC_Code_Descrip!$A:$B,2,FALSE)</f>
        <v>Multi Family 9 units</v>
      </c>
      <c r="D7" s="109">
        <f>VLOOKUP(B7,[3]Kings_Bay_PCcode!$B:$D,3,FALSE)</f>
        <v>84.793052625990995</v>
      </c>
      <c r="E7" s="109">
        <f>IFERROR((VLOOKUP($B7,[3]Kings_Bay_PCcode!$B:$G,4,FALSE)),0)</f>
        <v>60.518356985346003</v>
      </c>
      <c r="F7" s="109">
        <f>IFERROR((VLOOKUP($B7,[3]Kings_Bay_PCcode!$B:$G,5,FALSE)),0)</f>
        <v>24.274695640853999</v>
      </c>
      <c r="G7" s="109">
        <f>IFERROR((VLOOKUP($B7,[3]Kings_Bay_PCcode!$B:$G,6,FALSE)),0)</f>
        <v>0</v>
      </c>
    </row>
    <row r="8" spans="1:22" x14ac:dyDescent="0.25">
      <c r="B8" s="102">
        <v>4</v>
      </c>
      <c r="C8" s="102" t="str">
        <f>VLOOKUP(B8,[2]PC_Code_Descrip!$A:$B,2,FALSE)</f>
        <v>Condo</v>
      </c>
      <c r="D8" s="109">
        <f>VLOOKUP(B8,[3]Kings_Bay_PCcode!$B:$D,3,FALSE)</f>
        <v>55.5866490080641</v>
      </c>
      <c r="E8" s="109">
        <f>IFERROR((VLOOKUP($B8,[3]Kings_Bay_PCcode!$B:$G,4,FALSE)),0)</f>
        <v>24.873359751313401</v>
      </c>
      <c r="F8" s="109">
        <f>IFERROR((VLOOKUP($B8,[3]Kings_Bay_PCcode!$B:$G,5,FALSE)),0)</f>
        <v>7.8059456686839503</v>
      </c>
      <c r="G8" s="109">
        <f>IFERROR((VLOOKUP($B8,[3]Kings_Bay_PCcode!$B:$G,6,FALSE)),0)</f>
        <v>22.907343588168899</v>
      </c>
    </row>
    <row r="9" spans="1:22" x14ac:dyDescent="0.25">
      <c r="B9" s="102">
        <v>6</v>
      </c>
      <c r="C9" s="102" t="str">
        <f>VLOOKUP(B9,[2]PC_Code_Descrip!$A:$B,2,FALSE)</f>
        <v>retirement homes</v>
      </c>
      <c r="D9" s="109">
        <f>VLOOKUP(B9,[3]Kings_Bay_PCcode!$B:$D,3,FALSE)</f>
        <v>9.4517144093673</v>
      </c>
      <c r="E9" s="109">
        <f>IFERROR((VLOOKUP($B9,[3]Kings_Bay_PCcode!$B:$G,4,FALSE)),0)</f>
        <v>9.4517144093751995</v>
      </c>
      <c r="F9" s="109">
        <f>IFERROR((VLOOKUP($B9,[3]Kings_Bay_PCcode!$B:$G,5,FALSE)),0)</f>
        <v>0</v>
      </c>
      <c r="G9" s="109">
        <f>IFERROR((VLOOKUP($B9,[3]Kings_Bay_PCcode!$B:$G,6,FALSE)),0)</f>
        <v>0</v>
      </c>
    </row>
    <row r="10" spans="1:22" x14ac:dyDescent="0.25">
      <c r="B10" s="102">
        <v>8</v>
      </c>
      <c r="C10" s="102" t="str">
        <f>VLOOKUP(B10,[2]PC_Code_Descrip!$A:$B,2,FALSE)</f>
        <v>multi family 10 units</v>
      </c>
      <c r="D10" s="109">
        <f>VLOOKUP(B10,[3]Kings_Bay_PCcode!$B:$D,3,FALSE)</f>
        <v>163.42693123266801</v>
      </c>
      <c r="E10" s="109">
        <f>IFERROR((VLOOKUP($B10,[3]Kings_Bay_PCcode!$B:$G,4,FALSE)),0)</f>
        <v>127.56336500069</v>
      </c>
      <c r="F10" s="109">
        <f>IFERROR((VLOOKUP($B10,[3]Kings_Bay_PCcode!$B:$G,5,FALSE)),0)</f>
        <v>35.863564854147</v>
      </c>
      <c r="G10" s="109">
        <f>IFERROR((VLOOKUP($B10,[3]Kings_Bay_PCcode!$B:$G,6,FALSE)),0)</f>
        <v>0</v>
      </c>
    </row>
    <row r="11" spans="1:22" x14ac:dyDescent="0.25">
      <c r="B11" s="102">
        <v>30</v>
      </c>
      <c r="C11" s="102" t="str">
        <f>VLOOKUP(B11,[2]PC_Code_Descrip!$A:$B,2,FALSE)</f>
        <v>Florist Greenhouses</v>
      </c>
      <c r="D11" s="147">
        <f>VLOOKUP(B11,[3]Kings_Bay_PCcode!$B:$D,3,FALSE)</f>
        <v>0.39026835699899998</v>
      </c>
      <c r="E11" s="147">
        <f>IFERROR((VLOOKUP($B11,[3]Kings_Bay_PCcode!$B:$G,4,FALSE)),0)</f>
        <v>0.39026835700000001</v>
      </c>
      <c r="F11" s="109">
        <f>IFERROR((VLOOKUP($B11,[3]Kings_Bay_PCcode!$B:$G,5,FALSE)),0)</f>
        <v>0</v>
      </c>
      <c r="G11" s="109">
        <f>IFERROR((VLOOKUP($B11,[3]Kings_Bay_PCcode!$B:$G,6,FALSE)),0)</f>
        <v>0</v>
      </c>
      <c r="T11" s="109"/>
      <c r="U11" s="109"/>
      <c r="V11" s="109"/>
    </row>
    <row r="12" spans="1:22" x14ac:dyDescent="0.25">
      <c r="B12" s="102">
        <v>38</v>
      </c>
      <c r="C12" s="102" t="str">
        <f>VLOOKUP(B12,[2]PC_Code_Descrip!$A:$B,2,FALSE)</f>
        <v>Golf Courses Driving Ranges</v>
      </c>
      <c r="D12" s="109">
        <f>VLOOKUP(B12,[3]Kings_Bay_PCcode!$B:$D,3,FALSE)</f>
        <v>2351.5144649506001</v>
      </c>
      <c r="E12" s="109">
        <f>IFERROR((VLOOKUP($B12,[3]Kings_Bay_PCcode!$B:$G,4,FALSE)),0)</f>
        <v>2153.73352169081</v>
      </c>
      <c r="F12" s="109">
        <f>IFERROR((VLOOKUP($B12,[3]Kings_Bay_PCcode!$B:$G,5,FALSE)),0)</f>
        <v>197.78094325954299</v>
      </c>
      <c r="G12" s="109">
        <f>IFERROR((VLOOKUP($B12,[3]Kings_Bay_PCcode!$B:$G,6,FALSE)),0)</f>
        <v>0</v>
      </c>
    </row>
    <row r="13" spans="1:22" x14ac:dyDescent="0.25">
      <c r="B13" s="102">
        <v>74</v>
      </c>
      <c r="C13" s="102" t="str">
        <f>VLOOKUP(B13,[2]PC_Code_Descrip!$A:$B,2,FALSE)</f>
        <v>Homes for the Aged</v>
      </c>
      <c r="D13" s="109">
        <f>VLOOKUP(B13,[3]Kings_Bay_PCcode!$B:$D,3,FALSE)</f>
        <v>84.954206665485998</v>
      </c>
      <c r="E13" s="109">
        <f>IFERROR((VLOOKUP($B13,[3]Kings_Bay_PCcode!$B:$G,4,FALSE)),0)</f>
        <v>77.271033110498195</v>
      </c>
      <c r="F13" s="109">
        <f>IFERROR((VLOOKUP($B13,[3]Kings_Bay_PCcode!$B:$G,5,FALSE)),0)</f>
        <v>7.6831735551809999</v>
      </c>
      <c r="G13" s="109">
        <f>IFERROR((VLOOKUP($B13,[3]Kings_Bay_PCcode!$B:$G,6,FALSE)),0)</f>
        <v>0</v>
      </c>
    </row>
    <row r="14" spans="1:22" ht="6.75" customHeight="1" x14ac:dyDescent="0.25">
      <c r="B14" s="156"/>
      <c r="C14" s="156"/>
      <c r="D14" s="157"/>
      <c r="E14" s="157"/>
      <c r="F14" s="157"/>
      <c r="G14" s="157"/>
      <c r="H14" s="156"/>
      <c r="I14" s="156"/>
      <c r="J14" s="156"/>
      <c r="K14" s="156"/>
      <c r="L14" s="157"/>
    </row>
    <row r="15" spans="1:22" x14ac:dyDescent="0.25">
      <c r="A15" s="148"/>
      <c r="B15" s="392" t="s">
        <v>88</v>
      </c>
      <c r="C15" s="392"/>
      <c r="D15" s="149">
        <f>SUM(D16:D20)</f>
        <v>1560.7309120010409</v>
      </c>
      <c r="E15" s="149">
        <f t="shared" ref="E15:G15" si="1">SUM(E16:E20)</f>
        <v>1549.4333811704539</v>
      </c>
      <c r="F15" s="149">
        <f t="shared" si="1"/>
        <v>11.2975283380999</v>
      </c>
      <c r="G15" s="149">
        <f t="shared" si="1"/>
        <v>0</v>
      </c>
      <c r="H15" s="55"/>
      <c r="I15" s="55"/>
      <c r="J15" s="55"/>
      <c r="K15" s="149">
        <f>SUM(K16:K26)</f>
        <v>358121.13416681334</v>
      </c>
      <c r="L15" s="149">
        <f>SUM(L16:L26)</f>
        <v>62319.487069254843</v>
      </c>
    </row>
    <row r="16" spans="1:22" x14ac:dyDescent="0.25">
      <c r="B16" s="50">
        <v>51</v>
      </c>
      <c r="C16" s="50" t="str">
        <f>VLOOKUP(B16,[2]PC_Code_Descrip!$A:$B,2,FALSE)</f>
        <v>Cropland Soil Class 1</v>
      </c>
      <c r="D16" s="108">
        <f>VLOOKUP(B16,[3]Kings_Bay_PCcode!$B:$D,3,FALSE)</f>
        <v>1329.86713004799</v>
      </c>
      <c r="E16" s="108">
        <f>IFERROR((VLOOKUP($B16,[3]Kings_Bay_PCcode!$B:$G,4,FALSE)),0)</f>
        <v>1318.56959921728</v>
      </c>
      <c r="F16" s="108">
        <f>IFERROR((VLOOKUP($B16,[3]Kings_Bay_PCcode!$B:$G,5,FALSE)),0)</f>
        <v>11.2975283380999</v>
      </c>
      <c r="G16" s="108">
        <f>IFERROR((VLOOKUP($B16,[3]Kings_Bay_PCcode!$B:$G,6,FALSE)),0)</f>
        <v>0</v>
      </c>
      <c r="H16" s="50"/>
      <c r="I16" s="50" t="s">
        <v>124</v>
      </c>
      <c r="J16" s="50">
        <v>80</v>
      </c>
      <c r="K16" s="108">
        <f>J16*E16</f>
        <v>105485.56793738241</v>
      </c>
      <c r="L16" s="108">
        <f>J16*F16</f>
        <v>903.80226704799202</v>
      </c>
      <c r="O16" s="41">
        <f>SUM(D16:D18)</f>
        <v>1389.23783279794</v>
      </c>
    </row>
    <row r="17" spans="2:15" x14ac:dyDescent="0.25">
      <c r="B17" s="102">
        <v>52</v>
      </c>
      <c r="C17" s="102" t="str">
        <f>VLOOKUP(B17,[2]PC_Code_Descrip!$A:$B,2,FALSE)</f>
        <v>Cropland Soil Class 2</v>
      </c>
      <c r="D17" s="109">
        <f>VLOOKUP(B17,[3]Kings_Bay_PCcode!$B:$D,3,FALSE)</f>
        <v>6.5664897442200001</v>
      </c>
      <c r="E17" s="109">
        <f>IFERROR((VLOOKUP($B17,[3]Kings_Bay_PCcode!$B:$G,4,FALSE)),0)</f>
        <v>6.5664897442500001</v>
      </c>
      <c r="F17" s="109">
        <f>IFERROR((VLOOKUP($B17,[3]Kings_Bay_PCcode!$B:$G,5,FALSE)),0)</f>
        <v>0</v>
      </c>
      <c r="G17" s="109">
        <f>IFERROR((VLOOKUP($B17,[3]Kings_Bay_PCcode!$B:$G,6,FALSE)),0)</f>
        <v>0</v>
      </c>
      <c r="I17" t="s">
        <v>124</v>
      </c>
      <c r="J17">
        <v>80</v>
      </c>
      <c r="K17" s="109">
        <f t="shared" ref="K17:K20" si="2">J17*E17</f>
        <v>525.31917954000005</v>
      </c>
      <c r="L17" s="152">
        <f>J17*F17</f>
        <v>0</v>
      </c>
    </row>
    <row r="18" spans="2:15" x14ac:dyDescent="0.25">
      <c r="B18" s="102">
        <v>53</v>
      </c>
      <c r="C18" s="102" t="str">
        <f>VLOOKUP(B18,[2]PC_Code_Descrip!$A:$B,2,FALSE)</f>
        <v>Cropland Soil Class 3</v>
      </c>
      <c r="D18" s="109">
        <f>VLOOKUP(B18,[3]Kings_Bay_PCcode!$B:$D,3,FALSE)</f>
        <v>52.804213005729899</v>
      </c>
      <c r="E18" s="109">
        <f>IFERROR((VLOOKUP($B18,[3]Kings_Bay_PCcode!$B:$G,4,FALSE)),0)</f>
        <v>52.804213005869997</v>
      </c>
      <c r="F18" s="109">
        <f>IFERROR((VLOOKUP($B18,[3]Kings_Bay_PCcode!$B:$G,5,FALSE)),0)</f>
        <v>0</v>
      </c>
      <c r="G18" s="109">
        <f>IFERROR((VLOOKUP($B18,[3]Kings_Bay_PCcode!$B:$G,6,FALSE)),0)</f>
        <v>0</v>
      </c>
      <c r="I18" t="s">
        <v>124</v>
      </c>
      <c r="J18">
        <v>80</v>
      </c>
      <c r="K18" s="109">
        <f t="shared" si="2"/>
        <v>4224.3370404695997</v>
      </c>
      <c r="L18" s="109">
        <f t="shared" ref="L18:L20" si="3">J18*F18</f>
        <v>0</v>
      </c>
    </row>
    <row r="19" spans="2:15" x14ac:dyDescent="0.25">
      <c r="B19" s="102">
        <v>66</v>
      </c>
      <c r="C19" s="102" t="str">
        <f>VLOOKUP(B19,[2]PC_Code_Descrip!$A:$B,2,FALSE)</f>
        <v>Orchard Groves Citrus</v>
      </c>
      <c r="D19" s="109">
        <f>VLOOKUP(B19,[3]Kings_Bay_PCcode!$B:$D,3,FALSE)</f>
        <v>23.2614876198</v>
      </c>
      <c r="E19" s="109">
        <f>IFERROR((VLOOKUP($B19,[3]Kings_Bay_PCcode!$B:$G,4,FALSE)),0)</f>
        <v>23.26148761975</v>
      </c>
      <c r="F19" s="109">
        <f>IFERROR((VLOOKUP($B19,[3]Kings_Bay_PCcode!$B:$G,5,FALSE)),0)</f>
        <v>0</v>
      </c>
      <c r="G19" s="109">
        <f>IFERROR((VLOOKUP($B19,[3]Kings_Bay_PCcode!$B:$G,6,FALSE)),0)</f>
        <v>0</v>
      </c>
      <c r="I19" t="s">
        <v>132</v>
      </c>
      <c r="J19">
        <v>150</v>
      </c>
      <c r="K19" s="109">
        <f t="shared" si="2"/>
        <v>3489.2231429624999</v>
      </c>
      <c r="L19" s="109">
        <f t="shared" si="3"/>
        <v>0</v>
      </c>
    </row>
    <row r="20" spans="2:15" x14ac:dyDescent="0.25">
      <c r="B20" s="102">
        <v>69</v>
      </c>
      <c r="C20" s="102" t="str">
        <f>VLOOKUP(B20,[2]PC_Code_Descrip!$A:$B,2,FALSE)</f>
        <v>Ornamentals Misc Ag</v>
      </c>
      <c r="D20" s="109">
        <f>VLOOKUP(B20,[3]Kings_Bay_PCcode!$B:$D,3,FALSE)</f>
        <v>148.231591583301</v>
      </c>
      <c r="E20" s="109">
        <f>IFERROR((VLOOKUP($B20,[3]Kings_Bay_PCcode!$B:$G,4,FALSE)),0)</f>
        <v>148.23159158330401</v>
      </c>
      <c r="F20" s="109">
        <f>IFERROR((VLOOKUP($B20,[3]Kings_Bay_PCcode!$B:$G,5,FALSE)),0)</f>
        <v>0</v>
      </c>
      <c r="G20" s="109">
        <f>IFERROR((VLOOKUP($B20,[3]Kings_Bay_PCcode!$B:$G,6,FALSE)),0)</f>
        <v>0</v>
      </c>
      <c r="I20" t="s">
        <v>133</v>
      </c>
      <c r="J20">
        <v>80</v>
      </c>
      <c r="K20" s="109">
        <f t="shared" si="2"/>
        <v>11858.52732666432</v>
      </c>
      <c r="L20" s="109">
        <f t="shared" si="3"/>
        <v>0</v>
      </c>
    </row>
    <row r="21" spans="2:15" ht="6.75" customHeight="1" x14ac:dyDescent="0.25">
      <c r="B21" s="156"/>
      <c r="C21" s="156"/>
      <c r="D21" s="157"/>
      <c r="E21" s="158"/>
      <c r="F21" s="158"/>
      <c r="G21" s="158"/>
      <c r="H21" s="156"/>
      <c r="I21" s="156"/>
      <c r="J21" s="156"/>
      <c r="K21" s="156"/>
      <c r="L21" s="157"/>
    </row>
    <row r="22" spans="2:15" x14ac:dyDescent="0.25">
      <c r="B22" s="392" t="s">
        <v>5</v>
      </c>
      <c r="C22" s="392"/>
      <c r="D22" s="149">
        <f>SUM(D23:D29)</f>
        <v>16939.957111724314</v>
      </c>
      <c r="E22" s="149">
        <f t="shared" ref="E22:G22" si="4">SUM(E23:E29)</f>
        <v>13147.755897210855</v>
      </c>
      <c r="F22" s="149">
        <f t="shared" si="4"/>
        <v>3751.4506098849838</v>
      </c>
      <c r="G22" s="149">
        <f t="shared" si="4"/>
        <v>40.7509571639999</v>
      </c>
      <c r="H22" s="55"/>
      <c r="I22" s="55"/>
      <c r="J22" s="55"/>
      <c r="K22" s="55"/>
      <c r="L22" s="151"/>
    </row>
    <row r="23" spans="2:15" x14ac:dyDescent="0.25">
      <c r="B23" s="50">
        <v>50</v>
      </c>
      <c r="C23" s="50" t="str">
        <f>VLOOKUP(B23,[2]PC_Code_Descrip!$A:$B,2,FALSE)</f>
        <v>Improved Ag</v>
      </c>
      <c r="D23" s="108">
        <f>VLOOKUP(B23,[3]Kings_Bay_PCcode!$B:$D,3,FALSE)</f>
        <v>6262.6301453961096</v>
      </c>
      <c r="E23" s="108">
        <f>IFERROR((VLOOKUP($B23,[3]Kings_Bay_PCcode!$B:$G,4,FALSE)),0)</f>
        <v>3725.7115665810402</v>
      </c>
      <c r="F23" s="108">
        <f>IFERROR((VLOOKUP($B23,[3]Kings_Bay_PCcode!$B:$G,5,FALSE)),0)</f>
        <v>2536.9189301435199</v>
      </c>
      <c r="G23" s="108">
        <f>IFERROR((VLOOKUP($B23,[3]Kings_Bay_PCcode!$B:$G,6,FALSE)),0)</f>
        <v>0</v>
      </c>
      <c r="H23" s="50"/>
      <c r="I23" s="50" t="s">
        <v>160</v>
      </c>
      <c r="J23" s="59">
        <v>25</v>
      </c>
      <c r="K23" s="218">
        <f>$J23*(E23/2)</f>
        <v>46571.394582263005</v>
      </c>
      <c r="L23" s="217">
        <f>$J23*(F23/2)</f>
        <v>31711.486626793998</v>
      </c>
      <c r="N23" s="41">
        <f>SUM(K23:L26)</f>
        <v>293953.84434200136</v>
      </c>
    </row>
    <row r="24" spans="2:15" x14ac:dyDescent="0.25">
      <c r="B24" s="102">
        <v>60</v>
      </c>
      <c r="C24" s="102" t="str">
        <f>VLOOKUP(B24,[2]PC_Code_Descrip!$A:$B,2,FALSE)</f>
        <v>Grazing Land</v>
      </c>
      <c r="D24" s="109">
        <f>VLOOKUP(B24,[3]Kings_Bay_PCcode!$B:$D,3,FALSE)</f>
        <v>1869.30727273396</v>
      </c>
      <c r="E24" s="109">
        <f>IFERROR((VLOOKUP($B24,[3]Kings_Bay_PCcode!$B:$G,4,FALSE)),0)</f>
        <v>1488.0904730966699</v>
      </c>
      <c r="F24" s="109">
        <f>IFERROR((VLOOKUP($B24,[3]Kings_Bay_PCcode!$B:$G,5,FALSE)),0)</f>
        <v>381.21680232429901</v>
      </c>
      <c r="G24" s="109">
        <f>IFERROR((VLOOKUP($B24,[3]Kings_Bay_PCcode!$B:$G,6,FALSE)),0)</f>
        <v>0</v>
      </c>
      <c r="I24" s="102" t="s">
        <v>125</v>
      </c>
      <c r="J24" s="59">
        <v>25</v>
      </c>
      <c r="K24" s="218">
        <f>$J24*E24</f>
        <v>37202.261827416747</v>
      </c>
      <c r="L24" s="217">
        <f t="shared" ref="L24:L25" si="5">$J24*F24</f>
        <v>9530.4200581074747</v>
      </c>
    </row>
    <row r="25" spans="2:15" x14ac:dyDescent="0.25">
      <c r="B25" s="102">
        <v>61</v>
      </c>
      <c r="C25" s="102" t="str">
        <f>VLOOKUP(B25,[2]PC_Code_Descrip!$A:$B,2,FALSE)</f>
        <v>Grazing Land</v>
      </c>
      <c r="D25" s="109">
        <f>VLOOKUP(B25,[3]Kings_Bay_PCcode!$B:$D,3,FALSE)</f>
        <v>3133.2722732488801</v>
      </c>
      <c r="E25" s="109">
        <f>IFERROR((VLOOKUP($B25,[3]Kings_Bay_PCcode!$B:$G,4,FALSE)),0)</f>
        <v>2817.4804253812599</v>
      </c>
      <c r="F25" s="109">
        <f>IFERROR((VLOOKUP($B25,[3]Kings_Bay_PCcode!$B:$G,5,FALSE)),0)</f>
        <v>315.79184989170602</v>
      </c>
      <c r="G25" s="109">
        <f>IFERROR((VLOOKUP($B25,[3]Kings_Bay_PCcode!$B:$G,6,FALSE)),0)</f>
        <v>0</v>
      </c>
      <c r="I25" s="102" t="s">
        <v>126</v>
      </c>
      <c r="J25" s="59">
        <v>25</v>
      </c>
      <c r="K25" s="217">
        <f t="shared" ref="K25" si="6">$J25*E25</f>
        <v>70437.0106345315</v>
      </c>
      <c r="L25" s="217">
        <f t="shared" si="5"/>
        <v>7894.7962472926502</v>
      </c>
      <c r="N25" s="41">
        <f>E22*0.4046873</f>
        <v>5320.7298351013387</v>
      </c>
      <c r="O25" s="41">
        <f>F22*0.4046873</f>
        <v>1518.1644183977075</v>
      </c>
    </row>
    <row r="26" spans="2:15" x14ac:dyDescent="0.25">
      <c r="B26" s="102">
        <v>62</v>
      </c>
      <c r="C26" s="102" t="str">
        <f>VLOOKUP(B26,[2]PC_Code_Descrip!$A:$B,2,FALSE)</f>
        <v>Grazing Land</v>
      </c>
      <c r="D26" s="109">
        <f>VLOOKUP(B26,[3]Kings_Bay_PCcode!$B:$D,3,FALSE)</f>
        <v>3665.0099325309302</v>
      </c>
      <c r="E26" s="109">
        <f>IFERROR((VLOOKUP($B26,[3]Kings_Bay_PCcode!$B:$G,4,FALSE)),0)</f>
        <v>3133.09969982333</v>
      </c>
      <c r="F26" s="109">
        <f>IFERROR((VLOOKUP($B26,[3]Kings_Bay_PCcode!$B:$G,5,FALSE)),0)</f>
        <v>491.15927480050902</v>
      </c>
      <c r="G26" s="109">
        <f>IFERROR((VLOOKUP($B26,[3]Kings_Bay_PCcode!$B:$G,6,FALSE)),0)</f>
        <v>40.7509571639999</v>
      </c>
      <c r="I26" s="102" t="s">
        <v>126</v>
      </c>
      <c r="J26" s="59">
        <v>25</v>
      </c>
      <c r="K26" s="217">
        <f t="shared" ref="K26" si="7">$J26*E26</f>
        <v>78327.492495583254</v>
      </c>
      <c r="L26" s="217">
        <f t="shared" ref="L26" si="8">$J26*F26</f>
        <v>12278.981870012725</v>
      </c>
    </row>
    <row r="27" spans="2:15" x14ac:dyDescent="0.25">
      <c r="B27" s="102">
        <v>63</v>
      </c>
      <c r="C27" s="102" t="str">
        <f>VLOOKUP(B27,[2]PC_Code_Descrip!$A:$B,2,FALSE)</f>
        <v>Grazing Land</v>
      </c>
      <c r="D27" s="109">
        <f>VLOOKUP(B27,[3]Kings_Bay_PCcode!$B:$D,3,FALSE)</f>
        <v>1940.79283340238</v>
      </c>
      <c r="E27" s="109">
        <f>IFERROR((VLOOKUP($B27,[3]Kings_Bay_PCcode!$B:$G,4,FALSE)),0)</f>
        <v>1927.6328332416899</v>
      </c>
      <c r="F27" s="109">
        <f>IFERROR((VLOOKUP($B27,[3]Kings_Bay_PCcode!$B:$G,5,FALSE)),0)</f>
        <v>13.1599973995699</v>
      </c>
      <c r="G27" s="109">
        <f>IFERROR((VLOOKUP($B27,[3]Kings_Bay_PCcode!$B:$G,6,FALSE)),0)</f>
        <v>0</v>
      </c>
      <c r="I27" s="102" t="s">
        <v>127</v>
      </c>
    </row>
    <row r="28" spans="2:15" x14ac:dyDescent="0.25">
      <c r="B28" s="102">
        <v>67</v>
      </c>
      <c r="C28" s="102" t="str">
        <f>VLOOKUP(B28,[2]PC_Code_Descrip!$A:$B,2,FALSE)</f>
        <v>Poultry Bees Fish Rabbits</v>
      </c>
      <c r="D28" s="109">
        <f>VLOOKUP(B28,[3]Kings_Bay_PCcode!$B:$D,3,FALSE)</f>
        <v>44.416933256775003</v>
      </c>
      <c r="E28" s="109">
        <f>IFERROR((VLOOKUP($B28,[3]Kings_Bay_PCcode!$B:$G,4,FALSE)),0)</f>
        <v>31.213177931464401</v>
      </c>
      <c r="F28" s="109">
        <f>IFERROR((VLOOKUP($B28,[3]Kings_Bay_PCcode!$B:$G,5,FALSE)),0)</f>
        <v>13.20375532538</v>
      </c>
      <c r="G28" s="109">
        <f>IFERROR((VLOOKUP($B28,[3]Kings_Bay_PCcode!$B:$G,6,FALSE)),0)</f>
        <v>0</v>
      </c>
    </row>
    <row r="29" spans="2:15" x14ac:dyDescent="0.25">
      <c r="B29" s="102">
        <v>68</v>
      </c>
      <c r="C29" s="102" t="str">
        <f>VLOOKUP(B29,[2]PC_Code_Descrip!$A:$B,2,FALSE)</f>
        <v>Dairies Feed Lots</v>
      </c>
      <c r="D29" s="109">
        <f>VLOOKUP(B29,[3]Kings_Bay_PCcode!$B:$D,3,FALSE)</f>
        <v>24.527721155279998</v>
      </c>
      <c r="E29" s="109">
        <f>IFERROR((VLOOKUP($B29,[3]Kings_Bay_PCcode!$B:$G,4,FALSE)),0)</f>
        <v>24.527721155399998</v>
      </c>
      <c r="F29" s="109">
        <f>IFERROR((VLOOKUP($B29,[3]Kings_Bay_PCcode!$B:$G,5,FALSE)),0)</f>
        <v>0</v>
      </c>
      <c r="G29" s="109">
        <f>IFERROR((VLOOKUP($B29,[3]Kings_Bay_PCcode!$B:$G,6,FALSE)),0)</f>
        <v>0</v>
      </c>
      <c r="I29" s="358" t="s">
        <v>161</v>
      </c>
      <c r="J29" s="358"/>
      <c r="K29" s="358"/>
      <c r="L29" s="358"/>
    </row>
    <row r="30" spans="2:15" x14ac:dyDescent="0.25">
      <c r="B30" s="55"/>
      <c r="C30" s="55"/>
      <c r="D30" s="151"/>
      <c r="E30" s="151"/>
      <c r="F30" s="151"/>
      <c r="G30" s="151"/>
      <c r="H30" s="55"/>
      <c r="I30" s="55"/>
      <c r="J30" s="55"/>
      <c r="K30" s="55"/>
      <c r="L30" s="151"/>
    </row>
    <row r="31" spans="2:15" x14ac:dyDescent="0.25">
      <c r="D31" s="129"/>
      <c r="E31" s="129"/>
      <c r="F31" s="129"/>
    </row>
    <row r="32" spans="2:15" x14ac:dyDescent="0.25">
      <c r="D32" s="309"/>
      <c r="E32" s="309"/>
      <c r="F32" s="309"/>
    </row>
    <row r="33" spans="4:6" x14ac:dyDescent="0.25">
      <c r="D33" s="309"/>
      <c r="E33" s="309"/>
      <c r="F33" s="309"/>
    </row>
  </sheetData>
  <mergeCells count="10">
    <mergeCell ref="I29:L29"/>
    <mergeCell ref="I1:I2"/>
    <mergeCell ref="J1:J2"/>
    <mergeCell ref="K1:L1"/>
    <mergeCell ref="B4:C4"/>
    <mergeCell ref="B22:C22"/>
    <mergeCell ref="B15:C15"/>
    <mergeCell ref="D1:G1"/>
    <mergeCell ref="B1:B2"/>
    <mergeCell ref="C1:C2"/>
  </mergeCells>
  <printOptions gridLines="1"/>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6"/>
  <sheetViews>
    <sheetView workbookViewId="0">
      <selection activeCell="C8" sqref="C8"/>
    </sheetView>
  </sheetViews>
  <sheetFormatPr defaultRowHeight="15" x14ac:dyDescent="0.25"/>
  <cols>
    <col min="1" max="1" width="4" customWidth="1"/>
    <col min="2" max="2" width="11.42578125" customWidth="1"/>
    <col min="3" max="3" width="9.7109375" style="33" customWidth="1"/>
    <col min="4" max="4" width="10" style="33" customWidth="1"/>
    <col min="5" max="5" width="10.140625" style="33" customWidth="1"/>
    <col min="6" max="6" width="9.42578125" style="33" customWidth="1"/>
    <col min="7" max="7" width="8.85546875" customWidth="1"/>
    <col min="8" max="8" width="9.85546875" customWidth="1"/>
    <col min="9" max="9" width="10.140625" customWidth="1"/>
    <col min="11" max="11" width="1.7109375" customWidth="1"/>
  </cols>
  <sheetData>
    <row r="1" spans="2:4" s="102" customFormat="1" x14ac:dyDescent="0.25">
      <c r="B1" s="102" t="s">
        <v>233</v>
      </c>
    </row>
    <row r="2" spans="2:4" s="102" customFormat="1" x14ac:dyDescent="0.25">
      <c r="C2" s="102" t="s">
        <v>234</v>
      </c>
      <c r="D2" s="102" t="s">
        <v>235</v>
      </c>
    </row>
    <row r="3" spans="2:4" s="102" customFormat="1" x14ac:dyDescent="0.25">
      <c r="B3" s="102" t="s">
        <v>46</v>
      </c>
      <c r="C3" s="109">
        <f>[4]TDEP1113_model_KB!$D$3</f>
        <v>369789.73990129097</v>
      </c>
      <c r="D3" s="109">
        <f>C3*2.204623</f>
        <v>815246.96575040394</v>
      </c>
    </row>
    <row r="4" spans="2:4" s="102" customFormat="1" x14ac:dyDescent="0.25">
      <c r="B4" s="102" t="s">
        <v>47</v>
      </c>
      <c r="C4" s="109">
        <f>[4]TDEP1113_model_KB!$D$4</f>
        <v>55961.098525864101</v>
      </c>
      <c r="D4" s="109">
        <f t="shared" ref="D4:D5" si="0">C4*2.204623</f>
        <v>123373.1249153861</v>
      </c>
    </row>
    <row r="5" spans="2:4" s="102" customFormat="1" x14ac:dyDescent="0.25">
      <c r="B5" s="102" t="s">
        <v>58</v>
      </c>
      <c r="C5" s="109">
        <f>[4]TDEP1113_model_KB!$D$2</f>
        <v>26886.950213857199</v>
      </c>
      <c r="D5" s="109">
        <f t="shared" si="0"/>
        <v>59275.588841324505</v>
      </c>
    </row>
    <row r="6" spans="2:4" s="102" customFormat="1" x14ac:dyDescent="0.25"/>
    <row r="7" spans="2:4" s="102" customFormat="1" x14ac:dyDescent="0.25">
      <c r="C7" s="47">
        <f>SUM(C3:C5)</f>
        <v>452637.78864101227</v>
      </c>
    </row>
    <row r="8" spans="2:4" s="102" customFormat="1" x14ac:dyDescent="0.25"/>
    <row r="9" spans="2:4" s="102" customFormat="1" x14ac:dyDescent="0.25"/>
    <row r="10" spans="2:4" s="102" customFormat="1" x14ac:dyDescent="0.25"/>
    <row r="11" spans="2:4" s="102" customFormat="1" x14ac:dyDescent="0.25"/>
    <row r="12" spans="2:4" s="102" customFormat="1" x14ac:dyDescent="0.25"/>
    <row r="13" spans="2:4" s="102" customFormat="1" x14ac:dyDescent="0.25"/>
    <row r="14" spans="2:4" s="102" customFormat="1" x14ac:dyDescent="0.25"/>
    <row r="15" spans="2:4" s="102" customFormat="1" x14ac:dyDescent="0.25"/>
    <row r="16" spans="2:4" s="102" customFormat="1" x14ac:dyDescent="0.25"/>
    <row r="17" spans="2:16" s="102" customFormat="1" x14ac:dyDescent="0.25"/>
    <row r="18" spans="2:16" s="102" customFormat="1" x14ac:dyDescent="0.25"/>
    <row r="19" spans="2:16" s="102" customFormat="1" x14ac:dyDescent="0.25"/>
    <row r="20" spans="2:16" ht="15" customHeight="1" x14ac:dyDescent="0.25">
      <c r="B20" s="357" t="s">
        <v>21</v>
      </c>
      <c r="C20" s="357" t="s">
        <v>29</v>
      </c>
      <c r="D20" s="357"/>
      <c r="E20" s="357" t="s">
        <v>30</v>
      </c>
      <c r="F20" s="357"/>
      <c r="G20" s="397" t="s">
        <v>22</v>
      </c>
      <c r="H20" s="397"/>
      <c r="I20" s="40"/>
      <c r="J20" s="40"/>
      <c r="L20" s="327" t="s">
        <v>57</v>
      </c>
      <c r="M20" s="327"/>
      <c r="O20" s="394" t="s">
        <v>92</v>
      </c>
      <c r="P20" s="394"/>
    </row>
    <row r="21" spans="2:16" s="43" customFormat="1" ht="36" customHeight="1" x14ac:dyDescent="0.25">
      <c r="B21" s="357"/>
      <c r="C21" s="181" t="s">
        <v>145</v>
      </c>
      <c r="D21" s="181" t="s">
        <v>146</v>
      </c>
      <c r="E21" s="79" t="s">
        <v>145</v>
      </c>
      <c r="F21" s="79" t="s">
        <v>146</v>
      </c>
      <c r="G21" s="181" t="s">
        <v>145</v>
      </c>
      <c r="H21" s="181" t="s">
        <v>146</v>
      </c>
      <c r="I21" s="34" t="s">
        <v>148</v>
      </c>
      <c r="J21" s="34" t="s">
        <v>28</v>
      </c>
      <c r="L21" s="80" t="s">
        <v>55</v>
      </c>
      <c r="M21" s="80" t="s">
        <v>56</v>
      </c>
      <c r="O21" s="394"/>
      <c r="P21" s="394"/>
    </row>
    <row r="22" spans="2:16" x14ac:dyDescent="0.25">
      <c r="B22" s="38">
        <v>2002</v>
      </c>
      <c r="C22" s="233">
        <f>'[5]Annual Summary'!G3</f>
        <v>2.6783569219465383E-2</v>
      </c>
      <c r="D22" s="233">
        <f>'[5]Annual Summary'!H3</f>
        <v>0.16436247276523328</v>
      </c>
      <c r="E22" s="81">
        <f>[6]summary!$H23</f>
        <v>2.1952960120968004</v>
      </c>
      <c r="F22" s="81">
        <f>[6]summary!$E23</f>
        <v>0.81057494193039392</v>
      </c>
      <c r="G22" s="37">
        <f>C22+E22</f>
        <v>2.2220795813162657</v>
      </c>
      <c r="H22" s="37">
        <f>D22+F22</f>
        <v>0.97493741469562722</v>
      </c>
      <c r="I22" s="37">
        <f>G22+H22</f>
        <v>3.197016996011893</v>
      </c>
      <c r="J22" s="37">
        <f>[6]summary!K23</f>
        <v>137.91</v>
      </c>
      <c r="L22" s="31">
        <f>E22/G22</f>
        <v>0.98794662016398171</v>
      </c>
      <c r="M22" s="31">
        <f>F22/H22</f>
        <v>0.83141228320122806</v>
      </c>
      <c r="O22" s="398" t="s">
        <v>147</v>
      </c>
      <c r="P22" s="398"/>
    </row>
    <row r="23" spans="2:16" x14ac:dyDescent="0.25">
      <c r="B23" s="38">
        <v>2003</v>
      </c>
      <c r="C23" s="233">
        <f>'[5]Annual Summary'!G4</f>
        <v>2.0257254957737628E-2</v>
      </c>
      <c r="D23" s="233">
        <f>'[5]Annual Summary'!H4</f>
        <v>0.1491273538086918</v>
      </c>
      <c r="E23" s="81">
        <f>[6]summary!$H24</f>
        <v>1.9836283525282381</v>
      </c>
      <c r="F23" s="81">
        <f>[6]summary!$E24</f>
        <v>0.92142279723711462</v>
      </c>
      <c r="G23" s="37">
        <f t="shared" ref="G23:H31" si="1">C23+E23</f>
        <v>2.0038856074859757</v>
      </c>
      <c r="H23" s="37">
        <f t="shared" si="1"/>
        <v>1.0705501510458064</v>
      </c>
      <c r="I23" s="37">
        <f t="shared" ref="I23:I30" si="2">G23+H23</f>
        <v>3.0744357585317821</v>
      </c>
      <c r="J23" s="51">
        <f>[6]summary!K24</f>
        <v>145.85</v>
      </c>
      <c r="L23" s="31">
        <f t="shared" ref="L23:M31" si="3">E23/G23</f>
        <v>0.9898910123002721</v>
      </c>
      <c r="M23" s="31">
        <f t="shared" si="3"/>
        <v>0.86070026363266472</v>
      </c>
      <c r="O23" s="398"/>
      <c r="P23" s="398"/>
    </row>
    <row r="24" spans="2:16" x14ac:dyDescent="0.25">
      <c r="B24" s="38">
        <v>2004</v>
      </c>
      <c r="C24" s="233">
        <f>'[5]Annual Summary'!G5</f>
        <v>4.3405232497466625E-2</v>
      </c>
      <c r="D24" s="233">
        <f>'[5]Annual Summary'!H5</f>
        <v>0.15347074757410337</v>
      </c>
      <c r="E24" s="81">
        <f>[6]summary!$H25</f>
        <v>1.856627756787101</v>
      </c>
      <c r="F24" s="81">
        <f>[6]summary!$E25</f>
        <v>0.69279909566700337</v>
      </c>
      <c r="G24" s="37">
        <f t="shared" si="1"/>
        <v>1.9000329892845675</v>
      </c>
      <c r="H24" s="37">
        <f t="shared" si="1"/>
        <v>0.84626984324110677</v>
      </c>
      <c r="I24" s="37">
        <f t="shared" si="2"/>
        <v>2.7463028325256742</v>
      </c>
      <c r="J24" s="51">
        <f>[6]summary!K25</f>
        <v>145.57</v>
      </c>
      <c r="L24" s="31">
        <f>E24/G24</f>
        <v>0.97715553743421568</v>
      </c>
      <c r="M24" s="31">
        <f t="shared" si="3"/>
        <v>0.81865034090505961</v>
      </c>
    </row>
    <row r="25" spans="2:16" x14ac:dyDescent="0.25">
      <c r="B25" s="38">
        <v>2005</v>
      </c>
      <c r="C25" s="233">
        <f>'[5]Annual Summary'!G6</f>
        <v>2.2573967416918576E-2</v>
      </c>
      <c r="D25" s="233">
        <f>'[5]Annual Summary'!H6</f>
        <v>0.18270220389700259</v>
      </c>
      <c r="E25" s="81">
        <f>[6]summary!$H26</f>
        <v>2.6730601579801254</v>
      </c>
      <c r="F25" s="81">
        <f>[6]summary!$E26</f>
        <v>1.8636295673442393</v>
      </c>
      <c r="G25" s="37">
        <f t="shared" si="1"/>
        <v>2.6956341253970439</v>
      </c>
      <c r="H25" s="37">
        <f t="shared" si="1"/>
        <v>2.0463317712412419</v>
      </c>
      <c r="I25" s="37">
        <f t="shared" si="2"/>
        <v>4.7419658966382858</v>
      </c>
      <c r="J25" s="51">
        <f>[6]summary!K26</f>
        <v>171.48</v>
      </c>
      <c r="L25" s="31">
        <f t="shared" si="3"/>
        <v>0.99162573021159039</v>
      </c>
      <c r="M25" s="31">
        <f t="shared" si="3"/>
        <v>0.91071721288567931</v>
      </c>
    </row>
    <row r="26" spans="2:16" s="189" customFormat="1" x14ac:dyDescent="0.25">
      <c r="B26" s="38">
        <v>2006</v>
      </c>
      <c r="C26" s="233">
        <f>'[5]Annual Summary'!G7</f>
        <v>2.3615799897808223E-2</v>
      </c>
      <c r="D26" s="233">
        <f>'[5]Annual Summary'!H7</f>
        <v>0.161040727672812</v>
      </c>
      <c r="E26" s="188">
        <f>[6]summary!$H27</f>
        <v>1.7759924579038391</v>
      </c>
      <c r="F26" s="188">
        <f>[6]summary!$E27</f>
        <v>0.58887923131695297</v>
      </c>
      <c r="G26" s="190"/>
      <c r="H26" s="190"/>
      <c r="I26" s="190"/>
      <c r="J26" s="188">
        <f>[6]summary!K27</f>
        <v>125.32</v>
      </c>
      <c r="L26" s="31"/>
      <c r="M26" s="31"/>
    </row>
    <row r="27" spans="2:16" x14ac:dyDescent="0.25">
      <c r="B27" s="38">
        <v>2007</v>
      </c>
      <c r="C27" s="233">
        <f>'[5]Annual Summary'!G8</f>
        <v>3.1107445301169854E-2</v>
      </c>
      <c r="D27" s="233">
        <f>'[5]Annual Summary'!H8</f>
        <v>0.13678981587635311</v>
      </c>
      <c r="E27" s="81">
        <f>[6]summary!$H28</f>
        <v>1.441355967538303</v>
      </c>
      <c r="F27" s="81">
        <f>[6]summary!$E28</f>
        <v>0.54731128557693276</v>
      </c>
      <c r="G27" s="190">
        <f t="shared" si="1"/>
        <v>1.4724634128394729</v>
      </c>
      <c r="H27" s="190">
        <f t="shared" si="1"/>
        <v>0.68410110145328584</v>
      </c>
      <c r="I27" s="190">
        <f t="shared" si="2"/>
        <v>2.156564514292759</v>
      </c>
      <c r="J27" s="51">
        <f>[6]summary!K28</f>
        <v>135.6</v>
      </c>
      <c r="L27" s="31">
        <f t="shared" si="3"/>
        <v>0.97887387555444727</v>
      </c>
      <c r="M27" s="31">
        <f t="shared" si="3"/>
        <v>0.80004444432882726</v>
      </c>
    </row>
    <row r="28" spans="2:16" s="189" customFormat="1" x14ac:dyDescent="0.25">
      <c r="B28" s="38">
        <v>2008</v>
      </c>
      <c r="C28" s="233">
        <f>'[5]Annual Summary'!G9</f>
        <v>2.8673361568614754E-2</v>
      </c>
      <c r="D28" s="233">
        <f>'[5]Annual Summary'!H9</f>
        <v>0.10461874406523135</v>
      </c>
      <c r="E28" s="188">
        <f>[6]summary!$H29</f>
        <v>1.5784359756398478</v>
      </c>
      <c r="F28" s="188">
        <f>[6]summary!$E29</f>
        <v>0.56809525844694275</v>
      </c>
      <c r="G28" s="190"/>
      <c r="H28" s="190"/>
      <c r="I28" s="190"/>
      <c r="J28" s="188">
        <f>[6]summary!K29</f>
        <v>132.94</v>
      </c>
      <c r="L28" s="31"/>
      <c r="M28" s="31"/>
    </row>
    <row r="29" spans="2:16" s="189" customFormat="1" x14ac:dyDescent="0.25">
      <c r="B29" s="38">
        <v>2009</v>
      </c>
      <c r="C29" s="233">
        <f>'[5]Annual Summary'!G10</f>
        <v>2.5623114262543951E-2</v>
      </c>
      <c r="D29" s="233">
        <f>'[5]Annual Summary'!H10</f>
        <v>8.7933503234792931E-2</v>
      </c>
      <c r="E29" s="188">
        <f>[6]summary!$H30</f>
        <v>1.3183871367413289</v>
      </c>
      <c r="F29" s="188">
        <f>[6]summary!$E30</f>
        <v>0.70665507758034352</v>
      </c>
      <c r="G29" s="190"/>
      <c r="H29" s="190"/>
      <c r="I29" s="190"/>
      <c r="J29" s="188">
        <f>[6]summary!K30</f>
        <v>114.17</v>
      </c>
      <c r="L29" s="31"/>
      <c r="M29" s="31"/>
    </row>
    <row r="30" spans="2:16" x14ac:dyDescent="0.25">
      <c r="B30" s="38">
        <v>2010</v>
      </c>
      <c r="C30" s="233">
        <f>'[5]Annual Summary'!G11</f>
        <v>2.0702068266252958E-2</v>
      </c>
      <c r="D30" s="233">
        <f>'[5]Annual Summary'!H11</f>
        <v>9.3937730934638544E-2</v>
      </c>
      <c r="E30" s="81">
        <f>[6]summary!$H31</f>
        <v>1.6489918621627018</v>
      </c>
      <c r="F30" s="81">
        <f>[6]summary!$E31</f>
        <v>1.0738385982838554</v>
      </c>
      <c r="G30" s="190">
        <f t="shared" si="1"/>
        <v>1.6696939304289546</v>
      </c>
      <c r="H30" s="190">
        <f t="shared" si="1"/>
        <v>1.1677763292184939</v>
      </c>
      <c r="I30" s="190">
        <f t="shared" si="2"/>
        <v>2.8374702596474486</v>
      </c>
      <c r="J30" s="51">
        <f>[6]summary!K31</f>
        <v>137.31</v>
      </c>
      <c r="L30" s="31">
        <f t="shared" si="3"/>
        <v>0.98760127955850308</v>
      </c>
      <c r="M30" s="31">
        <f t="shared" si="3"/>
        <v>0.91955845602941444</v>
      </c>
    </row>
    <row r="31" spans="2:16" x14ac:dyDescent="0.25">
      <c r="B31" s="38">
        <v>2011</v>
      </c>
      <c r="C31" s="233">
        <f>'[5]Annual Summary'!G12</f>
        <v>2.2807195887817162E-2</v>
      </c>
      <c r="D31" s="233">
        <f>'[5]Annual Summary'!H12</f>
        <v>0.12261989006985835</v>
      </c>
      <c r="E31" s="81">
        <f>[6]summary!$H32</f>
        <v>1.6651189219393541</v>
      </c>
      <c r="F31" s="81">
        <f>[6]summary!$E32</f>
        <v>1.1846864535905759</v>
      </c>
      <c r="G31" s="190">
        <f t="shared" si="1"/>
        <v>1.6879261178271712</v>
      </c>
      <c r="H31" s="190">
        <f t="shared" si="1"/>
        <v>1.3073063436604342</v>
      </c>
      <c r="I31" s="190">
        <f>G31+H31</f>
        <v>2.9952324614876051</v>
      </c>
      <c r="J31" s="51">
        <f>[6]summary!K32</f>
        <v>149.1</v>
      </c>
      <c r="L31" s="31">
        <f t="shared" si="3"/>
        <v>0.9864880366226122</v>
      </c>
      <c r="M31" s="31">
        <f t="shared" si="3"/>
        <v>0.90620416502644296</v>
      </c>
    </row>
    <row r="32" spans="2:16" x14ac:dyDescent="0.25">
      <c r="B32" s="38">
        <v>2012</v>
      </c>
      <c r="C32" s="234">
        <f>'[5]Annual Summary'!G13</f>
        <v>2.7285477978093414E-2</v>
      </c>
      <c r="D32" s="234">
        <f>'[5]Annual Summary'!H13</f>
        <v>8.6488101090007444E-2</v>
      </c>
      <c r="E32" s="81">
        <f>[6]summary!$H33</f>
        <v>1.4131336129291614</v>
      </c>
      <c r="F32" s="81">
        <f>[6]summary!$E33</f>
        <v>0.83135891480040403</v>
      </c>
      <c r="G32" s="190"/>
      <c r="H32" s="190"/>
      <c r="I32" s="190"/>
      <c r="J32" s="81">
        <f>[6]summary!K33</f>
        <v>159.66</v>
      </c>
      <c r="K32" s="187"/>
      <c r="L32" s="31"/>
      <c r="M32" s="31"/>
    </row>
    <row r="33" spans="2:13" x14ac:dyDescent="0.25">
      <c r="B33" s="232">
        <v>2013</v>
      </c>
      <c r="C33" s="235">
        <f>'[5]Annual Summary'!G14</f>
        <v>2.6428404379031475E-2</v>
      </c>
      <c r="D33" s="235">
        <f>'[5]Annual Summary'!H14</f>
        <v>7.7796002330814379E-2</v>
      </c>
      <c r="E33" s="97" t="s">
        <v>180</v>
      </c>
      <c r="F33" s="97" t="s">
        <v>180</v>
      </c>
      <c r="G33" s="37"/>
      <c r="H33" s="37"/>
      <c r="I33" s="37"/>
      <c r="J33" s="36"/>
    </row>
    <row r="34" spans="2:13" ht="29.25" customHeight="1" x14ac:dyDescent="0.25">
      <c r="B34" s="92" t="s">
        <v>23</v>
      </c>
      <c r="C34" s="93">
        <f>AVERAGE(C22:C25,C27,C30:C31)</f>
        <v>2.6805247649546882E-2</v>
      </c>
      <c r="D34" s="93">
        <f t="shared" ref="D34:M34" si="4">AVERAGE(D22:D25,D27,D30:D31)</f>
        <v>0.14328717356084014</v>
      </c>
      <c r="E34" s="93">
        <f>AVERAGE(E22:E25,E27,E30:E31)</f>
        <v>1.923439861576089</v>
      </c>
      <c r="F34" s="93">
        <f t="shared" si="4"/>
        <v>1.0134661056614449</v>
      </c>
      <c r="G34" s="93">
        <f t="shared" si="4"/>
        <v>1.9502451092256357</v>
      </c>
      <c r="H34" s="93">
        <f t="shared" si="4"/>
        <v>1.1567532792222852</v>
      </c>
      <c r="I34" s="93">
        <f>AVERAGE(I22:I25,I27,I30:I31)</f>
        <v>3.1069983884479209</v>
      </c>
      <c r="J34" s="93">
        <f t="shared" si="4"/>
        <v>146.11714285714285</v>
      </c>
      <c r="K34" s="93"/>
      <c r="L34" s="94">
        <f>AVERAGE(L22:L25,L27,L30:L31)</f>
        <v>0.9856545845493746</v>
      </c>
      <c r="M34" s="94">
        <f t="shared" si="4"/>
        <v>0.86389816657275953</v>
      </c>
    </row>
    <row r="35" spans="2:13" x14ac:dyDescent="0.25">
      <c r="B35" s="38"/>
      <c r="C35" s="51"/>
      <c r="D35" s="51"/>
      <c r="E35" s="51"/>
      <c r="F35" s="51"/>
      <c r="G35" s="51"/>
      <c r="H35" s="51"/>
      <c r="I35" s="37"/>
      <c r="J35" s="51"/>
      <c r="L35" s="65"/>
      <c r="M35" s="65"/>
    </row>
    <row r="36" spans="2:13" x14ac:dyDescent="0.25">
      <c r="B36" s="35" t="s">
        <v>24</v>
      </c>
      <c r="C36" s="51">
        <f>MIN(C22:C25,C27,C30:C31)</f>
        <v>2.0257254957737628E-2</v>
      </c>
      <c r="D36" s="51">
        <f t="shared" ref="D36:M36" si="5">MIN(D22:D25,D27,D30:D31)</f>
        <v>9.3937730934638544E-2</v>
      </c>
      <c r="E36" s="51">
        <f t="shared" si="5"/>
        <v>1.441355967538303</v>
      </c>
      <c r="F36" s="51">
        <f t="shared" si="5"/>
        <v>0.54731128557693276</v>
      </c>
      <c r="G36" s="51">
        <f t="shared" si="5"/>
        <v>1.4724634128394729</v>
      </c>
      <c r="H36" s="51">
        <f t="shared" si="5"/>
        <v>0.68410110145328584</v>
      </c>
      <c r="I36" s="51">
        <f t="shared" si="5"/>
        <v>2.156564514292759</v>
      </c>
      <c r="J36" s="51">
        <f t="shared" si="5"/>
        <v>135.6</v>
      </c>
      <c r="K36" s="51"/>
      <c r="L36" s="65">
        <f t="shared" si="5"/>
        <v>0.97715553743421568</v>
      </c>
      <c r="M36" s="65">
        <f t="shared" si="5"/>
        <v>0.80004444432882726</v>
      </c>
    </row>
    <row r="37" spans="2:13" x14ac:dyDescent="0.25">
      <c r="B37" s="35" t="s">
        <v>25</v>
      </c>
      <c r="C37" s="51">
        <f>MAX(C22:C25,C27,C30:C31)</f>
        <v>4.3405232497466625E-2</v>
      </c>
      <c r="D37" s="51">
        <f t="shared" ref="D37:M37" si="6">MAX(D22:D25,D27,D30:D31)</f>
        <v>0.18270220389700259</v>
      </c>
      <c r="E37" s="51">
        <f t="shared" si="6"/>
        <v>2.6730601579801254</v>
      </c>
      <c r="F37" s="51">
        <f t="shared" si="6"/>
        <v>1.8636295673442393</v>
      </c>
      <c r="G37" s="51">
        <f t="shared" si="6"/>
        <v>2.6956341253970439</v>
      </c>
      <c r="H37" s="51">
        <f t="shared" si="6"/>
        <v>2.0463317712412419</v>
      </c>
      <c r="I37" s="51">
        <f t="shared" si="6"/>
        <v>4.7419658966382858</v>
      </c>
      <c r="J37" s="51">
        <f t="shared" si="6"/>
        <v>171.48</v>
      </c>
      <c r="K37" s="51"/>
      <c r="L37" s="65">
        <f t="shared" si="6"/>
        <v>0.99162573021159039</v>
      </c>
      <c r="M37" s="65">
        <f t="shared" si="6"/>
        <v>0.91955845602941444</v>
      </c>
    </row>
    <row r="38" spans="2:13" x14ac:dyDescent="0.25">
      <c r="B38" s="42" t="s">
        <v>26</v>
      </c>
      <c r="C38" s="51">
        <f>MEDIAN(C22:C25,C27,C30:C31)</f>
        <v>2.2807195887817162E-2</v>
      </c>
      <c r="D38" s="51">
        <f t="shared" ref="D38:M38" si="7">MEDIAN(D22:D25,D27,D30:D31)</f>
        <v>0.1491273538086918</v>
      </c>
      <c r="E38" s="51">
        <f t="shared" si="7"/>
        <v>1.856627756787101</v>
      </c>
      <c r="F38" s="51">
        <f t="shared" si="7"/>
        <v>0.92142279723711462</v>
      </c>
      <c r="G38" s="51">
        <f t="shared" si="7"/>
        <v>1.9000329892845675</v>
      </c>
      <c r="H38" s="51">
        <f t="shared" si="7"/>
        <v>1.0705501510458064</v>
      </c>
      <c r="I38" s="51">
        <f t="shared" si="7"/>
        <v>2.9952324614876051</v>
      </c>
      <c r="J38" s="51">
        <f t="shared" si="7"/>
        <v>145.57</v>
      </c>
      <c r="K38" s="51"/>
      <c r="L38" s="65">
        <f t="shared" si="7"/>
        <v>0.98760127955850308</v>
      </c>
      <c r="M38" s="65">
        <f t="shared" si="7"/>
        <v>0.86070026363266472</v>
      </c>
    </row>
    <row r="39" spans="2:13" x14ac:dyDescent="0.25">
      <c r="B39" s="42" t="s">
        <v>27</v>
      </c>
      <c r="C39" s="41">
        <f>STDEV(C22:C25,C27,C30:C31)</f>
        <v>8.2470401631158929E-3</v>
      </c>
      <c r="D39" s="41">
        <f t="shared" ref="D39:M39" si="8">STDEV(D22:D25,D27,D30:D31)</f>
        <v>2.8983459332464902E-2</v>
      </c>
      <c r="E39" s="41">
        <f t="shared" si="8"/>
        <v>0.4119828395038026</v>
      </c>
      <c r="F39" s="41">
        <f t="shared" si="8"/>
        <v>0.43310960882197097</v>
      </c>
      <c r="G39" s="41">
        <f t="shared" si="8"/>
        <v>0.41042516416161379</v>
      </c>
      <c r="H39" s="41">
        <f t="shared" si="8"/>
        <v>0.44242243376195295</v>
      </c>
      <c r="I39" s="41">
        <f t="shared" si="8"/>
        <v>0.79591093463827733</v>
      </c>
      <c r="J39" s="41">
        <f t="shared" si="8"/>
        <v>12.302275825073604</v>
      </c>
      <c r="K39" s="41"/>
      <c r="L39" s="31">
        <f t="shared" si="8"/>
        <v>5.5007788542946303E-3</v>
      </c>
      <c r="M39" s="31">
        <f t="shared" si="8"/>
        <v>4.8768349023582618E-2</v>
      </c>
    </row>
    <row r="40" spans="2:13" x14ac:dyDescent="0.25">
      <c r="B40" s="33"/>
      <c r="C40" s="102"/>
      <c r="D40" s="102"/>
      <c r="E40" s="102"/>
      <c r="F40" s="102"/>
      <c r="G40" s="102"/>
      <c r="H40" s="102"/>
      <c r="I40" s="33"/>
      <c r="J40" s="33"/>
    </row>
    <row r="41" spans="2:13" x14ac:dyDescent="0.25">
      <c r="B41" s="82" t="s">
        <v>54</v>
      </c>
      <c r="C41" s="395" t="s">
        <v>91</v>
      </c>
      <c r="D41" s="396"/>
      <c r="E41" s="395" t="s">
        <v>90</v>
      </c>
      <c r="F41" s="396"/>
      <c r="G41" s="102"/>
      <c r="H41" s="102"/>
    </row>
    <row r="45" spans="2:13" x14ac:dyDescent="0.25">
      <c r="B45" s="39"/>
      <c r="C45" s="39"/>
      <c r="D45" s="39"/>
      <c r="E45" s="39"/>
      <c r="F45" s="39"/>
      <c r="G45" s="39"/>
      <c r="H45" s="39"/>
      <c r="I45" s="39"/>
      <c r="J45" s="39"/>
    </row>
    <row r="46" spans="2:13" x14ac:dyDescent="0.25">
      <c r="B46" s="39"/>
      <c r="C46" s="39"/>
      <c r="D46" s="39"/>
      <c r="E46" s="39"/>
      <c r="F46" s="39"/>
      <c r="G46" s="39"/>
      <c r="H46" s="39"/>
      <c r="I46" s="39"/>
      <c r="J46" s="39"/>
    </row>
  </sheetData>
  <mergeCells count="9">
    <mergeCell ref="O20:P21"/>
    <mergeCell ref="C41:D41"/>
    <mergeCell ref="E41:F41"/>
    <mergeCell ref="L20:M20"/>
    <mergeCell ref="B20:B21"/>
    <mergeCell ref="G20:H20"/>
    <mergeCell ref="C20:D20"/>
    <mergeCell ref="E20:F20"/>
    <mergeCell ref="O22:P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README</vt:lpstr>
      <vt:lpstr>Load Summary</vt:lpstr>
      <vt:lpstr>Attenuation Summary</vt:lpstr>
      <vt:lpstr>Input Summary</vt:lpstr>
      <vt:lpstr>Attenuation Range</vt:lpstr>
      <vt:lpstr>Areas</vt:lpstr>
      <vt:lpstr>Landuse</vt:lpstr>
      <vt:lpstr>PA Landuse</vt:lpstr>
      <vt:lpstr>Atm Dep</vt:lpstr>
      <vt:lpstr>WWTF</vt:lpstr>
      <vt:lpstr>Septic Tanks</vt:lpstr>
      <vt:lpstr>Fertilizers</vt:lpstr>
      <vt:lpstr>Golf Courses</vt:lpstr>
      <vt:lpstr>Urban Fertilizers</vt:lpstr>
      <vt:lpstr>Livestock</vt:lpstr>
      <vt:lpstr>Stormwater</vt:lpstr>
    </vt:vector>
  </TitlesOfParts>
  <Company>Florida Department of Environmental Protection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Kirstin Eller</dc:creator>
  <cp:lastModifiedBy>Hansen, Terry</cp:lastModifiedBy>
  <cp:lastPrinted>2014-10-29T13:40:56Z</cp:lastPrinted>
  <dcterms:created xsi:type="dcterms:W3CDTF">2013-07-30T12:36:49Z</dcterms:created>
  <dcterms:modified xsi:type="dcterms:W3CDTF">2015-08-18T14:10:18Z</dcterms:modified>
</cp:coreProperties>
</file>