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14370" firstSheet="11" activeTab="11"/>
  </bookViews>
  <sheets>
    <sheet name="cowcalf" sheetId="1" r:id="rId1"/>
    <sheet name="rowcrop" sheetId="2" r:id="rId2"/>
    <sheet name="sugarcane" sheetId="3" r:id="rId3"/>
    <sheet name="citrus" sheetId="4" r:id="rId4"/>
    <sheet name="sod" sheetId="5" r:id="rId5"/>
    <sheet name="ornamentals" sheetId="6" r:id="rId6"/>
    <sheet name="equine" sheetId="7" r:id="rId7"/>
    <sheet name="dairies" sheetId="8" r:id="rId8"/>
    <sheet name="hay" sheetId="9" r:id="rId9"/>
    <sheet name="pines" sheetId="10" r:id="rId10"/>
    <sheet name="load-per-acre-AVG" sheetId="14" r:id="rId11"/>
    <sheet name="Agriculture" sheetId="13" r:id="rId12"/>
    <sheet name="Hobe St. Lucie" sheetId="17" r:id="rId13"/>
    <sheet name="NSLRWCD" sheetId="15" r:id="rId14"/>
    <sheet name="Pal Mar" sheetId="18" r:id="rId15"/>
    <sheet name="Troup Indiantown" sheetId="16" r:id="rId16"/>
  </sheets>
  <calcPr calcId="125725"/>
</workbook>
</file>

<file path=xl/calcChain.xml><?xml version="1.0" encoding="utf-8"?>
<calcChain xmlns="http://schemas.openxmlformats.org/spreadsheetml/2006/main">
  <c r="J9" i="18"/>
  <c r="I9"/>
  <c r="H9"/>
  <c r="G9"/>
  <c r="I16" i="15"/>
  <c r="H16"/>
  <c r="G16"/>
  <c r="F16"/>
  <c r="I11" i="17"/>
  <c r="H11"/>
  <c r="G11"/>
  <c r="F11"/>
  <c r="I22" i="13"/>
  <c r="H22"/>
  <c r="I8" i="18" l="1"/>
  <c r="I7"/>
  <c r="I6"/>
  <c r="J6" s="1"/>
  <c r="I5"/>
  <c r="I4"/>
  <c r="G8"/>
  <c r="G7"/>
  <c r="G6"/>
  <c r="G5"/>
  <c r="G4"/>
  <c r="H4" s="1"/>
  <c r="D11"/>
  <c r="J8"/>
  <c r="H8"/>
  <c r="J7"/>
  <c r="H7"/>
  <c r="H6"/>
  <c r="J5"/>
  <c r="H5"/>
  <c r="J4"/>
  <c r="J10" l="1"/>
  <c r="H10"/>
  <c r="I10" l="1"/>
  <c r="G10"/>
  <c r="H19" i="13" l="1"/>
  <c r="I19" s="1"/>
  <c r="F19"/>
  <c r="G19" s="1"/>
  <c r="H15"/>
  <c r="F15"/>
  <c r="G15" s="1"/>
  <c r="H9" i="17" l="1"/>
  <c r="I9" s="1"/>
  <c r="F9"/>
  <c r="G9" s="1"/>
  <c r="H7"/>
  <c r="F7"/>
  <c r="I26" i="14"/>
  <c r="D26"/>
  <c r="D20"/>
  <c r="D19"/>
  <c r="D18"/>
  <c r="D15"/>
  <c r="D14"/>
  <c r="D12"/>
  <c r="D9"/>
  <c r="D8"/>
  <c r="D7"/>
  <c r="D5"/>
  <c r="D4"/>
  <c r="D3"/>
  <c r="D2"/>
  <c r="F10" i="17"/>
  <c r="G10" s="1"/>
  <c r="I7"/>
  <c r="F6"/>
  <c r="G6" s="1"/>
  <c r="F5"/>
  <c r="G5" s="1"/>
  <c r="H6"/>
  <c r="I6" s="1"/>
  <c r="H8"/>
  <c r="I8" s="1"/>
  <c r="H10"/>
  <c r="I10" s="1"/>
  <c r="G7"/>
  <c r="F8"/>
  <c r="G8" s="1"/>
  <c r="H5"/>
  <c r="I5" s="1"/>
  <c r="H4"/>
  <c r="F4"/>
  <c r="F7" i="16"/>
  <c r="G7" s="1"/>
  <c r="H5"/>
  <c r="I5" s="1"/>
  <c r="H6"/>
  <c r="I6" s="1"/>
  <c r="H7"/>
  <c r="I7" s="1"/>
  <c r="H4"/>
  <c r="F6"/>
  <c r="G6" s="1"/>
  <c r="F5"/>
  <c r="G5" s="1"/>
  <c r="F4"/>
  <c r="H15" i="15"/>
  <c r="I15" s="1"/>
  <c r="F15"/>
  <c r="G15" s="1"/>
  <c r="H12"/>
  <c r="I12" s="1"/>
  <c r="F12"/>
  <c r="G12" s="1"/>
  <c r="H11"/>
  <c r="I11" s="1"/>
  <c r="F11"/>
  <c r="G11" s="1"/>
  <c r="H10"/>
  <c r="I10" s="1"/>
  <c r="F10"/>
  <c r="G10" s="1"/>
  <c r="H9"/>
  <c r="I9" s="1"/>
  <c r="F9"/>
  <c r="G9" s="1"/>
  <c r="H8"/>
  <c r="I8" s="1"/>
  <c r="F8"/>
  <c r="G8" s="1"/>
  <c r="H7"/>
  <c r="I7" s="1"/>
  <c r="F7"/>
  <c r="G7" s="1"/>
  <c r="H6"/>
  <c r="I6" s="1"/>
  <c r="F6"/>
  <c r="G6" s="1"/>
  <c r="H5"/>
  <c r="I5" s="1"/>
  <c r="F5"/>
  <c r="G5" s="1"/>
  <c r="H4"/>
  <c r="F4"/>
  <c r="C19"/>
  <c r="C14" i="17" l="1"/>
  <c r="I4"/>
  <c r="G4"/>
  <c r="C11" i="16"/>
  <c r="I4"/>
  <c r="I8" s="1"/>
  <c r="H8"/>
  <c r="G4"/>
  <c r="G8" s="1"/>
  <c r="F8"/>
  <c r="I4" i="15"/>
  <c r="G4"/>
  <c r="H13" i="17" l="1"/>
  <c r="H12"/>
  <c r="G13"/>
  <c r="G12"/>
  <c r="I13"/>
  <c r="I12"/>
  <c r="F13"/>
  <c r="F12"/>
  <c r="G10" i="16"/>
  <c r="G9"/>
  <c r="I10"/>
  <c r="I9"/>
  <c r="F10"/>
  <c r="F9"/>
  <c r="H10"/>
  <c r="H9"/>
  <c r="H18" i="15"/>
  <c r="H17"/>
  <c r="F18"/>
  <c r="F17"/>
  <c r="I18"/>
  <c r="I17"/>
  <c r="G18"/>
  <c r="G17"/>
  <c r="H18" i="13" l="1"/>
  <c r="I18" s="1"/>
  <c r="H17"/>
  <c r="I17" s="1"/>
  <c r="H16"/>
  <c r="I16" s="1"/>
  <c r="H13"/>
  <c r="I13" s="1"/>
  <c r="H11"/>
  <c r="I11" s="1"/>
  <c r="H10"/>
  <c r="I10" s="1"/>
  <c r="H9"/>
  <c r="H7"/>
  <c r="I7" s="1"/>
  <c r="F18"/>
  <c r="G18" s="1"/>
  <c r="F17"/>
  <c r="G17" s="1"/>
  <c r="F13"/>
  <c r="G13" s="1"/>
  <c r="F11"/>
  <c r="G11" s="1"/>
  <c r="F7"/>
  <c r="G7" s="1"/>
  <c r="H6"/>
  <c r="I6" s="1"/>
  <c r="F6"/>
  <c r="G6" s="1"/>
  <c r="H21"/>
  <c r="I21" s="1"/>
  <c r="F21"/>
  <c r="G21" s="1"/>
  <c r="F16"/>
  <c r="G16" s="1"/>
  <c r="H14"/>
  <c r="I14" s="1"/>
  <c r="F14"/>
  <c r="G14" s="1"/>
  <c r="H12"/>
  <c r="I12" s="1"/>
  <c r="F12"/>
  <c r="G12" s="1"/>
  <c r="F10"/>
  <c r="G10" s="1"/>
  <c r="I9"/>
  <c r="H8"/>
  <c r="I8" s="1"/>
  <c r="F8"/>
  <c r="G8" s="1"/>
  <c r="H5"/>
  <c r="I5" s="1"/>
  <c r="F5"/>
  <c r="G5" s="1"/>
  <c r="H4"/>
  <c r="I4" s="1"/>
  <c r="F9" l="1"/>
  <c r="G9" s="1"/>
  <c r="F4"/>
  <c r="C25"/>
  <c r="G4" l="1"/>
  <c r="G22" s="1"/>
  <c r="F22"/>
  <c r="F24" s="1"/>
  <c r="G23"/>
  <c r="H23"/>
  <c r="H24"/>
  <c r="I23"/>
  <c r="I24"/>
  <c r="F23"/>
  <c r="G24" l="1"/>
</calcChain>
</file>

<file path=xl/sharedStrings.xml><?xml version="1.0" encoding="utf-8"?>
<sst xmlns="http://schemas.openxmlformats.org/spreadsheetml/2006/main" count="630" uniqueCount="215">
  <si>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</si>
  <si>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</si>
  <si>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</si>
  <si>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</si>
  <si>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</si>
  <si>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</si>
  <si>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</si>
  <si>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</si>
  <si>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</si>
  <si>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</si>
  <si>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</si>
  <si>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</si>
  <si>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</si>
  <si>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</si>
  <si>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</si>
  <si>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</si>
  <si>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</si>
  <si>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</si>
  <si>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</si>
  <si>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</si>
  <si>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</si>
  <si>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</si>
  <si>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</si>
  <si>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</si>
  <si>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</si>
  <si>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</si>
  <si>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</si>
  <si>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</si>
  <si>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</si>
  <si>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</si>
  <si>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</si>
  <si>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</si>
  <si>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</si>
  <si>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</si>
  <si>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</si>
  <si>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</si>
  <si>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</si>
  <si>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</si>
  <si>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</si>
  <si>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</si>
  <si>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</si>
  <si>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</si>
  <si>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</si>
  <si>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</si>
  <si>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</si>
  <si>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</si>
  <si>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</si>
  <si>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</si>
  <si>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</si>
  <si>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</si>
  <si>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</si>
  <si>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</si>
  <si>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</si>
  <si>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</si>
  <si>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</si>
  <si>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</si>
  <si>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</si>
  <si>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</si>
  <si>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</si>
  <si>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</si>
  <si>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</si>
  <si>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</si>
  <si>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</si>
  <si>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</si>
  <si>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</si>
  <si>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</si>
  <si>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</si>
  <si>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</si>
  <si>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</si>
  <si>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</si>
  <si>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</si>
  <si>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</si>
  <si>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</si>
  <si>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</si>
  <si>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</si>
  <si>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</si>
  <si>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</si>
  <si>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</si>
  <si>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</si>
  <si>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</si>
  <si>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</si>
  <si>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</si>
  <si>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</si>
  <si>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</si>
  <si>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</si>
  <si>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</si>
  <si>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</si>
  <si>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</si>
  <si>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</si>
  <si>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</si>
  <si>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</si>
  <si>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</si>
  <si>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</si>
  <si>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</si>
  <si>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</si>
  <si>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</si>
  <si>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</si>
  <si>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</si>
  <si>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</si>
  <si>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</si>
  <si>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</si>
  <si>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</si>
  <si>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</si>
  <si>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</si>
  <si>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</si>
  <si>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</si>
  <si>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</si>
  <si>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</si>
  <si>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</si>
  <si>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</si>
  <si>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</si>
  <si>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</si>
  <si>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</si>
  <si>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</si>
  <si>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</si>
  <si>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</si>
  <si>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</si>
  <si>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</si>
  <si>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</si>
  <si>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</si>
  <si>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</si>
  <si>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</si>
  <si>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</si>
  <si>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</si>
  <si>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</si>
  <si>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</si>
  <si>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</si>
  <si>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</si>
  <si>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</si>
  <si>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</si>
  <si>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</si>
  <si>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</si>
  <si>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</si>
  <si>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</si>
  <si>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</si>
  <si>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</si>
  <si>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Horse Farm</t>
  </si>
  <si>
    <t>Fallow Cropland</t>
  </si>
  <si>
    <t>Aquaculture</t>
  </si>
  <si>
    <t>LULC</t>
  </si>
  <si>
    <t>Row Crops</t>
  </si>
  <si>
    <t>Cattle Feeding Op</t>
  </si>
  <si>
    <t>Poultry Feeding Op</t>
  </si>
  <si>
    <t>Specialty Farm</t>
  </si>
  <si>
    <t>Not OAWP program</t>
  </si>
  <si>
    <t>100% Enrollment</t>
  </si>
  <si>
    <t>N Load Reduction Estimates, Owner Typical</t>
  </si>
  <si>
    <t>P Load Reduction Estimates, Owner Typical</t>
  </si>
  <si>
    <t xml:space="preserve"> ornamentals</t>
  </si>
  <si>
    <t xml:space="preserve"> horse farm</t>
  </si>
  <si>
    <t>Can't enroll this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</si>
  <si>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</si>
  <si>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</si>
  <si>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</si>
  <si>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</si>
  <si>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</si>
  <si>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 xml:space="preserve"> dairy</t>
  </si>
  <si>
    <t>% Total Load Reduced, by Percent Ag Land Use Enrolled</t>
  </si>
  <si>
    <t>Total Estimated Load Reductions, by Percent Ag Land Use Enrolled</t>
  </si>
  <si>
    <t>Total Acres</t>
  </si>
  <si>
    <t xml:space="preserve"> used hay/field crops, since it specifically mentions poultry</t>
  </si>
  <si>
    <t>90% Enrollment</t>
  </si>
  <si>
    <t>Mixed Rangeland</t>
  </si>
  <si>
    <t>Sugar Cane</t>
  </si>
  <si>
    <t>sugar cane</t>
  </si>
  <si>
    <t xml:space="preserve"> rangeland and woodland pastures</t>
  </si>
  <si>
    <t>Other Groves</t>
  </si>
  <si>
    <t>Sum of Adjusted Acres</t>
  </si>
  <si>
    <t>Adjusted TP Load</t>
  </si>
  <si>
    <t>Adjusted TN Load</t>
  </si>
  <si>
    <t>LC</t>
  </si>
  <si>
    <t>Acres Sum</t>
  </si>
  <si>
    <t>Acres_DACS_GIS</t>
  </si>
  <si>
    <t>TP Sum</t>
  </si>
  <si>
    <t>TN Sum</t>
  </si>
  <si>
    <t>TP Load/Acre</t>
  </si>
  <si>
    <t>TN Load/Acre</t>
  </si>
  <si>
    <t>Adj Acres</t>
  </si>
  <si>
    <t>Adj TP Load</t>
  </si>
  <si>
    <t>Adj TN Load</t>
  </si>
  <si>
    <t>Agricultural Load Reductions from Land Use Changes</t>
  </si>
  <si>
    <t>TN Total Model Load</t>
  </si>
  <si>
    <t>TN Adjusted Load</t>
  </si>
  <si>
    <t xml:space="preserve">Credit: </t>
  </si>
  <si>
    <t>% Reduction:</t>
  </si>
  <si>
    <t>TP Total Model Load</t>
  </si>
  <si>
    <t>TP Adjusted Load</t>
  </si>
  <si>
    <t>Sod Farms</t>
  </si>
  <si>
    <t>Dairies</t>
  </si>
  <si>
    <t xml:space="preserve"> not OAWP, so we made no adjustments or enrollment credit calcs</t>
  </si>
  <si>
    <t>Fallow Cropland*</t>
  </si>
  <si>
    <t xml:space="preserve"> ag OOP load</t>
  </si>
  <si>
    <t>N/A</t>
  </si>
  <si>
    <t>Out of Production**</t>
  </si>
  <si>
    <t>Mixed non-ag / OOP**</t>
  </si>
  <si>
    <t>Natural Area</t>
  </si>
  <si>
    <t xml:space="preserve"> no ag load</t>
  </si>
  <si>
    <t>Urban</t>
  </si>
  <si>
    <t>Roads &amp; ROWs</t>
  </si>
  <si>
    <t>TOTALS</t>
  </si>
  <si>
    <t>* No Fallow Cropland (2610) in DEP spreadsheet model ??</t>
  </si>
  <si>
    <t>** Assigned same loading as mixed rangeland, since no other loading info available?</t>
  </si>
  <si>
    <t>This worksheet is copied here for calculation purposes.  Please refer to original document, StLucie_AdjustedAcres_LoadingsSummary.xlsx</t>
  </si>
  <si>
    <t>Calculated Agricultural Reduction Estimates in the St. Lucie BMAP Basin, Based on SWET 2008 Report Estimates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</si>
  <si>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</si>
  <si>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</si>
  <si>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% Required Reduction Achieved, by Percent Ag Land Use Enrolled</t>
  </si>
  <si>
    <t>TP Required Reduction</t>
  </si>
  <si>
    <t>TN Required Reduction</t>
  </si>
  <si>
    <t>Calculated Agricultural Reduction Estimates in the St. Lucie BMAP Basin, North St. Lucie WCD, Based on SWET 2008 Report Estimates</t>
  </si>
  <si>
    <t>Calculated Agricultural Reduction Estimates in the St. Lucie BMAP Basin, Troup Indiantown WCD, Based on SWET 2008 Report Estimates</t>
  </si>
  <si>
    <t>Calculated Agricultural Reduction Estimates in the St. Lucie BMAP Basin, Hobe St. Lucie CD, Based on SWET 2008 Report Estimates</t>
  </si>
  <si>
    <t>Row Crop</t>
  </si>
  <si>
    <t>Calculated Agricultural Reduction Estimates in the St. Lucie BMAP Basin, PalMar WCD, Based on SWET 2008 Report Estimates</t>
  </si>
  <si>
    <t>Sum of Ag LULC Acres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</si>
</sst>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0.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9" fillId="0" borderId="0"/>
    <xf numFmtId="0" fontId="1" fillId="0" borderId="0"/>
    <xf numFmtId="0" fontId="39" fillId="0" borderId="0"/>
    <xf numFmtId="0" fontId="1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</cellStyleXfs>
  <cellXfs count="97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20" xfId="0" applyNumberFormat="1" applyFill="1" applyBorder="1"/>
    <xf numFmtId="9" fontId="16" fillId="0" borderId="20" xfId="1" applyFont="1" applyBorder="1"/>
    <xf numFmtId="4" fontId="16" fillId="0" borderId="20" xfId="0" applyNumberFormat="1" applyFont="1" applyBorder="1"/>
    <xf numFmtId="4" fontId="37" fillId="0" borderId="20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20" xfId="0" applyNumberFormat="1" applyBorder="1"/>
    <xf numFmtId="1" fontId="0" fillId="0" borderId="20" xfId="0" applyNumberFormat="1" applyBorder="1" applyAlignment="1">
      <alignment horizontal="left"/>
    </xf>
    <xf numFmtId="4" fontId="18" fillId="0" borderId="22" xfId="0" applyNumberFormat="1" applyFont="1" applyFill="1" applyBorder="1"/>
    <xf numFmtId="1" fontId="0" fillId="33" borderId="20" xfId="0" applyNumberFormat="1" applyFill="1" applyBorder="1" applyAlignment="1">
      <alignment horizontal="left"/>
    </xf>
    <xf numFmtId="4" fontId="0" fillId="33" borderId="20" xfId="0" applyNumberFormat="1" applyFill="1" applyBorder="1"/>
    <xf numFmtId="1" fontId="0" fillId="0" borderId="0" xfId="0" applyNumberFormat="1" applyFill="1" applyBorder="1" applyAlignment="1">
      <alignment horizontal="left"/>
    </xf>
    <xf numFmtId="4" fontId="18" fillId="58" borderId="22" xfId="0" applyNumberFormat="1" applyFont="1" applyFill="1" applyBorder="1"/>
    <xf numFmtId="4" fontId="0" fillId="58" borderId="20" xfId="0" applyNumberFormat="1" applyFill="1" applyBorder="1"/>
    <xf numFmtId="4" fontId="16" fillId="58" borderId="20" xfId="0" applyNumberFormat="1" applyFont="1" applyFill="1" applyBorder="1"/>
    <xf numFmtId="9" fontId="16" fillId="58" borderId="20" xfId="1" applyFont="1" applyFill="1" applyBorder="1"/>
    <xf numFmtId="0" fontId="0" fillId="60" borderId="20" xfId="0" applyFill="1" applyBorder="1"/>
    <xf numFmtId="4" fontId="0" fillId="60" borderId="0" xfId="0" applyNumberFormat="1" applyFill="1"/>
    <xf numFmtId="0" fontId="38" fillId="0" borderId="0" xfId="0" applyFont="1"/>
    <xf numFmtId="4" fontId="0" fillId="60" borderId="20" xfId="0" applyNumberFormat="1" applyFill="1" applyBorder="1"/>
    <xf numFmtId="0" fontId="0" fillId="0" borderId="0" xfId="0"/>
    <xf numFmtId="4" fontId="0" fillId="0" borderId="0" xfId="0" applyNumberFormat="1"/>
    <xf numFmtId="0" fontId="0" fillId="0" borderId="20" xfId="0" applyBorder="1"/>
    <xf numFmtId="4" fontId="0" fillId="0" borderId="20" xfId="0" applyNumberFormat="1" applyBorder="1" applyAlignment="1">
      <alignment horizontal="center"/>
    </xf>
    <xf numFmtId="4" fontId="0" fillId="0" borderId="20" xfId="0" applyNumberFormat="1" applyBorder="1"/>
    <xf numFmtId="1" fontId="0" fillId="0" borderId="20" xfId="0" applyNumberFormat="1" applyBorder="1" applyAlignment="1">
      <alignment horizontal="left"/>
    </xf>
    <xf numFmtId="1" fontId="0" fillId="33" borderId="20" xfId="0" applyNumberFormat="1" applyFill="1" applyBorder="1" applyAlignment="1">
      <alignment horizontal="left"/>
    </xf>
    <xf numFmtId="4" fontId="0" fillId="33" borderId="20" xfId="0" applyNumberFormat="1" applyFill="1" applyBorder="1"/>
    <xf numFmtId="0" fontId="0" fillId="0" borderId="28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22" xfId="0" applyBorder="1"/>
    <xf numFmtId="0" fontId="0" fillId="0" borderId="0" xfId="0" applyBorder="1"/>
    <xf numFmtId="0" fontId="0" fillId="0" borderId="32" xfId="0" applyBorder="1"/>
    <xf numFmtId="0" fontId="0" fillId="0" borderId="33" xfId="0" applyBorder="1"/>
    <xf numFmtId="9" fontId="0" fillId="0" borderId="29" xfId="1" applyFon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9" fontId="0" fillId="0" borderId="31" xfId="1" applyFont="1" applyBorder="1" applyAlignment="1">
      <alignment horizontal="center"/>
    </xf>
    <xf numFmtId="1" fontId="0" fillId="0" borderId="20" xfId="0" applyNumberFormat="1" applyFill="1" applyBorder="1" applyAlignment="1">
      <alignment horizontal="left"/>
    </xf>
    <xf numFmtId="0" fontId="0" fillId="59" borderId="20" xfId="0" applyFill="1" applyBorder="1"/>
    <xf numFmtId="1" fontId="0" fillId="59" borderId="20" xfId="0" applyNumberFormat="1" applyFill="1" applyBorder="1" applyAlignment="1">
      <alignment horizontal="left"/>
    </xf>
    <xf numFmtId="4" fontId="0" fillId="59" borderId="20" xfId="0" applyNumberFormat="1" applyFill="1" applyBorder="1"/>
    <xf numFmtId="0" fontId="0" fillId="33" borderId="20" xfId="0" applyFill="1" applyBorder="1"/>
    <xf numFmtId="0" fontId="0" fillId="0" borderId="0" xfId="0"/>
    <xf numFmtId="4" fontId="0" fillId="0" borderId="0" xfId="0" applyNumberFormat="1"/>
    <xf numFmtId="4" fontId="0" fillId="0" borderId="20" xfId="0" applyNumberFormat="1" applyBorder="1"/>
    <xf numFmtId="164" fontId="0" fillId="0" borderId="0" xfId="0" applyNumberFormat="1" applyFont="1"/>
    <xf numFmtId="4" fontId="0" fillId="0" borderId="0" xfId="0" applyNumberFormat="1"/>
    <xf numFmtId="4" fontId="0" fillId="0" borderId="20" xfId="0" applyNumberFormat="1" applyBorder="1"/>
    <xf numFmtId="0" fontId="0" fillId="0" borderId="0" xfId="0"/>
    <xf numFmtId="4" fontId="0" fillId="0" borderId="20" xfId="0" applyNumberFormat="1" applyBorder="1"/>
    <xf numFmtId="1" fontId="0" fillId="0" borderId="20" xfId="0" applyNumberFormat="1" applyBorder="1" applyAlignment="1">
      <alignment horizontal="left"/>
    </xf>
    <xf numFmtId="4" fontId="0" fillId="58" borderId="20" xfId="0" applyNumberFormat="1" applyFill="1" applyBorder="1"/>
    <xf numFmtId="4" fontId="0" fillId="0" borderId="20" xfId="0" applyNumberFormat="1" applyBorder="1"/>
    <xf numFmtId="4" fontId="0" fillId="33" borderId="20" xfId="0" applyNumberFormat="1" applyFill="1" applyBorder="1"/>
    <xf numFmtId="4" fontId="0" fillId="58" borderId="20" xfId="0" applyNumberFormat="1" applyFill="1" applyBorder="1"/>
    <xf numFmtId="0" fontId="16" fillId="0" borderId="2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3" xfId="0" applyFont="1" applyBorder="1" applyAlignment="1">
      <alignment horizontal="center" wrapText="1"/>
    </xf>
    <xf numFmtId="0" fontId="18" fillId="0" borderId="24" xfId="0" applyFont="1" applyBorder="1" applyAlignment="1">
      <alignment horizontal="center" wrapText="1"/>
    </xf>
    <xf numFmtId="0" fontId="18" fillId="0" borderId="21" xfId="0" applyFont="1" applyFill="1" applyBorder="1" applyAlignment="1">
      <alignment horizontal="center" wrapText="1"/>
    </xf>
    <xf numFmtId="0" fontId="18" fillId="0" borderId="22" xfId="0" applyFont="1" applyFill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4" fontId="18" fillId="0" borderId="21" xfId="0" applyNumberFormat="1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28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4" fontId="0" fillId="0" borderId="29" xfId="0" applyNumberFormat="1" applyBorder="1" applyAlignment="1">
      <alignment horizontal="center"/>
    </xf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18" workbookViewId="0">
      <selection activeCell="A27" sqref="A27"/>
    </sheetView>
  </sheetViews>
  <sheetFormatPr defaultRowHeight="15"/>
  <cols>
    <col min="1" max="1" width="94.5703125" customWidth="1"/>
    <col min="2" max="5" width="9.7109375" style="4" customWidth="1"/>
  </cols>
  <sheetData>
    <row r="1" spans="1:5">
      <c r="A1" s="83" t="s">
        <v>35</v>
      </c>
      <c r="B1" s="83"/>
      <c r="C1" s="83"/>
      <c r="D1" s="3"/>
      <c r="E1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124</v>
      </c>
      <c r="B4" s="9"/>
      <c r="C4" s="9"/>
      <c r="D4" s="9"/>
      <c r="E4" s="9"/>
    </row>
    <row r="5" spans="1:5">
      <c r="A5" s="1" t="s">
        <v>0</v>
      </c>
      <c r="B5" s="81" t="s">
        <v>18</v>
      </c>
      <c r="C5" s="81" t="s">
        <v>19</v>
      </c>
      <c r="D5" s="81" t="s">
        <v>18</v>
      </c>
      <c r="E5" s="81" t="s">
        <v>64</v>
      </c>
    </row>
    <row r="6" spans="1:5" ht="45">
      <c r="A6" s="5" t="s">
        <v>204</v>
      </c>
      <c r="B6" s="81"/>
      <c r="C6" s="81"/>
      <c r="D6" s="81"/>
      <c r="E6" s="81"/>
    </row>
    <row r="7" spans="1:5">
      <c r="A7" s="1" t="s">
        <v>5</v>
      </c>
      <c r="B7" s="81" t="s">
        <v>20</v>
      </c>
      <c r="C7" s="82" t="s">
        <v>21</v>
      </c>
      <c r="D7" s="81" t="s">
        <v>20</v>
      </c>
      <c r="E7" s="82" t="s">
        <v>57</v>
      </c>
    </row>
    <row r="8" spans="1:5">
      <c r="A8" s="5" t="s">
        <v>205</v>
      </c>
      <c r="B8" s="81"/>
      <c r="C8" s="82"/>
      <c r="D8" s="81"/>
      <c r="E8" s="82"/>
    </row>
    <row r="9" spans="1:5">
      <c r="A9" s="1" t="s">
        <v>7</v>
      </c>
      <c r="B9" s="81" t="s">
        <v>18</v>
      </c>
      <c r="C9" s="81" t="s">
        <v>22</v>
      </c>
      <c r="D9" s="81" t="s">
        <v>18</v>
      </c>
      <c r="E9" s="81" t="s">
        <v>31</v>
      </c>
    </row>
    <row r="10" spans="1:5" ht="30">
      <c r="A10" s="5" t="s">
        <v>16</v>
      </c>
      <c r="B10" s="81"/>
      <c r="C10" s="81"/>
      <c r="D10" s="81"/>
      <c r="E10" s="81"/>
    </row>
    <row r="11" spans="1:5">
      <c r="A11" s="1" t="s">
        <v>8</v>
      </c>
      <c r="B11" s="81" t="s">
        <v>13</v>
      </c>
      <c r="C11" s="81" t="s">
        <v>23</v>
      </c>
      <c r="D11" s="81" t="s">
        <v>114</v>
      </c>
      <c r="E11" s="81" t="s">
        <v>19</v>
      </c>
    </row>
    <row r="12" spans="1:5" ht="30">
      <c r="A12" s="5" t="s">
        <v>17</v>
      </c>
      <c r="B12" s="81"/>
      <c r="C12" s="81"/>
      <c r="D12" s="81"/>
      <c r="E12" s="81"/>
    </row>
    <row r="13" spans="1:5">
      <c r="A13" s="8" t="s">
        <v>123</v>
      </c>
      <c r="B13" s="9"/>
      <c r="C13" s="9"/>
      <c r="D13" s="9"/>
      <c r="E13" s="9"/>
    </row>
    <row r="14" spans="1:5">
      <c r="A14" s="1" t="s">
        <v>0</v>
      </c>
      <c r="B14" s="81" t="s">
        <v>24</v>
      </c>
      <c r="C14" s="81" t="s">
        <v>25</v>
      </c>
      <c r="D14" s="81" t="s">
        <v>24</v>
      </c>
      <c r="E14" s="81" t="s">
        <v>22</v>
      </c>
    </row>
    <row r="15" spans="1:5" ht="45">
      <c r="A15" s="5" t="s">
        <v>15</v>
      </c>
      <c r="B15" s="81"/>
      <c r="C15" s="81"/>
      <c r="D15" s="81"/>
      <c r="E15" s="81"/>
    </row>
    <row r="16" spans="1:5">
      <c r="A16" s="1" t="s">
        <v>5</v>
      </c>
      <c r="B16" s="81" t="s">
        <v>9</v>
      </c>
      <c r="C16" s="82" t="s">
        <v>26</v>
      </c>
      <c r="D16" s="81" t="s">
        <v>9</v>
      </c>
      <c r="E16" s="82" t="s">
        <v>21</v>
      </c>
    </row>
    <row r="17" spans="1:5">
      <c r="A17" s="5" t="s">
        <v>205</v>
      </c>
      <c r="B17" s="81"/>
      <c r="C17" s="82"/>
      <c r="D17" s="81"/>
      <c r="E17" s="82"/>
    </row>
    <row r="18" spans="1:5">
      <c r="A18" s="1" t="s">
        <v>7</v>
      </c>
      <c r="B18" s="81" t="s">
        <v>27</v>
      </c>
      <c r="C18" s="81" t="s">
        <v>28</v>
      </c>
      <c r="D18" s="81" t="s">
        <v>24</v>
      </c>
      <c r="E18" s="81" t="s">
        <v>115</v>
      </c>
    </row>
    <row r="19" spans="1:5" ht="30">
      <c r="A19" s="5" t="s">
        <v>16</v>
      </c>
      <c r="B19" s="81"/>
      <c r="C19" s="81"/>
      <c r="D19" s="81"/>
      <c r="E19" s="81"/>
    </row>
    <row r="20" spans="1:5">
      <c r="A20" s="1" t="s">
        <v>8</v>
      </c>
      <c r="B20" s="81" t="s">
        <v>29</v>
      </c>
      <c r="C20" s="81" t="s">
        <v>30</v>
      </c>
      <c r="D20" s="81" t="s">
        <v>114</v>
      </c>
      <c r="E20" s="81" t="s">
        <v>19</v>
      </c>
    </row>
    <row r="21" spans="1:5" ht="30">
      <c r="A21" s="5" t="s">
        <v>17</v>
      </c>
      <c r="B21" s="81"/>
      <c r="C21" s="81"/>
      <c r="D21" s="81"/>
      <c r="E21" s="81"/>
    </row>
    <row r="22" spans="1:5">
      <c r="A22" s="8" t="s">
        <v>122</v>
      </c>
      <c r="B22" s="9"/>
      <c r="C22" s="9"/>
      <c r="D22" s="9"/>
      <c r="E22" s="9"/>
    </row>
    <row r="23" spans="1:5">
      <c r="A23" s="1" t="s">
        <v>0</v>
      </c>
      <c r="B23" s="81" t="s">
        <v>24</v>
      </c>
      <c r="C23" s="81" t="s">
        <v>31</v>
      </c>
      <c r="D23" s="81" t="s">
        <v>24</v>
      </c>
      <c r="E23" s="81" t="s">
        <v>31</v>
      </c>
    </row>
    <row r="24" spans="1:5" ht="45">
      <c r="A24" s="5" t="s">
        <v>204</v>
      </c>
      <c r="B24" s="81"/>
      <c r="C24" s="81"/>
      <c r="D24" s="81"/>
      <c r="E24" s="81"/>
    </row>
    <row r="25" spans="1:5">
      <c r="A25" s="1" t="s">
        <v>5</v>
      </c>
      <c r="B25" s="81" t="s">
        <v>9</v>
      </c>
      <c r="C25" s="82" t="s">
        <v>32</v>
      </c>
      <c r="D25" s="81" t="s">
        <v>9</v>
      </c>
      <c r="E25" s="82" t="s">
        <v>32</v>
      </c>
    </row>
    <row r="26" spans="1:5">
      <c r="A26" s="5" t="s">
        <v>205</v>
      </c>
      <c r="B26" s="81"/>
      <c r="C26" s="82"/>
      <c r="D26" s="81"/>
      <c r="E26" s="82"/>
    </row>
    <row r="27" spans="1:5">
      <c r="A27" s="1" t="s">
        <v>7</v>
      </c>
      <c r="B27" s="81" t="s">
        <v>27</v>
      </c>
      <c r="C27" s="81" t="s">
        <v>33</v>
      </c>
      <c r="D27" s="81" t="s">
        <v>27</v>
      </c>
      <c r="E27" s="81" t="s">
        <v>33</v>
      </c>
    </row>
    <row r="28" spans="1:5" ht="30">
      <c r="A28" s="5" t="s">
        <v>16</v>
      </c>
      <c r="B28" s="81"/>
      <c r="C28" s="81"/>
      <c r="D28" s="81"/>
      <c r="E28" s="81"/>
    </row>
    <row r="29" spans="1:5">
      <c r="A29" s="1" t="s">
        <v>8</v>
      </c>
      <c r="B29" s="81" t="s">
        <v>29</v>
      </c>
      <c r="C29" s="81" t="s">
        <v>34</v>
      </c>
      <c r="D29" s="81" t="s">
        <v>11</v>
      </c>
      <c r="E29" s="81" t="s">
        <v>25</v>
      </c>
    </row>
    <row r="30" spans="1:5" ht="30">
      <c r="A30" s="5" t="s">
        <v>17</v>
      </c>
      <c r="B30" s="81"/>
      <c r="C30" s="81"/>
      <c r="D30" s="81"/>
      <c r="E30" s="81"/>
    </row>
  </sheetData>
  <mergeCells count="52">
    <mergeCell ref="B29:B30"/>
    <mergeCell ref="C29:C30"/>
    <mergeCell ref="B18:B19"/>
    <mergeCell ref="C18:C19"/>
    <mergeCell ref="B20:B21"/>
    <mergeCell ref="C20:C21"/>
    <mergeCell ref="B23:B24"/>
    <mergeCell ref="C23:C24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A1:C1"/>
    <mergeCell ref="A2:A3"/>
    <mergeCell ref="D2:E2"/>
    <mergeCell ref="D5:D6"/>
    <mergeCell ref="E5:E6"/>
    <mergeCell ref="B2:C2"/>
    <mergeCell ref="B5:B6"/>
    <mergeCell ref="C5:C6"/>
    <mergeCell ref="D9:D10"/>
    <mergeCell ref="E9:E10"/>
    <mergeCell ref="D11:D12"/>
    <mergeCell ref="E11:E12"/>
    <mergeCell ref="D14:D15"/>
    <mergeCell ref="E14:E15"/>
    <mergeCell ref="D16:D17"/>
    <mergeCell ref="E16:E17"/>
    <mergeCell ref="D18:D19"/>
    <mergeCell ref="E18:E19"/>
    <mergeCell ref="D20:D21"/>
    <mergeCell ref="E20:E21"/>
    <mergeCell ref="D29:D30"/>
    <mergeCell ref="E29:E30"/>
    <mergeCell ref="D23:D24"/>
    <mergeCell ref="E23:E24"/>
    <mergeCell ref="D25:D26"/>
    <mergeCell ref="E25:E26"/>
    <mergeCell ref="D27:D28"/>
    <mergeCell ref="E27:E28"/>
  </mergeCells>
  <pageMargins left="0.25" right="0.25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7" sqref="E7:E8"/>
    </sheetView>
  </sheetViews>
  <sheetFormatPr defaultRowHeight="15"/>
  <cols>
    <col min="1" max="1" width="94.5703125" customWidth="1"/>
    <col min="2" max="5" width="9.7109375" style="4" customWidth="1"/>
    <col min="6" max="6" width="9.140625" style="3"/>
  </cols>
  <sheetData>
    <row r="1" spans="1:5">
      <c r="A1" s="83" t="s">
        <v>106</v>
      </c>
      <c r="B1" s="83"/>
      <c r="C1" s="83"/>
      <c r="D1" s="10"/>
      <c r="E1" s="10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107</v>
      </c>
      <c r="B4" s="9"/>
      <c r="C4" s="9"/>
      <c r="D4" s="9"/>
      <c r="E4" s="9"/>
    </row>
    <row r="5" spans="1:5">
      <c r="A5" s="1" t="s">
        <v>0</v>
      </c>
      <c r="B5" s="81" t="s">
        <v>111</v>
      </c>
      <c r="C5" s="81" t="s">
        <v>21</v>
      </c>
      <c r="D5" s="81" t="s">
        <v>111</v>
      </c>
      <c r="E5" s="81" t="s">
        <v>103</v>
      </c>
    </row>
    <row r="6" spans="1:5">
      <c r="A6" s="5" t="s">
        <v>108</v>
      </c>
      <c r="B6" s="81"/>
      <c r="C6" s="81"/>
      <c r="D6" s="81"/>
      <c r="E6" s="81"/>
    </row>
    <row r="7" spans="1:5">
      <c r="A7" s="1" t="s">
        <v>5</v>
      </c>
      <c r="B7" s="81" t="s">
        <v>20</v>
      </c>
      <c r="C7" s="82" t="s">
        <v>112</v>
      </c>
      <c r="D7" s="81" t="s">
        <v>127</v>
      </c>
      <c r="E7" s="82" t="s">
        <v>12</v>
      </c>
    </row>
    <row r="8" spans="1:5">
      <c r="A8" s="5" t="s">
        <v>6</v>
      </c>
      <c r="B8" s="81"/>
      <c r="C8" s="82"/>
      <c r="D8" s="81"/>
      <c r="E8" s="82"/>
    </row>
    <row r="9" spans="1:5">
      <c r="A9" s="1" t="s">
        <v>7</v>
      </c>
      <c r="B9" s="81" t="s">
        <v>18</v>
      </c>
      <c r="C9" s="81" t="s">
        <v>31</v>
      </c>
      <c r="D9" s="81" t="s">
        <v>128</v>
      </c>
      <c r="E9" s="81" t="s">
        <v>31</v>
      </c>
    </row>
    <row r="10" spans="1:5">
      <c r="A10" s="5" t="s">
        <v>109</v>
      </c>
      <c r="B10" s="81"/>
      <c r="C10" s="81"/>
      <c r="D10" s="81"/>
      <c r="E10" s="81"/>
    </row>
    <row r="11" spans="1:5">
      <c r="A11" s="1" t="s">
        <v>8</v>
      </c>
      <c r="B11" s="81" t="s">
        <v>29</v>
      </c>
      <c r="C11" s="81" t="s">
        <v>43</v>
      </c>
      <c r="D11" s="81" t="s">
        <v>11</v>
      </c>
      <c r="E11" s="81" t="s">
        <v>104</v>
      </c>
    </row>
    <row r="12" spans="1:5">
      <c r="A12" s="5" t="s">
        <v>110</v>
      </c>
      <c r="B12" s="81"/>
      <c r="C12" s="81"/>
      <c r="D12" s="81"/>
      <c r="E12" s="81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D2" sqref="D2"/>
    </sheetView>
  </sheetViews>
  <sheetFormatPr defaultRowHeight="15"/>
  <cols>
    <col min="2" max="2" width="21.140625" bestFit="1" customWidth="1"/>
    <col min="3" max="3" width="10.140625" bestFit="1" customWidth="1"/>
    <col min="4" max="4" width="15.5703125" bestFit="1" customWidth="1"/>
    <col min="5" max="5" width="10.140625" bestFit="1" customWidth="1"/>
    <col min="6" max="6" width="11.7109375" bestFit="1" customWidth="1"/>
    <col min="7" max="7" width="12.5703125" bestFit="1" customWidth="1"/>
    <col min="8" max="8" width="12.85546875" bestFit="1" customWidth="1"/>
    <col min="9" max="9" width="11.140625" customWidth="1"/>
    <col min="10" max="10" width="11.140625" bestFit="1" customWidth="1"/>
    <col min="11" max="11" width="11.7109375" bestFit="1" customWidth="1"/>
    <col min="13" max="16" width="12.7109375" customWidth="1"/>
  </cols>
  <sheetData>
    <row r="1" spans="1:17" ht="15.75" thickBot="1">
      <c r="A1" s="37" t="s">
        <v>170</v>
      </c>
      <c r="B1" s="37"/>
      <c r="C1" s="37" t="s">
        <v>171</v>
      </c>
      <c r="D1" s="37" t="s">
        <v>172</v>
      </c>
      <c r="E1" s="37" t="s">
        <v>173</v>
      </c>
      <c r="F1" s="37" t="s">
        <v>174</v>
      </c>
      <c r="G1" s="37" t="s">
        <v>175</v>
      </c>
      <c r="H1" s="37" t="s">
        <v>176</v>
      </c>
      <c r="I1" s="31" t="s">
        <v>177</v>
      </c>
      <c r="J1" s="37" t="s">
        <v>178</v>
      </c>
      <c r="K1" s="37" t="s">
        <v>179</v>
      </c>
      <c r="L1" s="35"/>
      <c r="M1" s="35"/>
      <c r="N1" s="35"/>
      <c r="O1" s="35"/>
      <c r="P1" s="35"/>
      <c r="Q1" s="35"/>
    </row>
    <row r="2" spans="1:17">
      <c r="A2" s="37">
        <v>2110</v>
      </c>
      <c r="B2" s="40" t="s">
        <v>131</v>
      </c>
      <c r="C2" s="39">
        <v>108945.33</v>
      </c>
      <c r="D2" s="39">
        <f>106334.54-7332.76</f>
        <v>99001.78</v>
      </c>
      <c r="E2" s="39">
        <v>191663.6</v>
      </c>
      <c r="F2" s="39">
        <v>976818.8</v>
      </c>
      <c r="G2" s="39">
        <v>1.7592640271960258</v>
      </c>
      <c r="H2" s="39">
        <v>8.9661374195663086</v>
      </c>
      <c r="I2" s="34">
        <v>104012.39</v>
      </c>
      <c r="J2" s="39">
        <v>182985.25610968363</v>
      </c>
      <c r="K2" s="39">
        <v>932589.38207752455</v>
      </c>
      <c r="L2" s="35"/>
      <c r="M2" s="87" t="s">
        <v>180</v>
      </c>
      <c r="N2" s="88"/>
      <c r="O2" s="88"/>
      <c r="P2" s="89"/>
      <c r="Q2" s="35"/>
    </row>
    <row r="3" spans="1:17">
      <c r="A3" s="37">
        <v>2120</v>
      </c>
      <c r="B3" s="40" t="s">
        <v>129</v>
      </c>
      <c r="C3" s="39">
        <v>15160.71</v>
      </c>
      <c r="D3" s="39">
        <f>15034.95-717.56</f>
        <v>14317.390000000001</v>
      </c>
      <c r="E3" s="39">
        <v>19994.2</v>
      </c>
      <c r="F3" s="39">
        <v>60951.7</v>
      </c>
      <c r="G3" s="39">
        <v>1.3188168627986421</v>
      </c>
      <c r="H3" s="39">
        <v>4.0203723968072733</v>
      </c>
      <c r="I3" s="34">
        <v>15126.63</v>
      </c>
      <c r="J3" s="39">
        <v>19949.254721315821</v>
      </c>
      <c r="K3" s="39">
        <v>60814.685708716803</v>
      </c>
      <c r="L3" s="35"/>
      <c r="M3" s="93" t="s">
        <v>181</v>
      </c>
      <c r="N3" s="94"/>
      <c r="O3" s="94" t="s">
        <v>182</v>
      </c>
      <c r="P3" s="95"/>
      <c r="Q3" s="35"/>
    </row>
    <row r="4" spans="1:17">
      <c r="A4" s="37">
        <v>2130</v>
      </c>
      <c r="B4" s="40" t="s">
        <v>130</v>
      </c>
      <c r="C4" s="39">
        <v>25355.119999999999</v>
      </c>
      <c r="D4" s="39">
        <f>25206.24-1239.91</f>
        <v>23966.33</v>
      </c>
      <c r="E4" s="39">
        <v>30784.2</v>
      </c>
      <c r="F4" s="39">
        <v>97814.8</v>
      </c>
      <c r="G4" s="39">
        <v>1.2141216448591055</v>
      </c>
      <c r="H4" s="39">
        <v>3.8577928244867312</v>
      </c>
      <c r="I4" s="34">
        <v>25168.13</v>
      </c>
      <c r="J4" s="39">
        <v>30557.171393627799</v>
      </c>
      <c r="K4" s="39">
        <v>97093.431319749245</v>
      </c>
      <c r="L4" s="35"/>
      <c r="M4" s="91">
        <v>1963516.9</v>
      </c>
      <c r="N4" s="92"/>
      <c r="O4" s="92">
        <v>1627968.2611974627</v>
      </c>
      <c r="P4" s="96"/>
      <c r="Q4" s="35"/>
    </row>
    <row r="5" spans="1:17">
      <c r="A5" s="37">
        <v>2140</v>
      </c>
      <c r="B5" s="40" t="s">
        <v>140</v>
      </c>
      <c r="C5" s="39">
        <v>12622.29</v>
      </c>
      <c r="D5" s="39">
        <f>12622.31-418.03</f>
        <v>12204.279999999999</v>
      </c>
      <c r="E5" s="39">
        <v>39179.4</v>
      </c>
      <c r="F5" s="39">
        <v>108458.7</v>
      </c>
      <c r="G5" s="39">
        <v>3.1039850930377924</v>
      </c>
      <c r="H5" s="39">
        <v>8.5926325571667252</v>
      </c>
      <c r="I5" s="34">
        <v>12500.49</v>
      </c>
      <c r="J5" s="39">
        <v>38801.334615667991</v>
      </c>
      <c r="K5" s="39">
        <v>107412.11735453707</v>
      </c>
      <c r="L5" s="35"/>
      <c r="M5" s="43" t="s">
        <v>183</v>
      </c>
      <c r="N5" s="38">
        <v>335548.63880253723</v>
      </c>
      <c r="O5" s="37" t="s">
        <v>184</v>
      </c>
      <c r="P5" s="49">
        <v>0.17089164794178102</v>
      </c>
      <c r="Q5" s="35"/>
    </row>
    <row r="6" spans="1:17">
      <c r="A6" s="37">
        <v>2150</v>
      </c>
      <c r="B6" s="40" t="s">
        <v>132</v>
      </c>
      <c r="C6" s="39">
        <v>2803.16</v>
      </c>
      <c r="D6" s="39">
        <v>2803.16</v>
      </c>
      <c r="E6" s="39">
        <v>7266.2</v>
      </c>
      <c r="F6" s="39">
        <v>18788.599999999999</v>
      </c>
      <c r="G6" s="39">
        <v>2.5921460066496382</v>
      </c>
      <c r="H6" s="39">
        <v>6.7026498665791463</v>
      </c>
      <c r="I6" s="34">
        <v>2569.6</v>
      </c>
      <c r="J6" s="39">
        <v>6660.7783786869104</v>
      </c>
      <c r="K6" s="39">
        <v>17223.129097161775</v>
      </c>
      <c r="L6" s="35"/>
      <c r="M6" s="47"/>
      <c r="N6" s="46"/>
      <c r="O6" s="46"/>
      <c r="P6" s="48"/>
      <c r="Q6" s="35"/>
    </row>
    <row r="7" spans="1:17">
      <c r="A7" s="37">
        <v>2156</v>
      </c>
      <c r="B7" s="40" t="s">
        <v>163</v>
      </c>
      <c r="C7" s="39">
        <v>821.59</v>
      </c>
      <c r="D7" s="39">
        <f>821.58-0.15</f>
        <v>821.43000000000006</v>
      </c>
      <c r="E7" s="39">
        <v>1664.9</v>
      </c>
      <c r="F7" s="39">
        <v>5501.2</v>
      </c>
      <c r="G7" s="39">
        <v>2.0264365437748757</v>
      </c>
      <c r="H7" s="39">
        <v>6.6957971737728057</v>
      </c>
      <c r="I7" s="34">
        <v>821.58</v>
      </c>
      <c r="J7" s="39">
        <v>1664.8797356345624</v>
      </c>
      <c r="K7" s="39">
        <v>5501.133042028262</v>
      </c>
      <c r="L7" s="35"/>
      <c r="M7" s="93" t="s">
        <v>185</v>
      </c>
      <c r="N7" s="94"/>
      <c r="O7" s="94" t="s">
        <v>186</v>
      </c>
      <c r="P7" s="95"/>
      <c r="Q7" s="35"/>
    </row>
    <row r="8" spans="1:17">
      <c r="A8" s="37">
        <v>2210</v>
      </c>
      <c r="B8" s="40" t="s">
        <v>133</v>
      </c>
      <c r="C8" s="39">
        <v>116691.1</v>
      </c>
      <c r="D8" s="39">
        <f>116453.42-37314.86</f>
        <v>79138.559999999998</v>
      </c>
      <c r="E8" s="39">
        <v>176892.6</v>
      </c>
      <c r="F8" s="39">
        <v>662250.80000000005</v>
      </c>
      <c r="G8" s="39">
        <v>1.5159048119351004</v>
      </c>
      <c r="H8" s="39">
        <v>5.6752468697269975</v>
      </c>
      <c r="I8" s="34">
        <v>28302.809999999998</v>
      </c>
      <c r="J8" s="39">
        <v>42904.365870284877</v>
      </c>
      <c r="K8" s="39">
        <v>160625.43385697794</v>
      </c>
      <c r="L8" s="35"/>
      <c r="M8" s="91">
        <v>475575.10000000009</v>
      </c>
      <c r="N8" s="92"/>
      <c r="O8" s="92">
        <v>358125.99952263397</v>
      </c>
      <c r="P8" s="96"/>
      <c r="Q8" s="35"/>
    </row>
    <row r="9" spans="1:17" ht="15.75" thickBot="1">
      <c r="A9" s="37">
        <v>2230</v>
      </c>
      <c r="B9" s="40" t="s">
        <v>166</v>
      </c>
      <c r="C9" s="39">
        <v>48.3</v>
      </c>
      <c r="D9" s="39">
        <f>48.3-26.16</f>
        <v>22.139999999999997</v>
      </c>
      <c r="E9" s="39">
        <v>69.3</v>
      </c>
      <c r="F9" s="39">
        <v>237.5</v>
      </c>
      <c r="G9" s="39">
        <v>1.4347826086956521</v>
      </c>
      <c r="H9" s="39">
        <v>4.9171842650103521</v>
      </c>
      <c r="I9" s="34">
        <v>34.31</v>
      </c>
      <c r="J9" s="39">
        <v>49.227391304347826</v>
      </c>
      <c r="K9" s="39">
        <v>168.7085921325052</v>
      </c>
      <c r="L9" s="35"/>
      <c r="M9" s="44" t="s">
        <v>183</v>
      </c>
      <c r="N9" s="50">
        <v>117449.10047736613</v>
      </c>
      <c r="O9" s="45" t="s">
        <v>184</v>
      </c>
      <c r="P9" s="51">
        <v>0.24696225785867701</v>
      </c>
      <c r="Q9" s="35"/>
    </row>
    <row r="10" spans="1:17">
      <c r="A10" s="37">
        <v>2310</v>
      </c>
      <c r="B10" s="40" t="s">
        <v>141</v>
      </c>
      <c r="C10" s="39">
        <v>100.9</v>
      </c>
      <c r="D10" s="39">
        <v>104.65</v>
      </c>
      <c r="E10" s="39">
        <v>242</v>
      </c>
      <c r="F10" s="39">
        <v>553.4</v>
      </c>
      <c r="G10" s="39">
        <v>2.3984142715559957</v>
      </c>
      <c r="H10" s="39">
        <v>5.4846382556987114</v>
      </c>
      <c r="I10" s="34">
        <v>104.65</v>
      </c>
      <c r="J10" s="39">
        <v>250.99405351833497</v>
      </c>
      <c r="K10" s="39">
        <v>573.96739345887022</v>
      </c>
      <c r="L10" s="35"/>
      <c r="M10" s="35"/>
      <c r="N10" s="35"/>
      <c r="O10" s="35"/>
      <c r="P10" s="35"/>
      <c r="Q10" s="35"/>
    </row>
    <row r="11" spans="1:17">
      <c r="A11" s="37">
        <v>2320</v>
      </c>
      <c r="B11" s="40" t="s">
        <v>142</v>
      </c>
      <c r="C11" s="39">
        <v>106.81</v>
      </c>
      <c r="D11" s="39">
        <v>106.81</v>
      </c>
      <c r="E11" s="39">
        <v>269.10000000000002</v>
      </c>
      <c r="F11" s="39">
        <v>827.2</v>
      </c>
      <c r="G11" s="39">
        <v>2.5194270199419533</v>
      </c>
      <c r="H11" s="39">
        <v>7.7445932028836255</v>
      </c>
      <c r="I11" s="34">
        <v>106.81</v>
      </c>
      <c r="J11" s="39">
        <v>269.10000000000002</v>
      </c>
      <c r="K11" s="39">
        <v>827.2</v>
      </c>
      <c r="L11" s="35"/>
      <c r="M11" s="35"/>
      <c r="N11" s="35"/>
      <c r="O11" s="35"/>
      <c r="P11" s="35"/>
      <c r="Q11" s="35"/>
    </row>
    <row r="12" spans="1:17">
      <c r="A12" s="37">
        <v>2410</v>
      </c>
      <c r="B12" s="40" t="s">
        <v>134</v>
      </c>
      <c r="C12" s="39">
        <v>463.13</v>
      </c>
      <c r="D12" s="39">
        <f>463.12-58.15</f>
        <v>404.97</v>
      </c>
      <c r="E12" s="39">
        <v>1063.2</v>
      </c>
      <c r="F12" s="39">
        <v>2939.5</v>
      </c>
      <c r="G12" s="39">
        <v>2.2956837173147928</v>
      </c>
      <c r="H12" s="39">
        <v>6.3470299915790385</v>
      </c>
      <c r="I12" s="34">
        <v>463.12</v>
      </c>
      <c r="J12" s="39">
        <v>1063.1770431628267</v>
      </c>
      <c r="K12" s="39">
        <v>2939.4365297000845</v>
      </c>
      <c r="L12" s="35"/>
      <c r="M12" s="35"/>
      <c r="N12" s="35"/>
      <c r="O12" s="35"/>
      <c r="P12" s="35"/>
      <c r="Q12" s="35"/>
    </row>
    <row r="13" spans="1:17">
      <c r="A13" s="37">
        <v>2420</v>
      </c>
      <c r="B13" s="52" t="s">
        <v>187</v>
      </c>
      <c r="C13" s="39">
        <v>294.10000000000002</v>
      </c>
      <c r="D13" s="39">
        <v>294.11</v>
      </c>
      <c r="E13" s="39">
        <v>593.6</v>
      </c>
      <c r="F13" s="39">
        <v>2036.1</v>
      </c>
      <c r="G13" s="39">
        <v>2.0183611016661001</v>
      </c>
      <c r="H13" s="39">
        <v>6.9231553893233588</v>
      </c>
      <c r="I13" s="34">
        <v>294.11</v>
      </c>
      <c r="J13" s="39">
        <v>593.62018361101673</v>
      </c>
      <c r="K13" s="39">
        <v>2036.1692315538933</v>
      </c>
      <c r="L13" s="35"/>
      <c r="M13" s="35"/>
      <c r="N13" s="35"/>
      <c r="O13" s="35"/>
      <c r="P13" s="35"/>
      <c r="Q13" s="35"/>
    </row>
    <row r="14" spans="1:17">
      <c r="A14" s="37">
        <v>2430</v>
      </c>
      <c r="B14" s="40" t="s">
        <v>135</v>
      </c>
      <c r="C14" s="39">
        <v>1246</v>
      </c>
      <c r="D14" s="39">
        <f>1246-224.62</f>
        <v>1021.38</v>
      </c>
      <c r="E14" s="39">
        <v>2546.3000000000002</v>
      </c>
      <c r="F14" s="39">
        <v>7929</v>
      </c>
      <c r="G14" s="39">
        <v>2.0435794542536119</v>
      </c>
      <c r="H14" s="39">
        <v>6.3635634028892456</v>
      </c>
      <c r="I14" s="34">
        <v>1229.8800000000001</v>
      </c>
      <c r="J14" s="39">
        <v>2513.3574991974324</v>
      </c>
      <c r="K14" s="39">
        <v>7826.4193579454259</v>
      </c>
      <c r="L14" s="35"/>
      <c r="M14" s="35"/>
      <c r="N14" s="35"/>
      <c r="O14" s="35"/>
      <c r="P14" s="35"/>
      <c r="Q14" s="35"/>
    </row>
    <row r="15" spans="1:17">
      <c r="A15" s="37">
        <v>2500</v>
      </c>
      <c r="B15" s="40" t="s">
        <v>143</v>
      </c>
      <c r="C15" s="39">
        <v>132.57</v>
      </c>
      <c r="D15" s="39">
        <f>132.58-23.91</f>
        <v>108.67000000000002</v>
      </c>
      <c r="E15" s="39">
        <v>265.39999999999998</v>
      </c>
      <c r="F15" s="39">
        <v>839.4</v>
      </c>
      <c r="G15" s="39">
        <v>2.0019612280304746</v>
      </c>
      <c r="H15" s="39">
        <v>6.3317492645394884</v>
      </c>
      <c r="I15" s="34">
        <v>132.58000000000001</v>
      </c>
      <c r="J15" s="39">
        <v>265.42001961228033</v>
      </c>
      <c r="K15" s="39">
        <v>839.4633174926455</v>
      </c>
      <c r="L15" s="35"/>
      <c r="M15" s="35"/>
      <c r="N15" s="35"/>
      <c r="O15" s="35"/>
      <c r="P15" s="35"/>
      <c r="Q15" s="35"/>
    </row>
    <row r="16" spans="1:17">
      <c r="A16" s="37">
        <v>2510</v>
      </c>
      <c r="B16" s="40" t="s">
        <v>136</v>
      </c>
      <c r="C16" s="39">
        <v>784.43</v>
      </c>
      <c r="D16" s="39">
        <v>784.45</v>
      </c>
      <c r="E16" s="39">
        <v>1058.5</v>
      </c>
      <c r="F16" s="39">
        <v>6842</v>
      </c>
      <c r="G16" s="39">
        <v>1.3493874533100469</v>
      </c>
      <c r="H16" s="39">
        <v>8.7222569254108091</v>
      </c>
      <c r="I16" s="34">
        <v>784.45</v>
      </c>
      <c r="J16" s="39">
        <v>1058.5269877490664</v>
      </c>
      <c r="K16" s="39">
        <v>6842.1744451385093</v>
      </c>
      <c r="L16" s="35"/>
      <c r="M16" s="35"/>
      <c r="N16" s="35"/>
      <c r="O16" s="35"/>
      <c r="P16" s="35"/>
      <c r="Q16" s="35"/>
    </row>
    <row r="17" spans="1:17">
      <c r="A17" s="37">
        <v>2520</v>
      </c>
      <c r="B17" s="52" t="s">
        <v>188</v>
      </c>
      <c r="C17" s="39">
        <v>404.52</v>
      </c>
      <c r="D17" s="39">
        <v>419.09</v>
      </c>
      <c r="E17" s="39">
        <v>737.5</v>
      </c>
      <c r="F17" s="39">
        <v>2903.8</v>
      </c>
      <c r="G17" s="39">
        <v>1.8231484228221102</v>
      </c>
      <c r="H17" s="39">
        <v>7.1783842578858899</v>
      </c>
      <c r="I17" s="34">
        <v>419.09</v>
      </c>
      <c r="J17" s="39">
        <v>764.06327252051813</v>
      </c>
      <c r="K17" s="39">
        <v>3008.3890586373973</v>
      </c>
      <c r="L17" s="35"/>
      <c r="M17" s="35"/>
      <c r="N17" s="35"/>
      <c r="O17" s="35"/>
      <c r="P17" s="35"/>
      <c r="Q17" s="35"/>
    </row>
    <row r="18" spans="1:17">
      <c r="A18" s="53">
        <v>2540</v>
      </c>
      <c r="B18" s="54" t="s">
        <v>138</v>
      </c>
      <c r="C18" s="55">
        <v>204.17</v>
      </c>
      <c r="D18" s="55">
        <f>204.17-9.52</f>
        <v>194.64999999999998</v>
      </c>
      <c r="E18" s="55">
        <v>474.9</v>
      </c>
      <c r="F18" s="55">
        <v>1284.7</v>
      </c>
      <c r="G18" s="55">
        <v>2.3260028407699465</v>
      </c>
      <c r="H18" s="55">
        <v>6.292305431748054</v>
      </c>
      <c r="I18" s="34">
        <v>204.17</v>
      </c>
      <c r="J18" s="55">
        <v>474.89999999999992</v>
      </c>
      <c r="K18" s="55">
        <v>1284.7</v>
      </c>
      <c r="L18" s="35" t="s">
        <v>189</v>
      </c>
      <c r="M18" s="35"/>
      <c r="N18" s="35"/>
      <c r="O18" s="35"/>
      <c r="P18" s="35"/>
      <c r="Q18" s="35"/>
    </row>
    <row r="19" spans="1:17">
      <c r="A19" s="37">
        <v>3300</v>
      </c>
      <c r="B19" s="52" t="s">
        <v>162</v>
      </c>
      <c r="C19" s="39">
        <v>2700.11</v>
      </c>
      <c r="D19" s="39">
        <f>1906.76-74.26</f>
        <v>1832.5</v>
      </c>
      <c r="E19" s="39">
        <v>810.2</v>
      </c>
      <c r="F19" s="39">
        <v>6539.7</v>
      </c>
      <c r="G19" s="39">
        <v>0.30006184933206426</v>
      </c>
      <c r="H19" s="39">
        <v>2.4220124365303635</v>
      </c>
      <c r="I19" s="34">
        <v>1872.33</v>
      </c>
      <c r="J19" s="39">
        <v>561.81480235990387</v>
      </c>
      <c r="K19" s="39">
        <v>4534.806545288895</v>
      </c>
      <c r="L19" s="35"/>
      <c r="M19" s="35"/>
      <c r="N19" s="35"/>
      <c r="O19" s="35"/>
      <c r="P19" s="35"/>
      <c r="Q19" s="35"/>
    </row>
    <row r="20" spans="1:17">
      <c r="A20" s="56">
        <v>2610</v>
      </c>
      <c r="B20" s="41" t="s">
        <v>190</v>
      </c>
      <c r="C20" s="42"/>
      <c r="D20" s="42">
        <f>247.97-25.06</f>
        <v>222.91</v>
      </c>
      <c r="E20" s="42"/>
      <c r="F20" s="42"/>
      <c r="G20" s="42"/>
      <c r="H20" s="42"/>
      <c r="I20" s="34">
        <v>247.97</v>
      </c>
      <c r="J20" s="39">
        <v>0</v>
      </c>
      <c r="K20" s="39">
        <v>0</v>
      </c>
      <c r="L20" s="35" t="s">
        <v>191</v>
      </c>
      <c r="M20" s="35"/>
      <c r="N20" s="35"/>
      <c r="O20" s="35"/>
      <c r="P20" s="35"/>
      <c r="Q20" s="35"/>
    </row>
    <row r="21" spans="1:17">
      <c r="A21" s="56" t="s">
        <v>192</v>
      </c>
      <c r="B21" s="41" t="s">
        <v>193</v>
      </c>
      <c r="C21" s="42"/>
      <c r="D21" s="42"/>
      <c r="E21" s="42"/>
      <c r="F21" s="42"/>
      <c r="G21" s="42">
        <v>0.30006184933206426</v>
      </c>
      <c r="H21" s="42">
        <v>2.4220124365303635</v>
      </c>
      <c r="I21" s="34">
        <v>23613.23</v>
      </c>
      <c r="J21" s="39">
        <v>7085.4294625033799</v>
      </c>
      <c r="K21" s="39">
        <v>57191.536726651873</v>
      </c>
      <c r="L21" s="35" t="s">
        <v>191</v>
      </c>
      <c r="M21" s="35"/>
      <c r="N21" s="35"/>
      <c r="O21" s="35"/>
      <c r="P21" s="35"/>
      <c r="Q21" s="35"/>
    </row>
    <row r="22" spans="1:17">
      <c r="A22" s="56" t="s">
        <v>192</v>
      </c>
      <c r="B22" s="41" t="s">
        <v>194</v>
      </c>
      <c r="C22" s="42"/>
      <c r="D22" s="42"/>
      <c r="E22" s="42"/>
      <c r="F22" s="42"/>
      <c r="G22" s="42">
        <v>0.30006184933206426</v>
      </c>
      <c r="H22" s="42">
        <v>2.4220124365303635</v>
      </c>
      <c r="I22" s="34">
        <v>65497.59</v>
      </c>
      <c r="J22" s="39">
        <v>19653.327982193317</v>
      </c>
      <c r="K22" s="39">
        <v>158635.97754276675</v>
      </c>
      <c r="L22" s="35" t="s">
        <v>191</v>
      </c>
      <c r="M22" s="35"/>
      <c r="N22" s="35"/>
      <c r="O22" s="35"/>
      <c r="P22" s="35"/>
      <c r="Q22" s="35"/>
    </row>
    <row r="23" spans="1:17">
      <c r="A23" s="56" t="s">
        <v>192</v>
      </c>
      <c r="B23" s="41" t="s">
        <v>195</v>
      </c>
      <c r="C23" s="42"/>
      <c r="D23" s="42"/>
      <c r="E23" s="42"/>
      <c r="F23" s="42"/>
      <c r="G23" s="42"/>
      <c r="H23" s="42"/>
      <c r="I23" s="34">
        <v>15.43</v>
      </c>
      <c r="J23" s="39">
        <v>0</v>
      </c>
      <c r="K23" s="39">
        <v>0</v>
      </c>
      <c r="L23" s="35" t="s">
        <v>196</v>
      </c>
      <c r="M23" s="35"/>
      <c r="N23" s="35"/>
      <c r="O23" s="35"/>
      <c r="P23" s="35"/>
      <c r="Q23" s="35"/>
    </row>
    <row r="24" spans="1:17">
      <c r="A24" s="56" t="s">
        <v>192</v>
      </c>
      <c r="B24" s="41" t="s">
        <v>197</v>
      </c>
      <c r="C24" s="42"/>
      <c r="D24" s="42"/>
      <c r="E24" s="42"/>
      <c r="F24" s="42"/>
      <c r="G24" s="42"/>
      <c r="H24" s="42"/>
      <c r="I24" s="34">
        <v>1711.45</v>
      </c>
      <c r="J24" s="39">
        <v>0</v>
      </c>
      <c r="K24" s="39">
        <v>0</v>
      </c>
      <c r="L24" s="35" t="s">
        <v>196</v>
      </c>
      <c r="M24" s="35"/>
      <c r="N24" s="35"/>
      <c r="O24" s="35"/>
      <c r="P24" s="35"/>
      <c r="Q24" s="35"/>
    </row>
    <row r="25" spans="1:17">
      <c r="A25" s="56" t="s">
        <v>192</v>
      </c>
      <c r="B25" s="41" t="s">
        <v>198</v>
      </c>
      <c r="C25" s="42"/>
      <c r="D25" s="42"/>
      <c r="E25" s="42"/>
      <c r="F25" s="42"/>
      <c r="G25" s="42"/>
      <c r="H25" s="42"/>
      <c r="I25" s="34">
        <v>1.41</v>
      </c>
      <c r="J25" s="39">
        <v>0</v>
      </c>
      <c r="K25" s="39">
        <v>0</v>
      </c>
      <c r="L25" s="35" t="s">
        <v>196</v>
      </c>
      <c r="M25" s="35"/>
      <c r="N25" s="35"/>
      <c r="O25" s="35"/>
      <c r="P25" s="35"/>
      <c r="Q25" s="35"/>
    </row>
    <row r="26" spans="1:17">
      <c r="A26" s="90" t="s">
        <v>199</v>
      </c>
      <c r="B26" s="90"/>
      <c r="C26" s="36">
        <v>288884.34000000003</v>
      </c>
      <c r="D26" s="36">
        <f>SUM(D2:D25)</f>
        <v>237769.26</v>
      </c>
      <c r="E26" s="36">
        <v>475575.10000000009</v>
      </c>
      <c r="F26" s="36">
        <v>1963516.9</v>
      </c>
      <c r="G26" s="36"/>
      <c r="H26" s="36"/>
      <c r="I26" s="32">
        <f>SUM(I2:I25)</f>
        <v>285234.2099999999</v>
      </c>
      <c r="J26" s="36">
        <v>358125.99952263397</v>
      </c>
      <c r="K26" s="36">
        <v>1627968.2611974627</v>
      </c>
      <c r="L26" s="35"/>
      <c r="M26" s="35"/>
      <c r="N26" s="35"/>
      <c r="O26" s="35"/>
      <c r="P26" s="35"/>
      <c r="Q26" s="35"/>
    </row>
    <row r="28" spans="1:17">
      <c r="A28" s="35" t="s">
        <v>200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>
      <c r="A29" s="35" t="s">
        <v>201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2" spans="1:17">
      <c r="A32" s="33" t="s">
        <v>202</v>
      </c>
    </row>
  </sheetData>
  <mergeCells count="10">
    <mergeCell ref="M2:P2"/>
    <mergeCell ref="A26:B26"/>
    <mergeCell ref="M4:N4"/>
    <mergeCell ref="M3:N3"/>
    <mergeCell ref="O3:P3"/>
    <mergeCell ref="O4:P4"/>
    <mergeCell ref="M7:N7"/>
    <mergeCell ref="M8:N8"/>
    <mergeCell ref="O7:P7"/>
    <mergeCell ref="O8:P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J28"/>
  <sheetViews>
    <sheetView tabSelected="1" workbookViewId="0">
      <selection activeCell="I23" sqref="I23"/>
    </sheetView>
  </sheetViews>
  <sheetFormatPr defaultRowHeight="1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9" width="17.42578125" style="20" customWidth="1"/>
    <col min="10" max="16384" width="9.140625" style="19"/>
  </cols>
  <sheetData>
    <row r="1" spans="1:10" ht="15.75" thickBot="1">
      <c r="A1" s="71" t="s">
        <v>203</v>
      </c>
      <c r="B1" s="71"/>
      <c r="C1" s="71"/>
      <c r="D1" s="71"/>
      <c r="E1" s="71"/>
      <c r="F1" s="71"/>
      <c r="G1" s="71"/>
      <c r="H1" s="71"/>
      <c r="I1" s="71"/>
    </row>
    <row r="2" spans="1:10" ht="15.75" thickTop="1">
      <c r="A2" s="72" t="s">
        <v>139</v>
      </c>
      <c r="B2" s="72" t="s">
        <v>4</v>
      </c>
      <c r="C2" s="74" t="s">
        <v>167</v>
      </c>
      <c r="D2" s="76" t="s">
        <v>168</v>
      </c>
      <c r="E2" s="78" t="s">
        <v>169</v>
      </c>
      <c r="F2" s="80" t="s">
        <v>147</v>
      </c>
      <c r="G2" s="80"/>
      <c r="H2" s="80" t="s">
        <v>146</v>
      </c>
      <c r="I2" s="80"/>
    </row>
    <row r="3" spans="1:10" ht="15.75" thickBot="1">
      <c r="A3" s="73"/>
      <c r="B3" s="73"/>
      <c r="C3" s="75"/>
      <c r="D3" s="77"/>
      <c r="E3" s="79"/>
      <c r="F3" s="23" t="s">
        <v>145</v>
      </c>
      <c r="G3" s="27" t="s">
        <v>161</v>
      </c>
      <c r="H3" s="23" t="s">
        <v>145</v>
      </c>
      <c r="I3" s="27" t="s">
        <v>161</v>
      </c>
    </row>
    <row r="4" spans="1:10">
      <c r="A4" s="22">
        <v>2110</v>
      </c>
      <c r="B4" s="22" t="s">
        <v>131</v>
      </c>
      <c r="C4" s="67">
        <v>98747.596037297553</v>
      </c>
      <c r="D4" s="67">
        <v>168510.40000000157</v>
      </c>
      <c r="E4" s="67">
        <v>848055.49999999942</v>
      </c>
      <c r="F4" s="21">
        <f>(($D$4*cowcalf!$C$7)/100)</f>
        <v>18536.144000000171</v>
      </c>
      <c r="G4" s="28">
        <f>F4*0.9</f>
        <v>16682.529600000154</v>
      </c>
      <c r="H4" s="21">
        <f>((E4*cowcalf!$E$7)/100)</f>
        <v>144169.43499999991</v>
      </c>
      <c r="I4" s="28">
        <f>H4*0.9</f>
        <v>129752.49149999992</v>
      </c>
    </row>
    <row r="5" spans="1:10">
      <c r="A5" s="22">
        <v>2120</v>
      </c>
      <c r="B5" s="22" t="s">
        <v>129</v>
      </c>
      <c r="C5" s="67">
        <v>14730.739090412952</v>
      </c>
      <c r="D5" s="67">
        <v>19414.599999999966</v>
      </c>
      <c r="E5" s="67">
        <v>57580.399999999907</v>
      </c>
      <c r="F5" s="21">
        <f>((D5*cowcalf!$C$16)/100)</f>
        <v>1359.0219999999974</v>
      </c>
      <c r="G5" s="28">
        <f t="shared" ref="G5:G21" si="0">F5*0.9</f>
        <v>1223.1197999999977</v>
      </c>
      <c r="H5" s="21">
        <f>((E5*cowcalf!$E$16)/100)</f>
        <v>6333.84399999999</v>
      </c>
      <c r="I5" s="28">
        <f t="shared" ref="I5:I21" si="1">H5*0.9</f>
        <v>5700.459599999991</v>
      </c>
      <c r="J5" s="19" t="s">
        <v>152</v>
      </c>
    </row>
    <row r="6" spans="1:10">
      <c r="A6" s="22">
        <v>2130</v>
      </c>
      <c r="B6" s="22" t="s">
        <v>130</v>
      </c>
      <c r="C6" s="67">
        <v>24144.289246898614</v>
      </c>
      <c r="D6" s="67">
        <v>28724.299999999796</v>
      </c>
      <c r="E6" s="67">
        <v>88148.999999999956</v>
      </c>
      <c r="F6" s="21">
        <f>((D6*cowcalf!$C$25)/100)</f>
        <v>1148.9719999999918</v>
      </c>
      <c r="G6" s="28">
        <f t="shared" si="0"/>
        <v>1034.0747999999926</v>
      </c>
      <c r="H6" s="21">
        <f>((E6*cowcalf!$E$25)/100)</f>
        <v>3525.9599999999982</v>
      </c>
      <c r="I6" s="28">
        <f t="shared" si="1"/>
        <v>3173.3639999999987</v>
      </c>
      <c r="J6" s="19" t="s">
        <v>153</v>
      </c>
    </row>
    <row r="7" spans="1:10">
      <c r="A7" s="22">
        <v>2140</v>
      </c>
      <c r="B7" s="22" t="s">
        <v>140</v>
      </c>
      <c r="C7" s="67">
        <v>12221.018780038086</v>
      </c>
      <c r="D7" s="67">
        <v>34170.699999999975</v>
      </c>
      <c r="E7" s="67">
        <v>93763.39999999998</v>
      </c>
      <c r="F7" s="21">
        <f>((D7*rowcrop!$C$7)/100)</f>
        <v>10251.209999999994</v>
      </c>
      <c r="G7" s="28">
        <f t="shared" si="0"/>
        <v>9226.0889999999945</v>
      </c>
      <c r="H7" s="17">
        <f>((E7*rowcrop!$E$7)/100)</f>
        <v>28129.019999999997</v>
      </c>
      <c r="I7" s="28">
        <f t="shared" si="1"/>
        <v>25316.117999999999</v>
      </c>
      <c r="J7" s="19" t="s">
        <v>154</v>
      </c>
    </row>
    <row r="8" spans="1:10">
      <c r="A8" s="22">
        <v>2150</v>
      </c>
      <c r="B8" s="22" t="s">
        <v>132</v>
      </c>
      <c r="C8" s="67">
        <v>2772.403875648858</v>
      </c>
      <c r="D8" s="67">
        <v>7077.4000000000033</v>
      </c>
      <c r="E8" s="67">
        <v>18090.300000000007</v>
      </c>
      <c r="F8" s="21">
        <f>((D8*hay!$C$7)/100)</f>
        <v>1061.6100000000004</v>
      </c>
      <c r="G8" s="28">
        <f t="shared" si="0"/>
        <v>955.4490000000003</v>
      </c>
      <c r="H8" s="21">
        <f>((E8*hay!$E$7)/100)</f>
        <v>2713.545000000001</v>
      </c>
      <c r="I8" s="28">
        <f t="shared" si="1"/>
        <v>2442.1905000000011</v>
      </c>
      <c r="J8" s="19" t="s">
        <v>155</v>
      </c>
    </row>
    <row r="9" spans="1:10">
      <c r="A9" s="22">
        <v>2156</v>
      </c>
      <c r="B9" s="22" t="s">
        <v>163</v>
      </c>
      <c r="C9" s="67">
        <v>821.58653956119338</v>
      </c>
      <c r="D9" s="67">
        <v>1427.9</v>
      </c>
      <c r="E9" s="67">
        <v>4687.5</v>
      </c>
      <c r="F9" s="21">
        <f>((D9*sugarcane!$C$7)/100)</f>
        <v>142.79</v>
      </c>
      <c r="G9" s="28">
        <f t="shared" si="0"/>
        <v>128.511</v>
      </c>
      <c r="H9" s="21">
        <f>((E9*sugarcane!$E$7)/100)</f>
        <v>468.75</v>
      </c>
      <c r="I9" s="28">
        <f t="shared" si="1"/>
        <v>421.875</v>
      </c>
      <c r="J9" s="19" t="s">
        <v>164</v>
      </c>
    </row>
    <row r="10" spans="1:10">
      <c r="A10" s="22">
        <v>2210</v>
      </c>
      <c r="B10" s="22" t="s">
        <v>133</v>
      </c>
      <c r="C10" s="67">
        <v>26725.417488013562</v>
      </c>
      <c r="D10" s="67">
        <v>91765.800000000309</v>
      </c>
      <c r="E10" s="67">
        <v>285834.30000000005</v>
      </c>
      <c r="F10" s="21">
        <f>((D10*citrus!$C$7)/100)</f>
        <v>11011.896000000039</v>
      </c>
      <c r="G10" s="28">
        <f t="shared" si="0"/>
        <v>9910.7064000000355</v>
      </c>
      <c r="H10" s="21">
        <f>((E10*citrus!$E$7)/100)</f>
        <v>28583.430000000004</v>
      </c>
      <c r="I10" s="28">
        <f t="shared" si="1"/>
        <v>25725.087000000003</v>
      </c>
      <c r="J10" s="19" t="s">
        <v>151</v>
      </c>
    </row>
    <row r="11" spans="1:10">
      <c r="A11" s="22">
        <v>2230</v>
      </c>
      <c r="B11" s="22" t="s">
        <v>166</v>
      </c>
      <c r="C11" s="67">
        <v>34.25789883972849</v>
      </c>
      <c r="D11" s="67">
        <v>52.400000000000006</v>
      </c>
      <c r="E11" s="67">
        <v>168.9</v>
      </c>
      <c r="F11" s="21">
        <f>((D11*citrus!$C$7)/100)</f>
        <v>6.2880000000000003</v>
      </c>
      <c r="G11" s="28">
        <f t="shared" si="0"/>
        <v>5.6592000000000002</v>
      </c>
      <c r="H11" s="21">
        <f>((E11*citrus!$E$7)/100)</f>
        <v>16.89</v>
      </c>
      <c r="I11" s="28">
        <f t="shared" si="1"/>
        <v>15.201000000000001</v>
      </c>
      <c r="J11" s="19" t="s">
        <v>151</v>
      </c>
    </row>
    <row r="12" spans="1:10">
      <c r="A12" s="22">
        <v>2310</v>
      </c>
      <c r="B12" s="22" t="s">
        <v>141</v>
      </c>
      <c r="C12" s="67">
        <v>100.90031899342569</v>
      </c>
      <c r="D12" s="67">
        <v>242</v>
      </c>
      <c r="E12" s="67">
        <v>553.4</v>
      </c>
      <c r="F12" s="21">
        <f>((D12*dairies!$C$7)/100)</f>
        <v>21.78</v>
      </c>
      <c r="G12" s="28">
        <f t="shared" si="0"/>
        <v>19.602</v>
      </c>
      <c r="H12" s="21">
        <f>((E12*dairies!$E$7)/100)</f>
        <v>110.68</v>
      </c>
      <c r="I12" s="28">
        <f t="shared" si="1"/>
        <v>99.612000000000009</v>
      </c>
      <c r="J12" s="19" t="s">
        <v>156</v>
      </c>
    </row>
    <row r="13" spans="1:10">
      <c r="A13" s="22">
        <v>2320</v>
      </c>
      <c r="B13" s="22" t="s">
        <v>142</v>
      </c>
      <c r="C13" s="67">
        <v>106.81325586669215</v>
      </c>
      <c r="D13" s="67">
        <v>239.4</v>
      </c>
      <c r="E13" s="67">
        <v>725.50000000000011</v>
      </c>
      <c r="F13" s="21">
        <f>((D13*hay!$C$7)/100)</f>
        <v>35.909999999999997</v>
      </c>
      <c r="G13" s="28">
        <f t="shared" si="0"/>
        <v>32.318999999999996</v>
      </c>
      <c r="H13" s="21">
        <f>((E13*hay!$E$7)/100)</f>
        <v>108.82500000000002</v>
      </c>
      <c r="I13" s="28">
        <f t="shared" si="1"/>
        <v>97.942500000000024</v>
      </c>
      <c r="J13" s="19" t="s">
        <v>160</v>
      </c>
    </row>
    <row r="14" spans="1:10">
      <c r="A14" s="22">
        <v>2410</v>
      </c>
      <c r="B14" s="22" t="s">
        <v>134</v>
      </c>
      <c r="C14" s="67">
        <v>422.00422733959795</v>
      </c>
      <c r="D14" s="67">
        <v>946.79999999999984</v>
      </c>
      <c r="E14" s="67">
        <v>2571.2000000000007</v>
      </c>
      <c r="F14" s="21">
        <f>((D14*ornamentals!$C$7)/100)</f>
        <v>302.97599999999994</v>
      </c>
      <c r="G14" s="28">
        <f t="shared" si="0"/>
        <v>272.67839999999995</v>
      </c>
      <c r="H14" s="21">
        <f>((E14*ornamentals!$E$7)/100)</f>
        <v>642.80000000000018</v>
      </c>
      <c r="I14" s="28">
        <f t="shared" si="1"/>
        <v>578.52000000000021</v>
      </c>
      <c r="J14" s="19" t="s">
        <v>148</v>
      </c>
    </row>
    <row r="15" spans="1:10" s="63" customFormat="1">
      <c r="A15" s="65">
        <v>2420</v>
      </c>
      <c r="B15" s="40" t="s">
        <v>187</v>
      </c>
      <c r="C15" s="14">
        <v>294.1039454974337</v>
      </c>
      <c r="D15" s="14">
        <v>454.20000000000005</v>
      </c>
      <c r="E15" s="14">
        <v>1557.6000000000001</v>
      </c>
      <c r="F15" s="67">
        <f>((D15*sod!C7)/100)</f>
        <v>90.84</v>
      </c>
      <c r="G15" s="69">
        <f t="shared" si="0"/>
        <v>81.756</v>
      </c>
      <c r="H15" s="67">
        <f>((E15*sod!E7)/100)</f>
        <v>311.52000000000004</v>
      </c>
      <c r="I15" s="66"/>
    </row>
    <row r="16" spans="1:10">
      <c r="A16" s="22">
        <v>2430</v>
      </c>
      <c r="B16" s="22" t="s">
        <v>135</v>
      </c>
      <c r="C16" s="67">
        <v>1027.4867696754279</v>
      </c>
      <c r="D16" s="67">
        <v>2015.0000000000005</v>
      </c>
      <c r="E16" s="67">
        <v>6273.7</v>
      </c>
      <c r="F16" s="21">
        <f>((D16*ornamentals!$C$7)/100)</f>
        <v>644.80000000000018</v>
      </c>
      <c r="G16" s="28">
        <f t="shared" si="0"/>
        <v>580.32000000000016</v>
      </c>
      <c r="H16" s="21">
        <f>((E16*ornamentals!$E$7)/100)</f>
        <v>1568.425</v>
      </c>
      <c r="I16" s="28">
        <f t="shared" si="1"/>
        <v>1411.5825</v>
      </c>
      <c r="J16" s="19" t="s">
        <v>148</v>
      </c>
    </row>
    <row r="17" spans="1:10">
      <c r="A17" s="22">
        <v>2500</v>
      </c>
      <c r="B17" s="22" t="s">
        <v>143</v>
      </c>
      <c r="C17" s="67">
        <v>108.66555006091529</v>
      </c>
      <c r="D17" s="67">
        <v>207.39999999999998</v>
      </c>
      <c r="E17" s="67">
        <v>659.19999999999993</v>
      </c>
      <c r="F17" s="21">
        <f>((D17*equine!$C$7)/100)</f>
        <v>41.48</v>
      </c>
      <c r="G17" s="28">
        <f t="shared" si="0"/>
        <v>37.332000000000001</v>
      </c>
      <c r="H17" s="21">
        <f>((E17*equine!$E$7)/100)</f>
        <v>197.75999999999996</v>
      </c>
      <c r="I17" s="28">
        <f t="shared" si="1"/>
        <v>177.98399999999998</v>
      </c>
      <c r="J17" s="19" t="s">
        <v>149</v>
      </c>
    </row>
    <row r="18" spans="1:10">
      <c r="A18" s="22">
        <v>2510</v>
      </c>
      <c r="B18" s="22" t="s">
        <v>136</v>
      </c>
      <c r="C18" s="67">
        <v>814.2315639644778</v>
      </c>
      <c r="D18" s="67">
        <v>931.50000000000023</v>
      </c>
      <c r="E18" s="67">
        <v>5879.6</v>
      </c>
      <c r="F18" s="39">
        <f>((D18*equine!$C$7)/100)</f>
        <v>186.30000000000004</v>
      </c>
      <c r="G18" s="28">
        <f t="shared" si="0"/>
        <v>167.67000000000004</v>
      </c>
      <c r="H18" s="21">
        <f>((E18*equine!$E$7)/100)</f>
        <v>1763.88</v>
      </c>
      <c r="I18" s="28">
        <f t="shared" si="1"/>
        <v>1587.4920000000002</v>
      </c>
      <c r="J18" s="19" t="s">
        <v>149</v>
      </c>
    </row>
    <row r="19" spans="1:10" s="63" customFormat="1">
      <c r="A19" s="65">
        <v>2520</v>
      </c>
      <c r="B19" s="40" t="s">
        <v>188</v>
      </c>
      <c r="C19" s="14">
        <v>404.52233154880963</v>
      </c>
      <c r="D19" s="14">
        <v>737.50000000000011</v>
      </c>
      <c r="E19" s="14">
        <v>2903.8</v>
      </c>
      <c r="F19" s="67">
        <f>((D19*dairies!C7)/100)</f>
        <v>66.375000000000014</v>
      </c>
      <c r="G19" s="69">
        <f t="shared" si="0"/>
        <v>59.737500000000011</v>
      </c>
      <c r="H19" s="67">
        <f>((E19*dairies!E7)/100)</f>
        <v>580.76</v>
      </c>
      <c r="I19" s="69">
        <f t="shared" si="1"/>
        <v>522.68399999999997</v>
      </c>
    </row>
    <row r="20" spans="1:10">
      <c r="A20" s="24">
        <v>2540</v>
      </c>
      <c r="B20" s="24" t="s">
        <v>138</v>
      </c>
      <c r="C20" s="68">
        <v>194.6462464629345</v>
      </c>
      <c r="D20" s="68">
        <v>457.30000000000013</v>
      </c>
      <c r="E20" s="68">
        <v>1231.4999999999998</v>
      </c>
      <c r="F20" s="25" t="s">
        <v>144</v>
      </c>
      <c r="G20" s="42"/>
      <c r="H20" s="42"/>
      <c r="I20" s="42"/>
    </row>
    <row r="21" spans="1:10">
      <c r="A21" s="22">
        <v>3300</v>
      </c>
      <c r="B21" s="22" t="s">
        <v>162</v>
      </c>
      <c r="C21" s="67">
        <v>2381.0381026824707</v>
      </c>
      <c r="D21" s="67">
        <v>680.30000000000052</v>
      </c>
      <c r="E21" s="67">
        <v>5387.5000000000009</v>
      </c>
      <c r="F21" s="21">
        <f>((D21*cowcalf!$C$25)/100)</f>
        <v>27.212000000000021</v>
      </c>
      <c r="G21" s="28">
        <f t="shared" si="0"/>
        <v>24.490800000000018</v>
      </c>
      <c r="H21" s="21">
        <f>((E21*cowcalf!$E$25)/100)</f>
        <v>215.50000000000003</v>
      </c>
      <c r="I21" s="28">
        <f t="shared" si="1"/>
        <v>193.95000000000002</v>
      </c>
      <c r="J21" s="19" t="s">
        <v>165</v>
      </c>
    </row>
    <row r="22" spans="1:10">
      <c r="A22" s="70" t="s">
        <v>158</v>
      </c>
      <c r="B22" s="70"/>
      <c r="C22" s="70"/>
      <c r="D22" s="70"/>
      <c r="E22" s="70"/>
      <c r="F22" s="16">
        <f>SUM(F4:F21)</f>
        <v>44935.6050000002</v>
      </c>
      <c r="G22" s="29">
        <f>SUM(G4:G21)</f>
        <v>40442.044500000171</v>
      </c>
      <c r="H22" s="16">
        <f>SUM(H4:H21)</f>
        <v>219441.02399999989</v>
      </c>
      <c r="I22" s="29">
        <f>SUM(I4:I21)</f>
        <v>197216.5535999999</v>
      </c>
    </row>
    <row r="23" spans="1:10">
      <c r="A23" s="70" t="s">
        <v>157</v>
      </c>
      <c r="B23" s="70"/>
      <c r="C23" s="70"/>
      <c r="D23" s="70"/>
      <c r="E23" s="70"/>
      <c r="F23" s="15">
        <f>F22/SUM($D$4:$D$21)</f>
        <v>0.12549920417232105</v>
      </c>
      <c r="G23" s="30">
        <f>G22/SUM($D$4:$D$18)</f>
        <v>0.11354390254584898</v>
      </c>
      <c r="H23" s="15">
        <f>H22/SUM($E$4:$E$18)</f>
        <v>0.15513138564610146</v>
      </c>
      <c r="I23" s="30">
        <f>I22/SUM($E$4:$E$18)</f>
        <v>0.13942004404935987</v>
      </c>
    </row>
    <row r="24" spans="1:10" s="35" customFormat="1">
      <c r="A24" s="70" t="s">
        <v>206</v>
      </c>
      <c r="B24" s="70"/>
      <c r="C24" s="70"/>
      <c r="D24" s="70"/>
      <c r="E24" s="70"/>
      <c r="F24" s="15">
        <f>F22/C27</f>
        <v>0.14634192451613598</v>
      </c>
      <c r="G24" s="30">
        <f>G22/C27</f>
        <v>0.13170773206452235</v>
      </c>
      <c r="H24" s="15">
        <f>H22/C28</f>
        <v>0.26994039295186251</v>
      </c>
      <c r="I24" s="30">
        <f>I22/C28</f>
        <v>0.24260146532763197</v>
      </c>
    </row>
    <row r="25" spans="1:10">
      <c r="B25" s="26" t="s">
        <v>159</v>
      </c>
      <c r="C25" s="20">
        <f>SUM(C4:C21)</f>
        <v>186051.72126880274</v>
      </c>
    </row>
    <row r="26" spans="1:10">
      <c r="B26" s="26"/>
    </row>
    <row r="27" spans="1:10">
      <c r="B27" s="35" t="s">
        <v>207</v>
      </c>
      <c r="C27" s="19">
        <v>307059</v>
      </c>
    </row>
    <row r="28" spans="1:10">
      <c r="B28" s="35" t="s">
        <v>208</v>
      </c>
      <c r="C28" s="19">
        <v>812924</v>
      </c>
    </row>
  </sheetData>
  <mergeCells count="11">
    <mergeCell ref="A24:E24"/>
    <mergeCell ref="A22:E22"/>
    <mergeCell ref="A23:E23"/>
    <mergeCell ref="A1:I1"/>
    <mergeCell ref="A2:A3"/>
    <mergeCell ref="B2:B3"/>
    <mergeCell ref="C2:C3"/>
    <mergeCell ref="D2:D3"/>
    <mergeCell ref="E2:E3"/>
    <mergeCell ref="F2:G2"/>
    <mergeCell ref="H2:I2"/>
  </mergeCells>
  <pageMargins left="0.7" right="0.7" top="0.75" bottom="0.75" header="0.3" footer="0.3"/>
  <pageSetup paperSize="5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L20" sqref="L20"/>
    </sheetView>
  </sheetViews>
  <sheetFormatPr defaultRowHeight="15"/>
  <cols>
    <col min="1" max="1" width="11.140625" style="57" bestFit="1" customWidth="1"/>
    <col min="2" max="2" width="21" style="57" customWidth="1"/>
    <col min="3" max="3" width="12.42578125" style="57" bestFit="1" customWidth="1"/>
    <col min="4" max="4" width="15" style="18" bestFit="1" customWidth="1"/>
    <col min="5" max="5" width="15.28515625" style="57" bestFit="1" customWidth="1"/>
    <col min="6" max="9" width="17.42578125" style="58" customWidth="1"/>
    <col min="10" max="16384" width="9.140625" style="57"/>
  </cols>
  <sheetData>
    <row r="1" spans="1:9" ht="15.75" thickBot="1">
      <c r="A1" s="71" t="s">
        <v>211</v>
      </c>
      <c r="B1" s="71"/>
      <c r="C1" s="71"/>
      <c r="D1" s="71"/>
      <c r="E1" s="71"/>
      <c r="F1" s="71"/>
      <c r="G1" s="71"/>
      <c r="H1" s="71"/>
      <c r="I1" s="71"/>
    </row>
    <row r="2" spans="1:9" ht="15.75" customHeight="1" thickTop="1">
      <c r="A2" s="72" t="s">
        <v>139</v>
      </c>
      <c r="B2" s="72" t="s">
        <v>4</v>
      </c>
      <c r="C2" s="74" t="s">
        <v>167</v>
      </c>
      <c r="D2" s="76" t="s">
        <v>168</v>
      </c>
      <c r="E2" s="78" t="s">
        <v>169</v>
      </c>
      <c r="F2" s="80" t="s">
        <v>147</v>
      </c>
      <c r="G2" s="80"/>
      <c r="H2" s="80" t="s">
        <v>146</v>
      </c>
      <c r="I2" s="80"/>
    </row>
    <row r="3" spans="1:9" ht="15.75" thickBot="1">
      <c r="A3" s="73"/>
      <c r="B3" s="73"/>
      <c r="C3" s="75"/>
      <c r="D3" s="77"/>
      <c r="E3" s="79"/>
      <c r="F3" s="23" t="s">
        <v>145</v>
      </c>
      <c r="G3" s="27" t="s">
        <v>161</v>
      </c>
      <c r="H3" s="23" t="s">
        <v>145</v>
      </c>
      <c r="I3" s="27" t="s">
        <v>161</v>
      </c>
    </row>
    <row r="4" spans="1:9">
      <c r="A4" s="40">
        <v>2110</v>
      </c>
      <c r="B4" s="40" t="s">
        <v>131</v>
      </c>
      <c r="C4" s="64">
        <v>196.05</v>
      </c>
      <c r="D4" s="64">
        <v>227.89999999999998</v>
      </c>
      <c r="E4" s="64">
        <v>1012.8</v>
      </c>
      <c r="F4" s="59">
        <f>(($D$4*cowcalf!$C$7)/100)</f>
        <v>25.068999999999996</v>
      </c>
      <c r="G4" s="28">
        <f>F4*0.9</f>
        <v>22.562099999999997</v>
      </c>
      <c r="H4" s="59">
        <f>((E4*cowcalf!$E$7)/100)</f>
        <v>172.17599999999999</v>
      </c>
      <c r="I4" s="28">
        <f>H4*0.9</f>
        <v>154.95839999999998</v>
      </c>
    </row>
    <row r="5" spans="1:9">
      <c r="A5" s="40">
        <v>2120</v>
      </c>
      <c r="B5" s="40" t="s">
        <v>129</v>
      </c>
      <c r="C5" s="64">
        <v>43.28</v>
      </c>
      <c r="D5" s="64">
        <v>25.300000000000004</v>
      </c>
      <c r="E5" s="64">
        <v>129.80000000000001</v>
      </c>
      <c r="F5" s="59">
        <f>((D5*cowcalf!$C$16)/100)</f>
        <v>1.7710000000000001</v>
      </c>
      <c r="G5" s="28">
        <f t="shared" ref="G5:G10" si="0">F5*0.9</f>
        <v>1.5939000000000001</v>
      </c>
      <c r="H5" s="59">
        <f>((E5*cowcalf!$E$16)/100)</f>
        <v>14.278000000000002</v>
      </c>
      <c r="I5" s="28">
        <f t="shared" ref="I5:I10" si="1">H5*0.9</f>
        <v>12.850200000000003</v>
      </c>
    </row>
    <row r="6" spans="1:9">
      <c r="A6" s="40">
        <v>2130</v>
      </c>
      <c r="B6" s="40" t="s">
        <v>130</v>
      </c>
      <c r="C6" s="64">
        <v>110.25</v>
      </c>
      <c r="D6" s="64">
        <v>65.100000000000009</v>
      </c>
      <c r="E6" s="64">
        <v>332.50000000000006</v>
      </c>
      <c r="F6" s="59">
        <f>((D6*cowcalf!$C$25)/100)</f>
        <v>2.6040000000000005</v>
      </c>
      <c r="G6" s="28">
        <f t="shared" si="0"/>
        <v>2.3436000000000003</v>
      </c>
      <c r="H6" s="59">
        <f>((E6*cowcalf!$E$25)/100)</f>
        <v>13.300000000000002</v>
      </c>
      <c r="I6" s="28">
        <f t="shared" si="1"/>
        <v>11.970000000000002</v>
      </c>
    </row>
    <row r="7" spans="1:9">
      <c r="A7" s="40">
        <v>2140</v>
      </c>
      <c r="B7" s="52" t="s">
        <v>212</v>
      </c>
      <c r="C7" s="14">
        <v>0.3</v>
      </c>
      <c r="D7" s="14">
        <v>0.7</v>
      </c>
      <c r="E7" s="14">
        <v>2</v>
      </c>
      <c r="F7" s="59">
        <f>((D7*rowcrop!$C$7)/100)</f>
        <v>0.21</v>
      </c>
      <c r="G7" s="28">
        <f>E7*0.9</f>
        <v>1.8</v>
      </c>
      <c r="H7" s="59">
        <f>((E7*rowcrop!$E$7)/100)</f>
        <v>0.6</v>
      </c>
      <c r="I7" s="28">
        <f t="shared" si="1"/>
        <v>0.54</v>
      </c>
    </row>
    <row r="8" spans="1:9">
      <c r="A8" s="40">
        <v>2210</v>
      </c>
      <c r="B8" s="40" t="s">
        <v>133</v>
      </c>
      <c r="C8" s="64">
        <v>0.39</v>
      </c>
      <c r="D8" s="64">
        <v>0.5</v>
      </c>
      <c r="E8" s="64">
        <v>2.2000000000000002</v>
      </c>
      <c r="F8" s="59">
        <f>((D8*citrus!$C$7)/100)</f>
        <v>0.06</v>
      </c>
      <c r="G8" s="28">
        <f t="shared" si="0"/>
        <v>5.3999999999999999E-2</v>
      </c>
      <c r="H8" s="59">
        <f>((E8*citrus!$E$7)/100)</f>
        <v>0.22</v>
      </c>
      <c r="I8" s="28">
        <f t="shared" si="1"/>
        <v>0.19800000000000001</v>
      </c>
    </row>
    <row r="9" spans="1:9">
      <c r="A9" s="40">
        <v>2510</v>
      </c>
      <c r="B9" s="52" t="s">
        <v>136</v>
      </c>
      <c r="C9" s="14">
        <v>4.38</v>
      </c>
      <c r="D9" s="14">
        <v>6</v>
      </c>
      <c r="E9" s="14">
        <v>36.299999999999997</v>
      </c>
      <c r="F9" s="64">
        <f>((D9*equine!$C$7)/100)</f>
        <v>1.2</v>
      </c>
      <c r="G9" s="66">
        <f t="shared" si="0"/>
        <v>1.08</v>
      </c>
      <c r="H9" s="64">
        <f>((E9*equine!$E$7)/100)</f>
        <v>10.89</v>
      </c>
      <c r="I9" s="66">
        <f t="shared" si="1"/>
        <v>9.8010000000000002</v>
      </c>
    </row>
    <row r="10" spans="1:9">
      <c r="A10" s="40">
        <v>3300</v>
      </c>
      <c r="B10" s="40" t="s">
        <v>162</v>
      </c>
      <c r="C10" s="64">
        <v>8.25</v>
      </c>
      <c r="D10" s="64">
        <v>2.6</v>
      </c>
      <c r="E10" s="64">
        <v>19.5</v>
      </c>
      <c r="F10" s="59">
        <f>((D10*cowcalf!$C$25)/100)</f>
        <v>0.10400000000000001</v>
      </c>
      <c r="G10" s="28">
        <f t="shared" si="0"/>
        <v>9.3600000000000017E-2</v>
      </c>
      <c r="H10" s="59">
        <f>((E10*cowcalf!$E$25)/100)</f>
        <v>0.78</v>
      </c>
      <c r="I10" s="28">
        <f t="shared" si="1"/>
        <v>0.70200000000000007</v>
      </c>
    </row>
    <row r="11" spans="1:9">
      <c r="A11" s="70" t="s">
        <v>158</v>
      </c>
      <c r="B11" s="70"/>
      <c r="C11" s="70"/>
      <c r="D11" s="70"/>
      <c r="E11" s="70"/>
      <c r="F11" s="16">
        <f>SUM(F4:F10)</f>
        <v>31.017999999999994</v>
      </c>
      <c r="G11" s="29">
        <f>SUM(G4:G10)</f>
        <v>29.527199999999997</v>
      </c>
      <c r="H11" s="16">
        <f>SUM(H4:H10)</f>
        <v>212.244</v>
      </c>
      <c r="I11" s="29">
        <f>SUM(I4:I10)</f>
        <v>191.01959999999997</v>
      </c>
    </row>
    <row r="12" spans="1:9">
      <c r="A12" s="70" t="s">
        <v>157</v>
      </c>
      <c r="B12" s="70"/>
      <c r="C12" s="70"/>
      <c r="D12" s="70"/>
      <c r="E12" s="70"/>
      <c r="F12" s="15">
        <f>F11/SUM($D$4:$D$8)</f>
        <v>9.7082942097026587E-2</v>
      </c>
      <c r="G12" s="30">
        <f>G11/SUM($D$4:$D$8)</f>
        <v>9.24169014084507E-2</v>
      </c>
      <c r="H12" s="15">
        <f>H11/SUM($E$4:$E$8)</f>
        <v>0.14347596836341514</v>
      </c>
      <c r="I12" s="30">
        <f>I11/SUM($E$4:$E$8)</f>
        <v>0.1291283715270736</v>
      </c>
    </row>
    <row r="13" spans="1:9">
      <c r="A13" s="70" t="s">
        <v>206</v>
      </c>
      <c r="B13" s="70"/>
      <c r="C13" s="70"/>
      <c r="D13" s="70"/>
      <c r="E13" s="70"/>
      <c r="F13" s="15">
        <f>F11/C16</f>
        <v>8.811931818181816E-3</v>
      </c>
      <c r="G13" s="30">
        <f>G11/C16</f>
        <v>8.3884090909090905E-3</v>
      </c>
      <c r="H13" s="15">
        <f>H11/C17</f>
        <v>2.243119847812302E-2</v>
      </c>
      <c r="I13" s="30">
        <f>I11/C17</f>
        <v>2.0188078630310712E-2</v>
      </c>
    </row>
    <row r="14" spans="1:9">
      <c r="B14" s="26" t="s">
        <v>159</v>
      </c>
      <c r="C14" s="58">
        <f>SUM(C4:C10)</f>
        <v>362.90000000000003</v>
      </c>
    </row>
    <row r="15" spans="1:9">
      <c r="B15" s="26"/>
    </row>
    <row r="16" spans="1:9">
      <c r="B16" s="57" t="s">
        <v>207</v>
      </c>
      <c r="C16" s="60">
        <v>3520</v>
      </c>
    </row>
    <row r="17" spans="2:3">
      <c r="B17" s="57" t="s">
        <v>208</v>
      </c>
      <c r="C17" s="60">
        <v>9462</v>
      </c>
    </row>
  </sheetData>
  <mergeCells count="11">
    <mergeCell ref="A11:E11"/>
    <mergeCell ref="A12:E12"/>
    <mergeCell ref="A13:E13"/>
    <mergeCell ref="A1:I1"/>
    <mergeCell ref="A2:A3"/>
    <mergeCell ref="B2:B3"/>
    <mergeCell ref="C2:C3"/>
    <mergeCell ref="D2:D3"/>
    <mergeCell ref="E2:E3"/>
    <mergeCell ref="F2:G2"/>
    <mergeCell ref="H2:I2"/>
  </mergeCells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I16" sqref="I16"/>
    </sheetView>
  </sheetViews>
  <sheetFormatPr defaultRowHeight="15"/>
  <cols>
    <col min="1" max="1" width="11.140625" style="35" bestFit="1" customWidth="1"/>
    <col min="2" max="2" width="21" style="35" customWidth="1"/>
    <col min="3" max="3" width="12.42578125" style="35" bestFit="1" customWidth="1"/>
    <col min="4" max="4" width="15" style="18" bestFit="1" customWidth="1"/>
    <col min="5" max="5" width="15.28515625" style="35" bestFit="1" customWidth="1"/>
    <col min="6" max="9" width="17.42578125" style="36" customWidth="1"/>
    <col min="10" max="16384" width="9.140625" style="35"/>
  </cols>
  <sheetData>
    <row r="1" spans="1:10" ht="15.75" thickBot="1">
      <c r="A1" s="71" t="s">
        <v>209</v>
      </c>
      <c r="B1" s="71"/>
      <c r="C1" s="71"/>
      <c r="D1" s="71"/>
      <c r="E1" s="71"/>
      <c r="F1" s="71"/>
      <c r="G1" s="71"/>
      <c r="H1" s="71"/>
      <c r="I1" s="71"/>
    </row>
    <row r="2" spans="1:10" ht="15.75" customHeight="1" thickTop="1">
      <c r="A2" s="72" t="s">
        <v>139</v>
      </c>
      <c r="B2" s="72" t="s">
        <v>4</v>
      </c>
      <c r="C2" s="74" t="s">
        <v>167</v>
      </c>
      <c r="D2" s="76" t="s">
        <v>168</v>
      </c>
      <c r="E2" s="78" t="s">
        <v>169</v>
      </c>
      <c r="F2" s="80" t="s">
        <v>147</v>
      </c>
      <c r="G2" s="80"/>
      <c r="H2" s="80" t="s">
        <v>146</v>
      </c>
      <c r="I2" s="80"/>
    </row>
    <row r="3" spans="1:10" ht="15.75" thickBot="1">
      <c r="A3" s="73"/>
      <c r="B3" s="73"/>
      <c r="C3" s="75"/>
      <c r="D3" s="77"/>
      <c r="E3" s="79"/>
      <c r="F3" s="23" t="s">
        <v>145</v>
      </c>
      <c r="G3" s="27" t="s">
        <v>161</v>
      </c>
      <c r="H3" s="23" t="s">
        <v>145</v>
      </c>
      <c r="I3" s="27" t="s">
        <v>161</v>
      </c>
    </row>
    <row r="4" spans="1:10">
      <c r="A4" s="40">
        <v>2110</v>
      </c>
      <c r="B4" s="40" t="s">
        <v>131</v>
      </c>
      <c r="C4" s="67">
        <v>21470.97</v>
      </c>
      <c r="D4" s="67">
        <v>12678.499999999993</v>
      </c>
      <c r="E4" s="67">
        <v>64926.300000000017</v>
      </c>
      <c r="F4" s="39">
        <f>(($D$4*cowcalf!$C$7)/100)</f>
        <v>1394.6349999999991</v>
      </c>
      <c r="G4" s="28">
        <f>F4*0.9</f>
        <v>1255.1714999999992</v>
      </c>
      <c r="H4" s="39">
        <f>((E4*cowcalf!$E$7)/100)</f>
        <v>11037.471000000003</v>
      </c>
      <c r="I4" s="28">
        <f>H4*0.9</f>
        <v>9933.7239000000027</v>
      </c>
    </row>
    <row r="5" spans="1:10">
      <c r="A5" s="40">
        <v>2120</v>
      </c>
      <c r="B5" s="40" t="s">
        <v>129</v>
      </c>
      <c r="C5" s="67">
        <v>806.22999999999979</v>
      </c>
      <c r="D5" s="67">
        <v>904.9</v>
      </c>
      <c r="E5" s="67">
        <v>3615.099999999999</v>
      </c>
      <c r="F5" s="39">
        <f>((D5*cowcalf!$C$16)/100)</f>
        <v>63.343000000000004</v>
      </c>
      <c r="G5" s="28">
        <f t="shared" ref="G5:G15" si="0">F5*0.9</f>
        <v>57.008700000000005</v>
      </c>
      <c r="H5" s="39">
        <f>((E5*cowcalf!$E$16)/100)</f>
        <v>397.66099999999989</v>
      </c>
      <c r="I5" s="28">
        <f t="shared" ref="I5:I15" si="1">H5*0.9</f>
        <v>357.89489999999989</v>
      </c>
    </row>
    <row r="6" spans="1:10">
      <c r="A6" s="40">
        <v>2130</v>
      </c>
      <c r="B6" s="40" t="s">
        <v>130</v>
      </c>
      <c r="C6" s="67">
        <v>705.17999999999984</v>
      </c>
      <c r="D6" s="67">
        <v>572.20000000000005</v>
      </c>
      <c r="E6" s="67">
        <v>2170.9999999999995</v>
      </c>
      <c r="F6" s="39">
        <f>((D6*cowcalf!$C$25)/100)</f>
        <v>22.888000000000002</v>
      </c>
      <c r="G6" s="28">
        <f t="shared" si="0"/>
        <v>20.599200000000003</v>
      </c>
      <c r="H6" s="39">
        <f>((E6*cowcalf!$E$25)/100)</f>
        <v>86.839999999999975</v>
      </c>
      <c r="I6" s="28">
        <f t="shared" si="1"/>
        <v>78.155999999999977</v>
      </c>
    </row>
    <row r="7" spans="1:10">
      <c r="A7" s="40">
        <v>2140</v>
      </c>
      <c r="B7" s="40" t="s">
        <v>140</v>
      </c>
      <c r="C7" s="67">
        <v>180.25</v>
      </c>
      <c r="D7" s="67">
        <v>146.29999999999998</v>
      </c>
      <c r="E7" s="67">
        <v>554.9</v>
      </c>
      <c r="F7" s="39">
        <f>((D7*rowcrop!$C$7)/100)</f>
        <v>43.889999999999993</v>
      </c>
      <c r="G7" s="28">
        <f t="shared" si="0"/>
        <v>39.500999999999998</v>
      </c>
      <c r="H7" s="17">
        <f>((E7*rowcrop!$E$7)/100)</f>
        <v>166.47</v>
      </c>
      <c r="I7" s="28">
        <f t="shared" si="1"/>
        <v>149.82300000000001</v>
      </c>
    </row>
    <row r="8" spans="1:10">
      <c r="A8" s="40">
        <v>2210</v>
      </c>
      <c r="B8" s="40" t="s">
        <v>133</v>
      </c>
      <c r="C8" s="67">
        <v>578.67999999999995</v>
      </c>
      <c r="D8" s="67">
        <v>1471.9</v>
      </c>
      <c r="E8" s="67">
        <v>4233.8</v>
      </c>
      <c r="F8" s="39">
        <f>((D8*citrus!$C$7)/100)</f>
        <v>176.62800000000004</v>
      </c>
      <c r="G8" s="28">
        <f t="shared" si="0"/>
        <v>158.96520000000004</v>
      </c>
      <c r="H8" s="39">
        <f>((E8*citrus!$E$7)/100)</f>
        <v>423.38</v>
      </c>
      <c r="I8" s="28">
        <f t="shared" si="1"/>
        <v>381.04200000000003</v>
      </c>
    </row>
    <row r="9" spans="1:10">
      <c r="A9" s="40">
        <v>2230</v>
      </c>
      <c r="B9" s="40" t="s">
        <v>166</v>
      </c>
      <c r="C9" s="67">
        <v>14.42</v>
      </c>
      <c r="D9" s="67">
        <v>17.5</v>
      </c>
      <c r="E9" s="67">
        <v>70.599999999999994</v>
      </c>
      <c r="F9" s="39">
        <f>((D9*citrus!$C$7)/100)</f>
        <v>2.1</v>
      </c>
      <c r="G9" s="28">
        <f t="shared" si="0"/>
        <v>1.8900000000000001</v>
      </c>
      <c r="H9" s="39">
        <f>((E9*citrus!$E$7)/100)</f>
        <v>7.06</v>
      </c>
      <c r="I9" s="28">
        <f t="shared" si="1"/>
        <v>6.3540000000000001</v>
      </c>
    </row>
    <row r="10" spans="1:10">
      <c r="A10" s="40">
        <v>2410</v>
      </c>
      <c r="B10" s="40" t="s">
        <v>134</v>
      </c>
      <c r="C10" s="67">
        <v>86.55</v>
      </c>
      <c r="D10" s="67">
        <v>105.1</v>
      </c>
      <c r="E10" s="67">
        <v>423.9</v>
      </c>
      <c r="F10" s="39">
        <f>((D10*ornamentals!$C$7)/100)</f>
        <v>33.631999999999998</v>
      </c>
      <c r="G10" s="28">
        <f t="shared" si="0"/>
        <v>30.268799999999999</v>
      </c>
      <c r="H10" s="39">
        <f>((E10*ornamentals!$E$7)/100)</f>
        <v>105.97499999999999</v>
      </c>
      <c r="I10" s="28">
        <f t="shared" si="1"/>
        <v>95.377499999999998</v>
      </c>
    </row>
    <row r="11" spans="1:10">
      <c r="A11" s="40">
        <v>2430</v>
      </c>
      <c r="B11" s="40" t="s">
        <v>135</v>
      </c>
      <c r="C11" s="67">
        <v>5083.7299999999996</v>
      </c>
      <c r="D11" s="67">
        <v>6744.5000000000009</v>
      </c>
      <c r="E11" s="67">
        <v>26409.8</v>
      </c>
      <c r="F11" s="39">
        <f>((D11*ornamentals!$C$7)/100)</f>
        <v>2158.2400000000002</v>
      </c>
      <c r="G11" s="28">
        <f t="shared" si="0"/>
        <v>1942.4160000000002</v>
      </c>
      <c r="H11" s="39">
        <f>((E11*ornamentals!$E$7)/100)</f>
        <v>6602.45</v>
      </c>
      <c r="I11" s="28">
        <f t="shared" si="1"/>
        <v>5942.2049999999999</v>
      </c>
    </row>
    <row r="12" spans="1:10">
      <c r="A12" s="40">
        <v>2500</v>
      </c>
      <c r="B12" s="40" t="s">
        <v>143</v>
      </c>
      <c r="C12" s="67">
        <v>21.43</v>
      </c>
      <c r="D12" s="67">
        <v>39.6</v>
      </c>
      <c r="E12" s="67">
        <v>119.9</v>
      </c>
      <c r="F12" s="39">
        <f>((D12*equine!$C$7)/100)</f>
        <v>7.92</v>
      </c>
      <c r="G12" s="28">
        <f t="shared" si="0"/>
        <v>7.1280000000000001</v>
      </c>
      <c r="H12" s="39">
        <f>((E12*equine!$E$7)/100)</f>
        <v>35.97</v>
      </c>
      <c r="I12" s="28">
        <f t="shared" si="1"/>
        <v>32.372999999999998</v>
      </c>
    </row>
    <row r="13" spans="1:10">
      <c r="A13" s="41">
        <v>2540</v>
      </c>
      <c r="B13" s="41" t="s">
        <v>138</v>
      </c>
      <c r="C13" s="68">
        <v>2.27</v>
      </c>
      <c r="D13" s="68">
        <v>4.2</v>
      </c>
      <c r="E13" s="68">
        <v>12.7</v>
      </c>
      <c r="F13" s="42" t="s">
        <v>144</v>
      </c>
      <c r="G13" s="42"/>
      <c r="H13" s="42"/>
      <c r="I13" s="42"/>
    </row>
    <row r="14" spans="1:10">
      <c r="A14" s="41">
        <v>2610</v>
      </c>
      <c r="B14" s="41" t="s">
        <v>137</v>
      </c>
      <c r="C14" s="68">
        <v>25.86</v>
      </c>
      <c r="D14" s="68">
        <v>47.7</v>
      </c>
      <c r="E14" s="68">
        <v>144.6</v>
      </c>
      <c r="F14" s="42" t="s">
        <v>150</v>
      </c>
      <c r="G14" s="42"/>
      <c r="H14" s="42"/>
      <c r="I14" s="42"/>
      <c r="J14" s="11"/>
    </row>
    <row r="15" spans="1:10">
      <c r="A15" s="40">
        <v>3300</v>
      </c>
      <c r="B15" s="40" t="s">
        <v>162</v>
      </c>
      <c r="C15" s="67">
        <v>39.64</v>
      </c>
      <c r="D15" s="67">
        <v>13</v>
      </c>
      <c r="E15" s="67">
        <v>82.5</v>
      </c>
      <c r="F15" s="39">
        <f>((D15*cowcalf!$C$25)/100)</f>
        <v>0.52</v>
      </c>
      <c r="G15" s="28">
        <f t="shared" si="0"/>
        <v>0.46800000000000003</v>
      </c>
      <c r="H15" s="39">
        <f>((E15*cowcalf!$E$25)/100)</f>
        <v>3.3</v>
      </c>
      <c r="I15" s="28">
        <f t="shared" si="1"/>
        <v>2.9699999999999998</v>
      </c>
    </row>
    <row r="16" spans="1:10">
      <c r="A16" s="70" t="s">
        <v>158</v>
      </c>
      <c r="B16" s="70"/>
      <c r="C16" s="70"/>
      <c r="D16" s="70"/>
      <c r="E16" s="70"/>
      <c r="F16" s="16">
        <f>SUM(F4:F15)</f>
        <v>3903.7959999999994</v>
      </c>
      <c r="G16" s="29">
        <f>SUM(G4:G15)</f>
        <v>3513.4163999999996</v>
      </c>
      <c r="H16" s="16">
        <f>SUM(H4:H15)</f>
        <v>18866.577000000001</v>
      </c>
      <c r="I16" s="29">
        <f>SUM(I4:I15)</f>
        <v>16979.919300000001</v>
      </c>
    </row>
    <row r="17" spans="1:9">
      <c r="A17" s="70" t="s">
        <v>157</v>
      </c>
      <c r="B17" s="70"/>
      <c r="C17" s="70"/>
      <c r="D17" s="70"/>
      <c r="E17" s="70"/>
      <c r="F17" s="15">
        <f>F16/SUM($D$4:$D$15)</f>
        <v>0.17163013180687087</v>
      </c>
      <c r="G17" s="30">
        <f>G16/SUM($D$4:$D$12)</f>
        <v>0.15490912457838235</v>
      </c>
      <c r="H17" s="15">
        <f>H16/SUM($E$4:$E$12)</f>
        <v>0.18401874464156651</v>
      </c>
      <c r="I17" s="30">
        <f>I16/SUM($E$4:$E$12)</f>
        <v>0.16561687017740986</v>
      </c>
    </row>
    <row r="18" spans="1:9">
      <c r="A18" s="70" t="s">
        <v>206</v>
      </c>
      <c r="B18" s="70"/>
      <c r="C18" s="70"/>
      <c r="D18" s="70"/>
      <c r="E18" s="70"/>
      <c r="F18" s="15">
        <f>F16/C21</f>
        <v>0.1160669560563715</v>
      </c>
      <c r="G18" s="30">
        <f>G16/C21</f>
        <v>0.10446026045073437</v>
      </c>
      <c r="H18" s="15">
        <f>H16/C22</f>
        <v>0.21476876579468618</v>
      </c>
      <c r="I18" s="30">
        <f>I16/C22</f>
        <v>0.19329188921521756</v>
      </c>
    </row>
    <row r="19" spans="1:9">
      <c r="B19" s="26" t="s">
        <v>159</v>
      </c>
      <c r="C19" s="36">
        <f>SUM(C4:C15)</f>
        <v>29015.21</v>
      </c>
    </row>
    <row r="20" spans="1:9">
      <c r="B20" s="26"/>
    </row>
    <row r="21" spans="1:9">
      <c r="B21" s="35" t="s">
        <v>207</v>
      </c>
      <c r="C21" s="60">
        <v>33634</v>
      </c>
    </row>
    <row r="22" spans="1:9">
      <c r="B22" s="35" t="s">
        <v>208</v>
      </c>
      <c r="C22" s="60">
        <v>87846</v>
      </c>
    </row>
  </sheetData>
  <mergeCells count="11">
    <mergeCell ref="A16:E16"/>
    <mergeCell ref="A17:E17"/>
    <mergeCell ref="A18:E18"/>
    <mergeCell ref="A1:I1"/>
    <mergeCell ref="A2:A3"/>
    <mergeCell ref="B2:B3"/>
    <mergeCell ref="C2:C3"/>
    <mergeCell ref="D2:D3"/>
    <mergeCell ref="E2:E3"/>
    <mergeCell ref="F2:G2"/>
    <mergeCell ref="H2:I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J10" sqref="J10"/>
    </sheetView>
  </sheetViews>
  <sheetFormatPr defaultRowHeight="15"/>
  <cols>
    <col min="1" max="1" width="11.140625" style="63" bestFit="1" customWidth="1"/>
    <col min="2" max="2" width="21" style="63" customWidth="1"/>
    <col min="3" max="3" width="14.5703125" style="63" customWidth="1"/>
    <col min="4" max="4" width="12.42578125" style="63" bestFit="1" customWidth="1"/>
    <col min="5" max="5" width="15" style="18" bestFit="1" customWidth="1"/>
    <col min="6" max="6" width="15.28515625" style="63" bestFit="1" customWidth="1"/>
    <col min="7" max="10" width="17.42578125" style="61" customWidth="1"/>
    <col min="11" max="16384" width="9.140625" style="63"/>
  </cols>
  <sheetData>
    <row r="1" spans="1:10" ht="15.75" thickBot="1">
      <c r="A1" s="71" t="s">
        <v>213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5.75" thickTop="1">
      <c r="A2" s="72" t="s">
        <v>139</v>
      </c>
      <c r="B2" s="72" t="s">
        <v>4</v>
      </c>
      <c r="C2" s="74" t="s">
        <v>214</v>
      </c>
      <c r="D2" s="74" t="s">
        <v>167</v>
      </c>
      <c r="E2" s="76" t="s">
        <v>168</v>
      </c>
      <c r="F2" s="78" t="s">
        <v>169</v>
      </c>
      <c r="G2" s="80" t="s">
        <v>147</v>
      </c>
      <c r="H2" s="80"/>
      <c r="I2" s="80" t="s">
        <v>146</v>
      </c>
      <c r="J2" s="80"/>
    </row>
    <row r="3" spans="1:10" ht="15.75" thickBot="1">
      <c r="A3" s="73"/>
      <c r="B3" s="73"/>
      <c r="C3" s="75"/>
      <c r="D3" s="75"/>
      <c r="E3" s="77"/>
      <c r="F3" s="79"/>
      <c r="G3" s="23" t="s">
        <v>145</v>
      </c>
      <c r="H3" s="27" t="s">
        <v>161</v>
      </c>
      <c r="I3" s="23" t="s">
        <v>145</v>
      </c>
      <c r="J3" s="27" t="s">
        <v>161</v>
      </c>
    </row>
    <row r="4" spans="1:10">
      <c r="A4" s="65">
        <v>2110</v>
      </c>
      <c r="B4" s="65" t="s">
        <v>131</v>
      </c>
      <c r="C4" s="67">
        <v>861.76</v>
      </c>
      <c r="D4" s="67">
        <v>861.76</v>
      </c>
      <c r="E4" s="14">
        <v>837.1</v>
      </c>
      <c r="F4" s="67">
        <v>5870.6</v>
      </c>
      <c r="G4" s="67">
        <f>(($E$4*cowcalf!$C$7)/100)</f>
        <v>92.081000000000003</v>
      </c>
      <c r="H4" s="69">
        <f>G4*0.9</f>
        <v>82.872900000000001</v>
      </c>
      <c r="I4" s="67">
        <f>((F4*cowcalf!$E$7)/100)</f>
        <v>998.00200000000007</v>
      </c>
      <c r="J4" s="69">
        <f>I4*0.9</f>
        <v>898.20180000000005</v>
      </c>
    </row>
    <row r="5" spans="1:10">
      <c r="A5" s="65">
        <v>2120</v>
      </c>
      <c r="B5" s="65" t="s">
        <v>129</v>
      </c>
      <c r="C5" s="67">
        <v>165.4</v>
      </c>
      <c r="D5" s="67">
        <v>165.4</v>
      </c>
      <c r="E5" s="14">
        <v>95.3</v>
      </c>
      <c r="F5" s="67">
        <v>495.6</v>
      </c>
      <c r="G5" s="67">
        <f>((E5*cowcalf!$C$16)/100)</f>
        <v>6.6710000000000003</v>
      </c>
      <c r="H5" s="69">
        <f t="shared" ref="H5:H8" si="0">G5*0.9</f>
        <v>6.0039000000000007</v>
      </c>
      <c r="I5" s="67">
        <f>((F5*cowcalf!$E$16)/100)</f>
        <v>54.516000000000005</v>
      </c>
      <c r="J5" s="69">
        <f t="shared" ref="J5:J8" si="1">I5*0.9</f>
        <v>49.064400000000006</v>
      </c>
    </row>
    <row r="6" spans="1:10">
      <c r="A6" s="65">
        <v>2130</v>
      </c>
      <c r="B6" s="65" t="s">
        <v>130</v>
      </c>
      <c r="C6" s="67">
        <v>137.21</v>
      </c>
      <c r="D6" s="67">
        <v>137.21</v>
      </c>
      <c r="E6" s="14">
        <v>78.400000000000006</v>
      </c>
      <c r="F6" s="67">
        <v>410.2</v>
      </c>
      <c r="G6" s="67">
        <f>((E6*cowcalf!$C$25)/100)</f>
        <v>3.1360000000000001</v>
      </c>
      <c r="H6" s="69">
        <f t="shared" si="0"/>
        <v>2.8224</v>
      </c>
      <c r="I6" s="67">
        <f>((F6*cowcalf!$E$25)/100)</f>
        <v>16.408000000000001</v>
      </c>
      <c r="J6" s="69">
        <f t="shared" si="1"/>
        <v>14.767200000000001</v>
      </c>
    </row>
    <row r="7" spans="1:10">
      <c r="A7" s="65">
        <v>2210</v>
      </c>
      <c r="B7" s="65" t="s">
        <v>133</v>
      </c>
      <c r="C7" s="67"/>
      <c r="D7" s="67">
        <v>0.05</v>
      </c>
      <c r="E7" s="14">
        <v>0.1</v>
      </c>
      <c r="F7" s="67">
        <v>0.3</v>
      </c>
      <c r="G7" s="67">
        <f>((E7*citrus!$C$7)/100)</f>
        <v>1.2000000000000002E-2</v>
      </c>
      <c r="H7" s="69">
        <f t="shared" si="0"/>
        <v>1.0800000000000002E-2</v>
      </c>
      <c r="I7" s="67">
        <f>((F7*citrus!$E$7)/100)</f>
        <v>0.03</v>
      </c>
      <c r="J7" s="69">
        <f t="shared" si="1"/>
        <v>2.7E-2</v>
      </c>
    </row>
    <row r="8" spans="1:10">
      <c r="A8" s="65">
        <v>2510</v>
      </c>
      <c r="B8" s="65" t="s">
        <v>136</v>
      </c>
      <c r="C8" s="67">
        <v>0.08</v>
      </c>
      <c r="D8" s="67">
        <v>0.08</v>
      </c>
      <c r="E8" s="14">
        <v>0.1</v>
      </c>
      <c r="F8" s="67">
        <v>0.5</v>
      </c>
      <c r="G8" s="67">
        <f>((E8*equine!$C$7)/100)</f>
        <v>0.02</v>
      </c>
      <c r="H8" s="69">
        <f t="shared" si="0"/>
        <v>1.8000000000000002E-2</v>
      </c>
      <c r="I8" s="67">
        <f>((F8*equine!$E$7)/100)</f>
        <v>0.15</v>
      </c>
      <c r="J8" s="69">
        <f t="shared" si="1"/>
        <v>0.13500000000000001</v>
      </c>
    </row>
    <row r="9" spans="1:10">
      <c r="A9" s="70" t="s">
        <v>158</v>
      </c>
      <c r="B9" s="70"/>
      <c r="C9" s="70"/>
      <c r="D9" s="70"/>
      <c r="E9" s="70"/>
      <c r="F9" s="70"/>
      <c r="G9" s="16">
        <f>SUM(G4:G8)</f>
        <v>101.92</v>
      </c>
      <c r="H9" s="29">
        <f>SUM(H4:H8)</f>
        <v>91.728000000000009</v>
      </c>
      <c r="I9" s="16">
        <f>SUM(I4:I8)</f>
        <v>1069.106</v>
      </c>
      <c r="J9" s="29">
        <f>SUM(J4:J8)</f>
        <v>962.19540000000006</v>
      </c>
    </row>
    <row r="10" spans="1:10">
      <c r="A10" s="70" t="s">
        <v>157</v>
      </c>
      <c r="B10" s="70"/>
      <c r="C10" s="70"/>
      <c r="D10" s="70"/>
      <c r="E10" s="70"/>
      <c r="F10" s="70"/>
      <c r="G10" s="15">
        <f>G9/SUM($E$4:$E$7)</f>
        <v>0.10082105054901573</v>
      </c>
      <c r="H10" s="30">
        <f>H9/SUM($E$4:$E$7)</f>
        <v>9.0738945494114168E-2</v>
      </c>
      <c r="I10" s="15">
        <f>I9/SUM($F$4:$F$7)</f>
        <v>0.15776203756990864</v>
      </c>
      <c r="J10" s="30">
        <f>J9/SUM($F$4:$F$7)</f>
        <v>0.14198583381291779</v>
      </c>
    </row>
    <row r="11" spans="1:10">
      <c r="B11" s="26" t="s">
        <v>159</v>
      </c>
      <c r="C11" s="26"/>
      <c r="D11" s="61">
        <f>SUM(D4:D8)</f>
        <v>1164.5</v>
      </c>
    </row>
    <row r="12" spans="1:10">
      <c r="B12" s="26"/>
      <c r="C12" s="26"/>
    </row>
  </sheetData>
  <mergeCells count="11">
    <mergeCell ref="A9:F9"/>
    <mergeCell ref="A10:F10"/>
    <mergeCell ref="A1:J1"/>
    <mergeCell ref="A2:A3"/>
    <mergeCell ref="B2:B3"/>
    <mergeCell ref="C2:C3"/>
    <mergeCell ref="D2:D3"/>
    <mergeCell ref="E2:E3"/>
    <mergeCell ref="F2:F3"/>
    <mergeCell ref="G2:H2"/>
    <mergeCell ref="I2:J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I8" sqref="I8"/>
    </sheetView>
  </sheetViews>
  <sheetFormatPr defaultRowHeight="15"/>
  <cols>
    <col min="1" max="1" width="11.140625" style="57" bestFit="1" customWidth="1"/>
    <col min="2" max="2" width="21" style="57" customWidth="1"/>
    <col min="3" max="3" width="12.42578125" style="57" bestFit="1" customWidth="1"/>
    <col min="4" max="4" width="15" style="18" bestFit="1" customWidth="1"/>
    <col min="5" max="5" width="15.28515625" style="57" bestFit="1" customWidth="1"/>
    <col min="6" max="9" width="17.42578125" style="58" customWidth="1"/>
    <col min="10" max="16384" width="9.140625" style="57"/>
  </cols>
  <sheetData>
    <row r="1" spans="1:9" ht="15.75" thickBot="1">
      <c r="A1" s="71" t="s">
        <v>210</v>
      </c>
      <c r="B1" s="71"/>
      <c r="C1" s="71"/>
      <c r="D1" s="71"/>
      <c r="E1" s="71"/>
      <c r="F1" s="71"/>
      <c r="G1" s="71"/>
      <c r="H1" s="71"/>
      <c r="I1" s="71"/>
    </row>
    <row r="2" spans="1:9" ht="15.75" customHeight="1" thickTop="1">
      <c r="A2" s="72" t="s">
        <v>139</v>
      </c>
      <c r="B2" s="72" t="s">
        <v>4</v>
      </c>
      <c r="C2" s="74" t="s">
        <v>167</v>
      </c>
      <c r="D2" s="76" t="s">
        <v>168</v>
      </c>
      <c r="E2" s="78" t="s">
        <v>169</v>
      </c>
      <c r="F2" s="80" t="s">
        <v>147</v>
      </c>
      <c r="G2" s="80"/>
      <c r="H2" s="80" t="s">
        <v>146</v>
      </c>
      <c r="I2" s="80"/>
    </row>
    <row r="3" spans="1:9" ht="15.75" thickBot="1">
      <c r="A3" s="73"/>
      <c r="B3" s="73"/>
      <c r="C3" s="75"/>
      <c r="D3" s="77"/>
      <c r="E3" s="79"/>
      <c r="F3" s="23" t="s">
        <v>145</v>
      </c>
      <c r="G3" s="27" t="s">
        <v>161</v>
      </c>
      <c r="H3" s="23" t="s">
        <v>145</v>
      </c>
      <c r="I3" s="27" t="s">
        <v>161</v>
      </c>
    </row>
    <row r="4" spans="1:9">
      <c r="A4" s="40">
        <v>2110</v>
      </c>
      <c r="B4" s="40" t="s">
        <v>131</v>
      </c>
      <c r="C4" s="62">
        <v>73.11</v>
      </c>
      <c r="D4" s="62">
        <v>67.599999999999994</v>
      </c>
      <c r="E4" s="62">
        <v>333.6</v>
      </c>
      <c r="F4" s="59">
        <f>(($D$4*cowcalf!$C$7)/100)</f>
        <v>7.4359999999999991</v>
      </c>
      <c r="G4" s="28">
        <f>F4*0.9</f>
        <v>6.6923999999999992</v>
      </c>
      <c r="H4" s="59">
        <f>((E4*cowcalf!$E$7)/100)</f>
        <v>56.71200000000001</v>
      </c>
      <c r="I4" s="28">
        <f>H4*0.9</f>
        <v>51.040800000000011</v>
      </c>
    </row>
    <row r="5" spans="1:9">
      <c r="A5" s="40">
        <v>2120</v>
      </c>
      <c r="B5" s="40" t="s">
        <v>129</v>
      </c>
      <c r="C5" s="62">
        <v>6.7400000000000011</v>
      </c>
      <c r="D5" s="62">
        <v>3.9</v>
      </c>
      <c r="E5" s="62">
        <v>20.2</v>
      </c>
      <c r="F5" s="59">
        <f>((D5*cowcalf!$C$16)/100)</f>
        <v>0.27300000000000002</v>
      </c>
      <c r="G5" s="28">
        <f t="shared" ref="G5:G7" si="0">F5*0.9</f>
        <v>0.24570000000000003</v>
      </c>
      <c r="H5" s="59">
        <f>((E5*cowcalf!$E$16)/100)</f>
        <v>2.222</v>
      </c>
      <c r="I5" s="28">
        <f t="shared" ref="I5:I7" si="1">H5*0.9</f>
        <v>1.9998</v>
      </c>
    </row>
    <row r="6" spans="1:9">
      <c r="A6" s="40">
        <v>2130</v>
      </c>
      <c r="B6" s="40" t="s">
        <v>130</v>
      </c>
      <c r="C6" s="62">
        <v>59.169999999999995</v>
      </c>
      <c r="D6" s="62">
        <v>34</v>
      </c>
      <c r="E6" s="62">
        <v>176.6</v>
      </c>
      <c r="F6" s="59">
        <f>((D6*cowcalf!$C$25)/100)</f>
        <v>1.36</v>
      </c>
      <c r="G6" s="28">
        <f t="shared" si="0"/>
        <v>1.2240000000000002</v>
      </c>
      <c r="H6" s="59">
        <f>((E6*cowcalf!$E$25)/100)</f>
        <v>7.0640000000000001</v>
      </c>
      <c r="I6" s="28">
        <f t="shared" si="1"/>
        <v>6.3576000000000006</v>
      </c>
    </row>
    <row r="7" spans="1:9">
      <c r="A7" s="40">
        <v>2210</v>
      </c>
      <c r="B7" s="40" t="s">
        <v>133</v>
      </c>
      <c r="C7" s="62">
        <v>4374.5999999999995</v>
      </c>
      <c r="D7" s="62">
        <v>4052.2</v>
      </c>
      <c r="E7" s="62">
        <v>19965.599999999999</v>
      </c>
      <c r="F7" s="59">
        <f>((D7*citrus!$C$7)/100)</f>
        <v>486.26399999999995</v>
      </c>
      <c r="G7" s="28">
        <f t="shared" si="0"/>
        <v>437.63759999999996</v>
      </c>
      <c r="H7" s="59">
        <f>((E7*citrus!$E$7)/100)</f>
        <v>1996.56</v>
      </c>
      <c r="I7" s="28">
        <f t="shared" si="1"/>
        <v>1796.904</v>
      </c>
    </row>
    <row r="8" spans="1:9">
      <c r="A8" s="70" t="s">
        <v>158</v>
      </c>
      <c r="B8" s="70"/>
      <c r="C8" s="70"/>
      <c r="D8" s="70"/>
      <c r="E8" s="70"/>
      <c r="F8" s="16">
        <f>SUM(F4:F7)</f>
        <v>495.33299999999997</v>
      </c>
      <c r="G8" s="29">
        <f>SUM(G4:G7)</f>
        <v>445.79969999999997</v>
      </c>
      <c r="H8" s="16">
        <f>SUM(H4:H7)</f>
        <v>2062.558</v>
      </c>
      <c r="I8" s="29">
        <f>SUM(I4:I7)</f>
        <v>1856.3022000000001</v>
      </c>
    </row>
    <row r="9" spans="1:9">
      <c r="A9" s="70" t="s">
        <v>157</v>
      </c>
      <c r="B9" s="70"/>
      <c r="C9" s="70"/>
      <c r="D9" s="70"/>
      <c r="E9" s="70"/>
      <c r="F9" s="15">
        <f>F8/SUM($D$4:$D$7)</f>
        <v>0.11913630132044159</v>
      </c>
      <c r="G9" s="30">
        <f>G8/SUM($D$4:$D$7)</f>
        <v>0.10722267118839743</v>
      </c>
      <c r="H9" s="15">
        <f>H8/SUM($E$4:$E$7)</f>
        <v>0.10063222092115534</v>
      </c>
      <c r="I9" s="30">
        <f>I8/SUM($E$4:$E$7)</f>
        <v>9.0568998829039821E-2</v>
      </c>
    </row>
    <row r="10" spans="1:9">
      <c r="A10" s="70" t="s">
        <v>206</v>
      </c>
      <c r="B10" s="70"/>
      <c r="C10" s="70"/>
      <c r="D10" s="70"/>
      <c r="E10" s="70"/>
      <c r="F10" s="15">
        <f>F8/C13</f>
        <v>6.1009114422958491E-2</v>
      </c>
      <c r="G10" s="30">
        <f>G8/C13</f>
        <v>5.4908202980662638E-2</v>
      </c>
      <c r="H10" s="15">
        <f>H8/C14</f>
        <v>8.2193273292420502E-2</v>
      </c>
      <c r="I10" s="30">
        <f>I8/C14</f>
        <v>7.3973945963178453E-2</v>
      </c>
    </row>
    <row r="11" spans="1:9">
      <c r="B11" s="26" t="s">
        <v>159</v>
      </c>
      <c r="C11" s="58">
        <f>SUM(C4:C7)</f>
        <v>4513.619999999999</v>
      </c>
    </row>
    <row r="12" spans="1:9">
      <c r="B12" s="26"/>
    </row>
    <row r="13" spans="1:9">
      <c r="B13" s="57" t="s">
        <v>207</v>
      </c>
      <c r="C13" s="60">
        <v>8119</v>
      </c>
    </row>
    <row r="14" spans="1:9">
      <c r="B14" s="57" t="s">
        <v>208</v>
      </c>
      <c r="C14" s="60">
        <v>25094</v>
      </c>
      <c r="E14" s="61"/>
    </row>
  </sheetData>
  <mergeCells count="11">
    <mergeCell ref="A8:E8"/>
    <mergeCell ref="A9:E9"/>
    <mergeCell ref="A10:E10"/>
    <mergeCell ref="A1:I1"/>
    <mergeCell ref="A2:A3"/>
    <mergeCell ref="B2:B3"/>
    <mergeCell ref="C2:C3"/>
    <mergeCell ref="D2:D3"/>
    <mergeCell ref="E2:E3"/>
    <mergeCell ref="F2:G2"/>
    <mergeCell ref="H2:I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C7" sqref="C7:C8"/>
    </sheetView>
  </sheetViews>
  <sheetFormatPr defaultRowHeight="15"/>
  <cols>
    <col min="1" max="1" width="94.5703125" customWidth="1"/>
    <col min="2" max="5" width="9.7109375" style="4" customWidth="1"/>
  </cols>
  <sheetData>
    <row r="1" spans="1:5">
      <c r="A1" s="83" t="s">
        <v>36</v>
      </c>
      <c r="B1" s="83"/>
      <c r="C1" s="83"/>
      <c r="D1" s="3"/>
      <c r="E1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121</v>
      </c>
      <c r="B4" s="9"/>
      <c r="C4" s="9"/>
      <c r="D4" s="9"/>
      <c r="E4" s="9"/>
    </row>
    <row r="5" spans="1:5">
      <c r="A5" s="1" t="s">
        <v>0</v>
      </c>
      <c r="B5" s="81" t="s">
        <v>41</v>
      </c>
      <c r="C5" s="81" t="s">
        <v>42</v>
      </c>
      <c r="D5" s="81" t="s">
        <v>41</v>
      </c>
      <c r="E5" s="81" t="s">
        <v>42</v>
      </c>
    </row>
    <row r="6" spans="1:5" ht="30">
      <c r="A6" s="5" t="s">
        <v>37</v>
      </c>
      <c r="B6" s="81"/>
      <c r="C6" s="81"/>
      <c r="D6" s="81"/>
      <c r="E6" s="81"/>
    </row>
    <row r="7" spans="1:5">
      <c r="A7" s="1" t="s">
        <v>5</v>
      </c>
      <c r="B7" s="81" t="s">
        <v>29</v>
      </c>
      <c r="C7" s="82" t="s">
        <v>19</v>
      </c>
      <c r="D7" s="81" t="s">
        <v>29</v>
      </c>
      <c r="E7" s="82" t="s">
        <v>19</v>
      </c>
    </row>
    <row r="8" spans="1:5">
      <c r="A8" s="5" t="s">
        <v>38</v>
      </c>
      <c r="B8" s="81"/>
      <c r="C8" s="82"/>
      <c r="D8" s="81"/>
      <c r="E8" s="82"/>
    </row>
    <row r="9" spans="1:5">
      <c r="A9" s="1" t="s">
        <v>7</v>
      </c>
      <c r="B9" s="81" t="s">
        <v>18</v>
      </c>
      <c r="C9" s="81" t="s">
        <v>19</v>
      </c>
      <c r="D9" s="81" t="s">
        <v>18</v>
      </c>
      <c r="E9" s="81" t="s">
        <v>19</v>
      </c>
    </row>
    <row r="10" spans="1:5" ht="30">
      <c r="A10" s="5" t="s">
        <v>39</v>
      </c>
      <c r="B10" s="81"/>
      <c r="C10" s="81"/>
      <c r="D10" s="81"/>
      <c r="E10" s="81"/>
    </row>
    <row r="11" spans="1:5">
      <c r="A11" s="1" t="s">
        <v>8</v>
      </c>
      <c r="B11" s="81" t="s">
        <v>13</v>
      </c>
      <c r="C11" s="81" t="s">
        <v>43</v>
      </c>
      <c r="D11" s="81" t="s">
        <v>116</v>
      </c>
      <c r="E11" s="81" t="s">
        <v>43</v>
      </c>
    </row>
    <row r="12" spans="1:5" ht="30">
      <c r="A12" s="5" t="s">
        <v>40</v>
      </c>
      <c r="B12" s="81"/>
      <c r="C12" s="81"/>
      <c r="D12" s="81"/>
      <c r="E12" s="81"/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7" sqref="E7:E8"/>
    </sheetView>
  </sheetViews>
  <sheetFormatPr defaultRowHeight="15"/>
  <cols>
    <col min="1" max="1" width="94.5703125" customWidth="1"/>
    <col min="2" max="5" width="9.7109375" style="4" customWidth="1"/>
    <col min="6" max="6" width="9.140625" style="3"/>
  </cols>
  <sheetData>
    <row r="1" spans="1:5">
      <c r="A1" s="83" t="s">
        <v>44</v>
      </c>
      <c r="B1" s="83"/>
      <c r="C1" s="83"/>
      <c r="D1" s="10"/>
      <c r="E1" s="10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120</v>
      </c>
      <c r="B4" s="9"/>
      <c r="C4" s="9"/>
      <c r="D4" s="9"/>
      <c r="E4" s="9"/>
    </row>
    <row r="5" spans="1:5">
      <c r="A5" s="1" t="s">
        <v>0</v>
      </c>
      <c r="B5" s="81" t="s">
        <v>47</v>
      </c>
      <c r="C5" s="81" t="s">
        <v>48</v>
      </c>
      <c r="D5" s="81" t="s">
        <v>47</v>
      </c>
      <c r="E5" s="81" t="s">
        <v>48</v>
      </c>
    </row>
    <row r="6" spans="1:5">
      <c r="A6" s="5" t="s">
        <v>45</v>
      </c>
      <c r="B6" s="81"/>
      <c r="C6" s="81"/>
      <c r="D6" s="81"/>
      <c r="E6" s="81"/>
    </row>
    <row r="7" spans="1:5">
      <c r="A7" s="1" t="s">
        <v>5</v>
      </c>
      <c r="B7" s="81" t="s">
        <v>18</v>
      </c>
      <c r="C7" s="82" t="s">
        <v>31</v>
      </c>
      <c r="D7" s="81" t="s">
        <v>18</v>
      </c>
      <c r="E7" s="82" t="s">
        <v>31</v>
      </c>
    </row>
    <row r="8" spans="1:5">
      <c r="A8" s="5" t="s">
        <v>38</v>
      </c>
      <c r="B8" s="81"/>
      <c r="C8" s="82"/>
      <c r="D8" s="81"/>
      <c r="E8" s="82"/>
    </row>
    <row r="9" spans="1:5">
      <c r="A9" s="1" t="s">
        <v>7</v>
      </c>
      <c r="B9" s="81" t="s">
        <v>49</v>
      </c>
      <c r="C9" s="81" t="s">
        <v>50</v>
      </c>
      <c r="D9" s="81" t="s">
        <v>49</v>
      </c>
      <c r="E9" s="81" t="s">
        <v>50</v>
      </c>
    </row>
    <row r="10" spans="1:5">
      <c r="A10" s="5" t="s">
        <v>46</v>
      </c>
      <c r="B10" s="81"/>
      <c r="C10" s="81"/>
      <c r="D10" s="81"/>
      <c r="E10" s="81"/>
    </row>
    <row r="11" spans="1:5">
      <c r="A11" s="1" t="s">
        <v>8</v>
      </c>
      <c r="B11" s="81" t="s">
        <v>13</v>
      </c>
      <c r="C11" s="81" t="s">
        <v>51</v>
      </c>
      <c r="D11" s="81" t="s">
        <v>13</v>
      </c>
      <c r="E11" s="81" t="s">
        <v>51</v>
      </c>
    </row>
    <row r="12" spans="1:5" ht="30">
      <c r="A12" s="5" t="s">
        <v>40</v>
      </c>
      <c r="B12" s="81"/>
      <c r="C12" s="81"/>
      <c r="D12" s="81"/>
      <c r="E12" s="81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7" sqref="E7:E8"/>
    </sheetView>
  </sheetViews>
  <sheetFormatPr defaultRowHeight="15"/>
  <cols>
    <col min="1" max="1" width="94.5703125" customWidth="1"/>
    <col min="2" max="5" width="9.7109375" style="4" customWidth="1"/>
    <col min="6" max="6" width="9.140625" style="3"/>
  </cols>
  <sheetData>
    <row r="1" spans="1:5">
      <c r="A1" s="83" t="s">
        <v>52</v>
      </c>
      <c r="B1" s="83"/>
      <c r="C1" s="83"/>
      <c r="D1" s="10"/>
      <c r="E1" s="10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119</v>
      </c>
      <c r="B4" s="9"/>
      <c r="C4" s="9"/>
      <c r="D4" s="9"/>
      <c r="E4" s="9"/>
    </row>
    <row r="5" spans="1:5">
      <c r="A5" s="1" t="s">
        <v>0</v>
      </c>
      <c r="B5" s="81" t="s">
        <v>18</v>
      </c>
      <c r="C5" s="81" t="s">
        <v>57</v>
      </c>
      <c r="D5" s="81" t="s">
        <v>18</v>
      </c>
      <c r="E5" s="81" t="s">
        <v>103</v>
      </c>
    </row>
    <row r="6" spans="1:5" ht="30">
      <c r="A6" s="5" t="s">
        <v>53</v>
      </c>
      <c r="B6" s="81"/>
      <c r="C6" s="81"/>
      <c r="D6" s="81"/>
      <c r="E6" s="81"/>
    </row>
    <row r="7" spans="1:5">
      <c r="A7" s="1" t="s">
        <v>5</v>
      </c>
      <c r="B7" s="81" t="s">
        <v>20</v>
      </c>
      <c r="C7" s="82" t="s">
        <v>58</v>
      </c>
      <c r="D7" s="81" t="s">
        <v>20</v>
      </c>
      <c r="E7" s="82" t="s">
        <v>31</v>
      </c>
    </row>
    <row r="8" spans="1:5">
      <c r="A8" s="5" t="s">
        <v>54</v>
      </c>
      <c r="B8" s="81"/>
      <c r="C8" s="82"/>
      <c r="D8" s="81"/>
      <c r="E8" s="82"/>
    </row>
    <row r="9" spans="1:5">
      <c r="A9" s="1" t="s">
        <v>7</v>
      </c>
      <c r="B9" s="81" t="s">
        <v>9</v>
      </c>
      <c r="C9" s="81" t="s">
        <v>12</v>
      </c>
      <c r="D9" s="81" t="s">
        <v>9</v>
      </c>
      <c r="E9" s="81" t="s">
        <v>12</v>
      </c>
    </row>
    <row r="10" spans="1:5">
      <c r="A10" s="5" t="s">
        <v>55</v>
      </c>
      <c r="B10" s="81"/>
      <c r="C10" s="81"/>
      <c r="D10" s="81"/>
      <c r="E10" s="81"/>
    </row>
    <row r="11" spans="1:5">
      <c r="A11" s="1" t="s">
        <v>8</v>
      </c>
      <c r="B11" s="81" t="s">
        <v>13</v>
      </c>
      <c r="C11" s="81" t="s">
        <v>51</v>
      </c>
      <c r="D11" s="81" t="s">
        <v>116</v>
      </c>
      <c r="E11" s="81" t="s">
        <v>51</v>
      </c>
    </row>
    <row r="12" spans="1:5">
      <c r="A12" s="5" t="s">
        <v>56</v>
      </c>
      <c r="B12" s="81"/>
      <c r="C12" s="81"/>
      <c r="D12" s="81"/>
      <c r="E12" s="81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7" sqref="E7:E8"/>
    </sheetView>
  </sheetViews>
  <sheetFormatPr defaultRowHeight="15"/>
  <cols>
    <col min="1" max="1" width="94.5703125" customWidth="1"/>
    <col min="2" max="5" width="9.7109375" style="4" customWidth="1"/>
    <col min="6" max="6" width="9.140625" style="3"/>
  </cols>
  <sheetData>
    <row r="1" spans="1:5">
      <c r="A1" s="83" t="s">
        <v>59</v>
      </c>
      <c r="B1" s="83"/>
      <c r="C1" s="83"/>
      <c r="D1" s="10"/>
      <c r="E1" s="10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118</v>
      </c>
      <c r="B4" s="9"/>
      <c r="C4" s="9"/>
      <c r="D4" s="9"/>
      <c r="E4" s="9"/>
    </row>
    <row r="5" spans="1:5">
      <c r="A5" s="1" t="s">
        <v>0</v>
      </c>
      <c r="B5" s="81" t="s">
        <v>47</v>
      </c>
      <c r="C5" s="81" t="s">
        <v>63</v>
      </c>
      <c r="D5" s="81" t="s">
        <v>47</v>
      </c>
      <c r="E5" s="81" t="s">
        <v>63</v>
      </c>
    </row>
    <row r="6" spans="1:5" ht="30">
      <c r="A6" s="5" t="s">
        <v>60</v>
      </c>
      <c r="B6" s="81"/>
      <c r="C6" s="81"/>
      <c r="D6" s="81"/>
      <c r="E6" s="81"/>
    </row>
    <row r="7" spans="1:5">
      <c r="A7" s="1" t="s">
        <v>5</v>
      </c>
      <c r="B7" s="81" t="s">
        <v>18</v>
      </c>
      <c r="C7" s="82" t="s">
        <v>25</v>
      </c>
      <c r="D7" s="81" t="s">
        <v>18</v>
      </c>
      <c r="E7" s="82" t="s">
        <v>25</v>
      </c>
    </row>
    <row r="8" spans="1:5">
      <c r="A8" s="5" t="s">
        <v>38</v>
      </c>
      <c r="B8" s="81"/>
      <c r="C8" s="82"/>
      <c r="D8" s="81"/>
      <c r="E8" s="82"/>
    </row>
    <row r="9" spans="1:5">
      <c r="A9" s="1" t="s">
        <v>7</v>
      </c>
      <c r="B9" s="81" t="s">
        <v>18</v>
      </c>
      <c r="C9" s="81" t="s">
        <v>64</v>
      </c>
      <c r="D9" s="81" t="s">
        <v>18</v>
      </c>
      <c r="E9" s="81" t="s">
        <v>64</v>
      </c>
    </row>
    <row r="10" spans="1:5">
      <c r="A10" s="5" t="s">
        <v>61</v>
      </c>
      <c r="B10" s="81"/>
      <c r="C10" s="81"/>
      <c r="D10" s="81"/>
      <c r="E10" s="81"/>
    </row>
    <row r="11" spans="1:5">
      <c r="A11" s="1" t="s">
        <v>8</v>
      </c>
      <c r="B11" s="81" t="s">
        <v>29</v>
      </c>
      <c r="C11" s="81" t="s">
        <v>43</v>
      </c>
      <c r="D11" s="81" t="s">
        <v>29</v>
      </c>
      <c r="E11" s="81" t="s">
        <v>43</v>
      </c>
    </row>
    <row r="12" spans="1:5">
      <c r="A12" s="5" t="s">
        <v>62</v>
      </c>
      <c r="B12" s="81"/>
      <c r="C12" s="81"/>
      <c r="D12" s="81"/>
      <c r="E12" s="81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E7" sqref="E7:E8"/>
    </sheetView>
  </sheetViews>
  <sheetFormatPr defaultRowHeight="15"/>
  <cols>
    <col min="1" max="1" width="94.5703125" customWidth="1"/>
    <col min="2" max="5" width="9.7109375" style="4" customWidth="1"/>
    <col min="6" max="6" width="9.140625" style="3"/>
  </cols>
  <sheetData>
    <row r="1" spans="1:5">
      <c r="A1" s="83" t="s">
        <v>65</v>
      </c>
      <c r="B1" s="83"/>
      <c r="C1" s="83"/>
      <c r="D1" s="10"/>
      <c r="E1" s="10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117</v>
      </c>
      <c r="B4" s="9"/>
      <c r="C4" s="9"/>
      <c r="D4" s="9"/>
      <c r="E4" s="9"/>
    </row>
    <row r="5" spans="1:5">
      <c r="A5" s="1" t="s">
        <v>0</v>
      </c>
      <c r="B5" s="81" t="s">
        <v>41</v>
      </c>
      <c r="C5" s="81" t="s">
        <v>67</v>
      </c>
      <c r="D5" s="81" t="s">
        <v>41</v>
      </c>
      <c r="E5" s="81" t="s">
        <v>43</v>
      </c>
    </row>
    <row r="6" spans="1:5" ht="30">
      <c r="A6" s="5" t="s">
        <v>37</v>
      </c>
      <c r="B6" s="81"/>
      <c r="C6" s="81"/>
      <c r="D6" s="81"/>
      <c r="E6" s="81"/>
    </row>
    <row r="7" spans="1:5">
      <c r="A7" s="1" t="s">
        <v>5</v>
      </c>
      <c r="B7" s="81" t="s">
        <v>29</v>
      </c>
      <c r="C7" s="82" t="s">
        <v>68</v>
      </c>
      <c r="D7" s="81" t="s">
        <v>18</v>
      </c>
      <c r="E7" s="82" t="s">
        <v>104</v>
      </c>
    </row>
    <row r="8" spans="1:5">
      <c r="A8" s="5" t="s">
        <v>38</v>
      </c>
      <c r="B8" s="81"/>
      <c r="C8" s="82"/>
      <c r="D8" s="81"/>
      <c r="E8" s="82"/>
    </row>
    <row r="9" spans="1:5">
      <c r="A9" s="1" t="s">
        <v>7</v>
      </c>
      <c r="B9" s="81" t="s">
        <v>18</v>
      </c>
      <c r="C9" s="81" t="s">
        <v>34</v>
      </c>
      <c r="D9" s="81" t="s">
        <v>18</v>
      </c>
      <c r="E9" s="81" t="s">
        <v>104</v>
      </c>
    </row>
    <row r="10" spans="1:5" ht="30">
      <c r="A10" s="5" t="s">
        <v>39</v>
      </c>
      <c r="B10" s="81"/>
      <c r="C10" s="81"/>
      <c r="D10" s="81"/>
      <c r="E10" s="81"/>
    </row>
    <row r="11" spans="1:5">
      <c r="A11" s="1" t="s">
        <v>8</v>
      </c>
      <c r="B11" s="81" t="s">
        <v>13</v>
      </c>
      <c r="C11" s="81" t="s">
        <v>43</v>
      </c>
      <c r="D11" s="81" t="s">
        <v>18</v>
      </c>
      <c r="E11" s="81" t="s">
        <v>104</v>
      </c>
    </row>
    <row r="12" spans="1:5" ht="30">
      <c r="A12" s="5" t="s">
        <v>66</v>
      </c>
      <c r="B12" s="81"/>
      <c r="C12" s="81"/>
      <c r="D12" s="81"/>
      <c r="E12" s="81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9" sqref="A9"/>
    </sheetView>
  </sheetViews>
  <sheetFormatPr defaultRowHeight="15"/>
  <cols>
    <col min="1" max="1" width="94.5703125" customWidth="1"/>
    <col min="2" max="5" width="9.7109375" style="4" customWidth="1"/>
    <col min="6" max="6" width="9.140625" style="3"/>
  </cols>
  <sheetData>
    <row r="1" spans="1:5">
      <c r="A1" s="83" t="s">
        <v>69</v>
      </c>
      <c r="B1" s="83"/>
      <c r="C1" s="83"/>
      <c r="D1" s="10"/>
      <c r="E1" s="10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70</v>
      </c>
      <c r="B4" s="9"/>
      <c r="C4" s="9"/>
      <c r="D4" s="9"/>
      <c r="E4" s="9"/>
    </row>
    <row r="5" spans="1:5">
      <c r="A5" s="1" t="s">
        <v>0</v>
      </c>
      <c r="B5" s="81" t="s">
        <v>18</v>
      </c>
      <c r="C5" s="81" t="s">
        <v>71</v>
      </c>
      <c r="D5" s="81" t="s">
        <v>47</v>
      </c>
      <c r="E5" s="81" t="s">
        <v>51</v>
      </c>
    </row>
    <row r="6" spans="1:5" ht="45">
      <c r="A6" s="5" t="s">
        <v>204</v>
      </c>
      <c r="B6" s="81"/>
      <c r="C6" s="81"/>
      <c r="D6" s="81"/>
      <c r="E6" s="81"/>
    </row>
    <row r="7" spans="1:5">
      <c r="A7" s="1" t="s">
        <v>5</v>
      </c>
      <c r="B7" s="81" t="s">
        <v>20</v>
      </c>
      <c r="C7" s="82" t="s">
        <v>25</v>
      </c>
      <c r="D7" s="81" t="s">
        <v>125</v>
      </c>
      <c r="E7" s="82" t="s">
        <v>19</v>
      </c>
    </row>
    <row r="8" spans="1:5">
      <c r="A8" s="5" t="s">
        <v>205</v>
      </c>
      <c r="B8" s="81"/>
      <c r="C8" s="82"/>
      <c r="D8" s="81"/>
      <c r="E8" s="82"/>
    </row>
    <row r="9" spans="1:5">
      <c r="A9" s="1" t="s">
        <v>7</v>
      </c>
      <c r="B9" s="81" t="s">
        <v>18</v>
      </c>
      <c r="C9" s="81" t="s">
        <v>72</v>
      </c>
      <c r="D9" s="81" t="s">
        <v>18</v>
      </c>
      <c r="E9" s="81" t="s">
        <v>72</v>
      </c>
    </row>
    <row r="10" spans="1:5" ht="30">
      <c r="A10" s="5" t="s">
        <v>16</v>
      </c>
      <c r="B10" s="81"/>
      <c r="C10" s="81"/>
      <c r="D10" s="81"/>
      <c r="E10" s="81"/>
    </row>
    <row r="11" spans="1:5">
      <c r="A11" s="1" t="s">
        <v>8</v>
      </c>
      <c r="B11" s="81" t="s">
        <v>13</v>
      </c>
      <c r="C11" s="81" t="s">
        <v>23</v>
      </c>
      <c r="D11" s="81" t="s">
        <v>114</v>
      </c>
      <c r="E11" s="81" t="s">
        <v>19</v>
      </c>
    </row>
    <row r="12" spans="1:5" ht="30">
      <c r="A12" s="5" t="s">
        <v>74</v>
      </c>
      <c r="B12" s="81"/>
      <c r="C12" s="81"/>
      <c r="D12" s="81"/>
      <c r="E12" s="81"/>
    </row>
    <row r="14" spans="1:5">
      <c r="A14" s="11" t="s">
        <v>73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E7" sqref="E7:E8"/>
    </sheetView>
  </sheetViews>
  <sheetFormatPr defaultRowHeight="15"/>
  <cols>
    <col min="1" max="1" width="94.5703125" customWidth="1"/>
    <col min="2" max="5" width="9.7109375" style="4" customWidth="1"/>
    <col min="6" max="6" width="9.140625" style="3"/>
  </cols>
  <sheetData>
    <row r="1" spans="1:5">
      <c r="A1" s="83" t="s">
        <v>75</v>
      </c>
      <c r="B1" s="83"/>
      <c r="C1" s="83"/>
      <c r="D1" s="10"/>
      <c r="E1" s="10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76</v>
      </c>
      <c r="B4" s="9"/>
      <c r="C4" s="9"/>
      <c r="D4" s="9"/>
      <c r="E4" s="9"/>
    </row>
    <row r="5" spans="1:5">
      <c r="A5" s="1" t="s">
        <v>0</v>
      </c>
      <c r="B5" s="81" t="s">
        <v>78</v>
      </c>
      <c r="C5" s="81" t="s">
        <v>79</v>
      </c>
      <c r="D5" s="81" t="s">
        <v>78</v>
      </c>
      <c r="E5" s="81" t="s">
        <v>42</v>
      </c>
    </row>
    <row r="6" spans="1:5">
      <c r="A6" s="5" t="s">
        <v>77</v>
      </c>
      <c r="B6" s="81"/>
      <c r="C6" s="81"/>
      <c r="D6" s="81"/>
      <c r="E6" s="81"/>
    </row>
    <row r="7" spans="1:5">
      <c r="A7" s="1" t="s">
        <v>5</v>
      </c>
      <c r="B7" s="81" t="s">
        <v>20</v>
      </c>
      <c r="C7" s="82" t="s">
        <v>80</v>
      </c>
      <c r="D7" s="81" t="s">
        <v>126</v>
      </c>
      <c r="E7" s="82" t="s">
        <v>25</v>
      </c>
    </row>
    <row r="8" spans="1:5">
      <c r="A8" s="5" t="s">
        <v>98</v>
      </c>
      <c r="B8" s="81"/>
      <c r="C8" s="82"/>
      <c r="D8" s="81"/>
      <c r="E8" s="82"/>
    </row>
    <row r="9" spans="1:5">
      <c r="A9" s="1" t="s">
        <v>7</v>
      </c>
      <c r="B9" s="81" t="s">
        <v>81</v>
      </c>
      <c r="C9" s="81" t="s">
        <v>82</v>
      </c>
      <c r="D9" s="81" t="s">
        <v>81</v>
      </c>
      <c r="E9" s="81" t="s">
        <v>95</v>
      </c>
    </row>
    <row r="10" spans="1:5">
      <c r="A10" s="5" t="s">
        <v>99</v>
      </c>
      <c r="B10" s="81"/>
      <c r="C10" s="81"/>
      <c r="D10" s="81"/>
      <c r="E10" s="81"/>
    </row>
    <row r="11" spans="1:5">
      <c r="A11" s="86" t="s">
        <v>8</v>
      </c>
      <c r="B11" s="86"/>
      <c r="C11" s="86"/>
      <c r="D11" s="13" t="s">
        <v>13</v>
      </c>
      <c r="E11" s="13">
        <v>48</v>
      </c>
    </row>
    <row r="12" spans="1:5">
      <c r="A12" s="85" t="s">
        <v>83</v>
      </c>
      <c r="B12" s="85"/>
      <c r="C12" s="85"/>
      <c r="D12" s="12"/>
      <c r="E12" s="12"/>
    </row>
    <row r="13" spans="1: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>
      <c r="A16" s="85" t="s">
        <v>88</v>
      </c>
      <c r="B16" s="85"/>
      <c r="C16" s="85"/>
      <c r="D16" s="12"/>
      <c r="E16" s="12"/>
    </row>
    <row r="17" spans="1: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A16:C16"/>
    <mergeCell ref="A11:C11"/>
    <mergeCell ref="A1:C1"/>
    <mergeCell ref="A2:A3"/>
    <mergeCell ref="B2:C2"/>
    <mergeCell ref="B5:B6"/>
    <mergeCell ref="C5:C6"/>
    <mergeCell ref="B7:B8"/>
    <mergeCell ref="C7:C8"/>
    <mergeCell ref="D9:D10"/>
    <mergeCell ref="E9:E10"/>
    <mergeCell ref="B9:B10"/>
    <mergeCell ref="C9:C10"/>
    <mergeCell ref="A12:C12"/>
    <mergeCell ref="D2:E2"/>
    <mergeCell ref="D5:D6"/>
    <mergeCell ref="E5:E6"/>
    <mergeCell ref="D7:D8"/>
    <mergeCell ref="E7:E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9" sqref="A9"/>
    </sheetView>
  </sheetViews>
  <sheetFormatPr defaultRowHeight="15"/>
  <cols>
    <col min="1" max="1" width="94.5703125" customWidth="1"/>
    <col min="2" max="5" width="9.7109375" style="4" customWidth="1"/>
    <col min="6" max="6" width="9.140625" style="3"/>
  </cols>
  <sheetData>
    <row r="1" spans="1:5">
      <c r="A1" s="83" t="s">
        <v>100</v>
      </c>
      <c r="B1" s="83"/>
      <c r="C1" s="83"/>
      <c r="D1" s="10"/>
      <c r="E1" s="10"/>
    </row>
    <row r="2" spans="1:5">
      <c r="A2" s="83" t="s">
        <v>4</v>
      </c>
      <c r="B2" s="84" t="s">
        <v>1</v>
      </c>
      <c r="C2" s="84"/>
      <c r="D2" s="84" t="s">
        <v>113</v>
      </c>
      <c r="E2" s="84"/>
    </row>
    <row r="3" spans="1:5" ht="11.25" customHeight="1">
      <c r="A3" s="83"/>
      <c r="B3" s="7" t="s">
        <v>2</v>
      </c>
      <c r="C3" s="7" t="s">
        <v>3</v>
      </c>
      <c r="D3" s="7" t="s">
        <v>2</v>
      </c>
      <c r="E3" s="7" t="s">
        <v>3</v>
      </c>
    </row>
    <row r="4" spans="1:5">
      <c r="A4" s="8" t="s">
        <v>101</v>
      </c>
      <c r="B4" s="9"/>
      <c r="C4" s="9"/>
      <c r="D4" s="9"/>
      <c r="E4" s="9"/>
    </row>
    <row r="5" spans="1:5">
      <c r="A5" s="1" t="s">
        <v>0</v>
      </c>
      <c r="B5" s="81" t="s">
        <v>49</v>
      </c>
      <c r="C5" s="81" t="s">
        <v>95</v>
      </c>
      <c r="D5" s="81" t="s">
        <v>49</v>
      </c>
      <c r="E5" s="81" t="s">
        <v>95</v>
      </c>
    </row>
    <row r="6" spans="1:5" ht="45">
      <c r="A6" s="5" t="s">
        <v>204</v>
      </c>
      <c r="B6" s="81"/>
      <c r="C6" s="81"/>
      <c r="D6" s="81"/>
      <c r="E6" s="81"/>
    </row>
    <row r="7" spans="1:5">
      <c r="A7" s="1" t="s">
        <v>5</v>
      </c>
      <c r="B7" s="81" t="s">
        <v>20</v>
      </c>
      <c r="C7" s="82" t="s">
        <v>103</v>
      </c>
      <c r="D7" s="81" t="s">
        <v>20</v>
      </c>
      <c r="E7" s="82" t="s">
        <v>103</v>
      </c>
    </row>
    <row r="8" spans="1:5">
      <c r="A8" s="5" t="s">
        <v>205</v>
      </c>
      <c r="B8" s="81"/>
      <c r="C8" s="82"/>
      <c r="D8" s="81"/>
      <c r="E8" s="82"/>
    </row>
    <row r="9" spans="1:5">
      <c r="A9" s="1" t="s">
        <v>7</v>
      </c>
      <c r="B9" s="81" t="s">
        <v>18</v>
      </c>
      <c r="C9" s="81" t="s">
        <v>104</v>
      </c>
      <c r="D9" s="81" t="s">
        <v>18</v>
      </c>
      <c r="E9" s="81" t="s">
        <v>104</v>
      </c>
    </row>
    <row r="10" spans="1:5" ht="30">
      <c r="A10" s="5" t="s">
        <v>16</v>
      </c>
      <c r="B10" s="81"/>
      <c r="C10" s="81"/>
      <c r="D10" s="81"/>
      <c r="E10" s="81"/>
    </row>
    <row r="11" spans="1:5">
      <c r="A11" s="1" t="s">
        <v>8</v>
      </c>
      <c r="B11" s="81" t="s">
        <v>13</v>
      </c>
      <c r="C11" s="81" t="s">
        <v>105</v>
      </c>
      <c r="D11" s="81" t="s">
        <v>116</v>
      </c>
      <c r="E11" s="81" t="s">
        <v>105</v>
      </c>
    </row>
    <row r="12" spans="1:5" ht="30">
      <c r="A12" s="5" t="s">
        <v>17</v>
      </c>
      <c r="B12" s="81"/>
      <c r="C12" s="81"/>
      <c r="D12" s="81"/>
      <c r="E12" s="81"/>
    </row>
    <row r="14" spans="1:5">
      <c r="A14" s="11" t="s">
        <v>102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  <vt:lpstr>load-per-acre-AVG</vt:lpstr>
      <vt:lpstr>Agriculture</vt:lpstr>
      <vt:lpstr>Hobe St. Lucie</vt:lpstr>
      <vt:lpstr>NSLRWCD</vt:lpstr>
      <vt:lpstr>Pal Mar</vt:lpstr>
      <vt:lpstr>Troup Indiantown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 Policastro</cp:lastModifiedBy>
  <cp:lastPrinted>2013-02-08T00:13:59Z</cp:lastPrinted>
  <dcterms:created xsi:type="dcterms:W3CDTF">2011-10-28T19:09:16Z</dcterms:created>
  <dcterms:modified xsi:type="dcterms:W3CDTF">2013-02-12T16:37:45Z</dcterms:modified>
</cp:coreProperties>
</file>