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Summary" sheetId="1" r:id="rId1"/>
    <sheet name="Wet pond calcs" sheetId="2" r:id="rId2"/>
    <sheet name="Retention Calcs" sheetId="28" r:id="rId3"/>
    <sheet name="Ridgeland Court" sheetId="3" r:id="rId4"/>
    <sheet name="Palm CourtKnowles" sheetId="4" r:id="rId5"/>
    <sheet name="Delano Lane" sheetId="5" r:id="rId6"/>
    <sheet name="Captain Cove" sheetId="6" r:id="rId7"/>
    <sheet name="Town Commons" sheetId="7" r:id="rId8"/>
    <sheet name="Quail Run" sheetId="8" r:id="rId9"/>
    <sheet name="Heritage Park" sheetId="9" r:id="rId10"/>
    <sheet name="Via Lucindia" sheetId="10" r:id="rId11"/>
    <sheet name="Island Road" sheetId="11" r:id="rId12"/>
    <sheet name="Rio Vista" sheetId="12" r:id="rId13"/>
    <sheet name="India Lucie Retention" sheetId="13" r:id="rId14"/>
    <sheet name="India Lucie BB" sheetId="14" r:id="rId15"/>
    <sheet name="Highpoint West" sheetId="16" r:id="rId16"/>
    <sheet name="Mandalay" sheetId="17" r:id="rId17"/>
    <sheet name="Highpoint East" sheetId="18" r:id="rId18"/>
    <sheet name="Periwinkle" sheetId="19" r:id="rId19"/>
    <sheet name="Palm Road" sheetId="20" r:id="rId20"/>
    <sheet name="Riverview" sheetId="21" r:id="rId21"/>
    <sheet name="Pineapple Lane" sheetId="22" r:id="rId22"/>
    <sheet name="Copaire" sheetId="23" r:id="rId23"/>
    <sheet name="Homewood Park" sheetId="24" r:id="rId24"/>
    <sheet name="Pedway" sheetId="25" r:id="rId25"/>
    <sheet name="Highpoint" sheetId="26" r:id="rId26"/>
    <sheet name="SR A1A" sheetId="27" r:id="rId27"/>
    <sheet name="Education" sheetId="29" r:id="rId28"/>
  </sheets>
  <definedNames>
    <definedName name="_xlnm.Print_Area" localSheetId="0">Summary!$A$1:$J$33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27" i="1"/>
  <c r="G27"/>
  <c r="H27" l="1"/>
  <c r="E27"/>
  <c r="L21" i="29"/>
  <c r="M21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K3"/>
  <c r="K4"/>
  <c r="K5"/>
  <c r="K6"/>
  <c r="K7"/>
  <c r="K8"/>
  <c r="K9"/>
  <c r="K10"/>
  <c r="K11"/>
  <c r="K12"/>
  <c r="K13"/>
  <c r="K14"/>
  <c r="K15"/>
  <c r="K16"/>
  <c r="K17"/>
  <c r="K18"/>
  <c r="K19"/>
  <c r="K20"/>
  <c r="K2"/>
  <c r="L2" s="1"/>
  <c r="H26" i="1"/>
  <c r="E26"/>
  <c r="D26"/>
  <c r="L8" i="27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H24" i="1"/>
  <c r="E24"/>
  <c r="D24"/>
  <c r="L6" i="25"/>
  <c r="M6"/>
  <c r="N6"/>
  <c r="O6"/>
  <c r="O3"/>
  <c r="O4"/>
  <c r="O5"/>
  <c r="N3"/>
  <c r="N4"/>
  <c r="N5"/>
  <c r="M3"/>
  <c r="M4"/>
  <c r="M5"/>
  <c r="N2"/>
  <c r="M2"/>
  <c r="O2" s="1"/>
  <c r="H23" i="1"/>
  <c r="E23"/>
  <c r="D23"/>
  <c r="N2" i="24"/>
  <c r="M2"/>
  <c r="O2" s="1"/>
  <c r="H22" i="1"/>
  <c r="E22"/>
  <c r="D22"/>
  <c r="N2" i="23"/>
  <c r="M2"/>
  <c r="O2" s="1"/>
  <c r="H21" i="1"/>
  <c r="E21"/>
  <c r="D21"/>
  <c r="L4" i="22"/>
  <c r="M4"/>
  <c r="N4"/>
  <c r="O4"/>
  <c r="O3"/>
  <c r="N3"/>
  <c r="M3"/>
  <c r="N2"/>
  <c r="M2"/>
  <c r="O2" s="1"/>
  <c r="H20" i="1"/>
  <c r="E20"/>
  <c r="D20"/>
  <c r="N2" i="21"/>
  <c r="M2"/>
  <c r="O2" s="1"/>
  <c r="H19" i="1"/>
  <c r="E19"/>
  <c r="D19"/>
  <c r="M2" i="20"/>
  <c r="N2" s="1"/>
  <c r="H18" i="1"/>
  <c r="E18"/>
  <c r="D18"/>
  <c r="N2" i="19"/>
  <c r="M2"/>
  <c r="O2" s="1"/>
  <c r="H16" i="1"/>
  <c r="E16"/>
  <c r="D16"/>
  <c r="N2" i="17"/>
  <c r="M2"/>
  <c r="O2" s="1"/>
  <c r="H13" i="1"/>
  <c r="E13"/>
  <c r="D13"/>
  <c r="L8" i="14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B5" i="2"/>
  <c r="H12" i="1"/>
  <c r="E12"/>
  <c r="D12"/>
  <c r="L5" i="13"/>
  <c r="M5"/>
  <c r="N5"/>
  <c r="O5"/>
  <c r="O3"/>
  <c r="O4"/>
  <c r="N3"/>
  <c r="N4"/>
  <c r="M3"/>
  <c r="M4"/>
  <c r="N2"/>
  <c r="M2"/>
  <c r="O2" s="1"/>
  <c r="H11" i="1"/>
  <c r="E11"/>
  <c r="D11"/>
  <c r="L4" i="12"/>
  <c r="M4"/>
  <c r="N4"/>
  <c r="O4"/>
  <c r="O3"/>
  <c r="N3"/>
  <c r="M3"/>
  <c r="N2"/>
  <c r="M2"/>
  <c r="O2" s="1"/>
  <c r="H9" i="1"/>
  <c r="E9"/>
  <c r="D9"/>
  <c r="N2" i="10"/>
  <c r="M2"/>
  <c r="O2" s="1"/>
  <c r="H8" i="1"/>
  <c r="E8"/>
  <c r="D8"/>
  <c r="L4" i="9"/>
  <c r="M4"/>
  <c r="N4"/>
  <c r="O4"/>
  <c r="O3"/>
  <c r="N3"/>
  <c r="M3"/>
  <c r="M2"/>
  <c r="N2" s="1"/>
  <c r="H7" i="1"/>
  <c r="E7"/>
  <c r="D7"/>
  <c r="N2" i="8"/>
  <c r="M2"/>
  <c r="O2" s="1"/>
  <c r="H5" i="1"/>
  <c r="E5"/>
  <c r="D5"/>
  <c r="N2" i="6"/>
  <c r="M2"/>
  <c r="O2" s="1"/>
  <c r="H3" i="1"/>
  <c r="E3"/>
  <c r="D3"/>
  <c r="L7" i="4"/>
  <c r="M7"/>
  <c r="N7"/>
  <c r="O7"/>
  <c r="O3"/>
  <c r="O4"/>
  <c r="O5"/>
  <c r="O6"/>
  <c r="N3"/>
  <c r="N4"/>
  <c r="N5"/>
  <c r="N6"/>
  <c r="M3"/>
  <c r="M4"/>
  <c r="M5"/>
  <c r="M6"/>
  <c r="N2"/>
  <c r="M2"/>
  <c r="O2" s="1"/>
  <c r="L4" i="3"/>
  <c r="M4"/>
  <c r="N4"/>
  <c r="O4"/>
  <c r="O3"/>
  <c r="N3"/>
  <c r="M3"/>
  <c r="M2"/>
  <c r="N2" s="1"/>
  <c r="M2" i="29" l="1"/>
  <c r="O2" i="20"/>
  <c r="O2" i="9"/>
  <c r="O2" i="3"/>
  <c r="I26" i="1" l="1"/>
  <c r="F26"/>
  <c r="B27" i="28"/>
  <c r="B15" l="1"/>
  <c r="I24" i="1"/>
  <c r="F24"/>
  <c r="B23" i="28"/>
  <c r="I23" i="1"/>
  <c r="F23"/>
  <c r="B19" i="28"/>
  <c r="I19" i="1"/>
  <c r="F19"/>
  <c r="B11" i="28"/>
  <c r="I9" i="1"/>
  <c r="F9"/>
  <c r="B7" i="28"/>
  <c r="I8" i="1"/>
  <c r="F8"/>
  <c r="B3" i="28"/>
  <c r="J26" i="1" l="1"/>
  <c r="G26"/>
  <c r="J24"/>
  <c r="G24"/>
  <c r="J23"/>
  <c r="G23"/>
  <c r="J22"/>
  <c r="J21"/>
  <c r="G21"/>
  <c r="J20"/>
  <c r="J19"/>
  <c r="G19"/>
  <c r="J18"/>
  <c r="G18"/>
  <c r="J16"/>
  <c r="J15"/>
  <c r="G22"/>
  <c r="G20"/>
  <c r="G16"/>
  <c r="J13"/>
  <c r="G13"/>
  <c r="J11"/>
  <c r="G11"/>
  <c r="J9"/>
  <c r="G9"/>
  <c r="J8"/>
  <c r="G8"/>
  <c r="J7"/>
  <c r="G7"/>
  <c r="J5"/>
  <c r="G5"/>
  <c r="J3"/>
  <c r="G3"/>
  <c r="H2"/>
  <c r="J2" s="1"/>
  <c r="E2"/>
  <c r="G2" s="1"/>
  <c r="D2"/>
  <c r="B6" i="2" l="1"/>
  <c r="B7" l="1"/>
  <c r="F12" i="1" s="1"/>
  <c r="G12" s="1"/>
  <c r="G31" s="1"/>
  <c r="B8" i="2"/>
  <c r="I12" i="1" s="1"/>
  <c r="J12" s="1"/>
  <c r="J31" s="1"/>
</calcChain>
</file>

<file path=xl/sharedStrings.xml><?xml version="1.0" encoding="utf-8"?>
<sst xmlns="http://schemas.openxmlformats.org/spreadsheetml/2006/main" count="628" uniqueCount="154">
  <si>
    <t>Project Name</t>
  </si>
  <si>
    <t>Project Type</t>
  </si>
  <si>
    <t>Ridgeland Court Retrofit</t>
  </si>
  <si>
    <t>Palm Court/Knowles</t>
  </si>
  <si>
    <t>Delano Lane</t>
  </si>
  <si>
    <t>Captain Cove</t>
  </si>
  <si>
    <t>Town Commons Park</t>
  </si>
  <si>
    <t>Quail Run Park</t>
  </si>
  <si>
    <t>Heritage Park</t>
  </si>
  <si>
    <t>Via Lucindia</t>
  </si>
  <si>
    <t>Island Road</t>
  </si>
  <si>
    <t>Rio Vista Park</t>
  </si>
  <si>
    <t>India Lucie</t>
  </si>
  <si>
    <t>Simara Street</t>
  </si>
  <si>
    <t>Highpoint West</t>
  </si>
  <si>
    <t>Highpoint East</t>
  </si>
  <si>
    <t>Palm Road</t>
  </si>
  <si>
    <t>Swales</t>
  </si>
  <si>
    <t>Riverview</t>
  </si>
  <si>
    <t>Pineapple Lane</t>
  </si>
  <si>
    <t>Copaire</t>
  </si>
  <si>
    <t>Project Number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</si>
  <si>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</si>
  <si>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</si>
  <si>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</si>
  <si>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</si>
  <si>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</si>
  <si>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</si>
  <si>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</si>
  <si>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</si>
  <si>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</si>
  <si>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</si>
  <si>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</si>
  <si>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</si>
  <si>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</si>
  <si>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</si>
  <si>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</si>
  <si>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</si>
  <si>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</si>
  <si>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</si>
  <si>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</si>
  <si>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</si>
  <si>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</si>
  <si>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</si>
  <si>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</si>
  <si>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</si>
  <si>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</si>
  <si>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</si>
  <si>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</si>
  <si>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</si>
  <si>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</si>
  <si>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</si>
  <si>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</si>
  <si>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</si>
  <si>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</si>
  <si>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SP-22</t>
  </si>
  <si>
    <t>SP-23</t>
  </si>
  <si>
    <t>Mandalay (Homewood)</t>
  </si>
  <si>
    <t>SP-24</t>
  </si>
  <si>
    <t>SP-25</t>
  </si>
  <si>
    <t>Pedway/Greenway</t>
  </si>
  <si>
    <t>High Point Exfiltration</t>
  </si>
  <si>
    <t>Erosion control</t>
  </si>
  <si>
    <t>Exfiltration</t>
  </si>
  <si>
    <t>Wet retention</t>
  </si>
  <si>
    <t>Dry detention</t>
  </si>
  <si>
    <t>Baffle box</t>
  </si>
  <si>
    <t>Exfiltration/ pervious paver sidewalk</t>
  </si>
  <si>
    <t>Exfiltration/swales</t>
  </si>
  <si>
    <t xml:space="preserve">residence time = </t>
  </si>
  <si>
    <t>(wet pond volume)/(annual runoff)*365</t>
  </si>
  <si>
    <t>Provided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</si>
  <si>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</si>
  <si>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</si>
  <si>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</si>
  <si>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</si>
  <si>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</si>
  <si>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</si>
  <si>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</si>
  <si>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Retention</t>
  </si>
  <si>
    <t>Homewood Park/South Sewall's Point Road</t>
  </si>
  <si>
    <t>S.R. A1A</t>
  </si>
  <si>
    <t>PRJCTNAME</t>
  </si>
  <si>
    <t>PRJCTTYPE</t>
  </si>
  <si>
    <t>HYDGRP</t>
  </si>
  <si>
    <t>SLRWPP_WSH</t>
  </si>
  <si>
    <t>TP_ADD</t>
  </si>
  <si>
    <t>RAIN_IN</t>
  </si>
  <si>
    <t>BASEFLW_FT</t>
  </si>
  <si>
    <t>TN_EMC</t>
  </si>
  <si>
    <t>TP_EMC</t>
  </si>
  <si>
    <t>ROC</t>
  </si>
  <si>
    <t>SUM_ACRES</t>
  </si>
  <si>
    <t>CAPTAIN'S COVE OUTFALL</t>
  </si>
  <si>
    <t>BAFFLE BOX</t>
  </si>
  <si>
    <t>A</t>
  </si>
  <si>
    <t>NORTH FORK</t>
  </si>
  <si>
    <t>COPAIRE</t>
  </si>
  <si>
    <t>RIDGELAND COURT</t>
  </si>
  <si>
    <t>EXFILTRATION, BAFFLE BOX</t>
  </si>
  <si>
    <t>RIDGELAND DR / SABAL CT</t>
  </si>
  <si>
    <t>EXFILTRATION</t>
  </si>
  <si>
    <t>PALM COURT OUTFALL</t>
  </si>
  <si>
    <t>QUAIL RUN PARK</t>
  </si>
  <si>
    <t>DETENTION AREA</t>
  </si>
  <si>
    <t>HERITAGE PARK</t>
  </si>
  <si>
    <t>DRY DETENTION</t>
  </si>
  <si>
    <t>VIA LUCINDIA</t>
  </si>
  <si>
    <t>DETENTION, BAFFLE BOX, EROSION CONTROL AT OUTFALL</t>
  </si>
  <si>
    <t>A/D</t>
  </si>
  <si>
    <t>RETENTION AREA / WEIR / BAFFLE BOX</t>
  </si>
  <si>
    <t>INDIALUCIE OUTFALL</t>
  </si>
  <si>
    <t>BENIHANA BAFFLE BOX</t>
  </si>
  <si>
    <t>MANDALAY</t>
  </si>
  <si>
    <t>PERIWINKLE OUTFALL</t>
  </si>
  <si>
    <t>PALM ROAD AND SOUTH SEWALL'S POINT ROAD</t>
  </si>
  <si>
    <t>SWALES, DETENTION</t>
  </si>
  <si>
    <t>RIVERVIEW</t>
  </si>
  <si>
    <t>PINEAPPLE LANE</t>
  </si>
  <si>
    <t>EXFILTRATION, EROSION CONTROL AT OUTFALL</t>
  </si>
  <si>
    <t>HOMEWOOD AND SOUTH SEWALL'S POINT ROAD</t>
  </si>
  <si>
    <t>EXFILTRATION, RETENTION</t>
  </si>
  <si>
    <t>PEDWAY/ GREENWAY</t>
  </si>
  <si>
    <t>EXFILTRATION / PERVIOUS PAVER / SIDEWALK</t>
  </si>
  <si>
    <t>S.R. A1A LAKE / LANDSCAPING</t>
  </si>
  <si>
    <t>DETENTION / RETENTION LAKE</t>
  </si>
  <si>
    <t>KNOWLES ROAD</t>
  </si>
  <si>
    <t>Runoff Ac-ft</t>
  </si>
  <si>
    <t>TN lbs/yr</t>
  </si>
  <si>
    <t>TP lbs/yr</t>
  </si>
  <si>
    <t>outside of basin</t>
  </si>
  <si>
    <t>Periwinkle</t>
  </si>
  <si>
    <t>Dry retention</t>
  </si>
  <si>
    <t>retention</t>
  </si>
  <si>
    <t>inches</t>
  </si>
  <si>
    <t>efficiency</t>
  </si>
  <si>
    <t>Via Lucinida</t>
  </si>
  <si>
    <t>Homewood Park</t>
  </si>
  <si>
    <t>SR A1A</t>
  </si>
  <si>
    <t>SP-26</t>
  </si>
  <si>
    <t>SP-27</t>
  </si>
  <si>
    <t>Fertilizer Ordinance</t>
  </si>
  <si>
    <t>Education</t>
  </si>
  <si>
    <t>N/A</t>
  </si>
  <si>
    <t>Street Sweeping - 19 cy</t>
  </si>
  <si>
    <t>Street Sweeping</t>
  </si>
  <si>
    <t>LAND_COVER</t>
  </si>
  <si>
    <t>RIO VISTA PARK / RIO VISTA SUBDIVISION / SOUTH SEWALL'S POINT ROAD</t>
  </si>
  <si>
    <t>outside basin/ only erosion control measures</t>
  </si>
  <si>
    <t>Acres</t>
  </si>
  <si>
    <t>TP_Add</t>
  </si>
  <si>
    <t>Rain_in</t>
  </si>
  <si>
    <t>Baseflw_ft</t>
  </si>
  <si>
    <t>Subbasin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</si>
</sst>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7" applyNumberFormat="0" applyAlignment="0" applyProtection="0"/>
    <xf numFmtId="0" fontId="16" fillId="8" borderId="8" applyNumberFormat="0" applyAlignment="0" applyProtection="0"/>
    <xf numFmtId="0" fontId="17" fillId="8" borderId="7" applyNumberFormat="0" applyAlignment="0" applyProtection="0"/>
    <xf numFmtId="0" fontId="18" fillId="0" borderId="9" applyNumberFormat="0" applyFill="0" applyAlignment="0" applyProtection="0"/>
    <xf numFmtId="0" fontId="19" fillId="9" borderId="10" applyNumberFormat="0" applyAlignment="0" applyProtection="0"/>
    <xf numFmtId="0" fontId="20" fillId="0" borderId="0" applyNumberFormat="0" applyFill="0" applyBorder="0" applyAlignment="0" applyProtection="0"/>
    <xf numFmtId="0" fontId="7" fillId="10" borderId="11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34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Font="1"/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3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" fillId="0" borderId="3" xfId="1" applyFont="1" applyBorder="1" applyAlignment="1">
      <alignment horizontal="left" vertical="center"/>
    </xf>
    <xf numFmtId="0" fontId="6" fillId="0" borderId="0" xfId="0" applyFont="1"/>
    <xf numFmtId="165" fontId="0" fillId="0" borderId="0" xfId="0" applyNumberFormat="1"/>
    <xf numFmtId="0" fontId="1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0" fillId="0" borderId="0" xfId="0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/>
    </xf>
    <xf numFmtId="164" fontId="1" fillId="0" borderId="1" xfId="3" applyNumberFormat="1" applyFont="1" applyFill="1" applyBorder="1" applyAlignment="1" applyProtection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horizontal="right" wrapText="1"/>
    </xf>
    <xf numFmtId="164" fontId="1" fillId="0" borderId="2" xfId="3" applyNumberFormat="1" applyFont="1" applyFill="1" applyBorder="1" applyAlignment="1" applyProtection="1">
      <alignment horizontal="right" wrapText="1"/>
    </xf>
    <xf numFmtId="0" fontId="1" fillId="0" borderId="0" xfId="1" applyFont="1" applyFill="1"/>
    <xf numFmtId="0" fontId="0" fillId="0" borderId="0" xfId="0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wrapText="1"/>
    </xf>
    <xf numFmtId="166" fontId="0" fillId="0" borderId="0" xfId="0" applyNumberFormat="1"/>
    <xf numFmtId="167" fontId="0" fillId="0" borderId="0" xfId="0" applyNumberForma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2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3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4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33"/>
  <sheetViews>
    <sheetView tabSelected="1" zoomScaleNormal="100" workbookViewId="0">
      <selection activeCell="G29" sqref="G29"/>
    </sheetView>
  </sheetViews>
  <sheetFormatPr defaultRowHeight="15"/>
  <cols>
    <col min="1" max="1" width="9.140625" customWidth="1"/>
    <col min="2" max="2" width="21.140625" customWidth="1"/>
    <col min="3" max="3" width="18.42578125" customWidth="1"/>
    <col min="5" max="6" width="14.28515625" customWidth="1"/>
    <col min="7" max="7" width="10.7109375" customWidth="1"/>
    <col min="8" max="8" width="14.28515625" customWidth="1"/>
    <col min="9" max="9" width="13.5703125" customWidth="1"/>
    <col min="10" max="10" width="10.5703125" customWidth="1"/>
  </cols>
  <sheetData>
    <row r="1" spans="1:68" ht="26.25">
      <c r="A1" s="4" t="s">
        <v>21</v>
      </c>
      <c r="B1" s="4" t="s">
        <v>0</v>
      </c>
      <c r="C1" s="4" t="s">
        <v>1</v>
      </c>
      <c r="D1" s="4" t="s">
        <v>43</v>
      </c>
      <c r="E1" s="6" t="s">
        <v>44</v>
      </c>
      <c r="F1" s="7" t="s">
        <v>45</v>
      </c>
      <c r="G1" s="8" t="s">
        <v>46</v>
      </c>
      <c r="H1" s="6" t="s">
        <v>47</v>
      </c>
      <c r="I1" s="7" t="s">
        <v>48</v>
      </c>
      <c r="J1" s="6" t="s">
        <v>49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s="38" customFormat="1">
      <c r="A2" s="23" t="s">
        <v>22</v>
      </c>
      <c r="B2" s="23" t="s">
        <v>2</v>
      </c>
      <c r="C2" s="23" t="s">
        <v>66</v>
      </c>
      <c r="D2" s="32">
        <f>'Ridgeland Court'!L4</f>
        <v>5.8680941905699999</v>
      </c>
      <c r="E2" s="32">
        <f>'Ridgeland Court'!N4</f>
        <v>24.299999999999997</v>
      </c>
      <c r="F2" s="33">
        <v>5.0000000000000001E-3</v>
      </c>
      <c r="G2" s="34">
        <f>ROUND(E2*F2,1)</f>
        <v>0.1</v>
      </c>
      <c r="H2" s="34">
        <f>'Ridgeland Court'!O4</f>
        <v>5.5</v>
      </c>
      <c r="I2" s="35">
        <v>2.3E-2</v>
      </c>
      <c r="J2" s="36">
        <f>ROUND(H2*I2,1)</f>
        <v>0.1</v>
      </c>
      <c r="K2" s="39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</row>
    <row r="3" spans="1:68" s="38" customFormat="1">
      <c r="A3" s="22" t="s">
        <v>23</v>
      </c>
      <c r="B3" s="22" t="s">
        <v>3</v>
      </c>
      <c r="C3" s="23" t="s">
        <v>66</v>
      </c>
      <c r="D3" s="32">
        <f>'Palm CourtKnowles'!L7</f>
        <v>12.918669628518899</v>
      </c>
      <c r="E3" s="32">
        <f>'Palm CourtKnowles'!N7</f>
        <v>41.4</v>
      </c>
      <c r="F3" s="33">
        <v>5.0000000000000001E-3</v>
      </c>
      <c r="G3" s="34">
        <f>ROUND(E3*F3,1)</f>
        <v>0.2</v>
      </c>
      <c r="H3" s="27">
        <f>'Palm CourtKnowles'!O7</f>
        <v>8</v>
      </c>
      <c r="I3" s="35">
        <v>2.3E-2</v>
      </c>
      <c r="J3" s="36">
        <f>ROUND(H3*I3,1)</f>
        <v>0.2</v>
      </c>
      <c r="K3" s="39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</row>
    <row r="4" spans="1:68">
      <c r="A4" s="23" t="s">
        <v>24</v>
      </c>
      <c r="B4" s="22" t="s">
        <v>4</v>
      </c>
      <c r="C4" s="22" t="s">
        <v>63</v>
      </c>
      <c r="D4" s="28">
        <v>0</v>
      </c>
      <c r="E4" s="28">
        <v>0</v>
      </c>
      <c r="F4" s="31">
        <v>0</v>
      </c>
      <c r="G4" s="27">
        <v>0</v>
      </c>
      <c r="H4" s="27">
        <v>0</v>
      </c>
      <c r="I4" s="30">
        <v>0</v>
      </c>
      <c r="J4" s="29">
        <v>0</v>
      </c>
      <c r="K4" s="19" t="s">
        <v>130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s="38" customFormat="1">
      <c r="A5" s="22" t="s">
        <v>25</v>
      </c>
      <c r="B5" s="22" t="s">
        <v>5</v>
      </c>
      <c r="C5" s="23" t="s">
        <v>66</v>
      </c>
      <c r="D5" s="32">
        <f>'Captain Cove'!L2</f>
        <v>4.9407598468499998</v>
      </c>
      <c r="E5" s="32">
        <f>'Captain Cove'!N2</f>
        <v>15.9</v>
      </c>
      <c r="F5" s="33">
        <v>5.0000000000000001E-3</v>
      </c>
      <c r="G5" s="34">
        <f>ROUND(E5*F5,1)</f>
        <v>0.1</v>
      </c>
      <c r="H5" s="27">
        <f>'Captain Cove'!O2</f>
        <v>3.1</v>
      </c>
      <c r="I5" s="35">
        <v>2.3E-2</v>
      </c>
      <c r="J5" s="36">
        <f>ROUND(H5*I5,1)</f>
        <v>0.1</v>
      </c>
      <c r="K5" s="39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</row>
    <row r="6" spans="1:68">
      <c r="A6" s="23" t="s">
        <v>26</v>
      </c>
      <c r="B6" s="22" t="s">
        <v>6</v>
      </c>
      <c r="C6" s="22" t="s">
        <v>65</v>
      </c>
      <c r="D6" s="27">
        <v>0</v>
      </c>
      <c r="E6" s="27">
        <v>0</v>
      </c>
      <c r="F6" s="30">
        <v>0.1</v>
      </c>
      <c r="G6" s="27">
        <v>0</v>
      </c>
      <c r="H6" s="27">
        <v>0</v>
      </c>
      <c r="I6" s="30">
        <v>0.1</v>
      </c>
      <c r="J6" s="29">
        <v>0</v>
      </c>
      <c r="K6" s="5" t="s">
        <v>130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>
      <c r="A7" s="22" t="s">
        <v>27</v>
      </c>
      <c r="B7" s="22" t="s">
        <v>7</v>
      </c>
      <c r="C7" s="22" t="s">
        <v>65</v>
      </c>
      <c r="D7" s="28">
        <f>'Quail Run'!L2</f>
        <v>0.38856924660600001</v>
      </c>
      <c r="E7" s="27">
        <f>'Quail Run'!N2</f>
        <v>1.2</v>
      </c>
      <c r="F7" s="31">
        <v>0.1</v>
      </c>
      <c r="G7" s="27">
        <f>ROUND(E7*F7,1)</f>
        <v>0.1</v>
      </c>
      <c r="H7" s="27">
        <f>'Quail Run'!O2</f>
        <v>0.2</v>
      </c>
      <c r="I7" s="30">
        <v>0.1</v>
      </c>
      <c r="J7" s="29">
        <f>ROUND(H7*I7,1)</f>
        <v>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>
      <c r="A8" s="23" t="s">
        <v>28</v>
      </c>
      <c r="B8" s="22" t="s">
        <v>8</v>
      </c>
      <c r="C8" s="22" t="s">
        <v>132</v>
      </c>
      <c r="D8" s="28">
        <f>'Heritage Park'!L4</f>
        <v>5.2457995514210003</v>
      </c>
      <c r="E8" s="27">
        <f>'Heritage Park'!N4</f>
        <v>20.799999999999997</v>
      </c>
      <c r="F8" s="31">
        <f>'Retention Calcs'!B3</f>
        <v>0.33595150822666442</v>
      </c>
      <c r="G8" s="27">
        <f>ROUND(E8*F8,1)</f>
        <v>7</v>
      </c>
      <c r="H8" s="27">
        <f>'Heritage Park'!O4</f>
        <v>4.5999999999999996</v>
      </c>
      <c r="I8" s="30">
        <f>'Retention Calcs'!B3</f>
        <v>0.33595150822666442</v>
      </c>
      <c r="J8" s="29">
        <f>ROUND(H8*I8,1)</f>
        <v>1.5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>
      <c r="A9" s="22" t="s">
        <v>29</v>
      </c>
      <c r="B9" s="22" t="s">
        <v>9</v>
      </c>
      <c r="C9" s="22" t="s">
        <v>63</v>
      </c>
      <c r="D9" s="28">
        <f>'Via Lucindia'!L2</f>
        <v>2.7493585041299999</v>
      </c>
      <c r="E9" s="27">
        <f>'Via Lucindia'!N2</f>
        <v>11.4</v>
      </c>
      <c r="F9" s="31">
        <f>'Retention Calcs'!B7</f>
        <v>0.74050000000000005</v>
      </c>
      <c r="G9" s="27">
        <f>ROUND(E9*F9,1)</f>
        <v>8.4</v>
      </c>
      <c r="H9" s="27">
        <f>'Via Lucindia'!O2</f>
        <v>2.5</v>
      </c>
      <c r="I9" s="30">
        <f>'Retention Calcs'!B7</f>
        <v>0.74050000000000005</v>
      </c>
      <c r="J9" s="29">
        <f>ROUND(H9*I9,1)</f>
        <v>1.9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>
      <c r="A10" s="23" t="s">
        <v>30</v>
      </c>
      <c r="B10" s="22" t="s">
        <v>10</v>
      </c>
      <c r="C10" s="23" t="s">
        <v>66</v>
      </c>
      <c r="D10" s="32">
        <v>0</v>
      </c>
      <c r="E10" s="27">
        <v>0</v>
      </c>
      <c r="F10" s="33">
        <v>0</v>
      </c>
      <c r="G10" s="27">
        <v>0</v>
      </c>
      <c r="H10" s="27">
        <v>0</v>
      </c>
      <c r="I10" s="30">
        <v>0</v>
      </c>
      <c r="J10" s="29">
        <v>0</v>
      </c>
      <c r="K10" s="5" t="s">
        <v>130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s="38" customFormat="1">
      <c r="A11" s="22" t="s">
        <v>31</v>
      </c>
      <c r="B11" s="22" t="s">
        <v>11</v>
      </c>
      <c r="C11" s="23" t="s">
        <v>66</v>
      </c>
      <c r="D11" s="32">
        <f>'Rio Vista'!L4</f>
        <v>24.215789082419001</v>
      </c>
      <c r="E11" s="27">
        <f>'Rio Vista'!N4</f>
        <v>100.10000000000001</v>
      </c>
      <c r="F11" s="33">
        <v>5.0000000000000001E-3</v>
      </c>
      <c r="G11" s="34">
        <f>ROUND(E11*F11,1)</f>
        <v>0.5</v>
      </c>
      <c r="H11" s="27">
        <f>'Rio Vista'!O4</f>
        <v>22.400000000000002</v>
      </c>
      <c r="I11" s="35">
        <v>2.3E-2</v>
      </c>
      <c r="J11" s="36">
        <f>ROUND(H11*I11,1)</f>
        <v>0.5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</row>
    <row r="12" spans="1:68">
      <c r="A12" s="23" t="s">
        <v>32</v>
      </c>
      <c r="B12" s="22" t="s">
        <v>12</v>
      </c>
      <c r="C12" s="22" t="s">
        <v>64</v>
      </c>
      <c r="D12" s="27">
        <f>'India Lucie Retention'!L5</f>
        <v>31.07959128881097</v>
      </c>
      <c r="E12" s="27">
        <f>'India Lucie Retention'!N5</f>
        <v>127</v>
      </c>
      <c r="F12" s="30">
        <f>'Wet pond calcs'!B7</f>
        <v>0.34299999999999997</v>
      </c>
      <c r="G12" s="27">
        <f>ROUND(E12*F12,1)</f>
        <v>43.6</v>
      </c>
      <c r="H12" s="27">
        <f>'India Lucie Retention'!O5</f>
        <v>28.4</v>
      </c>
      <c r="I12" s="30">
        <f>'Wet pond calcs'!B8</f>
        <v>0.627</v>
      </c>
      <c r="J12" s="29">
        <f>ROUND(H12*I12,1)</f>
        <v>17.8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38" customFormat="1">
      <c r="A13" s="23" t="s">
        <v>33</v>
      </c>
      <c r="B13" s="22" t="s">
        <v>12</v>
      </c>
      <c r="C13" s="23" t="s">
        <v>66</v>
      </c>
      <c r="D13" s="32">
        <f>'India Lucie BB'!L8</f>
        <v>5.6450699973600003</v>
      </c>
      <c r="E13" s="27">
        <f>'India Lucie BB'!N8</f>
        <v>21.6</v>
      </c>
      <c r="F13" s="33">
        <v>5.0000000000000001E-3</v>
      </c>
      <c r="G13" s="34">
        <f>ROUND(E13*F13,1)</f>
        <v>0.1</v>
      </c>
      <c r="H13" s="27">
        <f>'India Lucie BB'!O8</f>
        <v>4.8</v>
      </c>
      <c r="I13" s="35">
        <v>2.3E-2</v>
      </c>
      <c r="J13" s="36">
        <f>ROUND(H13*I13,1)</f>
        <v>0.1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</row>
    <row r="14" spans="1:68">
      <c r="A14" s="23" t="s">
        <v>34</v>
      </c>
      <c r="B14" s="22" t="s">
        <v>13</v>
      </c>
      <c r="C14" s="22" t="s">
        <v>62</v>
      </c>
      <c r="D14" s="27">
        <v>0</v>
      </c>
      <c r="E14" s="27">
        <v>0</v>
      </c>
      <c r="F14" s="30">
        <v>0</v>
      </c>
      <c r="G14" s="27">
        <v>0</v>
      </c>
      <c r="H14" s="27">
        <v>0</v>
      </c>
      <c r="I14" s="30">
        <v>0</v>
      </c>
      <c r="J14" s="29">
        <v>0</v>
      </c>
      <c r="K14" s="5" t="s">
        <v>148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38" customFormat="1">
      <c r="A15" s="23" t="s">
        <v>35</v>
      </c>
      <c r="B15" s="22" t="s">
        <v>14</v>
      </c>
      <c r="C15" s="23" t="s">
        <v>66</v>
      </c>
      <c r="D15" s="32">
        <v>0</v>
      </c>
      <c r="E15" s="27">
        <v>0</v>
      </c>
      <c r="F15" s="33">
        <v>0</v>
      </c>
      <c r="G15" s="34">
        <v>0</v>
      </c>
      <c r="H15" s="27">
        <v>0</v>
      </c>
      <c r="I15" s="35">
        <v>0</v>
      </c>
      <c r="J15" s="36">
        <f t="shared" ref="J15:J18" si="0">ROUND(H15*I15,1)</f>
        <v>0</v>
      </c>
      <c r="K15" s="5" t="s">
        <v>130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</row>
    <row r="16" spans="1:68" s="38" customFormat="1">
      <c r="A16" s="23" t="s">
        <v>36</v>
      </c>
      <c r="B16" s="22" t="s">
        <v>57</v>
      </c>
      <c r="C16" s="23" t="s">
        <v>66</v>
      </c>
      <c r="D16" s="32">
        <f>Mandalay!L2</f>
        <v>1.78609760108E-2</v>
      </c>
      <c r="E16" s="27">
        <f>Mandalay!N2</f>
        <v>0.1</v>
      </c>
      <c r="F16" s="33">
        <v>5.0000000000000001E-3</v>
      </c>
      <c r="G16" s="34">
        <f t="shared" ref="G16:G18" si="1">ROUND(E16*F16,1)</f>
        <v>0</v>
      </c>
      <c r="H16" s="27">
        <f>Mandalay!O2</f>
        <v>0</v>
      </c>
      <c r="I16" s="35">
        <v>2.3E-2</v>
      </c>
      <c r="J16" s="36">
        <f t="shared" si="0"/>
        <v>0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</row>
    <row r="17" spans="1:68" s="38" customFormat="1">
      <c r="A17" s="23" t="s">
        <v>37</v>
      </c>
      <c r="B17" s="22" t="s">
        <v>15</v>
      </c>
      <c r="C17" s="23" t="s">
        <v>66</v>
      </c>
      <c r="D17" s="32">
        <v>0</v>
      </c>
      <c r="E17" s="27">
        <v>0</v>
      </c>
      <c r="F17" s="33">
        <v>0</v>
      </c>
      <c r="G17" s="34">
        <v>0</v>
      </c>
      <c r="H17" s="27">
        <v>0</v>
      </c>
      <c r="I17" s="35">
        <v>0</v>
      </c>
      <c r="J17" s="36">
        <v>0</v>
      </c>
      <c r="K17" s="5" t="s">
        <v>130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</row>
    <row r="18" spans="1:68" s="38" customFormat="1">
      <c r="A18" s="23" t="s">
        <v>38</v>
      </c>
      <c r="B18" s="22" t="s">
        <v>131</v>
      </c>
      <c r="C18" s="23" t="s">
        <v>66</v>
      </c>
      <c r="D18" s="32">
        <f>Periwinkle!L2</f>
        <v>15.6612291024</v>
      </c>
      <c r="E18" s="27">
        <f>Periwinkle!N2</f>
        <v>50.3</v>
      </c>
      <c r="F18" s="33">
        <v>5.0000000000000001E-3</v>
      </c>
      <c r="G18" s="34">
        <f t="shared" si="1"/>
        <v>0.3</v>
      </c>
      <c r="H18" s="27">
        <f>Periwinkle!O2</f>
        <v>9.9</v>
      </c>
      <c r="I18" s="35">
        <v>2.3E-2</v>
      </c>
      <c r="J18" s="36">
        <f t="shared" si="0"/>
        <v>0.2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</row>
    <row r="19" spans="1:68">
      <c r="A19" s="23" t="s">
        <v>39</v>
      </c>
      <c r="B19" s="22" t="s">
        <v>16</v>
      </c>
      <c r="C19" s="22" t="s">
        <v>17</v>
      </c>
      <c r="D19" s="28">
        <f>'Palm Road'!L2</f>
        <v>0.77694101717599995</v>
      </c>
      <c r="E19" s="27">
        <f>'Palm Road'!N2</f>
        <v>3.2</v>
      </c>
      <c r="F19" s="31">
        <f>'Retention Calcs'!B11</f>
        <v>0.158105610820787</v>
      </c>
      <c r="G19" s="27">
        <f t="shared" ref="G19:G24" si="2">ROUND(E19*F19,1)</f>
        <v>0.5</v>
      </c>
      <c r="H19" s="27">
        <f>'Palm Road'!O2</f>
        <v>0.7</v>
      </c>
      <c r="I19" s="30">
        <f>'Retention Calcs'!B11</f>
        <v>0.158105610820787</v>
      </c>
      <c r="J19" s="29">
        <f t="shared" ref="J19:J24" si="3">ROUND(H19*I19,1)</f>
        <v>0.1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</row>
    <row r="20" spans="1:68" s="38" customFormat="1">
      <c r="A20" s="23" t="s">
        <v>40</v>
      </c>
      <c r="B20" s="22" t="s">
        <v>18</v>
      </c>
      <c r="C20" s="23" t="s">
        <v>66</v>
      </c>
      <c r="D20" s="32">
        <f>Riverview!L2</f>
        <v>9.6169283970699997</v>
      </c>
      <c r="E20" s="27">
        <f>Riverview!N2</f>
        <v>39.700000000000003</v>
      </c>
      <c r="F20" s="33">
        <v>5.0000000000000001E-3</v>
      </c>
      <c r="G20" s="34">
        <f t="shared" si="2"/>
        <v>0.2</v>
      </c>
      <c r="H20" s="27">
        <f>Riverview!O2</f>
        <v>8.9</v>
      </c>
      <c r="I20" s="35">
        <v>2.3E-2</v>
      </c>
      <c r="J20" s="36">
        <f t="shared" si="3"/>
        <v>0.2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</row>
    <row r="21" spans="1:68">
      <c r="A21" s="23" t="s">
        <v>41</v>
      </c>
      <c r="B21" s="22" t="s">
        <v>19</v>
      </c>
      <c r="C21" s="22" t="s">
        <v>63</v>
      </c>
      <c r="D21" s="28">
        <f>'Pineapple Lane'!L4</f>
        <v>5.5226995432389998</v>
      </c>
      <c r="E21" s="27">
        <f>'Pineapple Lane'!N4</f>
        <v>22.8</v>
      </c>
      <c r="F21" s="31">
        <v>0</v>
      </c>
      <c r="G21" s="27">
        <f t="shared" si="2"/>
        <v>0</v>
      </c>
      <c r="H21" s="27">
        <f>'Pineapple Lane'!O4</f>
        <v>5.0999999999999996</v>
      </c>
      <c r="I21" s="30">
        <v>0</v>
      </c>
      <c r="J21" s="29">
        <f t="shared" si="3"/>
        <v>0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</row>
    <row r="22" spans="1:68" s="38" customFormat="1">
      <c r="A22" s="23" t="s">
        <v>42</v>
      </c>
      <c r="B22" s="22" t="s">
        <v>20</v>
      </c>
      <c r="C22" s="23" t="s">
        <v>66</v>
      </c>
      <c r="D22" s="32">
        <f>Copaire!L2</f>
        <v>1.82277836971</v>
      </c>
      <c r="E22" s="27">
        <f>Copaire!N2</f>
        <v>7.5</v>
      </c>
      <c r="F22" s="33">
        <v>5.0000000000000001E-3</v>
      </c>
      <c r="G22" s="34">
        <f t="shared" si="2"/>
        <v>0</v>
      </c>
      <c r="H22" s="27">
        <f>Copaire!O2</f>
        <v>1.7</v>
      </c>
      <c r="I22" s="35">
        <v>2.3E-2</v>
      </c>
      <c r="J22" s="36">
        <f t="shared" si="3"/>
        <v>0</v>
      </c>
    </row>
    <row r="23" spans="1:68" ht="26.25">
      <c r="A23" s="23" t="s">
        <v>55</v>
      </c>
      <c r="B23" s="22" t="s">
        <v>80</v>
      </c>
      <c r="C23" s="22" t="s">
        <v>79</v>
      </c>
      <c r="D23" s="28">
        <f>'Homewood Park'!L2</f>
        <v>13.8645298479</v>
      </c>
      <c r="E23" s="27">
        <f>'Homewood Park'!N2</f>
        <v>57.3</v>
      </c>
      <c r="F23" s="31">
        <f>'Retention Calcs'!B19</f>
        <v>0.7957823610038286</v>
      </c>
      <c r="G23" s="27">
        <f t="shared" si="2"/>
        <v>45.6</v>
      </c>
      <c r="H23" s="27">
        <f>'Homewood Park'!O2</f>
        <v>12.8</v>
      </c>
      <c r="I23" s="30">
        <f>'Retention Calcs'!B19</f>
        <v>0.7957823610038286</v>
      </c>
      <c r="J23" s="29">
        <f t="shared" si="3"/>
        <v>10.199999999999999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s="1" customFormat="1" ht="26.25">
      <c r="A24" s="22" t="s">
        <v>56</v>
      </c>
      <c r="B24" s="23" t="s">
        <v>60</v>
      </c>
      <c r="C24" s="23" t="s">
        <v>67</v>
      </c>
      <c r="D24" s="28">
        <f>Pedway!L6</f>
        <v>1.6284395474891602</v>
      </c>
      <c r="E24" s="27">
        <f>Pedway!N6</f>
        <v>6.5</v>
      </c>
      <c r="F24" s="31">
        <f>'Retention Calcs'!B23</f>
        <v>0.95273617460454341</v>
      </c>
      <c r="G24" s="27">
        <f t="shared" si="2"/>
        <v>6.2</v>
      </c>
      <c r="H24" s="27">
        <f>Pedway!O6</f>
        <v>1.5</v>
      </c>
      <c r="I24" s="30">
        <f>'Retention Calcs'!B23</f>
        <v>0.95273617460454341</v>
      </c>
      <c r="J24" s="29">
        <f t="shared" si="3"/>
        <v>1.4</v>
      </c>
    </row>
    <row r="25" spans="1:68" s="1" customFormat="1">
      <c r="A25" s="22" t="s">
        <v>58</v>
      </c>
      <c r="B25" s="22" t="s">
        <v>61</v>
      </c>
      <c r="C25" s="22" t="s">
        <v>68</v>
      </c>
      <c r="D25" s="28">
        <v>0</v>
      </c>
      <c r="E25" s="27">
        <v>0</v>
      </c>
      <c r="F25" s="31">
        <v>0</v>
      </c>
      <c r="G25" s="27">
        <v>0</v>
      </c>
      <c r="H25" s="27">
        <v>0</v>
      </c>
      <c r="I25" s="30">
        <v>0</v>
      </c>
      <c r="J25" s="29">
        <v>0</v>
      </c>
      <c r="K25" s="5" t="s">
        <v>130</v>
      </c>
    </row>
    <row r="26" spans="1:68" s="1" customFormat="1">
      <c r="A26" s="22" t="s">
        <v>59</v>
      </c>
      <c r="B26" s="22" t="s">
        <v>81</v>
      </c>
      <c r="C26" s="22" t="s">
        <v>63</v>
      </c>
      <c r="D26" s="28">
        <f>'SR A1A'!L8</f>
        <v>12.120143458557258</v>
      </c>
      <c r="E26" s="27">
        <f>'SR A1A'!N8</f>
        <v>64.400000000000006</v>
      </c>
      <c r="F26" s="30">
        <f>'Retention Calcs'!B27</f>
        <v>0.80886239644226532</v>
      </c>
      <c r="G26" s="27">
        <f>ROUND(E26*F26,1)</f>
        <v>52.1</v>
      </c>
      <c r="H26" s="27">
        <f>'SR A1A'!O8</f>
        <v>12.9</v>
      </c>
      <c r="I26" s="30">
        <f>'Retention Calcs'!B27</f>
        <v>0.80886239644226532</v>
      </c>
      <c r="J26" s="29">
        <f>ROUND(H26*I26,1)</f>
        <v>10.4</v>
      </c>
      <c r="K26" s="9"/>
    </row>
    <row r="27" spans="1:68" s="24" customFormat="1">
      <c r="A27" s="22" t="s">
        <v>139</v>
      </c>
      <c r="B27" s="22" t="s">
        <v>141</v>
      </c>
      <c r="C27" s="22" t="s">
        <v>142</v>
      </c>
      <c r="D27" s="28" t="s">
        <v>143</v>
      </c>
      <c r="E27" s="27">
        <f>Education!L21</f>
        <v>1770.8</v>
      </c>
      <c r="F27" s="30">
        <v>5.0000000000000001E-3</v>
      </c>
      <c r="G27" s="27">
        <f>ROUND(E27*F27,1)</f>
        <v>8.9</v>
      </c>
      <c r="H27" s="27">
        <f>Education!M21</f>
        <v>384.00000000000006</v>
      </c>
      <c r="I27" s="30">
        <v>5.0000000000000001E-3</v>
      </c>
      <c r="J27" s="29">
        <f>ROUND(H27*I27,1)</f>
        <v>1.9</v>
      </c>
      <c r="K27" s="9"/>
    </row>
    <row r="28" spans="1:68" s="24" customFormat="1">
      <c r="A28" s="22" t="s">
        <v>140</v>
      </c>
      <c r="B28" s="22" t="s">
        <v>144</v>
      </c>
      <c r="C28" s="22" t="s">
        <v>145</v>
      </c>
      <c r="D28" s="28" t="s">
        <v>143</v>
      </c>
      <c r="E28" s="28" t="s">
        <v>143</v>
      </c>
      <c r="F28" s="28" t="s">
        <v>143</v>
      </c>
      <c r="G28" s="27">
        <v>25</v>
      </c>
      <c r="H28" s="28" t="s">
        <v>143</v>
      </c>
      <c r="I28" s="28" t="s">
        <v>143</v>
      </c>
      <c r="J28" s="29">
        <v>16</v>
      </c>
      <c r="K28" s="9"/>
    </row>
    <row r="29" spans="1:6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>
      <c r="E30" s="9"/>
      <c r="F30" s="1"/>
      <c r="G30" s="10" t="s">
        <v>50</v>
      </c>
      <c r="H30" s="11"/>
      <c r="I30" s="12"/>
      <c r="J30" s="13" t="s">
        <v>51</v>
      </c>
    </row>
    <row r="31" spans="1:68">
      <c r="E31" s="9"/>
      <c r="F31" s="14" t="s">
        <v>52</v>
      </c>
      <c r="G31" s="15">
        <f>SUM(G2:G28)</f>
        <v>198.9</v>
      </c>
      <c r="H31" s="16"/>
      <c r="I31" s="16"/>
      <c r="J31" s="17">
        <f>SUM(J2:J28)</f>
        <v>62.6</v>
      </c>
    </row>
    <row r="32" spans="1:68">
      <c r="E32" s="9"/>
      <c r="F32" s="14" t="s">
        <v>53</v>
      </c>
      <c r="G32" s="17">
        <v>0</v>
      </c>
      <c r="H32" s="17"/>
      <c r="I32" s="17"/>
      <c r="J32" s="17">
        <v>0</v>
      </c>
    </row>
    <row r="33" spans="5:10">
      <c r="E33" s="9"/>
      <c r="F33" s="14" t="s">
        <v>54</v>
      </c>
      <c r="G33" s="18">
        <v>1</v>
      </c>
      <c r="H33" s="17"/>
      <c r="I33" s="17"/>
      <c r="J33" s="18">
        <v>1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4.85546875" bestFit="1" customWidth="1"/>
    <col min="2" max="2" width="15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105</v>
      </c>
      <c r="B2" s="41" t="s">
        <v>106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4.8291664792500004</v>
      </c>
      <c r="M2" s="24">
        <f>G2*K2*L2/12</f>
        <v>5.8877197715016001</v>
      </c>
      <c r="N2" s="24">
        <f>ROUND(2.721*I2*M2,1)</f>
        <v>19.899999999999999</v>
      </c>
      <c r="O2" s="24">
        <f>ROUND((2.721*J2*M2)+(F2*L2),1)</f>
        <v>4.5</v>
      </c>
    </row>
    <row r="3" spans="1:15" s="24" customFormat="1">
      <c r="A3" s="41" t="s">
        <v>105</v>
      </c>
      <c r="B3" s="41" t="s">
        <v>106</v>
      </c>
      <c r="C3" s="41">
        <v>4240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0.69099999999999995</v>
      </c>
      <c r="J3" s="42">
        <v>3.5999999999999997E-2</v>
      </c>
      <c r="K3" s="42">
        <v>0.26200000000000001</v>
      </c>
      <c r="L3" s="42">
        <v>0.41663307217099999</v>
      </c>
      <c r="M3" s="24">
        <f>G3*K3*L3/12</f>
        <v>0.46210162811392846</v>
      </c>
      <c r="N3" s="24">
        <f>ROUND(2.721*I3*M3,1)</f>
        <v>0.9</v>
      </c>
      <c r="O3" s="24">
        <f>ROUND((2.721*J3*M3)+(F3*L3),1)</f>
        <v>0.1</v>
      </c>
    </row>
    <row r="4" spans="1:15">
      <c r="L4" s="24">
        <f t="shared" ref="L4:N4" si="0">SUM(L2:L3)</f>
        <v>5.2457995514210003</v>
      </c>
      <c r="M4" s="24">
        <f t="shared" si="0"/>
        <v>6.3498213996155286</v>
      </c>
      <c r="N4" s="24">
        <f t="shared" si="0"/>
        <v>20.799999999999997</v>
      </c>
      <c r="O4">
        <f>SUM(O2:O3)</f>
        <v>4.5999999999999996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ColWidth="13" defaultRowHeight="15"/>
  <cols>
    <col min="1" max="1" width="13.140625" bestFit="1" customWidth="1"/>
    <col min="2" max="2" width="13.5703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107</v>
      </c>
      <c r="B2" s="41" t="s">
        <v>101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2.7493585041299999</v>
      </c>
      <c r="M2" s="24">
        <f>G2*K2*L2/12</f>
        <v>3.3520178882352956</v>
      </c>
      <c r="N2" s="24">
        <f>ROUND(2.721*I2*M2,1)</f>
        <v>11.4</v>
      </c>
      <c r="O2" s="24">
        <f>ROUND((2.721*J2*M2)+(F2*L2),1)</f>
        <v>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O4" sqref="L4:O4"/>
    </sheetView>
  </sheetViews>
  <sheetFormatPr defaultRowHeight="15"/>
  <cols>
    <col min="1" max="1" width="67.28515625" bestFit="1" customWidth="1"/>
    <col min="2" max="2" width="52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147</v>
      </c>
      <c r="B2" s="41" t="s">
        <v>108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24.058089367400001</v>
      </c>
      <c r="M2" s="24">
        <f>G2*K2*L2/12</f>
        <v>29.331622556734075</v>
      </c>
      <c r="N2" s="24">
        <f>ROUND(2.721*I2*M2,1)</f>
        <v>99.4</v>
      </c>
      <c r="O2" s="24">
        <f>ROUND((2.721*J2*M2)+(F2*L2),1)</f>
        <v>22.3</v>
      </c>
    </row>
    <row r="3" spans="1:15" s="24" customFormat="1">
      <c r="A3" s="41" t="s">
        <v>147</v>
      </c>
      <c r="B3" s="41" t="s">
        <v>108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0.15769971501899999</v>
      </c>
      <c r="M3" s="24">
        <f>G3*K3*L3/12</f>
        <v>0.19226749255116474</v>
      </c>
      <c r="N3" s="24">
        <f>ROUND(2.721*I3*M3,1)</f>
        <v>0.7</v>
      </c>
      <c r="O3" s="24">
        <f>ROUND((2.721*J3*M3)+(F3*L3),1)</f>
        <v>0.1</v>
      </c>
    </row>
    <row r="4" spans="1:15">
      <c r="L4" s="24">
        <f t="shared" ref="L4:N4" si="0">SUM(L2:L3)</f>
        <v>24.215789082419001</v>
      </c>
      <c r="M4" s="24">
        <f t="shared" si="0"/>
        <v>29.523890049285239</v>
      </c>
      <c r="N4" s="24">
        <f t="shared" si="0"/>
        <v>100.10000000000001</v>
      </c>
      <c r="O4">
        <f>SUM(O2:O3)</f>
        <v>22.400000000000002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M1" sqref="M1:O2"/>
    </sheetView>
  </sheetViews>
  <sheetFormatPr defaultRowHeight="15"/>
  <cols>
    <col min="1" max="1" width="19.42578125" bestFit="1" customWidth="1"/>
    <col min="2" max="2" width="35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3.42578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3" t="s">
        <v>111</v>
      </c>
      <c r="B2" s="41" t="s">
        <v>110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9.8249377779699998E-3</v>
      </c>
      <c r="M2" s="24">
        <f>G2*K2*L2/12</f>
        <v>1.1978564138901021E-2</v>
      </c>
      <c r="N2" s="24">
        <f>ROUND(2.721*I2*M2,1)</f>
        <v>0</v>
      </c>
      <c r="O2" s="24">
        <f>ROUND((2.721*J2*M2)+(F2*L2),1)</f>
        <v>0</v>
      </c>
    </row>
    <row r="3" spans="1:15" s="24" customFormat="1">
      <c r="A3" s="43" t="s">
        <v>111</v>
      </c>
      <c r="B3" s="41" t="s">
        <v>110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30.4407948598</v>
      </c>
      <c r="M3" s="24">
        <f t="shared" ref="M3:M4" si="0">G3*K3*L3/12</f>
        <v>37.113417093068158</v>
      </c>
      <c r="N3" s="24">
        <f t="shared" ref="N3:N4" si="1">ROUND(2.721*I3*M3,1)</f>
        <v>125.7</v>
      </c>
      <c r="O3" s="24">
        <f t="shared" ref="O3:O4" si="2">ROUND((2.721*J3*M3)+(F3*L3),1)</f>
        <v>28.2</v>
      </c>
    </row>
    <row r="4" spans="1:15" s="24" customFormat="1">
      <c r="A4" s="43" t="s">
        <v>111</v>
      </c>
      <c r="B4" s="41" t="s">
        <v>110</v>
      </c>
      <c r="C4" s="41">
        <v>3200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0.69099999999999995</v>
      </c>
      <c r="J4" s="42">
        <v>3.5999999999999997E-2</v>
      </c>
      <c r="K4" s="42">
        <v>0.26200000000000001</v>
      </c>
      <c r="L4" s="42">
        <v>0.628971491233</v>
      </c>
      <c r="M4" s="24">
        <f t="shared" si="0"/>
        <v>0.6976132466428947</v>
      </c>
      <c r="N4" s="24">
        <f t="shared" si="1"/>
        <v>1.3</v>
      </c>
      <c r="O4" s="24">
        <f t="shared" si="2"/>
        <v>0.2</v>
      </c>
    </row>
    <row r="5" spans="1:15">
      <c r="L5" s="24">
        <f t="shared" ref="L5:N5" si="3">SUM(L2:L4)</f>
        <v>31.07959128881097</v>
      </c>
      <c r="M5" s="24">
        <f t="shared" si="3"/>
        <v>37.823008903849953</v>
      </c>
      <c r="N5" s="24">
        <f t="shared" si="3"/>
        <v>127</v>
      </c>
      <c r="O5">
        <f>SUM(O2:O4)</f>
        <v>28.4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ColWidth="9.28515625" defaultRowHeight="15"/>
  <cols>
    <col min="1" max="1" width="19.42578125" bestFit="1" customWidth="1"/>
    <col min="2" max="2" width="21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111</v>
      </c>
      <c r="B2" s="41" t="s">
        <v>112</v>
      </c>
      <c r="C2" s="41">
        <v>1210</v>
      </c>
      <c r="D2" s="41" t="s">
        <v>96</v>
      </c>
      <c r="E2" s="41"/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3.7132983203500003E-2</v>
      </c>
      <c r="M2" s="24">
        <f>G2*K2*L2/12</f>
        <v>4.5272533121707197E-2</v>
      </c>
      <c r="N2" s="24">
        <f>ROUND(2.721*I2*M2,1)</f>
        <v>0.2</v>
      </c>
      <c r="O2" s="24">
        <f>ROUND((2.721*J2*M2)+(F2*L2),1)</f>
        <v>0</v>
      </c>
    </row>
    <row r="3" spans="1:15" s="24" customFormat="1">
      <c r="A3" s="41" t="s">
        <v>111</v>
      </c>
      <c r="B3" s="41" t="s">
        <v>112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3.04346027311</v>
      </c>
      <c r="M3" s="24">
        <f t="shared" ref="M3:M7" si="0">G3*K3*L3/12</f>
        <v>3.7105867649757118</v>
      </c>
      <c r="N3" s="24">
        <f t="shared" ref="N3:N7" si="1">ROUND(2.721*I3*M3,1)</f>
        <v>12.6</v>
      </c>
      <c r="O3" s="24">
        <f t="shared" ref="O3:O7" si="2">ROUND((2.721*J3*M3)+(F3*L3),1)</f>
        <v>2.8</v>
      </c>
    </row>
    <row r="4" spans="1:15" s="24" customFormat="1">
      <c r="A4" s="41" t="s">
        <v>111</v>
      </c>
      <c r="B4" s="41" t="s">
        <v>112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2.4599197949199998</v>
      </c>
      <c r="M4" s="24">
        <f t="shared" si="0"/>
        <v>4.4882876604845343</v>
      </c>
      <c r="N4" s="24">
        <f t="shared" si="1"/>
        <v>8.6999999999999993</v>
      </c>
      <c r="O4" s="24">
        <f t="shared" si="2"/>
        <v>2</v>
      </c>
    </row>
    <row r="5" spans="1:15" s="24" customFormat="1">
      <c r="A5" s="41" t="s">
        <v>111</v>
      </c>
      <c r="B5" s="41" t="s">
        <v>112</v>
      </c>
      <c r="C5" s="41">
        <v>1411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1.4430000000000001</v>
      </c>
      <c r="J5" s="42">
        <v>0.22500000000000001</v>
      </c>
      <c r="K5" s="42">
        <v>0.43099999999999999</v>
      </c>
      <c r="L5" s="42">
        <v>1.1612287717599999E-2</v>
      </c>
      <c r="M5" s="24">
        <f t="shared" si="0"/>
        <v>2.1187393093275705E-2</v>
      </c>
      <c r="N5" s="24">
        <f t="shared" si="1"/>
        <v>0.1</v>
      </c>
      <c r="O5" s="24">
        <f t="shared" si="2"/>
        <v>0</v>
      </c>
    </row>
    <row r="6" spans="1:15" s="24" customFormat="1">
      <c r="A6" s="41" t="s">
        <v>111</v>
      </c>
      <c r="B6" s="41" t="s">
        <v>112</v>
      </c>
      <c r="C6" s="41">
        <v>5110</v>
      </c>
      <c r="D6" s="41" t="s">
        <v>96</v>
      </c>
      <c r="E6" s="41"/>
      <c r="F6" s="42">
        <v>0.22</v>
      </c>
      <c r="G6" s="42">
        <v>50.8</v>
      </c>
      <c r="H6" s="42">
        <v>0</v>
      </c>
      <c r="I6" s="42">
        <v>0.505</v>
      </c>
      <c r="J6" s="42">
        <v>6.8000000000000005E-2</v>
      </c>
      <c r="K6" s="42">
        <v>5.2999999999999999E-2</v>
      </c>
      <c r="L6" s="42">
        <v>4.17743349326E-2</v>
      </c>
      <c r="M6" s="24">
        <f t="shared" si="0"/>
        <v>9.3727682810443528E-3</v>
      </c>
      <c r="N6" s="24">
        <f t="shared" si="1"/>
        <v>0</v>
      </c>
      <c r="O6" s="24">
        <f t="shared" si="2"/>
        <v>0</v>
      </c>
    </row>
    <row r="7" spans="1:15" s="24" customFormat="1">
      <c r="A7" s="41" t="s">
        <v>111</v>
      </c>
      <c r="B7" s="41" t="s">
        <v>112</v>
      </c>
      <c r="C7" s="41">
        <v>5110</v>
      </c>
      <c r="D7" s="41" t="s">
        <v>96</v>
      </c>
      <c r="E7" s="41" t="s">
        <v>95</v>
      </c>
      <c r="F7" s="42">
        <v>0.22</v>
      </c>
      <c r="G7" s="42">
        <v>50.8</v>
      </c>
      <c r="H7" s="42">
        <v>0</v>
      </c>
      <c r="I7" s="42">
        <v>0.505</v>
      </c>
      <c r="J7" s="42">
        <v>6.8000000000000005E-2</v>
      </c>
      <c r="K7" s="42">
        <v>5.2999999999999999E-2</v>
      </c>
      <c r="L7" s="42">
        <v>5.1170323476300003E-2</v>
      </c>
      <c r="M7" s="24">
        <f t="shared" si="0"/>
        <v>1.1480914910632509E-2</v>
      </c>
      <c r="N7" s="24">
        <f t="shared" si="1"/>
        <v>0</v>
      </c>
      <c r="O7" s="24">
        <f t="shared" si="2"/>
        <v>0</v>
      </c>
    </row>
    <row r="8" spans="1:15">
      <c r="L8" s="24">
        <f t="shared" ref="L8:N8" si="3">SUM(L2:L7)</f>
        <v>5.6450699973600003</v>
      </c>
      <c r="M8" s="24">
        <f t="shared" si="3"/>
        <v>8.2861880348669086</v>
      </c>
      <c r="N8" s="24">
        <f t="shared" si="3"/>
        <v>21.6</v>
      </c>
      <c r="O8">
        <f>SUM(O2:O7)</f>
        <v>4.8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113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1.78609760108E-2</v>
      </c>
      <c r="M2" s="24">
        <f>G2*K2*L2/12</f>
        <v>2.1776101952367358E-2</v>
      </c>
      <c r="N2" s="24">
        <f>ROUND(2.721*I2*M2,1)</f>
        <v>0.1</v>
      </c>
      <c r="O2" s="24">
        <f>ROUND((2.721*J2*M2)+(F2*L2),1)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114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15.6612291024</v>
      </c>
      <c r="M2" s="24">
        <f>G2*K2*L2/12</f>
        <v>19.094170521646078</v>
      </c>
      <c r="N2" s="24">
        <f>ROUND(2.721*I2*M2,1)</f>
        <v>50.3</v>
      </c>
      <c r="O2" s="24">
        <f>ROUND((2.721*J2*M2)+(F2*L2),1)</f>
        <v>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3">
      <c r="A1" s="20" t="s">
        <v>12</v>
      </c>
    </row>
    <row r="2" spans="1:3">
      <c r="A2" t="s">
        <v>69</v>
      </c>
      <c r="B2" t="s">
        <v>70</v>
      </c>
    </row>
    <row r="3" spans="1:3">
      <c r="B3" t="s">
        <v>71</v>
      </c>
    </row>
    <row r="4" spans="1:3">
      <c r="A4" t="s">
        <v>72</v>
      </c>
      <c r="B4">
        <v>1.69</v>
      </c>
      <c r="C4" t="s">
        <v>73</v>
      </c>
    </row>
    <row r="5" spans="1:3">
      <c r="A5" t="s">
        <v>74</v>
      </c>
      <c r="B5">
        <f>'India Lucie Retention'!M5</f>
        <v>37.823008903849953</v>
      </c>
      <c r="C5" t="s">
        <v>73</v>
      </c>
    </row>
    <row r="6" spans="1:3">
      <c r="A6" t="s">
        <v>75</v>
      </c>
      <c r="B6">
        <f>ROUND(B4/B5*365,0)</f>
        <v>16</v>
      </c>
      <c r="C6" t="s">
        <v>76</v>
      </c>
    </row>
    <row r="7" spans="1:3">
      <c r="A7" t="s">
        <v>77</v>
      </c>
      <c r="B7" s="21">
        <f>(ROUND((43.75*B6)/(4.38+B6),1))/100</f>
        <v>0.34299999999999997</v>
      </c>
    </row>
    <row r="8" spans="1:3">
      <c r="A8" t="s">
        <v>78</v>
      </c>
      <c r="B8" s="21">
        <f>(ROUND(44.53+6.146*LN(B6)+0.145*(LN(B6)^2),1))/100</f>
        <v>0.627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3.85546875" bestFit="1" customWidth="1"/>
    <col min="2" max="2" width="19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710937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115</v>
      </c>
      <c r="B2" s="41" t="s">
        <v>116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0.77694101717599995</v>
      </c>
      <c r="M2" s="24">
        <f>G2*K2*L2/12</f>
        <v>0.947246488140979</v>
      </c>
      <c r="N2" s="24">
        <f>ROUND(2.721*I2*M2,1)</f>
        <v>3.2</v>
      </c>
      <c r="O2" s="24">
        <f>ROUND((2.721*J2*M2)+(F2*L2),1)</f>
        <v>0.7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5703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117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9.6169283970699997</v>
      </c>
      <c r="M2" s="24">
        <f>G2*K2*L2/12</f>
        <v>11.724959101707741</v>
      </c>
      <c r="N2" s="24">
        <f>ROUND(2.721*I2*M2,1)</f>
        <v>39.700000000000003</v>
      </c>
      <c r="O2" s="24">
        <f>ROUND((2.721*J2*M2)+(F2*L2),1)</f>
        <v>8.9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5.7109375" bestFit="1" customWidth="1"/>
    <col min="2" max="2" width="43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118</v>
      </c>
      <c r="B2" s="41" t="s">
        <v>119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5.4409369444499998</v>
      </c>
      <c r="M2" s="24">
        <f>G2*K2*L2/12</f>
        <v>6.633590322673439</v>
      </c>
      <c r="N2" s="24">
        <f>ROUND(2.721*I2*M2,1)</f>
        <v>22.5</v>
      </c>
      <c r="O2" s="24">
        <f>ROUND((2.721*J2*M2)+(F2*L2),1)</f>
        <v>5</v>
      </c>
    </row>
    <row r="3" spans="1:15" s="24" customFormat="1">
      <c r="A3" s="41" t="s">
        <v>118</v>
      </c>
      <c r="B3" s="41" t="s">
        <v>119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8.1762598788999996E-2</v>
      </c>
      <c r="M3" s="24">
        <f>G3*K3*L3/12</f>
        <v>9.9684960443548784E-2</v>
      </c>
      <c r="N3" s="24">
        <f>ROUND(2.721*I3*M3,1)</f>
        <v>0.3</v>
      </c>
      <c r="O3" s="24">
        <f>ROUND((2.721*J3*M3)+(F3*L3),1)</f>
        <v>0.1</v>
      </c>
    </row>
    <row r="4" spans="1:15">
      <c r="L4" s="24">
        <f t="shared" ref="L4:N4" si="0">SUM(L2:L3)</f>
        <v>5.5226995432389998</v>
      </c>
      <c r="M4" s="24">
        <f t="shared" si="0"/>
        <v>6.7332752831169875</v>
      </c>
      <c r="N4" s="24">
        <f t="shared" si="0"/>
        <v>22.8</v>
      </c>
      <c r="O4">
        <f>SUM(O2:O3)</f>
        <v>5.0999999999999996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1.8554687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97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1.82277836971</v>
      </c>
      <c r="M2" s="24">
        <f>G2*K2*L2/12</f>
        <v>2.2223313883504319</v>
      </c>
      <c r="N2" s="24">
        <f>ROUND(2.721*I2*M2,1)</f>
        <v>7.5</v>
      </c>
      <c r="O2" s="24">
        <f>ROUND((2.721*J2*M2)+(F2*L2),1)</f>
        <v>1.7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4.7109375" bestFit="1" customWidth="1"/>
    <col min="2" max="2" width="24.855468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120</v>
      </c>
      <c r="B2" s="41" t="s">
        <v>121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13.8645298479</v>
      </c>
      <c r="M2" s="24">
        <f>G2*K2*L2/12</f>
        <v>16.903634790559678</v>
      </c>
      <c r="N2" s="24">
        <f>ROUND(2.721*I2*M2,1)</f>
        <v>57.3</v>
      </c>
      <c r="O2" s="24">
        <f>ROUND((2.721*J2*M2)+(F2*L2),1)</f>
        <v>12.8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42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122</v>
      </c>
      <c r="B2" s="41" t="s">
        <v>123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1.3549043823</v>
      </c>
      <c r="M2" s="24">
        <f>G2*K2*L2/12</f>
        <v>1.6518994229001598</v>
      </c>
      <c r="N2" s="24">
        <f>ROUND(2.721*I2*M2,1)</f>
        <v>5.6</v>
      </c>
      <c r="O2" s="24">
        <f>ROUND((2.721*J2*M2)+(F2*L2),1)</f>
        <v>1.3</v>
      </c>
    </row>
    <row r="3" spans="1:15" s="24" customFormat="1">
      <c r="A3" s="41" t="s">
        <v>122</v>
      </c>
      <c r="B3" s="41" t="s">
        <v>123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4.5712156570600002E-3</v>
      </c>
      <c r="M3" s="24">
        <f t="shared" ref="M3:M5" si="0">G3*K3*L3/12</f>
        <v>5.5732261290875511E-3</v>
      </c>
      <c r="N3" s="24">
        <f t="shared" ref="N3:N5" si="1">ROUND(2.721*I3*M3,1)</f>
        <v>0</v>
      </c>
      <c r="O3" s="24">
        <f t="shared" ref="O3:O5" si="2">ROUND((2.721*J3*M3)+(F3*L3),1)</f>
        <v>0</v>
      </c>
    </row>
    <row r="4" spans="1:15" s="24" customFormat="1">
      <c r="A4" s="41" t="s">
        <v>122</v>
      </c>
      <c r="B4" s="41" t="s">
        <v>123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0.247018311406</v>
      </c>
      <c r="M4" s="24">
        <f t="shared" si="0"/>
        <v>0.45070137704767405</v>
      </c>
      <c r="N4" s="24">
        <f t="shared" si="1"/>
        <v>0.9</v>
      </c>
      <c r="O4" s="24">
        <f t="shared" si="2"/>
        <v>0.2</v>
      </c>
    </row>
    <row r="5" spans="1:15" s="24" customFormat="1">
      <c r="A5" s="41" t="s">
        <v>122</v>
      </c>
      <c r="B5" s="41" t="s">
        <v>123</v>
      </c>
      <c r="C5" s="41">
        <v>4240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0.69099999999999995</v>
      </c>
      <c r="J5" s="42">
        <v>3.5999999999999997E-2</v>
      </c>
      <c r="K5" s="42">
        <v>0.26200000000000001</v>
      </c>
      <c r="L5" s="42">
        <v>2.1945638126099998E-2</v>
      </c>
      <c r="M5" s="24">
        <f t="shared" si="0"/>
        <v>2.434063876692838E-2</v>
      </c>
      <c r="N5" s="24">
        <f t="shared" si="1"/>
        <v>0</v>
      </c>
      <c r="O5" s="24">
        <f t="shared" si="2"/>
        <v>0</v>
      </c>
    </row>
    <row r="6" spans="1:15">
      <c r="L6" s="24">
        <f t="shared" ref="L6:N6" si="3">SUM(L2:L5)</f>
        <v>1.6284395474891602</v>
      </c>
      <c r="M6" s="24">
        <f t="shared" si="3"/>
        <v>2.1325146648438498</v>
      </c>
      <c r="N6" s="24">
        <f t="shared" si="3"/>
        <v>6.5</v>
      </c>
      <c r="O6">
        <f>SUM(O2:O5)</f>
        <v>1.5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RowHeight="15"/>
  <cols>
    <col min="1" max="1" width="28" bestFit="1" customWidth="1"/>
    <col min="2" max="2" width="28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124</v>
      </c>
      <c r="B2" s="41" t="s">
        <v>125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1.25153934228E-2</v>
      </c>
      <c r="M2" s="24">
        <f>G2*K2*L2/12</f>
        <v>1.5258767661077756E-2</v>
      </c>
      <c r="N2" s="24">
        <f>ROUND(2.721*I2*M2,1)</f>
        <v>0.1</v>
      </c>
      <c r="O2" s="24">
        <f>ROUND((2.721*J2*M2)+(F2*L2),1)</f>
        <v>0</v>
      </c>
    </row>
    <row r="3" spans="1:15" s="24" customFormat="1">
      <c r="A3" s="41" t="s">
        <v>124</v>
      </c>
      <c r="B3" s="41" t="s">
        <v>125</v>
      </c>
      <c r="C3" s="41">
        <v>1400</v>
      </c>
      <c r="D3" s="41" t="s">
        <v>96</v>
      </c>
      <c r="E3" s="41"/>
      <c r="F3" s="42">
        <v>0.22</v>
      </c>
      <c r="G3" s="42">
        <v>50.8</v>
      </c>
      <c r="H3" s="42">
        <v>0</v>
      </c>
      <c r="I3" s="42">
        <v>0.70899999999999996</v>
      </c>
      <c r="J3" s="42">
        <v>0.11700000000000001</v>
      </c>
      <c r="K3" s="42">
        <v>0.43099999999999999</v>
      </c>
      <c r="L3" s="42">
        <v>1.1731085210299999E-3</v>
      </c>
      <c r="M3" s="24">
        <f t="shared" ref="M3:M7" si="0">G3*K3*L3/12</f>
        <v>2.1404147038539701E-3</v>
      </c>
      <c r="N3" s="24">
        <f t="shared" ref="N3:N7" si="1">ROUND(2.721*I3*M3,1)</f>
        <v>0</v>
      </c>
      <c r="O3" s="24">
        <f t="shared" ref="O3:O7" si="2">ROUND((2.721*J3*M3)+(F3*L3),1)</f>
        <v>0</v>
      </c>
    </row>
    <row r="4" spans="1:15" s="24" customFormat="1">
      <c r="A4" s="41" t="s">
        <v>124</v>
      </c>
      <c r="B4" s="41" t="s">
        <v>125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6.0801877321499997</v>
      </c>
      <c r="M4" s="24">
        <f t="shared" si="0"/>
        <v>11.093707863156483</v>
      </c>
      <c r="N4" s="24">
        <f t="shared" si="1"/>
        <v>21.4</v>
      </c>
      <c r="O4" s="24">
        <f t="shared" si="2"/>
        <v>4.9000000000000004</v>
      </c>
    </row>
    <row r="5" spans="1:15" s="24" customFormat="1">
      <c r="A5" s="41" t="s">
        <v>124</v>
      </c>
      <c r="B5" s="41" t="s">
        <v>125</v>
      </c>
      <c r="C5" s="41">
        <v>1411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1.4430000000000001</v>
      </c>
      <c r="J5" s="42">
        <v>0.22500000000000001</v>
      </c>
      <c r="K5" s="42">
        <v>0.43099999999999999</v>
      </c>
      <c r="L5" s="42">
        <v>5.9831100280599996</v>
      </c>
      <c r="M5" s="24">
        <f t="shared" si="0"/>
        <v>10.916583120197339</v>
      </c>
      <c r="N5" s="24">
        <f t="shared" si="1"/>
        <v>42.9</v>
      </c>
      <c r="O5" s="24">
        <f t="shared" si="2"/>
        <v>8</v>
      </c>
    </row>
    <row r="6" spans="1:15" s="24" customFormat="1">
      <c r="A6" s="41" t="s">
        <v>124</v>
      </c>
      <c r="B6" s="41" t="s">
        <v>125</v>
      </c>
      <c r="C6" s="41">
        <v>5110</v>
      </c>
      <c r="D6" s="41" t="s">
        <v>96</v>
      </c>
      <c r="E6" s="41"/>
      <c r="F6" s="42">
        <v>0.22</v>
      </c>
      <c r="G6" s="42">
        <v>50.8</v>
      </c>
      <c r="H6" s="42">
        <v>0</v>
      </c>
      <c r="I6" s="42">
        <v>0.505</v>
      </c>
      <c r="J6" s="42">
        <v>6.8000000000000005E-2</v>
      </c>
      <c r="K6" s="42">
        <v>5.2999999999999999E-2</v>
      </c>
      <c r="L6" s="42">
        <v>4.0632820948100001E-2</v>
      </c>
      <c r="M6" s="24">
        <f t="shared" si="0"/>
        <v>9.1166505933887015E-3</v>
      </c>
      <c r="N6" s="24">
        <f t="shared" si="1"/>
        <v>0</v>
      </c>
      <c r="O6" s="24">
        <f t="shared" si="2"/>
        <v>0</v>
      </c>
    </row>
    <row r="7" spans="1:15" s="24" customFormat="1">
      <c r="A7" s="41" t="s">
        <v>124</v>
      </c>
      <c r="B7" s="41" t="s">
        <v>125</v>
      </c>
      <c r="C7" s="41">
        <v>5110</v>
      </c>
      <c r="D7" s="41" t="s">
        <v>96</v>
      </c>
      <c r="E7" s="41" t="s">
        <v>95</v>
      </c>
      <c r="F7" s="42">
        <v>0.22</v>
      </c>
      <c r="G7" s="42">
        <v>50.8</v>
      </c>
      <c r="H7" s="42">
        <v>0</v>
      </c>
      <c r="I7" s="42">
        <v>0.505</v>
      </c>
      <c r="J7" s="42">
        <v>6.8000000000000005E-2</v>
      </c>
      <c r="K7" s="42">
        <v>5.2999999999999999E-2</v>
      </c>
      <c r="L7" s="42">
        <v>2.52437545533E-3</v>
      </c>
      <c r="M7" s="24">
        <f t="shared" si="0"/>
        <v>5.6638570632754092E-4</v>
      </c>
      <c r="N7" s="24">
        <f t="shared" si="1"/>
        <v>0</v>
      </c>
      <c r="O7" s="24">
        <f t="shared" si="2"/>
        <v>0</v>
      </c>
    </row>
    <row r="8" spans="1:15">
      <c r="L8" s="24">
        <f t="shared" ref="L8:N8" si="3">SUM(L2:L7)</f>
        <v>12.120143458557258</v>
      </c>
      <c r="M8" s="24">
        <f t="shared" si="3"/>
        <v>22.037373202018468</v>
      </c>
      <c r="N8" s="24">
        <f t="shared" si="3"/>
        <v>64.400000000000006</v>
      </c>
      <c r="O8">
        <f>SUM(O2:O7)</f>
        <v>12.9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M21" sqref="L21:M21"/>
    </sheetView>
  </sheetViews>
  <sheetFormatPr defaultRowHeight="15"/>
  <cols>
    <col min="1" max="1" width="12.85546875" style="41" bestFit="1" customWidth="1"/>
    <col min="2" max="2" width="12.7109375" style="41" bestFit="1" customWidth="1"/>
    <col min="3" max="3" width="8.140625" style="41" bestFit="1" customWidth="1"/>
    <col min="4" max="4" width="13.7109375" style="45" customWidth="1"/>
    <col min="5" max="5" width="14.7109375" style="45" bestFit="1" customWidth="1"/>
    <col min="6" max="9" width="13.7109375" style="45" customWidth="1"/>
    <col min="10" max="10" width="22" style="44" bestFit="1" customWidth="1"/>
    <col min="11" max="11" width="12.42578125" style="24" customWidth="1"/>
    <col min="12" max="16384" width="9.140625" style="24"/>
  </cols>
  <sheetData>
    <row r="1" spans="1:13">
      <c r="A1" s="41" t="s">
        <v>146</v>
      </c>
      <c r="B1" s="41" t="s">
        <v>153</v>
      </c>
      <c r="C1" s="41" t="s">
        <v>84</v>
      </c>
      <c r="D1" s="45" t="s">
        <v>150</v>
      </c>
      <c r="E1" s="45" t="s">
        <v>151</v>
      </c>
      <c r="F1" s="45" t="s">
        <v>152</v>
      </c>
      <c r="G1" s="45" t="s">
        <v>89</v>
      </c>
      <c r="H1" s="45" t="s">
        <v>90</v>
      </c>
      <c r="I1" s="45" t="s">
        <v>91</v>
      </c>
      <c r="J1" s="44" t="s">
        <v>149</v>
      </c>
      <c r="K1" s="25" t="s">
        <v>127</v>
      </c>
      <c r="L1" s="26" t="s">
        <v>128</v>
      </c>
      <c r="M1" s="26" t="s">
        <v>129</v>
      </c>
    </row>
    <row r="2" spans="1:13">
      <c r="A2" s="41">
        <v>1411</v>
      </c>
      <c r="B2" s="41" t="s">
        <v>96</v>
      </c>
      <c r="C2" s="41" t="s">
        <v>95</v>
      </c>
      <c r="D2" s="45">
        <v>0.22</v>
      </c>
      <c r="E2" s="45">
        <v>50.8</v>
      </c>
      <c r="F2" s="45">
        <v>0</v>
      </c>
      <c r="G2" s="45">
        <v>1.4430000000000001</v>
      </c>
      <c r="H2" s="45">
        <v>0.22500000000000001</v>
      </c>
      <c r="I2" s="45">
        <v>0.43099999999999999</v>
      </c>
      <c r="J2" s="44">
        <v>2.1802665808368298</v>
      </c>
      <c r="K2" s="24">
        <f>E2*I2*J2/12</f>
        <v>3.9780417278421853</v>
      </c>
      <c r="L2" s="24">
        <f>ROUND(2.721*G2*K2,1)</f>
        <v>15.6</v>
      </c>
      <c r="M2" s="24">
        <f>ROUND((2.721*H2*K2)+(D2*J2),1)</f>
        <v>2.9</v>
      </c>
    </row>
    <row r="3" spans="1:13">
      <c r="A3" s="41">
        <v>1411</v>
      </c>
      <c r="B3" s="41" t="s">
        <v>96</v>
      </c>
      <c r="C3" s="41" t="s">
        <v>95</v>
      </c>
      <c r="D3" s="45">
        <v>0.22</v>
      </c>
      <c r="E3" s="45">
        <v>50.8</v>
      </c>
      <c r="F3" s="45">
        <v>0</v>
      </c>
      <c r="G3" s="45">
        <v>1.4430000000000001</v>
      </c>
      <c r="H3" s="45">
        <v>0.22500000000000001</v>
      </c>
      <c r="I3" s="45">
        <v>0.43099999999999999</v>
      </c>
      <c r="J3" s="44">
        <v>2.6371973416233701</v>
      </c>
      <c r="K3" s="24">
        <f t="shared" ref="K3:K20" si="0">E3*I3*J3/12</f>
        <v>4.811742362947947</v>
      </c>
      <c r="L3" s="24">
        <f t="shared" ref="L3:L20" si="1">ROUND(2.721*G3*K3,1)</f>
        <v>18.899999999999999</v>
      </c>
      <c r="M3" s="24">
        <f t="shared" ref="M3:M20" si="2">ROUND((2.721*H3*K3)+(D3*J3),1)</f>
        <v>3.5</v>
      </c>
    </row>
    <row r="4" spans="1:13">
      <c r="A4" s="41">
        <v>1411</v>
      </c>
      <c r="B4" s="41" t="s">
        <v>96</v>
      </c>
      <c r="C4" s="41" t="s">
        <v>95</v>
      </c>
      <c r="D4" s="45">
        <v>0.22</v>
      </c>
      <c r="E4" s="45">
        <v>50.8</v>
      </c>
      <c r="F4" s="45">
        <v>0</v>
      </c>
      <c r="G4" s="45">
        <v>1.4430000000000001</v>
      </c>
      <c r="H4" s="45">
        <v>0.22500000000000001</v>
      </c>
      <c r="I4" s="45">
        <v>0.43099999999999999</v>
      </c>
      <c r="J4" s="44">
        <v>0.366984205875171</v>
      </c>
      <c r="K4" s="24">
        <f t="shared" si="0"/>
        <v>0.66958714923297447</v>
      </c>
      <c r="L4" s="24">
        <f t="shared" si="1"/>
        <v>2.6</v>
      </c>
      <c r="M4" s="24">
        <f t="shared" si="2"/>
        <v>0.5</v>
      </c>
    </row>
    <row r="5" spans="1:13">
      <c r="A5" s="41">
        <v>1210</v>
      </c>
      <c r="B5" s="41" t="s">
        <v>96</v>
      </c>
      <c r="C5" s="41" t="s">
        <v>109</v>
      </c>
      <c r="D5" s="45">
        <v>0.22</v>
      </c>
      <c r="E5" s="45">
        <v>50.8</v>
      </c>
      <c r="F5" s="45">
        <v>0</v>
      </c>
      <c r="G5" s="45">
        <v>1.2450000000000001</v>
      </c>
      <c r="H5" s="45">
        <v>0.21299999999999999</v>
      </c>
      <c r="I5" s="45">
        <v>0.28799999999999998</v>
      </c>
      <c r="J5" s="44">
        <v>0.41763485483294699</v>
      </c>
      <c r="K5" s="24">
        <f t="shared" si="0"/>
        <v>0.50918041501232891</v>
      </c>
      <c r="L5" s="24">
        <f t="shared" si="1"/>
        <v>1.7</v>
      </c>
      <c r="M5" s="24">
        <f t="shared" si="2"/>
        <v>0.4</v>
      </c>
    </row>
    <row r="6" spans="1:13">
      <c r="A6" s="41">
        <v>1210</v>
      </c>
      <c r="B6" s="41" t="s">
        <v>96</v>
      </c>
      <c r="C6" s="41" t="s">
        <v>95</v>
      </c>
      <c r="D6" s="45">
        <v>0.22</v>
      </c>
      <c r="E6" s="45">
        <v>50.8</v>
      </c>
      <c r="F6" s="45">
        <v>0</v>
      </c>
      <c r="G6" s="45">
        <v>1.2450000000000001</v>
      </c>
      <c r="H6" s="45">
        <v>0.21299999999999999</v>
      </c>
      <c r="I6" s="45">
        <v>0.28799999999999998</v>
      </c>
      <c r="J6" s="44">
        <v>76.930976063800003</v>
      </c>
      <c r="K6" s="24">
        <f t="shared" si="0"/>
        <v>93.794246016984957</v>
      </c>
      <c r="L6" s="24">
        <f t="shared" si="1"/>
        <v>317.7</v>
      </c>
      <c r="M6" s="24">
        <f t="shared" si="2"/>
        <v>71.3</v>
      </c>
    </row>
    <row r="7" spans="1:13">
      <c r="A7" s="41">
        <v>1210</v>
      </c>
      <c r="B7" s="41" t="s">
        <v>96</v>
      </c>
      <c r="C7" s="41" t="s">
        <v>95</v>
      </c>
      <c r="D7" s="45">
        <v>0.22</v>
      </c>
      <c r="E7" s="45">
        <v>50.8</v>
      </c>
      <c r="F7" s="45">
        <v>0</v>
      </c>
      <c r="G7" s="45">
        <v>1.2450000000000001</v>
      </c>
      <c r="H7" s="45">
        <v>0.21299999999999999</v>
      </c>
      <c r="I7" s="45">
        <v>0.28799999999999998</v>
      </c>
      <c r="J7" s="44">
        <v>216.67596332900001</v>
      </c>
      <c r="K7" s="24">
        <f t="shared" si="0"/>
        <v>264.17133449071679</v>
      </c>
      <c r="L7" s="24">
        <f t="shared" si="1"/>
        <v>894.9</v>
      </c>
      <c r="M7" s="24">
        <f t="shared" si="2"/>
        <v>200.8</v>
      </c>
    </row>
    <row r="8" spans="1:13">
      <c r="A8" s="41">
        <v>1210</v>
      </c>
      <c r="B8" s="41" t="s">
        <v>96</v>
      </c>
      <c r="C8" s="41" t="s">
        <v>95</v>
      </c>
      <c r="D8" s="45">
        <v>0.22</v>
      </c>
      <c r="E8" s="45">
        <v>50.8</v>
      </c>
      <c r="F8" s="45">
        <v>0</v>
      </c>
      <c r="G8" s="45">
        <v>1.2450000000000001</v>
      </c>
      <c r="H8" s="45">
        <v>0.21299999999999999</v>
      </c>
      <c r="I8" s="45">
        <v>0.28799999999999998</v>
      </c>
      <c r="J8" s="44">
        <v>9.3337809451035092</v>
      </c>
      <c r="K8" s="24">
        <f t="shared" si="0"/>
        <v>11.379745728270196</v>
      </c>
      <c r="L8" s="24">
        <f t="shared" si="1"/>
        <v>38.6</v>
      </c>
      <c r="M8" s="24">
        <f t="shared" si="2"/>
        <v>8.6</v>
      </c>
    </row>
    <row r="9" spans="1:13">
      <c r="A9" s="41">
        <v>1210</v>
      </c>
      <c r="B9" s="41" t="s">
        <v>96</v>
      </c>
      <c r="C9" s="41" t="s">
        <v>95</v>
      </c>
      <c r="D9" s="45">
        <v>0.22</v>
      </c>
      <c r="E9" s="45">
        <v>50.8</v>
      </c>
      <c r="F9" s="45">
        <v>0</v>
      </c>
      <c r="G9" s="45">
        <v>1.2450000000000001</v>
      </c>
      <c r="H9" s="45">
        <v>0.21299999999999999</v>
      </c>
      <c r="I9" s="45">
        <v>0.28799999999999998</v>
      </c>
      <c r="J9" s="44">
        <v>0.85240820270986295</v>
      </c>
      <c r="K9" s="24">
        <f t="shared" si="0"/>
        <v>1.0392560807438647</v>
      </c>
      <c r="L9" s="24">
        <f t="shared" si="1"/>
        <v>3.5</v>
      </c>
      <c r="M9" s="24">
        <f t="shared" si="2"/>
        <v>0.8</v>
      </c>
    </row>
    <row r="10" spans="1:13">
      <c r="A10" s="41">
        <v>1210</v>
      </c>
      <c r="B10" s="41" t="s">
        <v>96</v>
      </c>
      <c r="D10" s="45">
        <v>0.22</v>
      </c>
      <c r="E10" s="45">
        <v>50.8</v>
      </c>
      <c r="F10" s="45">
        <v>0</v>
      </c>
      <c r="G10" s="45">
        <v>1.2450000000000001</v>
      </c>
      <c r="H10" s="45">
        <v>0.21299999999999999</v>
      </c>
      <c r="I10" s="45">
        <v>0.28799999999999998</v>
      </c>
      <c r="J10" s="44">
        <v>1.20095720522597</v>
      </c>
      <c r="K10" s="24">
        <f t="shared" si="0"/>
        <v>1.4642070246115024</v>
      </c>
      <c r="L10" s="24">
        <f t="shared" si="1"/>
        <v>5</v>
      </c>
      <c r="M10" s="24">
        <f t="shared" si="2"/>
        <v>1.1000000000000001</v>
      </c>
    </row>
    <row r="11" spans="1:13">
      <c r="A11" s="41">
        <v>1400</v>
      </c>
      <c r="B11" s="41" t="s">
        <v>96</v>
      </c>
      <c r="C11" s="41" t="s">
        <v>95</v>
      </c>
      <c r="D11" s="45">
        <v>0.22</v>
      </c>
      <c r="E11" s="45">
        <v>50.8</v>
      </c>
      <c r="F11" s="45">
        <v>0</v>
      </c>
      <c r="G11" s="45">
        <v>0.70899999999999996</v>
      </c>
      <c r="H11" s="45">
        <v>0.11700000000000001</v>
      </c>
      <c r="I11" s="45">
        <v>0.43099999999999999</v>
      </c>
      <c r="J11" s="44">
        <v>4.5725732405898896</v>
      </c>
      <c r="K11" s="24">
        <f t="shared" si="0"/>
        <v>8.3429647156722933</v>
      </c>
      <c r="L11" s="24">
        <f t="shared" si="1"/>
        <v>16.100000000000001</v>
      </c>
      <c r="M11" s="24">
        <f t="shared" si="2"/>
        <v>3.7</v>
      </c>
    </row>
    <row r="12" spans="1:13">
      <c r="A12" s="41">
        <v>1400</v>
      </c>
      <c r="B12" s="41" t="s">
        <v>96</v>
      </c>
      <c r="C12" s="41" t="s">
        <v>95</v>
      </c>
      <c r="D12" s="45">
        <v>0.22</v>
      </c>
      <c r="E12" s="45">
        <v>50.8</v>
      </c>
      <c r="F12" s="45">
        <v>0</v>
      </c>
      <c r="G12" s="45">
        <v>0.70899999999999996</v>
      </c>
      <c r="H12" s="45">
        <v>0.11700000000000001</v>
      </c>
      <c r="I12" s="45">
        <v>0.43099999999999999</v>
      </c>
      <c r="J12" s="44">
        <v>2.2892972991107299</v>
      </c>
      <c r="K12" s="24">
        <f t="shared" si="0"/>
        <v>4.1769755420474679</v>
      </c>
      <c r="L12" s="24">
        <f t="shared" si="1"/>
        <v>8.1</v>
      </c>
      <c r="M12" s="24">
        <f t="shared" si="2"/>
        <v>1.8</v>
      </c>
    </row>
    <row r="13" spans="1:13">
      <c r="A13" s="41">
        <v>1400</v>
      </c>
      <c r="B13" s="41" t="s">
        <v>96</v>
      </c>
      <c r="C13" s="41" t="s">
        <v>95</v>
      </c>
      <c r="D13" s="45">
        <v>0.22</v>
      </c>
      <c r="E13" s="45">
        <v>50.8</v>
      </c>
      <c r="F13" s="45">
        <v>0</v>
      </c>
      <c r="G13" s="45">
        <v>0.70899999999999996</v>
      </c>
      <c r="H13" s="45">
        <v>0.11700000000000001</v>
      </c>
      <c r="I13" s="45">
        <v>0.43099999999999999</v>
      </c>
      <c r="J13" s="44">
        <v>4.3837771157964299E-2</v>
      </c>
      <c r="K13" s="24">
        <f t="shared" si="0"/>
        <v>7.998493599578306E-2</v>
      </c>
      <c r="L13" s="24">
        <f t="shared" si="1"/>
        <v>0.2</v>
      </c>
      <c r="M13" s="24">
        <f t="shared" si="2"/>
        <v>0</v>
      </c>
    </row>
    <row r="14" spans="1:13">
      <c r="A14" s="41">
        <v>1110</v>
      </c>
      <c r="B14" s="41" t="s">
        <v>96</v>
      </c>
      <c r="C14" s="41" t="s">
        <v>95</v>
      </c>
      <c r="D14" s="45">
        <v>0.22</v>
      </c>
      <c r="E14" s="45">
        <v>50.8</v>
      </c>
      <c r="F14" s="45">
        <v>0</v>
      </c>
      <c r="G14" s="45">
        <v>0.96799999999999997</v>
      </c>
      <c r="H14" s="45">
        <v>0.125</v>
      </c>
      <c r="I14" s="45">
        <v>0.28799999999999998</v>
      </c>
      <c r="J14" s="44">
        <v>70.426804176000005</v>
      </c>
      <c r="K14" s="24">
        <f t="shared" si="0"/>
        <v>85.864359651379189</v>
      </c>
      <c r="L14" s="24">
        <f t="shared" si="1"/>
        <v>226.2</v>
      </c>
      <c r="M14" s="24">
        <f t="shared" si="2"/>
        <v>44.7</v>
      </c>
    </row>
    <row r="15" spans="1:13">
      <c r="A15" s="41">
        <v>1110</v>
      </c>
      <c r="B15" s="41" t="s">
        <v>96</v>
      </c>
      <c r="C15" s="41" t="s">
        <v>95</v>
      </c>
      <c r="D15" s="45">
        <v>0.22</v>
      </c>
      <c r="E15" s="45">
        <v>50.8</v>
      </c>
      <c r="F15" s="45">
        <v>0</v>
      </c>
      <c r="G15" s="45">
        <v>0.96799999999999997</v>
      </c>
      <c r="H15" s="45">
        <v>0.125</v>
      </c>
      <c r="I15" s="45">
        <v>0.28799999999999998</v>
      </c>
      <c r="J15" s="44">
        <v>26.553915241599999</v>
      </c>
      <c r="K15" s="24">
        <f t="shared" si="0"/>
        <v>32.374533462558716</v>
      </c>
      <c r="L15" s="24">
        <f t="shared" si="1"/>
        <v>85.3</v>
      </c>
      <c r="M15" s="24">
        <f t="shared" si="2"/>
        <v>16.899999999999999</v>
      </c>
    </row>
    <row r="16" spans="1:13">
      <c r="A16" s="41">
        <v>1110</v>
      </c>
      <c r="B16" s="41" t="s">
        <v>96</v>
      </c>
      <c r="C16" s="41" t="s">
        <v>95</v>
      </c>
      <c r="D16" s="45">
        <v>0.22</v>
      </c>
      <c r="E16" s="45">
        <v>50.8</v>
      </c>
      <c r="F16" s="45">
        <v>0</v>
      </c>
      <c r="G16" s="45">
        <v>0.96799999999999997</v>
      </c>
      <c r="H16" s="45">
        <v>0.125</v>
      </c>
      <c r="I16" s="45">
        <v>0.28799999999999998</v>
      </c>
      <c r="J16" s="44">
        <v>14.292735558</v>
      </c>
      <c r="K16" s="24">
        <f t="shared" si="0"/>
        <v>17.425703192313598</v>
      </c>
      <c r="L16" s="24">
        <f t="shared" si="1"/>
        <v>45.9</v>
      </c>
      <c r="M16" s="24">
        <f t="shared" si="2"/>
        <v>9.1</v>
      </c>
    </row>
    <row r="17" spans="1:13">
      <c r="A17" s="41">
        <v>1110</v>
      </c>
      <c r="B17" s="41" t="s">
        <v>96</v>
      </c>
      <c r="C17" s="41" t="s">
        <v>95</v>
      </c>
      <c r="D17" s="45">
        <v>0.22</v>
      </c>
      <c r="E17" s="45">
        <v>50.8</v>
      </c>
      <c r="F17" s="45">
        <v>0</v>
      </c>
      <c r="G17" s="45">
        <v>0.96799999999999997</v>
      </c>
      <c r="H17" s="45">
        <v>0.125</v>
      </c>
      <c r="I17" s="45">
        <v>0.28799999999999998</v>
      </c>
      <c r="J17" s="44">
        <v>5.1777252505344098</v>
      </c>
      <c r="K17" s="24">
        <f t="shared" si="0"/>
        <v>6.3126826254515516</v>
      </c>
      <c r="L17" s="24">
        <f t="shared" si="1"/>
        <v>16.600000000000001</v>
      </c>
      <c r="M17" s="24">
        <f t="shared" si="2"/>
        <v>3.3</v>
      </c>
    </row>
    <row r="18" spans="1:13">
      <c r="A18" s="41">
        <v>1110</v>
      </c>
      <c r="B18" s="41" t="s">
        <v>96</v>
      </c>
      <c r="C18" s="41" t="s">
        <v>95</v>
      </c>
      <c r="D18" s="45">
        <v>0.22</v>
      </c>
      <c r="E18" s="45">
        <v>50.8</v>
      </c>
      <c r="F18" s="45">
        <v>0</v>
      </c>
      <c r="G18" s="45">
        <v>0.96799999999999997</v>
      </c>
      <c r="H18" s="45">
        <v>0.125</v>
      </c>
      <c r="I18" s="45">
        <v>0.28799999999999998</v>
      </c>
      <c r="J18" s="44">
        <v>20.616113529100002</v>
      </c>
      <c r="K18" s="24">
        <f t="shared" si="0"/>
        <v>25.135165614678716</v>
      </c>
      <c r="L18" s="24">
        <f t="shared" si="1"/>
        <v>66.2</v>
      </c>
      <c r="M18" s="24">
        <f t="shared" si="2"/>
        <v>13.1</v>
      </c>
    </row>
    <row r="19" spans="1:13">
      <c r="A19" s="41">
        <v>1110</v>
      </c>
      <c r="B19" s="41" t="s">
        <v>96</v>
      </c>
      <c r="C19" s="41" t="s">
        <v>95</v>
      </c>
      <c r="D19" s="45">
        <v>0.22</v>
      </c>
      <c r="E19" s="45">
        <v>50.8</v>
      </c>
      <c r="F19" s="45">
        <v>0</v>
      </c>
      <c r="G19" s="45">
        <v>0.96799999999999997</v>
      </c>
      <c r="H19" s="45">
        <v>0.125</v>
      </c>
      <c r="I19" s="45">
        <v>0.28799999999999998</v>
      </c>
      <c r="J19" s="44">
        <v>2.34261592745866</v>
      </c>
      <c r="K19" s="24">
        <f t="shared" si="0"/>
        <v>2.8561173387575978</v>
      </c>
      <c r="L19" s="24">
        <f t="shared" si="1"/>
        <v>7.5</v>
      </c>
      <c r="M19" s="24">
        <f t="shared" si="2"/>
        <v>1.5</v>
      </c>
    </row>
    <row r="20" spans="1:13">
      <c r="A20" s="41">
        <v>1110</v>
      </c>
      <c r="B20" s="41" t="s">
        <v>96</v>
      </c>
      <c r="D20" s="45">
        <v>0.22</v>
      </c>
      <c r="E20" s="45">
        <v>50.8</v>
      </c>
      <c r="F20" s="45">
        <v>0</v>
      </c>
      <c r="G20" s="45">
        <v>0.96799999999999997</v>
      </c>
      <c r="H20" s="45">
        <v>0.125</v>
      </c>
      <c r="I20" s="45">
        <v>0.28799999999999998</v>
      </c>
      <c r="J20" s="44">
        <v>6.0092593802481498E-2</v>
      </c>
      <c r="K20" s="24">
        <f t="shared" si="0"/>
        <v>7.3264890363985438E-2</v>
      </c>
      <c r="L20" s="24">
        <f t="shared" si="1"/>
        <v>0.2</v>
      </c>
      <c r="M20" s="24">
        <f t="shared" si="2"/>
        <v>0</v>
      </c>
    </row>
    <row r="21" spans="1:13">
      <c r="L21" s="24">
        <f>SUM(L2:L20)</f>
        <v>1770.8</v>
      </c>
      <c r="M21" s="24">
        <f>SUM(M2:M20)</f>
        <v>384.00000000000006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7" sqref="B27"/>
    </sheetView>
  </sheetViews>
  <sheetFormatPr defaultRowHeight="15"/>
  <sheetData>
    <row r="1" spans="1:3">
      <c r="A1" s="20" t="s">
        <v>8</v>
      </c>
    </row>
    <row r="2" spans="1:3">
      <c r="A2" t="s">
        <v>133</v>
      </c>
      <c r="B2">
        <v>0.28000000000000003</v>
      </c>
      <c r="C2" t="s">
        <v>134</v>
      </c>
    </row>
    <row r="3" spans="1:3">
      <c r="A3" t="s">
        <v>135</v>
      </c>
      <c r="B3" s="21">
        <f>0.3178*LN(B2)+0.7405</f>
        <v>0.33595150822666442</v>
      </c>
    </row>
    <row r="5" spans="1:3">
      <c r="A5" s="20" t="s">
        <v>136</v>
      </c>
      <c r="B5" s="24"/>
      <c r="C5" s="24"/>
    </row>
    <row r="6" spans="1:3">
      <c r="A6" s="24" t="s">
        <v>133</v>
      </c>
      <c r="B6" s="24">
        <v>1</v>
      </c>
      <c r="C6" s="24" t="s">
        <v>134</v>
      </c>
    </row>
    <row r="7" spans="1:3">
      <c r="A7" s="24" t="s">
        <v>135</v>
      </c>
      <c r="B7" s="21">
        <f>0.3178*LN(B6)+0.7405</f>
        <v>0.74050000000000005</v>
      </c>
      <c r="C7" s="24"/>
    </row>
    <row r="9" spans="1:3">
      <c r="A9" s="20" t="s">
        <v>16</v>
      </c>
      <c r="B9" s="24"/>
      <c r="C9" s="24"/>
    </row>
    <row r="10" spans="1:3">
      <c r="A10" s="24" t="s">
        <v>133</v>
      </c>
      <c r="B10" s="24">
        <v>0.16</v>
      </c>
      <c r="C10" s="24" t="s">
        <v>134</v>
      </c>
    </row>
    <row r="11" spans="1:3">
      <c r="A11" s="24" t="s">
        <v>135</v>
      </c>
      <c r="B11" s="21">
        <f>0.3178*LN(B10)+0.7405</f>
        <v>0.158105610820787</v>
      </c>
      <c r="C11" s="24"/>
    </row>
    <row r="13" spans="1:3">
      <c r="A13" s="20" t="s">
        <v>19</v>
      </c>
      <c r="B13" s="24"/>
      <c r="C13" s="24"/>
    </row>
    <row r="14" spans="1:3">
      <c r="A14" s="24" t="s">
        <v>133</v>
      </c>
      <c r="B14" s="24">
        <v>0.04</v>
      </c>
      <c r="C14" s="24" t="s">
        <v>134</v>
      </c>
    </row>
    <row r="15" spans="1:3">
      <c r="A15" s="24" t="s">
        <v>135</v>
      </c>
      <c r="B15" s="21">
        <f>0.3178*LN(B14)+0.7405</f>
        <v>-0.28245873714311409</v>
      </c>
      <c r="C15" s="24"/>
    </row>
    <row r="17" spans="1:3">
      <c r="A17" s="20" t="s">
        <v>137</v>
      </c>
      <c r="B17" s="24"/>
      <c r="C17" s="24"/>
    </row>
    <row r="18" spans="1:3">
      <c r="A18" s="24" t="s">
        <v>133</v>
      </c>
      <c r="B18" s="24">
        <v>1.19</v>
      </c>
      <c r="C18" s="24" t="s">
        <v>134</v>
      </c>
    </row>
    <row r="19" spans="1:3">
      <c r="A19" s="24" t="s">
        <v>135</v>
      </c>
      <c r="B19" s="21">
        <f>0.3178*LN(B18)+0.7405</f>
        <v>0.7957823610038286</v>
      </c>
      <c r="C19" s="24"/>
    </row>
    <row r="21" spans="1:3">
      <c r="A21" s="20" t="s">
        <v>60</v>
      </c>
      <c r="B21" s="24"/>
      <c r="C21" s="24"/>
    </row>
    <row r="22" spans="1:3">
      <c r="A22" s="24" t="s">
        <v>133</v>
      </c>
      <c r="B22" s="24">
        <v>1.95</v>
      </c>
      <c r="C22" s="24" t="s">
        <v>134</v>
      </c>
    </row>
    <row r="23" spans="1:3">
      <c r="A23" s="24" t="s">
        <v>135</v>
      </c>
      <c r="B23" s="21">
        <f>0.3178*LN(B22)+0.7405</f>
        <v>0.95273617460454341</v>
      </c>
      <c r="C23" s="24"/>
    </row>
    <row r="25" spans="1:3">
      <c r="A25" s="20" t="s">
        <v>138</v>
      </c>
      <c r="B25" s="24"/>
      <c r="C25" s="24"/>
    </row>
    <row r="26" spans="1:3">
      <c r="A26" s="24" t="s">
        <v>133</v>
      </c>
      <c r="B26" s="24">
        <v>1.24</v>
      </c>
      <c r="C26" s="24" t="s">
        <v>134</v>
      </c>
    </row>
    <row r="27" spans="1:3">
      <c r="A27" s="24" t="s">
        <v>135</v>
      </c>
      <c r="B27" s="21">
        <f>0.3178*LN(B26)+0.7405</f>
        <v>0.80886239644226532</v>
      </c>
      <c r="C27" s="24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24.28515625" bestFit="1" customWidth="1"/>
    <col min="2" max="2" width="25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.5703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98</v>
      </c>
      <c r="B2" s="41" t="s">
        <v>99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3.19186505476</v>
      </c>
      <c r="M2" s="24">
        <f>G2*K2*L2/12</f>
        <v>3.8915218747633915</v>
      </c>
      <c r="N2" s="24">
        <f>ROUND(2.721*I2*M2,1)</f>
        <v>13.2</v>
      </c>
      <c r="O2" s="24">
        <f>ROUND((2.721*J2*M2)+(F2*L2),1)</f>
        <v>3</v>
      </c>
    </row>
    <row r="3" spans="1:15" s="24" customFormat="1">
      <c r="A3" s="41" t="s">
        <v>100</v>
      </c>
      <c r="B3" s="41" t="s">
        <v>101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2.6762291358099999</v>
      </c>
      <c r="M3" s="24">
        <f>G3*K3*L3/12</f>
        <v>3.2628585623795519</v>
      </c>
      <c r="N3" s="24">
        <f>ROUND(2.721*I3*M3,1)</f>
        <v>11.1</v>
      </c>
      <c r="O3" s="24">
        <f>ROUND((2.721*J3*M3)+(F3*L3),1)</f>
        <v>2.5</v>
      </c>
    </row>
    <row r="4" spans="1:15">
      <c r="L4" s="24">
        <f t="shared" ref="L4:N4" si="0">SUM(L2:L3)</f>
        <v>5.8680941905699999</v>
      </c>
      <c r="M4" s="24">
        <f t="shared" si="0"/>
        <v>7.1543804371429438</v>
      </c>
      <c r="N4" s="24">
        <f t="shared" si="0"/>
        <v>24.299999999999997</v>
      </c>
      <c r="O4">
        <f>SUM(O2:O3)</f>
        <v>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M1" sqref="M1:O2"/>
    </sheetView>
  </sheetViews>
  <sheetFormatPr defaultRowHeight="15"/>
  <cols>
    <col min="1" max="1" width="20.8554687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126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3.0549571880899999</v>
      </c>
      <c r="M2" s="24">
        <f>G2*K2*L2/12</f>
        <v>3.7246038037193276</v>
      </c>
      <c r="N2" s="24">
        <f>ROUND(2.721*I2*M2,1)</f>
        <v>9.8000000000000007</v>
      </c>
      <c r="O2" s="24">
        <f>ROUND((2.721*J2*M2)+(F2*L2),1)</f>
        <v>1.9</v>
      </c>
    </row>
    <row r="3" spans="1:15" s="24" customFormat="1">
      <c r="A3" s="41" t="s">
        <v>126</v>
      </c>
      <c r="B3" s="41" t="s">
        <v>94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3.3183678761099997E-2</v>
      </c>
      <c r="M3" s="24">
        <f t="shared" ref="M3:M6" si="0">G3*K3*L3/12</f>
        <v>4.0457541145533106E-2</v>
      </c>
      <c r="N3" s="24">
        <f t="shared" ref="N3:N6" si="1">ROUND(2.721*I3*M3,1)</f>
        <v>0.1</v>
      </c>
      <c r="O3" s="24">
        <f t="shared" ref="O3:O6" si="2">ROUND((2.721*J3*M3)+(F3*L3),1)</f>
        <v>0</v>
      </c>
    </row>
    <row r="4" spans="1:15" s="24" customFormat="1">
      <c r="A4" s="41" t="s">
        <v>102</v>
      </c>
      <c r="B4" s="41" t="s">
        <v>94</v>
      </c>
      <c r="C4" s="41">
        <v>1110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0.96799999999999997</v>
      </c>
      <c r="J4" s="42">
        <v>0.125</v>
      </c>
      <c r="K4" s="42">
        <v>0.28799999999999998</v>
      </c>
      <c r="L4" s="42">
        <v>9.6860676296299992</v>
      </c>
      <c r="M4" s="24">
        <f t="shared" si="0"/>
        <v>11.809253654044895</v>
      </c>
      <c r="N4" s="24">
        <f t="shared" si="1"/>
        <v>31.1</v>
      </c>
      <c r="O4" s="24">
        <f t="shared" si="2"/>
        <v>6.1</v>
      </c>
    </row>
    <row r="5" spans="1:15" s="24" customFormat="1">
      <c r="A5" s="41" t="s">
        <v>102</v>
      </c>
      <c r="B5" s="41" t="s">
        <v>94</v>
      </c>
      <c r="C5" s="41">
        <v>1210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1.2450000000000001</v>
      </c>
      <c r="J5" s="42">
        <v>0.21299999999999999</v>
      </c>
      <c r="K5" s="42">
        <v>0.28799999999999998</v>
      </c>
      <c r="L5" s="42">
        <v>1.8291760434799999E-2</v>
      </c>
      <c r="M5" s="24">
        <f t="shared" si="0"/>
        <v>2.2301314322108159E-2</v>
      </c>
      <c r="N5" s="24">
        <f t="shared" si="1"/>
        <v>0.1</v>
      </c>
      <c r="O5" s="24">
        <f t="shared" si="2"/>
        <v>0</v>
      </c>
    </row>
    <row r="6" spans="1:15" s="24" customFormat="1">
      <c r="A6" s="41" t="s">
        <v>102</v>
      </c>
      <c r="B6" s="41" t="s">
        <v>94</v>
      </c>
      <c r="C6" s="41">
        <v>3200</v>
      </c>
      <c r="D6" s="41" t="s">
        <v>96</v>
      </c>
      <c r="E6" s="41" t="s">
        <v>95</v>
      </c>
      <c r="F6" s="42">
        <v>0.22</v>
      </c>
      <c r="G6" s="42">
        <v>50.8</v>
      </c>
      <c r="H6" s="42">
        <v>0</v>
      </c>
      <c r="I6" s="42">
        <v>0.69099999999999995</v>
      </c>
      <c r="J6" s="42">
        <v>3.5999999999999997E-2</v>
      </c>
      <c r="K6" s="42">
        <v>0.26200000000000001</v>
      </c>
      <c r="L6" s="42">
        <v>0.12616937160300001</v>
      </c>
      <c r="M6" s="24">
        <f t="shared" si="0"/>
        <v>0.1399386556906074</v>
      </c>
      <c r="N6" s="24">
        <f t="shared" si="1"/>
        <v>0.3</v>
      </c>
      <c r="O6" s="24">
        <f t="shared" si="2"/>
        <v>0</v>
      </c>
    </row>
    <row r="7" spans="1:15">
      <c r="L7" s="24">
        <f t="shared" ref="L7:N7" si="3">SUM(L2:L6)</f>
        <v>12.918669628518899</v>
      </c>
      <c r="M7" s="24">
        <f t="shared" si="3"/>
        <v>15.736554968922471</v>
      </c>
      <c r="N7" s="24">
        <f t="shared" si="3"/>
        <v>41.4</v>
      </c>
      <c r="O7">
        <f>SUM(O2:O6)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O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4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93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4.9407598468499998</v>
      </c>
      <c r="M2" s="24">
        <f>G2*K2*L2/12</f>
        <v>6.0237744052795188</v>
      </c>
      <c r="N2" s="24">
        <f>ROUND(2.721*I2*M2,1)</f>
        <v>15.9</v>
      </c>
      <c r="O2" s="24">
        <f>ROUND((2.721*J2*M2)+(F2*L2),1)</f>
        <v>3.1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6" bestFit="1" customWidth="1"/>
    <col min="2" max="2" width="16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103</v>
      </c>
      <c r="B2" s="41" t="s">
        <v>104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0.38856924660600001</v>
      </c>
      <c r="M2" s="24">
        <f>G2*K2*L2/12</f>
        <v>0.47374362546203513</v>
      </c>
      <c r="N2" s="24">
        <f>ROUND(2.721*I2*M2,1)</f>
        <v>1.2</v>
      </c>
      <c r="O2" s="24">
        <f>ROUND((2.721*J2*M2)+(F2*L2),1)</f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Summary</vt:lpstr>
      <vt:lpstr>Wet pond calcs</vt:lpstr>
      <vt:lpstr>Retention Calcs</vt:lpstr>
      <vt:lpstr>Ridgeland Court</vt:lpstr>
      <vt:lpstr>Palm CourtKnowles</vt:lpstr>
      <vt:lpstr>Delano Lane</vt:lpstr>
      <vt:lpstr>Captain Cove</vt:lpstr>
      <vt:lpstr>Town Commons</vt:lpstr>
      <vt:lpstr>Quail Run</vt:lpstr>
      <vt:lpstr>Heritage Park</vt:lpstr>
      <vt:lpstr>Via Lucindia</vt:lpstr>
      <vt:lpstr>Island Road</vt:lpstr>
      <vt:lpstr>Rio Vista</vt:lpstr>
      <vt:lpstr>India Lucie Retention</vt:lpstr>
      <vt:lpstr>India Lucie BB</vt:lpstr>
      <vt:lpstr>Highpoint West</vt:lpstr>
      <vt:lpstr>Mandalay</vt:lpstr>
      <vt:lpstr>Highpoint East</vt:lpstr>
      <vt:lpstr>Periwinkle</vt:lpstr>
      <vt:lpstr>Palm Road</vt:lpstr>
      <vt:lpstr>Riverview</vt:lpstr>
      <vt:lpstr>Pineapple Lane</vt:lpstr>
      <vt:lpstr>Copaire</vt:lpstr>
      <vt:lpstr>Homewood Park</vt:lpstr>
      <vt:lpstr>Pedway</vt:lpstr>
      <vt:lpstr>Highpoint</vt:lpstr>
      <vt:lpstr>SR A1A</vt:lpstr>
      <vt:lpstr>Education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2012-09-17T20:43:33Z</cp:lastPrinted>
  <dcterms:created xsi:type="dcterms:W3CDTF">2012-07-06T18:01:56Z</dcterms:created>
  <dcterms:modified xsi:type="dcterms:W3CDTF">2013-01-09T16:40:10Z</dcterms:modified>
</cp:coreProperties>
</file>