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C:\Users\Homann_M\Documents\BMAP\Wakulla\Reductions\"/>
    </mc:Choice>
  </mc:AlternateContent>
  <bookViews>
    <workbookView xWindow="0" yWindow="0" windowWidth="24000" windowHeight="8985"/>
  </bookViews>
  <sheets>
    <sheet name="TOTALS" sheetId="1" r:id="rId1"/>
    <sheet name="OSTDS" sheetId="5" r:id="rId2"/>
    <sheet name="OSTDS in PFA" sheetId="13" r:id="rId3"/>
    <sheet name="OSTDS in PFA_50%50%" sheetId="15" r:id="rId4"/>
  </sheets>
  <definedNames>
    <definedName name="_xlnm.Print_Area" localSheetId="1">OSTDS!$A$1:$J$74</definedName>
    <definedName name="_xlnm.Print_Area" localSheetId="2">'OSTDS in PFA'!$A$1:$J$85</definedName>
    <definedName name="_xlnm.Print_Area" localSheetId="3">'OSTDS in PFA_50%50%'!$A$1:$J$85</definedName>
    <definedName name="_xlnm.Print_Area" localSheetId="0">TOTALS!$A$1:$I$65</definedName>
    <definedName name="_xlnm.Print_Titles" localSheetId="1">OSTDS!$128:$128</definedName>
    <definedName name="_xlnm.Print_Titles" localSheetId="2">'OSTDS in PFA'!$87:$87</definedName>
    <definedName name="_xlnm.Print_Titles" localSheetId="3">'OSTDS in PFA_50%50%'!$87:$87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5" l="1"/>
  <c r="D40" i="15"/>
  <c r="D41" i="15"/>
  <c r="D38" i="15"/>
  <c r="B83" i="15" l="1"/>
  <c r="B82" i="15"/>
  <c r="B81" i="15"/>
  <c r="B77" i="15"/>
  <c r="B76" i="15"/>
  <c r="B75" i="15"/>
  <c r="B78" i="15" s="1"/>
  <c r="B71" i="15"/>
  <c r="B70" i="15"/>
  <c r="B69" i="15"/>
  <c r="E56" i="15"/>
  <c r="D56" i="15"/>
  <c r="C56" i="15"/>
  <c r="G56" i="15" s="1"/>
  <c r="B56" i="15"/>
  <c r="G55" i="15"/>
  <c r="F55" i="15"/>
  <c r="G54" i="15"/>
  <c r="F54" i="15"/>
  <c r="G53" i="15"/>
  <c r="F53" i="15"/>
  <c r="F56" i="15" s="1"/>
  <c r="B49" i="15"/>
  <c r="J26" i="15"/>
  <c r="J25" i="15"/>
  <c r="A14" i="15"/>
  <c r="B14" i="15" s="1"/>
  <c r="E14" i="15" s="1"/>
  <c r="A21" i="15" l="1"/>
  <c r="B21" i="15" s="1"/>
  <c r="C21" i="15" s="1"/>
  <c r="B84" i="15"/>
  <c r="B72" i="15"/>
  <c r="D21" i="15"/>
  <c r="F21" i="15"/>
  <c r="E21" i="15"/>
  <c r="C26" i="15"/>
  <c r="F26" i="15" s="1"/>
  <c r="C33" i="15"/>
  <c r="F33" i="15" s="1"/>
  <c r="C14" i="15"/>
  <c r="D14" i="15"/>
  <c r="C69" i="15"/>
  <c r="B85" i="15" l="1"/>
  <c r="C75" i="15"/>
  <c r="B33" i="15"/>
  <c r="E33" i="15" s="1"/>
  <c r="B61" i="15"/>
  <c r="B26" i="15"/>
  <c r="E26" i="15" s="1"/>
  <c r="D81" i="15"/>
  <c r="D75" i="15"/>
  <c r="D69" i="15"/>
  <c r="C81" i="15"/>
  <c r="B62" i="15"/>
  <c r="A26" i="15"/>
  <c r="D26" i="15" s="1"/>
  <c r="A33" i="15"/>
  <c r="D33" i="15" s="1"/>
  <c r="C71" i="15" l="1"/>
  <c r="C77" i="15"/>
  <c r="C83" i="15"/>
  <c r="C76" i="15"/>
  <c r="C82" i="15"/>
  <c r="C84" i="15" s="1"/>
  <c r="C70" i="15"/>
  <c r="D83" i="15"/>
  <c r="D77" i="15"/>
  <c r="D71" i="15"/>
  <c r="D70" i="15"/>
  <c r="D76" i="15"/>
  <c r="D82" i="15"/>
  <c r="D84" i="15" s="1"/>
  <c r="D78" i="15" l="1"/>
  <c r="D72" i="15"/>
  <c r="D85" i="15" s="1"/>
  <c r="C78" i="15"/>
  <c r="C72" i="15"/>
  <c r="C85" i="15" l="1"/>
  <c r="E67" i="5" l="1"/>
  <c r="D67" i="5"/>
  <c r="C67" i="5"/>
  <c r="B67" i="5"/>
  <c r="G67" i="5" s="1"/>
  <c r="G66" i="5"/>
  <c r="F66" i="5"/>
  <c r="G65" i="5"/>
  <c r="F65" i="5"/>
  <c r="G64" i="5"/>
  <c r="F64" i="5"/>
  <c r="C9" i="1"/>
  <c r="F67" i="5" l="1"/>
  <c r="B19" i="1"/>
  <c r="D30" i="1" l="1"/>
  <c r="D24" i="1" s="1"/>
  <c r="B20" i="1"/>
  <c r="C12" i="1"/>
  <c r="C11" i="1"/>
  <c r="C10" i="1"/>
  <c r="C8" i="1"/>
  <c r="C7" i="1"/>
  <c r="C6" i="1"/>
  <c r="C5" i="1"/>
  <c r="B73" i="5" s="1"/>
  <c r="B71" i="13" l="1"/>
  <c r="B70" i="13"/>
  <c r="B69" i="13"/>
  <c r="B81" i="13"/>
  <c r="B75" i="13"/>
  <c r="G53" i="13"/>
  <c r="F53" i="13"/>
  <c r="B72" i="13" l="1"/>
  <c r="G54" i="5"/>
  <c r="F54" i="5"/>
  <c r="B83" i="13"/>
  <c r="B82" i="13"/>
  <c r="B77" i="13"/>
  <c r="B76" i="13"/>
  <c r="E56" i="13"/>
  <c r="D56" i="13"/>
  <c r="C56" i="13"/>
  <c r="B56" i="13"/>
  <c r="G55" i="13"/>
  <c r="F55" i="13"/>
  <c r="G54" i="13"/>
  <c r="F54" i="13"/>
  <c r="B49" i="13"/>
  <c r="J26" i="13"/>
  <c r="J25" i="13"/>
  <c r="A14" i="13"/>
  <c r="B14" i="13" s="1"/>
  <c r="A21" i="13" l="1"/>
  <c r="B21" i="13" s="1"/>
  <c r="C21" i="13" s="1"/>
  <c r="F56" i="13"/>
  <c r="B78" i="13"/>
  <c r="B84" i="13"/>
  <c r="G56" i="13"/>
  <c r="B85" i="13" l="1"/>
  <c r="E21" i="13"/>
  <c r="D21" i="13"/>
  <c r="F21" i="13"/>
  <c r="C14" i="13"/>
  <c r="E14" i="13"/>
  <c r="D14" i="13"/>
  <c r="J26" i="5"/>
  <c r="A26" i="13" l="1"/>
  <c r="D26" i="13" s="1"/>
  <c r="C71" i="13" s="1"/>
  <c r="B62" i="13"/>
  <c r="A33" i="13"/>
  <c r="D33" i="13" s="1"/>
  <c r="D71" i="13" s="1"/>
  <c r="B26" i="13"/>
  <c r="E26" i="13" s="1"/>
  <c r="C70" i="13" s="1"/>
  <c r="B61" i="13"/>
  <c r="B33" i="13"/>
  <c r="E33" i="13" s="1"/>
  <c r="D70" i="13" s="1"/>
  <c r="C33" i="13"/>
  <c r="F33" i="13" s="1"/>
  <c r="D69" i="13" s="1"/>
  <c r="C26" i="13"/>
  <c r="F26" i="13" s="1"/>
  <c r="C69" i="13" s="1"/>
  <c r="D72" i="13" l="1"/>
  <c r="C72" i="13"/>
  <c r="C76" i="13"/>
  <c r="C82" i="13"/>
  <c r="D75" i="13"/>
  <c r="D81" i="13"/>
  <c r="D83" i="13"/>
  <c r="D77" i="13"/>
  <c r="C75" i="13"/>
  <c r="C81" i="13"/>
  <c r="C83" i="13"/>
  <c r="C77" i="13"/>
  <c r="D82" i="13"/>
  <c r="D76" i="13"/>
  <c r="D78" i="13" l="1"/>
  <c r="C84" i="13"/>
  <c r="C78" i="13"/>
  <c r="D84" i="13"/>
  <c r="F53" i="5"/>
  <c r="B60" i="5"/>
  <c r="C60" i="5"/>
  <c r="D60" i="5"/>
  <c r="B49" i="5"/>
  <c r="J25" i="5"/>
  <c r="D85" i="13" l="1"/>
  <c r="C85" i="13"/>
  <c r="A14" i="5"/>
  <c r="A21" i="5" l="1"/>
  <c r="B14" i="5"/>
  <c r="C14" i="5" s="1"/>
  <c r="G55" i="5"/>
  <c r="G56" i="5"/>
  <c r="G57" i="5"/>
  <c r="G58" i="5"/>
  <c r="G59" i="5"/>
  <c r="G53" i="5"/>
  <c r="D14" i="5" l="1"/>
  <c r="E60" i="5"/>
  <c r="F59" i="5"/>
  <c r="F58" i="5"/>
  <c r="F57" i="5"/>
  <c r="F56" i="5"/>
  <c r="F55" i="5"/>
  <c r="G60" i="5" l="1"/>
  <c r="F60" i="5"/>
  <c r="C70" i="5" l="1"/>
  <c r="B70" i="5" s="1"/>
  <c r="C72" i="5"/>
  <c r="B72" i="5" s="1"/>
  <c r="C71" i="5"/>
  <c r="B71" i="5" s="1"/>
  <c r="C32" i="1"/>
  <c r="B13" i="1"/>
  <c r="C13" i="1" s="1"/>
  <c r="B60" i="13" l="1"/>
  <c r="B63" i="13" s="1"/>
  <c r="B60" i="15"/>
  <c r="B63" i="15" s="1"/>
  <c r="B21" i="5"/>
  <c r="C21" i="5" l="1"/>
  <c r="E21" i="5" s="1"/>
  <c r="D21" i="5" l="1"/>
  <c r="E14" i="5"/>
  <c r="F21" i="5"/>
  <c r="A33" i="5" l="1"/>
  <c r="D33" i="5" s="1"/>
  <c r="A26" i="5"/>
  <c r="D26" i="5" s="1"/>
  <c r="B33" i="5"/>
  <c r="E33" i="5" s="1"/>
  <c r="B26" i="5"/>
  <c r="E26" i="5" s="1"/>
  <c r="C33" i="5"/>
  <c r="F33" i="5" s="1"/>
  <c r="C26" i="5"/>
  <c r="F26" i="5" s="1"/>
  <c r="C73" i="5" l="1"/>
  <c r="D26" i="1" l="1"/>
  <c r="B26" i="1" s="1"/>
  <c r="D31" i="1"/>
  <c r="B31" i="1" s="1"/>
  <c r="D61" i="1" s="1"/>
  <c r="D29" i="1"/>
  <c r="B29" i="1" s="1"/>
  <c r="D27" i="1"/>
  <c r="B27" i="1" s="1"/>
  <c r="D28" i="1"/>
  <c r="B28" i="1" s="1"/>
  <c r="D25" i="1"/>
  <c r="B25" i="1" s="1"/>
  <c r="B30" i="1"/>
  <c r="B43" i="1" l="1"/>
  <c r="C59" i="1"/>
  <c r="B59" i="1"/>
  <c r="C41" i="1"/>
  <c r="C57" i="1"/>
  <c r="B57" i="1"/>
  <c r="B44" i="1"/>
  <c r="E44" i="1" s="1"/>
  <c r="B60" i="1"/>
  <c r="C60" i="1"/>
  <c r="C55" i="1"/>
  <c r="B55" i="1"/>
  <c r="B58" i="1"/>
  <c r="C58" i="1"/>
  <c r="E40" i="1"/>
  <c r="D56" i="1"/>
  <c r="D32" i="1"/>
  <c r="B24" i="1"/>
  <c r="B39" i="1"/>
  <c r="D42" i="1"/>
  <c r="C42" i="1"/>
  <c r="B42" i="1"/>
  <c r="D41" i="1"/>
  <c r="B41" i="1"/>
  <c r="D43" i="1"/>
  <c r="C43" i="1"/>
  <c r="D6" i="5"/>
  <c r="E45" i="1"/>
  <c r="D39" i="1"/>
  <c r="C39" i="1"/>
  <c r="C38" i="1" l="1"/>
  <c r="B6" i="15" s="1"/>
  <c r="C6" i="15"/>
  <c r="B64" i="15"/>
  <c r="B64" i="13"/>
  <c r="C54" i="1"/>
  <c r="C62" i="1" s="1"/>
  <c r="B54" i="1"/>
  <c r="B32" i="1"/>
  <c r="D38" i="1"/>
  <c r="C6" i="5" s="1"/>
  <c r="B38" i="1"/>
  <c r="B46" i="1" s="1"/>
  <c r="C74" i="5"/>
  <c r="D6" i="13"/>
  <c r="E39" i="1"/>
  <c r="E41" i="1"/>
  <c r="E42" i="1"/>
  <c r="E43" i="1"/>
  <c r="D46" i="1" l="1"/>
  <c r="B6" i="5"/>
  <c r="C41" i="5" s="1"/>
  <c r="B6" i="13"/>
  <c r="C38" i="13" s="1"/>
  <c r="C6" i="13"/>
  <c r="D38" i="13" s="1"/>
  <c r="C41" i="15"/>
  <c r="C39" i="15"/>
  <c r="C38" i="15"/>
  <c r="C40" i="15"/>
  <c r="C46" i="1"/>
  <c r="B62" i="1"/>
  <c r="A6" i="15"/>
  <c r="A6" i="13"/>
  <c r="A6" i="5"/>
  <c r="B38" i="5" s="1"/>
  <c r="E38" i="1"/>
  <c r="E46" i="1" s="1"/>
  <c r="C39" i="13"/>
  <c r="C41" i="13"/>
  <c r="D38" i="5"/>
  <c r="D41" i="5"/>
  <c r="D39" i="5"/>
  <c r="D40" i="5"/>
  <c r="C38" i="5" l="1"/>
  <c r="D39" i="13"/>
  <c r="D41" i="13"/>
  <c r="D40" i="13"/>
  <c r="C40" i="13"/>
  <c r="C40" i="5"/>
  <c r="C39" i="5"/>
  <c r="B41" i="15"/>
  <c r="B39" i="15"/>
  <c r="B40" i="15"/>
  <c r="B38" i="15"/>
  <c r="B39" i="5"/>
  <c r="B40" i="5"/>
  <c r="B41" i="5"/>
  <c r="E41" i="5" s="1"/>
  <c r="E38" i="5"/>
  <c r="B40" i="13"/>
  <c r="B39" i="13"/>
  <c r="B38" i="13"/>
  <c r="E38" i="13" s="1"/>
  <c r="B41" i="13"/>
  <c r="E41" i="13" s="1"/>
  <c r="E39" i="13" l="1"/>
  <c r="E40" i="13"/>
  <c r="E39" i="5"/>
  <c r="E40" i="5"/>
  <c r="D57" i="1" l="1"/>
  <c r="D58" i="1"/>
  <c r="D59" i="1"/>
  <c r="D54" i="1"/>
  <c r="D55" i="1"/>
  <c r="D60" i="1"/>
</calcChain>
</file>

<file path=xl/sharedStrings.xml><?xml version="1.0" encoding="utf-8"?>
<sst xmlns="http://schemas.openxmlformats.org/spreadsheetml/2006/main" count="438" uniqueCount="158">
  <si>
    <t>UTF</t>
  </si>
  <si>
    <t>AD</t>
  </si>
  <si>
    <t>FF</t>
  </si>
  <si>
    <t>STF</t>
  </si>
  <si>
    <t>Livestock</t>
  </si>
  <si>
    <t>Total</t>
  </si>
  <si>
    <t>TMDL Load</t>
  </si>
  <si>
    <t>Five Years</t>
  </si>
  <si>
    <t>Ten Years</t>
  </si>
  <si>
    <t>Fifteen Years</t>
  </si>
  <si>
    <t>Twenty Years</t>
  </si>
  <si>
    <t xml:space="preserve">Enhanced OSTDS </t>
  </si>
  <si>
    <t>Replaced OSTDS (septic to sewer conversion)</t>
  </si>
  <si>
    <t>5 Years</t>
  </si>
  <si>
    <t>10 Years</t>
  </si>
  <si>
    <t>15 Years</t>
  </si>
  <si>
    <t>20 Years</t>
  </si>
  <si>
    <t>Enhancement (.35)</t>
  </si>
  <si>
    <t>(Enhanced systems result in 65% reduction or 35% of load reaching groundwater)</t>
  </si>
  <si>
    <t>(Replaced systems result in 95% reduction or 5% of load reaching groundwater; assumes AWT)</t>
  </si>
  <si>
    <t xml:space="preserve">Total </t>
  </si>
  <si>
    <t xml:space="preserve">Discharge </t>
  </si>
  <si>
    <t xml:space="preserve">Source </t>
  </si>
  <si>
    <t>Source</t>
  </si>
  <si>
    <t>Reductions by Source (lbs-N/yr)</t>
  </si>
  <si>
    <t xml:space="preserve">Source/Milestone </t>
  </si>
  <si>
    <t>Table 2. Total Required Reduction to Meet the TMDL</t>
  </si>
  <si>
    <t>OSTDS/ Milestone</t>
  </si>
  <si>
    <t xml:space="preserve">Existing OSTDS </t>
  </si>
  <si>
    <t>Calculation 1: Load times attenuation times recharge</t>
  </si>
  <si>
    <t>Calculation 2: Load times enhancement times attenuation times recharge</t>
  </si>
  <si>
    <t>Calculation 3: Existing Load to GW minus Enhanced Load to GW</t>
  </si>
  <si>
    <t xml:space="preserve">Calculations </t>
  </si>
  <si>
    <t xml:space="preserve"> # of OSTDS </t>
  </si>
  <si>
    <t>Table 9. Number and Type of OSTDS Conversions Needed to Meet Load Reduction Milestones</t>
  </si>
  <si>
    <t>Table 5. Existing OSTDS - Initial Load to GW (lbs-N/yr/tank)</t>
  </si>
  <si>
    <t xml:space="preserve">Existing OSTDS Load </t>
  </si>
  <si>
    <t>Table 6. Enhanced OSTDS - Load to GW (lbs-N/yr/tank)</t>
  </si>
  <si>
    <t>Calculation 4: Initial load from existing septic system times 95% reduction</t>
  </si>
  <si>
    <t>Recharge Area</t>
  </si>
  <si>
    <t>Table 7. Improvement to GW due to Enhanced OSTDS (lbs-N/yr/tank)</t>
  </si>
  <si>
    <t>Table 8.  Improvement to GW due to Replaced OSTDS (lbs-N/yr/tank)</t>
  </si>
  <si>
    <t>Calculation 5: Milestone Reduction (Table 4) divided by the Enhancement or Replacement Reduction (Table 7 or 8)</t>
  </si>
  <si>
    <t>-</t>
  </si>
  <si>
    <t>Table 4. Milestone Required Reductions for OSTDS (lbs-N/yr)</t>
  </si>
  <si>
    <t xml:space="preserve">Totals </t>
  </si>
  <si>
    <t>OSTDS</t>
  </si>
  <si>
    <t>* Reduction accounts for load leaving septic field, recharge rate, and attenuation.</t>
  </si>
  <si>
    <t># of Septic Systems</t>
  </si>
  <si>
    <t>Recharge</t>
  </si>
  <si>
    <t>% of load</t>
  </si>
  <si>
    <t>Required Reduction OSTDS</t>
  </si>
  <si>
    <t>OSTDS Load to Groundwater (lbs-N/yr)</t>
  </si>
  <si>
    <t>Maximum Reduction From System Enhancement (lbs-N/yr)*</t>
  </si>
  <si>
    <t>Maximum Reduction from Sewer (lbs-N/yr)*</t>
  </si>
  <si>
    <t>Discharge Area Load</t>
  </si>
  <si>
    <t>Calculation 6</t>
  </si>
  <si>
    <t xml:space="preserve">Calculation 7: </t>
  </si>
  <si>
    <t>Draft Wakulla Nitrogen Reduction Schedule</t>
  </si>
  <si>
    <t xml:space="preserve">* July 2014 NSILT </t>
  </si>
  <si>
    <t>Sinking streams</t>
  </si>
  <si>
    <t xml:space="preserve">Percent Contribution to GW (*NSILT- Figure 10) </t>
  </si>
  <si>
    <t>Attenuation (.4)</t>
  </si>
  <si>
    <t>Confined (0.1)</t>
  </si>
  <si>
    <t>Semi-confined (.4)</t>
  </si>
  <si>
    <t>Unconfined (.9)</t>
  </si>
  <si>
    <t>Existing Load-Unconfined</t>
  </si>
  <si>
    <t>Reduction in Confined Area</t>
  </si>
  <si>
    <t>Reduction in Semi-confined Area</t>
  </si>
  <si>
    <t>Reduction in Unconfined Area</t>
  </si>
  <si>
    <t>Unconfined</t>
  </si>
  <si>
    <t>Semi-confined</t>
  </si>
  <si>
    <t>Confined</t>
  </si>
  <si>
    <t xml:space="preserve">Total No. of OSTDS in the Wakulla Spring BMAP Area </t>
  </si>
  <si>
    <t>Draft Wakulla Reduction Milestones for OSTDS</t>
  </si>
  <si>
    <t>Leon County</t>
  </si>
  <si>
    <t>Wakulla County</t>
  </si>
  <si>
    <t>Gadsden County</t>
  </si>
  <si>
    <t>Jefferson County</t>
  </si>
  <si>
    <t>Source- NSILT Table 5</t>
  </si>
  <si>
    <t xml:space="preserve">  Enhancement-Semi-confined</t>
  </si>
  <si>
    <t xml:space="preserve">  Replacement-Semi-confined</t>
  </si>
  <si>
    <t xml:space="preserve">  Enhancement-Unconfined</t>
  </si>
  <si>
    <t xml:space="preserve">  Replacement-Unconfined</t>
  </si>
  <si>
    <t>Figure 10. 2014 Wakulla NSILT</t>
  </si>
  <si>
    <t>Nitrogen Loads 
(lbs-N/yr)</t>
  </si>
  <si>
    <t xml:space="preserve">Note: Table 4 is from the TOTALS sheet.  </t>
  </si>
  <si>
    <t>Leon</t>
  </si>
  <si>
    <t>Wakulla</t>
  </si>
  <si>
    <t>Jefferson</t>
  </si>
  <si>
    <t>Average=</t>
  </si>
  <si>
    <t>Median=</t>
  </si>
  <si>
    <t>Number of Persons Per Household (NSILT, page 16; US Census 2010)</t>
  </si>
  <si>
    <t>Discharge 
(does not apply in Wakulla)</t>
  </si>
  <si>
    <t>NA</t>
  </si>
  <si>
    <t>Revised Total (If Discharge Area Is Removed)</t>
  </si>
  <si>
    <t>Leon Total</t>
  </si>
  <si>
    <t>Wakulla Total</t>
  </si>
  <si>
    <t>Gadsden</t>
  </si>
  <si>
    <t>Existing Load-Confined</t>
  </si>
  <si>
    <t>Figure 6 in NSILT, p. 15</t>
  </si>
  <si>
    <t>City of Tallahassee</t>
  </si>
  <si>
    <t>Tallahassee Total</t>
  </si>
  <si>
    <t>From FDEP GIS Section</t>
  </si>
  <si>
    <t>Total No. of OSTDS in the Wakulla Spring PFA</t>
  </si>
  <si>
    <t>Tallahassee</t>
  </si>
  <si>
    <t>GW Load (kg-N/yr) (*NSILT- Table 13)</t>
  </si>
  <si>
    <t>GW Load (lbs-N/yr)</t>
  </si>
  <si>
    <t>Current Load at Springhead Based on Recent Concentration and Flow</t>
  </si>
  <si>
    <t>Current load minus TMDL load</t>
  </si>
  <si>
    <t>Adjusted Source Assignments (Applying WWTF Policy)</t>
  </si>
  <si>
    <t>Table 7. Improvement to GW Due to Enhanced OSTDS (lbs-N/yr/tank)</t>
  </si>
  <si>
    <t xml:space="preserve"> # of OSTDS in the PFAs</t>
  </si>
  <si>
    <t xml:space="preserve">Table  3. Required Reduction by Source </t>
  </si>
  <si>
    <t>Notes</t>
  </si>
  <si>
    <t>*</t>
  </si>
  <si>
    <t>**</t>
  </si>
  <si>
    <t>* No reductions for atmospheric deposition are being assigned at this time.</t>
  </si>
  <si>
    <t>** No reductions for sinking streams are being assigned at this time.</t>
  </si>
  <si>
    <t>WWTF***</t>
  </si>
  <si>
    <t>*** Reductions for WWTFs are being set by the BMAP concentration/volume policies in PFA1.</t>
  </si>
  <si>
    <t>Septic Systems (# of tanks)</t>
  </si>
  <si>
    <t>Revised Total  of Septic Systems in PFA1 and PFA2 (If Discharge Area Is Removed)</t>
  </si>
  <si>
    <t>Septic Systems In PFA1 and PFA2</t>
  </si>
  <si>
    <t>Estimated Total OSTDS Load to Groundwater in PFA1 and PFA2 (lbs-N/yr)</t>
  </si>
  <si>
    <t>OSTDS PFA Reductions, By Entity</t>
  </si>
  <si>
    <t>WWTF*</t>
  </si>
  <si>
    <t>Calculated based on recent 3 yrs data, concentration, and flow</t>
  </si>
  <si>
    <t>Calculated based on 0.35 mg/L target and recent 3 years of flow</t>
  </si>
  <si>
    <t>Flow data from April 2014 - March 2017</t>
  </si>
  <si>
    <t>Concentration and flow data from April 2014 - March 2017</t>
  </si>
  <si>
    <t>Calculation Method</t>
  </si>
  <si>
    <t>Required Percent Reduction</t>
  </si>
  <si>
    <t xml:space="preserve">Required Load Reduction </t>
  </si>
  <si>
    <t>Based on the difference between the current load and the TMDL</t>
  </si>
  <si>
    <t>Table 1. Load to Groundwater (GW) by Source</t>
  </si>
  <si>
    <t>Farm Fertilizer (FF)</t>
  </si>
  <si>
    <t>Wastewater Treatment Facility (WWTF)</t>
  </si>
  <si>
    <t>Urban Turfgrass Fertilizer (UTF)</t>
  </si>
  <si>
    <t>Sports Turfgrass Fertilizer (STF)</t>
  </si>
  <si>
    <t>Included in STF</t>
  </si>
  <si>
    <t>* Reductions for WWTFs are being set by the BMAP concentration/volume policies in PFA1.</t>
  </si>
  <si>
    <t>Calculation 6:</t>
  </si>
  <si>
    <t>Number of Persons Per Household (NSILT, page 16; U.S. Census 2010)</t>
  </si>
  <si>
    <t>Existing loading from OSTDS is 24.3 lbs-N/year (source: NSILT; ~9 lbs/person [EPA #] with 2.7 persons/septic system)</t>
  </si>
  <si>
    <t>Table 5. Existing OSTDS - Initial Load to Groundwater (GW) (lbs-N/yr/tank)</t>
  </si>
  <si>
    <t>Grand Total</t>
  </si>
  <si>
    <t>Comparison to Septic Systems in PFAs Only</t>
  </si>
  <si>
    <t>Existing Load-Semi-confined</t>
  </si>
  <si>
    <t>Atmospheric Deposition (AD)</t>
  </si>
  <si>
    <t>Table 4b. Reduction Milestones by Source (lbs-N/yr)</t>
  </si>
  <si>
    <t>Table 4a. Reduction Milestones by Source (lbs-N/yr)</t>
  </si>
  <si>
    <t>Table 4b. Milestone Required Reductions for OSTDS (lbs-N/yr)</t>
  </si>
  <si>
    <t>Calculation 5: Milestone Reduction (Table 4b) divided by the Enhancement or Replacement Reduction (Table 7 or 8)</t>
  </si>
  <si>
    <t xml:space="preserve">Note: Table 4b is from the TOTALS sheet.  </t>
  </si>
  <si>
    <t xml:space="preserve">Note: Table 4a is from the TOTALS sheet.  </t>
  </si>
  <si>
    <t>Table 4a. Milestone Required Reductions for OSTDS (lbs-N/yr)</t>
  </si>
  <si>
    <t>Calculation 5: Milestone Reduction (Table 4a) divided by the Enhancement or Replacement Reduction (Table 7 or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</si>
</sst>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* #,##0.000_);_(* \(#,##0.0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164" fontId="0" fillId="0" borderId="0" xfId="0" applyNumberFormat="1"/>
    <xf numFmtId="0" fontId="3" fillId="0" borderId="0" xfId="0" applyFont="1" applyAlignment="1">
      <alignment wrapText="1"/>
    </xf>
    <xf numFmtId="0" fontId="5" fillId="0" borderId="0" xfId="0" applyFont="1"/>
    <xf numFmtId="0" fontId="0" fillId="0" borderId="2" xfId="0" applyBorder="1"/>
    <xf numFmtId="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6" fillId="0" borderId="0" xfId="0" applyFont="1"/>
    <xf numFmtId="0" fontId="0" fillId="0" borderId="0" xfId="0" applyFill="1"/>
    <xf numFmtId="165" fontId="0" fillId="0" borderId="4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165" fontId="0" fillId="0" borderId="0" xfId="0" applyNumberFormat="1" applyBorder="1" applyAlignment="1">
      <alignment horizontal="center"/>
    </xf>
    <xf numFmtId="3" fontId="0" fillId="0" borderId="0" xfId="0" applyNumberFormat="1"/>
    <xf numFmtId="0" fontId="3" fillId="0" borderId="0" xfId="0" applyFont="1" applyAlignment="1">
      <alignment vertical="top"/>
    </xf>
    <xf numFmtId="43" fontId="0" fillId="0" borderId="0" xfId="0" applyNumberFormat="1"/>
    <xf numFmtId="164" fontId="0" fillId="0" borderId="0" xfId="1" applyNumberFormat="1" applyFont="1" applyAlignment="1">
      <alignment horizontal="center"/>
    </xf>
    <xf numFmtId="0" fontId="0" fillId="0" borderId="0" xfId="0" applyFont="1"/>
    <xf numFmtId="0" fontId="0" fillId="0" borderId="0" xfId="0" applyBorder="1" applyAlignment="1">
      <alignment horizontal="center"/>
    </xf>
    <xf numFmtId="0" fontId="8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2" fillId="3" borderId="2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wrapText="1"/>
    </xf>
    <xf numFmtId="0" fontId="0" fillId="2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0" borderId="0" xfId="0" applyFont="1" applyFill="1" applyBorder="1"/>
    <xf numFmtId="0" fontId="9" fillId="0" borderId="0" xfId="0" applyFont="1"/>
    <xf numFmtId="2" fontId="0" fillId="0" borderId="2" xfId="0" applyNumberFormat="1" applyBorder="1" applyAlignment="1">
      <alignment horizontal="center"/>
    </xf>
    <xf numFmtId="3" fontId="0" fillId="0" borderId="2" xfId="1" applyNumberFormat="1" applyFont="1" applyFill="1" applyBorder="1" applyAlignment="1">
      <alignment horizontal="center"/>
    </xf>
    <xf numFmtId="3" fontId="2" fillId="0" borderId="2" xfId="1" applyNumberFormat="1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0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165" fontId="0" fillId="0" borderId="5" xfId="0" applyNumberFormat="1" applyFont="1" applyBorder="1" applyAlignment="1">
      <alignment horizontal="center"/>
    </xf>
    <xf numFmtId="0" fontId="10" fillId="0" borderId="0" xfId="0" applyFont="1"/>
    <xf numFmtId="3" fontId="0" fillId="0" borderId="2" xfId="1" applyNumberFormat="1" applyFon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3" fontId="2" fillId="3" borderId="2" xfId="1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0" fillId="0" borderId="2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0" fontId="0" fillId="0" borderId="0" xfId="0" applyBorder="1"/>
    <xf numFmtId="3" fontId="0" fillId="0" borderId="0" xfId="0" applyNumberFormat="1" applyFont="1"/>
    <xf numFmtId="0" fontId="0" fillId="0" borderId="2" xfId="0" applyFont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4" fillId="0" borderId="0" xfId="0" applyFont="1"/>
    <xf numFmtId="0" fontId="11" fillId="0" borderId="0" xfId="0" applyFont="1"/>
    <xf numFmtId="0" fontId="2" fillId="2" borderId="2" xfId="0" applyFont="1" applyFill="1" applyBorder="1" applyAlignment="1">
      <alignment horizontal="center"/>
    </xf>
    <xf numFmtId="37" fontId="0" fillId="0" borderId="2" xfId="1" applyNumberFormat="1" applyFont="1" applyFill="1" applyBorder="1" applyAlignment="1">
      <alignment horizontal="center"/>
    </xf>
    <xf numFmtId="37" fontId="2" fillId="3" borderId="2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6" fontId="0" fillId="0" borderId="0" xfId="0" applyNumberFormat="1"/>
    <xf numFmtId="0" fontId="0" fillId="0" borderId="11" xfId="0" applyBorder="1"/>
    <xf numFmtId="0" fontId="0" fillId="0" borderId="10" xfId="0" applyFont="1" applyBorder="1" applyAlignment="1">
      <alignment horizontal="left"/>
    </xf>
    <xf numFmtId="164" fontId="0" fillId="0" borderId="2" xfId="0" applyNumberFormat="1" applyFont="1" applyBorder="1"/>
    <xf numFmtId="164" fontId="0" fillId="0" borderId="11" xfId="0" applyNumberFormat="1" applyFont="1" applyBorder="1"/>
    <xf numFmtId="43" fontId="2" fillId="0" borderId="0" xfId="0" applyNumberFormat="1" applyFont="1"/>
    <xf numFmtId="2" fontId="2" fillId="0" borderId="0" xfId="0" applyNumberFormat="1" applyFont="1" applyAlignment="1">
      <alignment wrapText="1"/>
    </xf>
    <xf numFmtId="9" fontId="0" fillId="0" borderId="2" xfId="2" applyFont="1" applyBorder="1"/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2" fontId="0" fillId="0" borderId="2" xfId="0" applyNumberFormat="1" applyBorder="1"/>
    <xf numFmtId="2" fontId="2" fillId="0" borderId="2" xfId="0" applyNumberFormat="1" applyFont="1" applyBorder="1"/>
    <xf numFmtId="9" fontId="0" fillId="0" borderId="2" xfId="2" applyFont="1" applyBorder="1" applyAlignment="1">
      <alignment horizontal="center"/>
    </xf>
    <xf numFmtId="37" fontId="0" fillId="0" borderId="2" xfId="1" applyNumberFormat="1" applyFont="1" applyBorder="1" applyAlignment="1">
      <alignment horizontal="center"/>
    </xf>
    <xf numFmtId="0" fontId="12" fillId="2" borderId="2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left"/>
    </xf>
    <xf numFmtId="3" fontId="0" fillId="0" borderId="11" xfId="0" applyNumberFormat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9" fontId="2" fillId="3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9" fontId="2" fillId="3" borderId="2" xfId="2" applyFont="1" applyFill="1" applyBorder="1"/>
    <xf numFmtId="0" fontId="3" fillId="0" borderId="0" xfId="0" applyFont="1" applyAlignment="1">
      <alignment horizontal="left"/>
    </xf>
    <xf numFmtId="0" fontId="4" fillId="0" borderId="0" xfId="0" applyFont="1" applyAlignment="1"/>
    <xf numFmtId="0" fontId="2" fillId="2" borderId="2" xfId="0" applyFont="1" applyFill="1" applyBorder="1" applyAlignment="1">
      <alignment horizontal="center" wrapText="1"/>
    </xf>
    <xf numFmtId="37" fontId="0" fillId="4" borderId="2" xfId="1" applyNumberFormat="1" applyFont="1" applyFill="1" applyBorder="1" applyAlignment="1">
      <alignment horizontal="center"/>
    </xf>
    <xf numFmtId="0" fontId="0" fillId="3" borderId="2" xfId="0" applyFont="1" applyFill="1" applyBorder="1" applyAlignment="1">
      <alignment wrapText="1"/>
    </xf>
    <xf numFmtId="0" fontId="0" fillId="2" borderId="2" xfId="0" applyFill="1" applyBorder="1"/>
    <xf numFmtId="165" fontId="2" fillId="0" borderId="2" xfId="0" applyNumberFormat="1" applyFont="1" applyBorder="1"/>
    <xf numFmtId="0" fontId="2" fillId="0" borderId="2" xfId="0" applyFont="1" applyBorder="1"/>
    <xf numFmtId="37" fontId="0" fillId="0" borderId="2" xfId="0" applyNumberFormat="1" applyFill="1" applyBorder="1" applyAlignment="1">
      <alignment horizontal="center"/>
    </xf>
    <xf numFmtId="164" fontId="0" fillId="0" borderId="0" xfId="1" applyNumberFormat="1" applyFont="1" applyFill="1"/>
    <xf numFmtId="0" fontId="2" fillId="0" borderId="10" xfId="0" applyFont="1" applyFill="1" applyBorder="1" applyAlignment="1">
      <alignment horizontal="left"/>
    </xf>
    <xf numFmtId="2" fontId="2" fillId="3" borderId="2" xfId="0" applyNumberFormat="1" applyFont="1" applyFill="1" applyBorder="1"/>
    <xf numFmtId="0" fontId="2" fillId="0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 wrapText="1"/>
    </xf>
    <xf numFmtId="0" fontId="12" fillId="2" borderId="15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2" fillId="3" borderId="10" xfId="0" applyFont="1" applyFill="1" applyBorder="1" applyAlignment="1"/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37" fontId="0" fillId="0" borderId="2" xfId="1" applyNumberFormat="1" applyFont="1" applyBorder="1" applyAlignment="1">
      <alignment horizontal="center" vertical="center"/>
    </xf>
    <xf numFmtId="37" fontId="13" fillId="3" borderId="2" xfId="1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10" fontId="0" fillId="0" borderId="2" xfId="2" applyNumberFormat="1" applyFont="1" applyBorder="1"/>
    <xf numFmtId="9" fontId="2" fillId="2" borderId="2" xfId="0" applyNumberFormat="1" applyFont="1" applyFill="1" applyBorder="1" applyAlignment="1">
      <alignment horizontal="center"/>
    </xf>
    <xf numFmtId="9" fontId="0" fillId="0" borderId="2" xfId="2" applyFont="1" applyFill="1" applyBorder="1" applyAlignment="1">
      <alignment horizontal="center"/>
    </xf>
    <xf numFmtId="9" fontId="2" fillId="3" borderId="2" xfId="2" applyFont="1" applyFill="1" applyBorder="1" applyAlignment="1">
      <alignment horizontal="center"/>
    </xf>
    <xf numFmtId="37" fontId="0" fillId="0" borderId="2" xfId="0" applyNumberFormat="1" applyBorder="1"/>
    <xf numFmtId="0" fontId="3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2" borderId="12" xfId="0" applyFont="1" applyFill="1" applyBorder="1" applyAlignment="1">
      <alignment horizontal="left"/>
    </xf>
    <xf numFmtId="164" fontId="2" fillId="2" borderId="0" xfId="0" applyNumberFormat="1" applyFont="1" applyFill="1" applyBorder="1"/>
    <xf numFmtId="43" fontId="2" fillId="2" borderId="0" xfId="0" applyNumberFormat="1" applyFont="1" applyFill="1" applyBorder="1"/>
    <xf numFmtId="43" fontId="2" fillId="2" borderId="9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9" fontId="2" fillId="3" borderId="2" xfId="2" applyFont="1" applyFill="1" applyBorder="1" applyAlignment="1">
      <alignment horizontal="center" wrapText="1"/>
    </xf>
    <xf numFmtId="0" fontId="0" fillId="0" borderId="16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/>
    <xf numFmtId="0" fontId="3" fillId="0" borderId="0" xfId="0" applyFont="1" applyFill="1"/>
    <xf numFmtId="0" fontId="2" fillId="2" borderId="2" xfId="0" applyFont="1" applyFill="1" applyBorder="1" applyAlignment="1">
      <alignment horizontal="center" vertical="center"/>
    </xf>
    <xf numFmtId="9" fontId="2" fillId="2" borderId="2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wrapText="1"/>
    </xf>
    <xf numFmtId="37" fontId="0" fillId="0" borderId="0" xfId="0" applyNumberFormat="1"/>
    <xf numFmtId="0" fontId="15" fillId="0" borderId="0" xfId="0" applyFont="1"/>
    <xf numFmtId="0" fontId="15" fillId="0" borderId="8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Fill="1" applyBorder="1" applyAlignment="1">
      <alignment horizontal="left"/>
    </xf>
    <xf numFmtId="0" fontId="7" fillId="0" borderId="6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3" fontId="13" fillId="0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3" fontId="2" fillId="0" borderId="2" xfId="0" applyNumberFormat="1" applyFont="1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3" fontId="14" fillId="0" borderId="2" xfId="1" applyNumberFormat="1" applyFont="1" applyFill="1" applyBorder="1" applyAlignment="1">
      <alignment horizontal="center"/>
    </xf>
    <xf numFmtId="3" fontId="14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0</xdr:row>
      <xdr:rowOff>19050</xdr:rowOff>
    </xdr:from>
    <xdr:to>
      <xdr:col>8</xdr:col>
      <xdr:colOff>847724</xdr:colOff>
      <xdr:row>15</xdr:row>
      <xdr:rowOff>110950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19050"/>
          <a:ext cx="3638549" cy="318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0</xdr:rowOff>
    </xdr:from>
    <xdr:to>
      <xdr:col>9</xdr:col>
      <xdr:colOff>66675</xdr:colOff>
      <xdr:row>15</xdr:row>
      <xdr:rowOff>76614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2500" y="0"/>
          <a:ext cx="4337050" cy="3346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419100</xdr:colOff>
      <xdr:row>8</xdr:row>
      <xdr:rowOff>180975</xdr:rowOff>
    </xdr:from>
    <xdr:to>
      <xdr:col>7</xdr:col>
      <xdr:colOff>257175</xdr:colOff>
      <xdr:row>19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5343525" y="2257425"/>
          <a:ext cx="3352800" cy="2114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933450</xdr:colOff>
      <xdr:row>0</xdr:row>
      <xdr:rowOff>28575</xdr:rowOff>
    </xdr:from>
    <xdr:to>
      <xdr:col>10</xdr:col>
      <xdr:colOff>0</xdr:colOff>
      <xdr:row>13</xdr:row>
      <xdr:rowOff>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28575"/>
          <a:ext cx="4819650" cy="2603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419100</xdr:colOff>
      <xdr:row>8</xdr:row>
      <xdr:rowOff>180975</xdr:rowOff>
    </xdr:from>
    <xdr:to>
      <xdr:col>7</xdr:col>
      <xdr:colOff>257175</xdr:colOff>
      <xdr:row>19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5343525" y="2257425"/>
          <a:ext cx="3352800" cy="2114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933450</xdr:colOff>
      <xdr:row>0</xdr:row>
      <xdr:rowOff>28575</xdr:rowOff>
    </xdr:from>
    <xdr:to>
      <xdr:col>10</xdr:col>
      <xdr:colOff>0</xdr:colOff>
      <xdr:row>13</xdr:row>
      <xdr:rowOff>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69EC7F-C39D-4C7D-BDE0-3E669DDC6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28575"/>
          <a:ext cx="5238750" cy="2686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419100</xdr:colOff>
      <xdr:row>8</xdr:row>
      <xdr:rowOff>180975</xdr:rowOff>
    </xdr:from>
    <xdr:to>
      <xdr:col>7</xdr:col>
      <xdr:colOff>257175</xdr:colOff>
      <xdr:row>19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6F6A499B-F7B0-4427-880A-A4F1EB05660A}"/>
            </a:ext>
          </a:extLst>
        </xdr:cNvPr>
        <xdr:cNvCxnSpPr/>
      </xdr:nvCxnSpPr>
      <xdr:spPr>
        <a:xfrm>
          <a:off x="5695950" y="1752600"/>
          <a:ext cx="3609975" cy="2105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tabSelected="1" zoomScaleNormal="100" workbookViewId="0">
      <selection activeCell="E53" sqref="E53"/>
    </sheetView>
  </sheetViews>
  <sheetFormatPr defaultColWidth="9.140625" defaultRowHeight="15" x14ac:dyDescent="0.25"/>
  <cols>
    <col min="1" max="1" width="28.7109375" style="18" customWidth="1"/>
    <col min="2" max="2" width="18.42578125" style="18" customWidth="1"/>
    <col min="3" max="3" width="18.7109375" style="18" bestFit="1" customWidth="1"/>
    <col min="4" max="4" width="19.28515625" style="18" customWidth="1"/>
    <col min="5" max="5" width="13.5703125" style="18" customWidth="1"/>
    <col min="6" max="6" width="14.42578125" style="18" customWidth="1"/>
    <col min="7" max="7" width="10.5703125" style="18" bestFit="1" customWidth="1"/>
    <col min="8" max="8" width="12.42578125" style="18" customWidth="1"/>
    <col min="9" max="9" width="14.7109375" style="18" customWidth="1"/>
    <col min="10" max="12" width="10.5703125" style="18" bestFit="1" customWidth="1"/>
    <col min="13" max="13" width="11.5703125" style="18" bestFit="1" customWidth="1"/>
    <col min="14" max="16384" width="9.140625" style="18"/>
  </cols>
  <sheetData>
    <row r="1" spans="1:20" ht="18.75" x14ac:dyDescent="0.3">
      <c r="A1" s="56" t="s">
        <v>58</v>
      </c>
    </row>
    <row r="2" spans="1:20" x14ac:dyDescent="0.25">
      <c r="A2" s="20" t="s">
        <v>59</v>
      </c>
    </row>
    <row r="3" spans="1:20" x14ac:dyDescent="0.25">
      <c r="A3" s="146" t="s">
        <v>135</v>
      </c>
      <c r="B3" s="146"/>
      <c r="C3" s="146"/>
      <c r="D3" s="146"/>
    </row>
    <row r="4" spans="1:20" ht="30" x14ac:dyDescent="0.25">
      <c r="A4" s="26" t="s">
        <v>22</v>
      </c>
      <c r="B4" s="98" t="s">
        <v>106</v>
      </c>
      <c r="C4" s="98" t="s">
        <v>107</v>
      </c>
      <c r="D4" s="127" t="s">
        <v>114</v>
      </c>
    </row>
    <row r="5" spans="1:20" x14ac:dyDescent="0.25">
      <c r="A5" s="53" t="s">
        <v>46</v>
      </c>
      <c r="B5" s="44">
        <v>175297</v>
      </c>
      <c r="C5" s="110">
        <f>B5*2.2</f>
        <v>385653.4</v>
      </c>
      <c r="D5" s="27"/>
    </row>
    <row r="6" spans="1:20" x14ac:dyDescent="0.25">
      <c r="A6" s="53" t="s">
        <v>138</v>
      </c>
      <c r="B6" s="44">
        <v>15622</v>
      </c>
      <c r="C6" s="110">
        <f t="shared" ref="C6:C12" si="0">B6*2.2</f>
        <v>34368.400000000001</v>
      </c>
      <c r="D6" s="27"/>
    </row>
    <row r="7" spans="1:20" x14ac:dyDescent="0.25">
      <c r="A7" s="53" t="s">
        <v>149</v>
      </c>
      <c r="B7" s="44">
        <v>44657</v>
      </c>
      <c r="C7" s="110">
        <f t="shared" si="0"/>
        <v>98245.400000000009</v>
      </c>
      <c r="D7" s="27"/>
    </row>
    <row r="8" spans="1:20" x14ac:dyDescent="0.25">
      <c r="A8" s="53" t="s">
        <v>136</v>
      </c>
      <c r="B8" s="44">
        <v>26693</v>
      </c>
      <c r="C8" s="110">
        <f t="shared" si="0"/>
        <v>58724.600000000006</v>
      </c>
      <c r="D8" s="27"/>
    </row>
    <row r="9" spans="1:20" x14ac:dyDescent="0.25">
      <c r="A9" s="53" t="s">
        <v>139</v>
      </c>
      <c r="B9" s="44">
        <v>0</v>
      </c>
      <c r="C9" s="110">
        <f t="shared" si="0"/>
        <v>0</v>
      </c>
      <c r="D9" s="27" t="s">
        <v>140</v>
      </c>
    </row>
    <row r="10" spans="1:20" x14ac:dyDescent="0.25">
      <c r="A10" s="53" t="s">
        <v>4</v>
      </c>
      <c r="B10" s="44">
        <v>24546</v>
      </c>
      <c r="C10" s="110">
        <f t="shared" si="0"/>
        <v>54001.200000000004</v>
      </c>
      <c r="D10" s="27"/>
    </row>
    <row r="11" spans="1:20" x14ac:dyDescent="0.25">
      <c r="A11" s="53" t="s">
        <v>137</v>
      </c>
      <c r="B11" s="44">
        <v>21812</v>
      </c>
      <c r="C11" s="110">
        <f t="shared" si="0"/>
        <v>47986.400000000001</v>
      </c>
      <c r="D11" s="27"/>
    </row>
    <row r="12" spans="1:20" x14ac:dyDescent="0.25">
      <c r="A12" s="54" t="s">
        <v>60</v>
      </c>
      <c r="B12" s="49">
        <v>33221</v>
      </c>
      <c r="C12" s="110">
        <f t="shared" si="0"/>
        <v>73086.200000000012</v>
      </c>
      <c r="D12" s="27"/>
    </row>
    <row r="13" spans="1:20" x14ac:dyDescent="0.25">
      <c r="A13" s="55" t="s">
        <v>5</v>
      </c>
      <c r="B13" s="47">
        <f>SUM(B5:B12)</f>
        <v>341848</v>
      </c>
      <c r="C13" s="111">
        <f>B13*2.2</f>
        <v>752065.60000000009</v>
      </c>
      <c r="D13" s="55"/>
    </row>
    <row r="14" spans="1:20" x14ac:dyDescent="0.25">
      <c r="A14" s="20"/>
    </row>
    <row r="15" spans="1:20" x14ac:dyDescent="0.25">
      <c r="A15" s="146" t="s">
        <v>26</v>
      </c>
      <c r="B15" s="146"/>
      <c r="C15" s="146"/>
      <c r="D15" s="146"/>
    </row>
    <row r="16" spans="1:20" ht="30" customHeight="1" x14ac:dyDescent="0.25">
      <c r="A16" s="32"/>
      <c r="B16" s="98" t="s">
        <v>85</v>
      </c>
      <c r="C16" s="98" t="s">
        <v>131</v>
      </c>
      <c r="D16" s="107" t="s">
        <v>114</v>
      </c>
      <c r="F16" s="1" t="s">
        <v>84</v>
      </c>
      <c r="G16" s="3"/>
      <c r="I16" s="1"/>
      <c r="J16" s="23"/>
      <c r="K16" s="23"/>
      <c r="L16" s="3"/>
      <c r="M16" s="3"/>
      <c r="N16" s="3"/>
      <c r="O16" s="3"/>
      <c r="P16" s="3"/>
      <c r="Q16" s="3"/>
      <c r="R16" s="3"/>
      <c r="S16" s="3"/>
      <c r="T16" s="3"/>
    </row>
    <row r="17" spans="1:14" ht="75" x14ac:dyDescent="0.25">
      <c r="A17" s="28" t="s">
        <v>108</v>
      </c>
      <c r="B17" s="36">
        <v>655203</v>
      </c>
      <c r="C17" s="112" t="s">
        <v>127</v>
      </c>
      <c r="D17" s="118" t="s">
        <v>130</v>
      </c>
      <c r="F17"/>
      <c r="G17"/>
      <c r="H17"/>
      <c r="I17"/>
      <c r="J17"/>
      <c r="K17"/>
      <c r="L17"/>
      <c r="M17"/>
      <c r="N17"/>
    </row>
    <row r="18" spans="1:14" ht="60" x14ac:dyDescent="0.25">
      <c r="A18" s="27" t="s">
        <v>6</v>
      </c>
      <c r="B18" s="44">
        <v>531523</v>
      </c>
      <c r="C18" s="28" t="s">
        <v>128</v>
      </c>
      <c r="D18" s="118" t="s">
        <v>129</v>
      </c>
      <c r="F18"/>
      <c r="G18"/>
      <c r="H18"/>
      <c r="I18"/>
      <c r="J18"/>
      <c r="K18"/>
      <c r="L18"/>
      <c r="M18"/>
      <c r="N18"/>
    </row>
    <row r="19" spans="1:14" ht="30" x14ac:dyDescent="0.25">
      <c r="A19" s="31" t="s">
        <v>133</v>
      </c>
      <c r="B19" s="50">
        <f>B17-B18</f>
        <v>123680</v>
      </c>
      <c r="C19" s="87" t="s">
        <v>109</v>
      </c>
      <c r="D19" s="87"/>
      <c r="F19"/>
      <c r="G19"/>
      <c r="H19"/>
      <c r="I19"/>
      <c r="J19"/>
      <c r="K19"/>
      <c r="L19"/>
      <c r="M19"/>
      <c r="N19"/>
    </row>
    <row r="20" spans="1:14" ht="64.5" customHeight="1" x14ac:dyDescent="0.25">
      <c r="A20" s="31" t="s">
        <v>132</v>
      </c>
      <c r="B20" s="130">
        <f>1-(($B$17-$B$19)/$B$17)</f>
        <v>0.18876592445394791</v>
      </c>
      <c r="C20" s="87" t="s">
        <v>134</v>
      </c>
      <c r="D20" s="87"/>
      <c r="F20"/>
      <c r="G20"/>
      <c r="H20"/>
      <c r="I20"/>
      <c r="J20"/>
      <c r="K20"/>
      <c r="L20"/>
      <c r="M20"/>
      <c r="N20"/>
    </row>
    <row r="21" spans="1:14" x14ac:dyDescent="0.25">
      <c r="A21"/>
      <c r="B21"/>
      <c r="C21"/>
      <c r="F21"/>
      <c r="G21"/>
      <c r="H21"/>
      <c r="I21"/>
      <c r="J21"/>
      <c r="K21"/>
      <c r="L21"/>
      <c r="M21"/>
      <c r="N21"/>
    </row>
    <row r="22" spans="1:14" x14ac:dyDescent="0.25">
      <c r="A22" s="146" t="s">
        <v>113</v>
      </c>
      <c r="B22" s="146"/>
      <c r="C22" s="146"/>
      <c r="D22" s="146"/>
      <c r="F22"/>
      <c r="G22"/>
      <c r="H22"/>
      <c r="I22"/>
      <c r="J22"/>
      <c r="K22"/>
      <c r="L22"/>
      <c r="M22"/>
      <c r="N22"/>
    </row>
    <row r="23" spans="1:14" ht="60" x14ac:dyDescent="0.25">
      <c r="A23" s="109" t="s">
        <v>23</v>
      </c>
      <c r="B23" s="107" t="s">
        <v>24</v>
      </c>
      <c r="C23" s="107" t="s">
        <v>61</v>
      </c>
      <c r="D23" s="107" t="s">
        <v>110</v>
      </c>
    </row>
    <row r="24" spans="1:14" x14ac:dyDescent="0.25">
      <c r="A24" s="53" t="s">
        <v>46</v>
      </c>
      <c r="B24" s="49">
        <f>$B$19*D24</f>
        <v>67196.379979127349</v>
      </c>
      <c r="C24" s="74">
        <v>0.51</v>
      </c>
      <c r="D24" s="69">
        <f>(B5/(SUM($B$5:$B$10,$B$12)))-((B5/(SUM($B$5:$B$10,$B$12)))*$D$30)</f>
        <v>0.54330837628660533</v>
      </c>
    </row>
    <row r="25" spans="1:14" x14ac:dyDescent="0.25">
      <c r="A25" s="53" t="s">
        <v>0</v>
      </c>
      <c r="B25" s="49">
        <f t="shared" ref="B25:B31" si="1">$B$19*D25</f>
        <v>5988.3617405541881</v>
      </c>
      <c r="C25" s="74">
        <v>0.05</v>
      </c>
      <c r="D25" s="69">
        <f t="shared" ref="D25:D29" si="2">(B6/(SUM($B$5:$B$10,$B$12)))-((B6/(SUM($B$5:$B$10,$B$12)))*$D$30)</f>
        <v>4.841819001094913E-2</v>
      </c>
    </row>
    <row r="26" spans="1:14" x14ac:dyDescent="0.25">
      <c r="A26" s="53" t="s">
        <v>1</v>
      </c>
      <c r="B26" s="49">
        <f t="shared" si="1"/>
        <v>17118.312011773676</v>
      </c>
      <c r="C26" s="115">
        <v>0.13</v>
      </c>
      <c r="D26" s="69">
        <f t="shared" si="2"/>
        <v>0.13840808547682468</v>
      </c>
    </row>
    <row r="27" spans="1:14" x14ac:dyDescent="0.25">
      <c r="A27" s="53" t="s">
        <v>2</v>
      </c>
      <c r="B27" s="49">
        <f t="shared" si="1"/>
        <v>10232.19433751203</v>
      </c>
      <c r="C27" s="74">
        <v>0.08</v>
      </c>
      <c r="D27" s="69">
        <f t="shared" si="2"/>
        <v>8.2731196131242163E-2</v>
      </c>
    </row>
    <row r="28" spans="1:14" hidden="1" x14ac:dyDescent="0.25">
      <c r="A28" s="53" t="s">
        <v>3</v>
      </c>
      <c r="B28" s="49">
        <f>$B$19*D28</f>
        <v>0</v>
      </c>
      <c r="C28" s="74">
        <v>0</v>
      </c>
      <c r="D28" s="69">
        <f t="shared" si="2"/>
        <v>0</v>
      </c>
    </row>
    <row r="29" spans="1:14" x14ac:dyDescent="0.25">
      <c r="A29" s="53" t="s">
        <v>4</v>
      </c>
      <c r="B29" s="49">
        <f t="shared" si="1"/>
        <v>9409.1875101551086</v>
      </c>
      <c r="C29" s="74">
        <v>7.0000000000000007E-2</v>
      </c>
      <c r="D29" s="69">
        <f t="shared" si="2"/>
        <v>7.607687184795528E-2</v>
      </c>
    </row>
    <row r="30" spans="1:14" x14ac:dyDescent="0.25">
      <c r="A30" s="53" t="s">
        <v>126</v>
      </c>
      <c r="B30" s="49">
        <f t="shared" si="1"/>
        <v>1000.9999999999999</v>
      </c>
      <c r="C30" s="74">
        <v>0.06</v>
      </c>
      <c r="D30" s="113">
        <f>1001/TOTALS!B19</f>
        <v>8.0934670116429488E-3</v>
      </c>
    </row>
    <row r="31" spans="1:14" x14ac:dyDescent="0.25">
      <c r="A31" s="54" t="s">
        <v>60</v>
      </c>
      <c r="B31" s="49">
        <f t="shared" si="1"/>
        <v>12734.56442087765</v>
      </c>
      <c r="C31" s="74">
        <v>0.1</v>
      </c>
      <c r="D31" s="69">
        <f>(B12/(SUM($B$5:$B$10,$B$12)))-((B12/(SUM($B$5:$B$10,$B$12)))*$D$30)</f>
        <v>0.10296381323478049</v>
      </c>
    </row>
    <row r="32" spans="1:14" x14ac:dyDescent="0.25">
      <c r="A32" s="55" t="s">
        <v>20</v>
      </c>
      <c r="B32" s="50">
        <f>SUM(B24:B31)</f>
        <v>123680</v>
      </c>
      <c r="C32" s="116">
        <f>SUM(C24:C31)</f>
        <v>1.0000000000000002</v>
      </c>
      <c r="D32" s="82">
        <f>SUM(D24:D31)</f>
        <v>1</v>
      </c>
    </row>
    <row r="33" spans="1:7" x14ac:dyDescent="0.25">
      <c r="A33" s="54" t="s">
        <v>141</v>
      </c>
    </row>
    <row r="34" spans="1:7" ht="7.5" customHeight="1" x14ac:dyDescent="0.25">
      <c r="A34" s="131"/>
    </row>
    <row r="35" spans="1:7" x14ac:dyDescent="0.25">
      <c r="A35" s="147" t="s">
        <v>151</v>
      </c>
      <c r="B35" s="148"/>
      <c r="C35" s="148"/>
      <c r="D35" s="148"/>
      <c r="E35" s="149"/>
    </row>
    <row r="36" spans="1:7" x14ac:dyDescent="0.25">
      <c r="A36" s="29"/>
      <c r="B36" s="109" t="s">
        <v>7</v>
      </c>
      <c r="C36" s="109" t="s">
        <v>8</v>
      </c>
      <c r="D36" s="109" t="s">
        <v>9</v>
      </c>
      <c r="E36" s="109" t="s">
        <v>10</v>
      </c>
    </row>
    <row r="37" spans="1:7" x14ac:dyDescent="0.25">
      <c r="A37" s="25" t="s">
        <v>25</v>
      </c>
      <c r="B37" s="114">
        <v>0.3</v>
      </c>
      <c r="C37" s="114">
        <v>0.5</v>
      </c>
      <c r="D37" s="114">
        <v>0.2</v>
      </c>
      <c r="E37" s="109" t="s">
        <v>5</v>
      </c>
    </row>
    <row r="38" spans="1:7" x14ac:dyDescent="0.25">
      <c r="A38" s="53" t="s">
        <v>46</v>
      </c>
      <c r="B38" s="36">
        <f>SUM(B24*0.3)</f>
        <v>20158.913993738202</v>
      </c>
      <c r="C38" s="36">
        <f>SUM(B24*0.5)</f>
        <v>33598.189989563674</v>
      </c>
      <c r="D38" s="36">
        <f>SUM(B24*0.2)</f>
        <v>13439.27599582547</v>
      </c>
      <c r="E38" s="37">
        <f>SUM(B38:D38)</f>
        <v>67196.379979127349</v>
      </c>
    </row>
    <row r="39" spans="1:7" x14ac:dyDescent="0.25">
      <c r="A39" s="53" t="s">
        <v>0</v>
      </c>
      <c r="B39" s="36">
        <f>SUM(B25*0.3)</f>
        <v>1796.5085221662564</v>
      </c>
      <c r="C39" s="36">
        <f>SUM(B25*0.5)</f>
        <v>2994.1808702770941</v>
      </c>
      <c r="D39" s="36">
        <f>SUM(B25*0.2)</f>
        <v>1197.6723481108377</v>
      </c>
      <c r="E39" s="37">
        <f t="shared" ref="E39:E44" si="3">SUM(B39:D39)</f>
        <v>5988.3617405541881</v>
      </c>
    </row>
    <row r="40" spans="1:7" x14ac:dyDescent="0.25">
      <c r="A40" s="53" t="s">
        <v>1</v>
      </c>
      <c r="B40" s="36" t="s">
        <v>115</v>
      </c>
      <c r="C40" s="36" t="s">
        <v>115</v>
      </c>
      <c r="D40" s="36" t="s">
        <v>115</v>
      </c>
      <c r="E40" s="37">
        <f>B26</f>
        <v>17118.312011773676</v>
      </c>
    </row>
    <row r="41" spans="1:7" x14ac:dyDescent="0.25">
      <c r="A41" s="53" t="s">
        <v>2</v>
      </c>
      <c r="B41" s="36">
        <f>SUM(B27*0.3)</f>
        <v>3069.6583012536089</v>
      </c>
      <c r="C41" s="36">
        <f>SUM(B27*0.5)</f>
        <v>5116.097168756015</v>
      </c>
      <c r="D41" s="36">
        <f>SUM(B27*0.2)</f>
        <v>2046.4388675024061</v>
      </c>
      <c r="E41" s="37">
        <f t="shared" si="3"/>
        <v>10232.19433751203</v>
      </c>
      <c r="G41" s="52"/>
    </row>
    <row r="42" spans="1:7" hidden="1" x14ac:dyDescent="0.25">
      <c r="A42" s="53" t="s">
        <v>3</v>
      </c>
      <c r="B42" s="36">
        <f>SUM(B28*0.3)</f>
        <v>0</v>
      </c>
      <c r="C42" s="36">
        <f>SUM(B28*0.5)</f>
        <v>0</v>
      </c>
      <c r="D42" s="36">
        <f>SUM(B28*0.2)</f>
        <v>0</v>
      </c>
      <c r="E42" s="37">
        <f t="shared" si="3"/>
        <v>0</v>
      </c>
    </row>
    <row r="43" spans="1:7" x14ac:dyDescent="0.25">
      <c r="A43" s="53" t="s">
        <v>4</v>
      </c>
      <c r="B43" s="36">
        <f>SUM(B29*0.3)</f>
        <v>2822.7562530465325</v>
      </c>
      <c r="C43" s="36">
        <f>SUM(B29*0.5)</f>
        <v>4704.5937550775543</v>
      </c>
      <c r="D43" s="36">
        <f>SUM(B29*0.2)</f>
        <v>1881.8375020310218</v>
      </c>
      <c r="E43" s="37">
        <f t="shared" si="3"/>
        <v>9409.1875101551086</v>
      </c>
    </row>
    <row r="44" spans="1:7" x14ac:dyDescent="0.25">
      <c r="A44" s="53" t="s">
        <v>119</v>
      </c>
      <c r="B44" s="36">
        <f>B30</f>
        <v>1000.9999999999999</v>
      </c>
      <c r="C44" s="36">
        <v>0</v>
      </c>
      <c r="D44" s="36">
        <v>0</v>
      </c>
      <c r="E44" s="37">
        <f t="shared" si="3"/>
        <v>1000.9999999999999</v>
      </c>
    </row>
    <row r="45" spans="1:7" x14ac:dyDescent="0.25">
      <c r="A45" s="54" t="s">
        <v>60</v>
      </c>
      <c r="B45" s="36" t="s">
        <v>116</v>
      </c>
      <c r="C45" s="36" t="s">
        <v>116</v>
      </c>
      <c r="D45" s="36" t="s">
        <v>116</v>
      </c>
      <c r="E45" s="37">
        <f>B31</f>
        <v>12734.56442087765</v>
      </c>
    </row>
    <row r="46" spans="1:7" x14ac:dyDescent="0.25">
      <c r="A46" s="24" t="s">
        <v>20</v>
      </c>
      <c r="B46" s="47">
        <f>SUM(B38:B45)</f>
        <v>28848.837070204601</v>
      </c>
      <c r="C46" s="47">
        <f>SUM(C38:C45)</f>
        <v>46413.06178367434</v>
      </c>
      <c r="D46" s="47">
        <f>SUM(D38:D45)</f>
        <v>18565.224713469739</v>
      </c>
      <c r="E46" s="47">
        <f>SUM(E38:E45)</f>
        <v>123680</v>
      </c>
    </row>
    <row r="47" spans="1:7" x14ac:dyDescent="0.25">
      <c r="A47" s="140" t="s">
        <v>117</v>
      </c>
      <c r="E47" s="52"/>
    </row>
    <row r="48" spans="1:7" x14ac:dyDescent="0.25">
      <c r="A48" s="141" t="s">
        <v>118</v>
      </c>
      <c r="B48" s="108"/>
      <c r="C48" s="108"/>
      <c r="D48" s="108"/>
      <c r="E48" s="108"/>
    </row>
    <row r="49" spans="1:4" x14ac:dyDescent="0.25">
      <c r="A49" s="142" t="s">
        <v>120</v>
      </c>
    </row>
    <row r="50" spans="1:4" ht="6" customHeight="1" x14ac:dyDescent="0.25"/>
    <row r="51" spans="1:4" x14ac:dyDescent="0.25">
      <c r="A51" s="150" t="s">
        <v>150</v>
      </c>
      <c r="B51" s="150"/>
      <c r="C51" s="150"/>
      <c r="D51" s="150"/>
    </row>
    <row r="52" spans="1:4" x14ac:dyDescent="0.25">
      <c r="A52" s="135"/>
      <c r="B52" s="135" t="s">
        <v>7</v>
      </c>
      <c r="C52" s="135" t="s">
        <v>8</v>
      </c>
      <c r="D52" s="135" t="s">
        <v>10</v>
      </c>
    </row>
    <row r="53" spans="1:4" x14ac:dyDescent="0.25">
      <c r="A53" s="135" t="s">
        <v>25</v>
      </c>
      <c r="B53" s="136">
        <v>0.5</v>
      </c>
      <c r="C53" s="136">
        <v>0.5</v>
      </c>
      <c r="D53" s="135" t="s">
        <v>5</v>
      </c>
    </row>
    <row r="54" spans="1:4" x14ac:dyDescent="0.25">
      <c r="A54" s="27" t="s">
        <v>46</v>
      </c>
      <c r="B54" s="49">
        <f>SUM(B24*0.5)</f>
        <v>33598.189989563674</v>
      </c>
      <c r="C54" s="49">
        <f>SUM(B24*0.5)</f>
        <v>33598.189989563674</v>
      </c>
      <c r="D54" s="48">
        <f ca="1">SUM(B54:D54)</f>
        <v>67196.379979127349</v>
      </c>
    </row>
    <row r="55" spans="1:4" x14ac:dyDescent="0.25">
      <c r="A55" s="27" t="s">
        <v>0</v>
      </c>
      <c r="B55" s="49">
        <f>SUM(B25*0.5)</f>
        <v>2994.1808702770941</v>
      </c>
      <c r="C55" s="49">
        <f>SUM(B25*0.5)</f>
        <v>2994.1808702770941</v>
      </c>
      <c r="D55" s="48">
        <f ca="1">SUM(B55:D55)</f>
        <v>5988.3617405541881</v>
      </c>
    </row>
    <row r="56" spans="1:4" x14ac:dyDescent="0.25">
      <c r="A56" s="27" t="s">
        <v>1</v>
      </c>
      <c r="B56" s="49" t="s">
        <v>115</v>
      </c>
      <c r="C56" s="49" t="s">
        <v>115</v>
      </c>
      <c r="D56" s="48">
        <f>B26</f>
        <v>17118.312011773676</v>
      </c>
    </row>
    <row r="57" spans="1:4" x14ac:dyDescent="0.25">
      <c r="A57" s="27" t="s">
        <v>2</v>
      </c>
      <c r="B57" s="49">
        <f>SUM(B27*0.5)</f>
        <v>5116.097168756015</v>
      </c>
      <c r="C57" s="49">
        <f>SUM(B27*0.5)</f>
        <v>5116.097168756015</v>
      </c>
      <c r="D57" s="48">
        <f ca="1">SUM(B57:D57)</f>
        <v>10232.19433751203</v>
      </c>
    </row>
    <row r="58" spans="1:4" hidden="1" x14ac:dyDescent="0.25">
      <c r="A58" s="27" t="s">
        <v>3</v>
      </c>
      <c r="B58" s="49">
        <f>SUM(B28*0.3)</f>
        <v>0</v>
      </c>
      <c r="C58" s="49">
        <f t="shared" ref="C58:C60" si="4">SUM(B28*0.5)</f>
        <v>0</v>
      </c>
      <c r="D58" s="48">
        <f ca="1">SUM(B58:D58)</f>
        <v>0</v>
      </c>
    </row>
    <row r="59" spans="1:4" x14ac:dyDescent="0.25">
      <c r="A59" s="27" t="s">
        <v>4</v>
      </c>
      <c r="B59" s="49">
        <f>SUM(B29*0.5)</f>
        <v>4704.5937550775543</v>
      </c>
      <c r="C59" s="49">
        <f t="shared" si="4"/>
        <v>4704.5937550775543</v>
      </c>
      <c r="D59" s="48">
        <f ca="1">SUM(B59:D59)</f>
        <v>9409.1875101551086</v>
      </c>
    </row>
    <row r="60" spans="1:4" x14ac:dyDescent="0.25">
      <c r="A60" s="27" t="s">
        <v>119</v>
      </c>
      <c r="B60" s="49">
        <f>SUM(B30*0.5)</f>
        <v>500.49999999999994</v>
      </c>
      <c r="C60" s="49">
        <f t="shared" si="4"/>
        <v>500.49999999999994</v>
      </c>
      <c r="D60" s="48">
        <f ca="1">SUM(B60:D60)</f>
        <v>1000.9999999999999</v>
      </c>
    </row>
    <row r="61" spans="1:4" x14ac:dyDescent="0.25">
      <c r="A61" s="27" t="s">
        <v>60</v>
      </c>
      <c r="B61" s="49" t="s">
        <v>116</v>
      </c>
      <c r="C61" s="49" t="s">
        <v>116</v>
      </c>
      <c r="D61" s="48">
        <f>B31</f>
        <v>12734.56442087765</v>
      </c>
    </row>
    <row r="62" spans="1:4" x14ac:dyDescent="0.25">
      <c r="A62" s="24" t="s">
        <v>20</v>
      </c>
      <c r="B62" s="50">
        <f>SUM(B54:B61)</f>
        <v>46913.56178367434</v>
      </c>
      <c r="C62" s="50">
        <f>SUM(C54:C61)</f>
        <v>46913.56178367434</v>
      </c>
      <c r="D62" s="50">
        <v>123680</v>
      </c>
    </row>
    <row r="63" spans="1:4" x14ac:dyDescent="0.25">
      <c r="A63" s="139" t="s">
        <v>117</v>
      </c>
    </row>
    <row r="64" spans="1:4" x14ac:dyDescent="0.25">
      <c r="A64" s="139" t="s">
        <v>118</v>
      </c>
    </row>
    <row r="65" spans="1:1" x14ac:dyDescent="0.25">
      <c r="A65" s="139" t="s">
        <v>120</v>
      </c>
    </row>
  </sheetData>
  <mergeCells count="5">
    <mergeCell ref="A22:D22"/>
    <mergeCell ref="A35:E35"/>
    <mergeCell ref="A15:D15"/>
    <mergeCell ref="A3:D3"/>
    <mergeCell ref="A51:D51"/>
  </mergeCells>
  <pageMargins left="0.7" right="0.7" top="0.5" bottom="0.5" header="0.3" footer="0.3"/>
  <pageSetup scale="81" fitToHeight="0" orientation="landscape" horizontalDpi="4294967295" verticalDpi="4294967295" r:id="rId1"/>
  <headerFooter>
    <oddHeader>&amp;L&amp;G&amp;CDRAFT</oddHeader>
    <oddFooter>&amp;LMay 2017&amp;C&amp;P of &amp;N&amp;RTotals</oddFooter>
  </headerFooter>
  <rowBreaks count="1" manualBreakCount="1">
    <brk id="21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2"/>
  <sheetViews>
    <sheetView view="pageLayout" topLeftCell="A4" zoomScaleNormal="100" workbookViewId="0">
      <selection activeCell="B22" sqref="B22"/>
    </sheetView>
  </sheetViews>
  <sheetFormatPr defaultRowHeight="15" x14ac:dyDescent="0.25"/>
  <cols>
    <col min="1" max="1" width="37.85546875" customWidth="1"/>
    <col min="2" max="2" width="14.42578125" customWidth="1"/>
    <col min="3" max="3" width="14.140625" customWidth="1"/>
    <col min="4" max="4" width="16.5703125" customWidth="1"/>
    <col min="5" max="5" width="15.7109375" customWidth="1"/>
    <col min="6" max="6" width="15.140625" customWidth="1"/>
    <col min="7" max="7" width="21.85546875" bestFit="1" customWidth="1"/>
    <col min="8" max="8" width="4.85546875" style="10" customWidth="1"/>
    <col min="9" max="9" width="32.85546875" customWidth="1"/>
    <col min="10" max="10" width="11.85546875" bestFit="1" customWidth="1"/>
    <col min="11" max="11" width="11.5703125" customWidth="1"/>
    <col min="12" max="12" width="15" customWidth="1"/>
    <col min="13" max="13" width="19.140625" customWidth="1"/>
    <col min="14" max="14" width="15.85546875" customWidth="1"/>
    <col min="15" max="15" width="12.85546875" customWidth="1"/>
  </cols>
  <sheetData>
    <row r="1" spans="1:16" ht="18.75" x14ac:dyDescent="0.3">
      <c r="A1" s="152" t="s">
        <v>74</v>
      </c>
      <c r="B1" s="152"/>
      <c r="C1" s="152"/>
      <c r="D1" s="152"/>
      <c r="E1" s="152"/>
      <c r="F1" s="152"/>
      <c r="G1" s="152"/>
      <c r="H1" s="84"/>
      <c r="I1" s="84"/>
      <c r="J1" s="84"/>
      <c r="K1" s="84"/>
      <c r="L1" s="84"/>
      <c r="M1" s="84"/>
      <c r="N1" s="84"/>
      <c r="O1" s="84"/>
      <c r="P1" s="84"/>
    </row>
    <row r="2" spans="1:16" x14ac:dyDescent="0.25">
      <c r="A2" s="57" t="s">
        <v>86</v>
      </c>
    </row>
    <row r="3" spans="1:16" x14ac:dyDescent="0.25">
      <c r="A3" s="151" t="s">
        <v>44</v>
      </c>
      <c r="B3" s="151"/>
      <c r="C3" s="151"/>
      <c r="D3" s="151"/>
    </row>
    <row r="4" spans="1:16" ht="24" customHeight="1" x14ac:dyDescent="0.25">
      <c r="A4" s="21" t="s">
        <v>7</v>
      </c>
      <c r="B4" s="21" t="s">
        <v>8</v>
      </c>
      <c r="C4" s="21" t="s">
        <v>9</v>
      </c>
      <c r="D4" s="21" t="s">
        <v>10</v>
      </c>
    </row>
    <row r="5" spans="1:16" x14ac:dyDescent="0.25">
      <c r="A5" s="6">
        <v>0.3</v>
      </c>
      <c r="B5" s="6">
        <v>0.5</v>
      </c>
      <c r="C5" s="6">
        <v>0.2</v>
      </c>
      <c r="D5" s="21" t="s">
        <v>5</v>
      </c>
    </row>
    <row r="6" spans="1:16" ht="18.75" customHeight="1" x14ac:dyDescent="0.25">
      <c r="A6" s="36">
        <f>TOTALS!B38</f>
        <v>20158.913993738202</v>
      </c>
      <c r="B6" s="36">
        <f>TOTALS!C38</f>
        <v>33598.189989563674</v>
      </c>
      <c r="C6" s="36">
        <f>TOTALS!D38</f>
        <v>13439.27599582547</v>
      </c>
      <c r="D6" s="37">
        <f>TOTALS!B24</f>
        <v>67196.379979127349</v>
      </c>
    </row>
    <row r="7" spans="1:16" x14ac:dyDescent="0.25">
      <c r="D7" s="17"/>
    </row>
    <row r="8" spans="1:16" x14ac:dyDescent="0.25">
      <c r="A8" s="43" t="s">
        <v>32</v>
      </c>
    </row>
    <row r="9" spans="1:16" x14ac:dyDescent="0.25">
      <c r="A9" s="156" t="s">
        <v>144</v>
      </c>
      <c r="B9" s="156"/>
      <c r="C9" s="156"/>
      <c r="D9" s="156"/>
      <c r="E9" s="156"/>
      <c r="F9" s="156"/>
    </row>
    <row r="10" spans="1:16" x14ac:dyDescent="0.25">
      <c r="A10" s="4" t="s">
        <v>29</v>
      </c>
    </row>
    <row r="11" spans="1:16" ht="15.75" customHeight="1" x14ac:dyDescent="0.25">
      <c r="A11" s="34" t="s">
        <v>28</v>
      </c>
    </row>
    <row r="12" spans="1:16" x14ac:dyDescent="0.25">
      <c r="A12" s="147" t="s">
        <v>35</v>
      </c>
      <c r="B12" s="148"/>
      <c r="C12" s="148"/>
      <c r="D12" s="148"/>
      <c r="E12" s="149"/>
    </row>
    <row r="13" spans="1:16" ht="30" x14ac:dyDescent="0.25">
      <c r="A13" s="119" t="s">
        <v>36</v>
      </c>
      <c r="B13" s="143" t="s">
        <v>62</v>
      </c>
      <c r="C13" s="119" t="s">
        <v>63</v>
      </c>
      <c r="D13" s="120" t="s">
        <v>64</v>
      </c>
      <c r="E13" s="119" t="s">
        <v>65</v>
      </c>
    </row>
    <row r="14" spans="1:16" x14ac:dyDescent="0.25">
      <c r="A14" s="8">
        <f>9.012*2.7</f>
        <v>24.332400000000003</v>
      </c>
      <c r="B14" s="11">
        <f>A14*(1-0.4)</f>
        <v>14.599440000000001</v>
      </c>
      <c r="C14" s="41">
        <f>B14*0.1</f>
        <v>1.4599440000000001</v>
      </c>
      <c r="D14" s="42">
        <f>B14*0.4</f>
        <v>5.8397760000000005</v>
      </c>
      <c r="E14" s="39">
        <f>B14*0.9</f>
        <v>13.139496000000001</v>
      </c>
    </row>
    <row r="16" spans="1:16" x14ac:dyDescent="0.25">
      <c r="A16" s="34" t="s">
        <v>11</v>
      </c>
    </row>
    <row r="17" spans="1:10" x14ac:dyDescent="0.25">
      <c r="A17" s="4" t="s">
        <v>30</v>
      </c>
    </row>
    <row r="18" spans="1:10" x14ac:dyDescent="0.25">
      <c r="A18" s="9" t="s">
        <v>18</v>
      </c>
      <c r="I18" s="1" t="s">
        <v>100</v>
      </c>
    </row>
    <row r="19" spans="1:10" x14ac:dyDescent="0.25">
      <c r="A19" s="146" t="s">
        <v>37</v>
      </c>
      <c r="B19" s="146"/>
      <c r="C19" s="146"/>
      <c r="D19" s="146"/>
      <c r="E19" s="146"/>
      <c r="F19" s="146"/>
    </row>
    <row r="20" spans="1:10" ht="30" x14ac:dyDescent="0.25">
      <c r="A20" s="119" t="s">
        <v>36</v>
      </c>
      <c r="B20" s="121" t="s">
        <v>17</v>
      </c>
      <c r="C20" s="144" t="s">
        <v>62</v>
      </c>
      <c r="D20" s="119" t="s">
        <v>63</v>
      </c>
      <c r="E20" s="120" t="s">
        <v>64</v>
      </c>
      <c r="F20" s="119" t="s">
        <v>65</v>
      </c>
      <c r="I20" s="85" t="s">
        <v>143</v>
      </c>
      <c r="J20" s="88"/>
    </row>
    <row r="21" spans="1:10" x14ac:dyDescent="0.25">
      <c r="A21" s="8">
        <f>A14</f>
        <v>24.332400000000003</v>
      </c>
      <c r="B21" s="8">
        <f>A21*0.35</f>
        <v>8.5163400000000014</v>
      </c>
      <c r="C21" s="8">
        <f>B21*(1-0.4)</f>
        <v>5.1098040000000005</v>
      </c>
      <c r="D21" s="35">
        <f>C21*0.1</f>
        <v>0.51098040000000011</v>
      </c>
      <c r="E21" s="8">
        <f>SUM(C21*0.4)</f>
        <v>2.0439216000000004</v>
      </c>
      <c r="F21" s="8">
        <f>SUM(C21*0.9)</f>
        <v>4.5988236000000002</v>
      </c>
      <c r="I21" s="5" t="s">
        <v>87</v>
      </c>
      <c r="J21" s="5">
        <v>2.48</v>
      </c>
    </row>
    <row r="22" spans="1:10" x14ac:dyDescent="0.25">
      <c r="A22" s="19"/>
      <c r="B22" s="19"/>
      <c r="C22" s="13"/>
      <c r="D22" s="13"/>
      <c r="E22" s="13"/>
      <c r="I22" s="5" t="s">
        <v>88</v>
      </c>
      <c r="J22" s="5">
        <v>2.93</v>
      </c>
    </row>
    <row r="23" spans="1:10" x14ac:dyDescent="0.25">
      <c r="A23" s="4" t="s">
        <v>31</v>
      </c>
      <c r="I23" s="5" t="s">
        <v>98</v>
      </c>
      <c r="J23" s="5">
        <v>2.74</v>
      </c>
    </row>
    <row r="24" spans="1:10" x14ac:dyDescent="0.25">
      <c r="A24" s="151" t="s">
        <v>111</v>
      </c>
      <c r="B24" s="151"/>
      <c r="C24" s="151"/>
      <c r="D24" s="151"/>
      <c r="E24" s="151"/>
      <c r="F24" s="151"/>
      <c r="I24" s="5" t="s">
        <v>89</v>
      </c>
      <c r="J24" s="5">
        <v>2.61</v>
      </c>
    </row>
    <row r="25" spans="1:10" ht="45" x14ac:dyDescent="0.25">
      <c r="A25" s="121" t="s">
        <v>99</v>
      </c>
      <c r="B25" s="121" t="s">
        <v>148</v>
      </c>
      <c r="C25" s="121" t="s">
        <v>66</v>
      </c>
      <c r="D25" s="121" t="s">
        <v>67</v>
      </c>
      <c r="E25" s="121" t="s">
        <v>68</v>
      </c>
      <c r="F25" s="121" t="s">
        <v>69</v>
      </c>
      <c r="I25" s="95" t="s">
        <v>90</v>
      </c>
      <c r="J25" s="89">
        <f>AVERAGE(J21:J24)</f>
        <v>2.69</v>
      </c>
    </row>
    <row r="26" spans="1:10" x14ac:dyDescent="0.25">
      <c r="A26" s="35">
        <f>C14</f>
        <v>1.4599440000000001</v>
      </c>
      <c r="B26" s="8">
        <f>D14</f>
        <v>5.8397760000000005</v>
      </c>
      <c r="C26" s="8">
        <f>E14</f>
        <v>13.139496000000001</v>
      </c>
      <c r="D26" s="41">
        <f>A26-D21</f>
        <v>0.94896360000000002</v>
      </c>
      <c r="E26" s="39">
        <f>SUM(B26-E21)</f>
        <v>3.7958544000000001</v>
      </c>
      <c r="F26" s="39">
        <f>SUM(C26-F21)</f>
        <v>8.5406724000000018</v>
      </c>
      <c r="I26" s="90" t="s">
        <v>91</v>
      </c>
      <c r="J26" s="89">
        <f>MEDIAN(J21:J24)</f>
        <v>2.6749999999999998</v>
      </c>
    </row>
    <row r="28" spans="1:10" x14ac:dyDescent="0.25">
      <c r="A28" s="34" t="s">
        <v>12</v>
      </c>
    </row>
    <row r="29" spans="1:10" x14ac:dyDescent="0.25">
      <c r="A29" s="9" t="s">
        <v>19</v>
      </c>
    </row>
    <row r="30" spans="1:10" x14ac:dyDescent="0.25">
      <c r="A30" s="4" t="s">
        <v>38</v>
      </c>
    </row>
    <row r="31" spans="1:10" x14ac:dyDescent="0.25">
      <c r="A31" s="146" t="s">
        <v>41</v>
      </c>
      <c r="B31" s="146"/>
      <c r="C31" s="146"/>
      <c r="D31" s="146"/>
      <c r="E31" s="146"/>
      <c r="F31" s="146"/>
    </row>
    <row r="32" spans="1:10" ht="45" x14ac:dyDescent="0.25">
      <c r="A32" s="121" t="s">
        <v>99</v>
      </c>
      <c r="B32" s="121" t="s">
        <v>148</v>
      </c>
      <c r="C32" s="121" t="s">
        <v>66</v>
      </c>
      <c r="D32" s="121" t="s">
        <v>67</v>
      </c>
      <c r="E32" s="121" t="s">
        <v>68</v>
      </c>
      <c r="F32" s="121" t="s">
        <v>69</v>
      </c>
    </row>
    <row r="33" spans="1:7" x14ac:dyDescent="0.25">
      <c r="A33" s="35">
        <f>C14</f>
        <v>1.4599440000000001</v>
      </c>
      <c r="B33" s="8">
        <f>D14</f>
        <v>5.8397760000000005</v>
      </c>
      <c r="C33" s="8">
        <f>E14</f>
        <v>13.139496000000001</v>
      </c>
      <c r="D33" s="41">
        <f>A33*0.95</f>
        <v>1.3869468</v>
      </c>
      <c r="E33" s="39">
        <f>B33*0.95</f>
        <v>5.5477872000000001</v>
      </c>
      <c r="F33" s="39">
        <f>C33*0.95</f>
        <v>12.482521200000001</v>
      </c>
      <c r="G33" s="12"/>
    </row>
    <row r="35" spans="1:7" s="10" customFormat="1" ht="12" customHeight="1" x14ac:dyDescent="0.25">
      <c r="A35" s="4" t="s">
        <v>42</v>
      </c>
      <c r="B35"/>
      <c r="C35"/>
      <c r="D35"/>
      <c r="E35"/>
    </row>
    <row r="36" spans="1:7" x14ac:dyDescent="0.25">
      <c r="A36" s="153" t="s">
        <v>34</v>
      </c>
      <c r="B36" s="154"/>
      <c r="C36" s="154"/>
      <c r="D36" s="154"/>
      <c r="E36" s="155"/>
    </row>
    <row r="37" spans="1:7" x14ac:dyDescent="0.25">
      <c r="A37" s="26" t="s">
        <v>27</v>
      </c>
      <c r="B37" s="26" t="s">
        <v>13</v>
      </c>
      <c r="C37" s="26" t="s">
        <v>14</v>
      </c>
      <c r="D37" s="26" t="s">
        <v>15</v>
      </c>
      <c r="E37" s="26" t="s">
        <v>16</v>
      </c>
    </row>
    <row r="38" spans="1:7" x14ac:dyDescent="0.25">
      <c r="A38" s="22" t="s">
        <v>80</v>
      </c>
      <c r="B38" s="44">
        <f>A6/$E$26</f>
        <v>5310.7711385711218</v>
      </c>
      <c r="C38" s="44">
        <f>B6/$E$26</f>
        <v>8851.2852309518712</v>
      </c>
      <c r="D38" s="44">
        <f>C6/$E$26</f>
        <v>3540.5140923807485</v>
      </c>
      <c r="E38" s="48">
        <f>SUM(B38:D38)</f>
        <v>17702.570461903742</v>
      </c>
    </row>
    <row r="39" spans="1:7" x14ac:dyDescent="0.25">
      <c r="A39" s="22" t="s">
        <v>82</v>
      </c>
      <c r="B39" s="44">
        <f>A6/$F$26</f>
        <v>2360.3427282538314</v>
      </c>
      <c r="C39" s="44">
        <f>B6/$F$26</f>
        <v>3933.9045470897195</v>
      </c>
      <c r="D39" s="44">
        <f>C6/$F$26</f>
        <v>1573.5618188358878</v>
      </c>
      <c r="E39" s="48">
        <f>SUM(B39:D39)</f>
        <v>7867.809094179438</v>
      </c>
    </row>
    <row r="40" spans="1:7" x14ac:dyDescent="0.25">
      <c r="A40" s="22" t="s">
        <v>81</v>
      </c>
      <c r="B40" s="45">
        <f>A6/$E$33</f>
        <v>3633.6855158644516</v>
      </c>
      <c r="C40" s="45">
        <f>B6/$E$33</f>
        <v>6056.1425264407535</v>
      </c>
      <c r="D40" s="45">
        <f>C6/$E$33</f>
        <v>2422.4570105763014</v>
      </c>
      <c r="E40" s="48">
        <f>SUM(B40:D40)</f>
        <v>12112.285052881507</v>
      </c>
    </row>
    <row r="41" spans="1:7" x14ac:dyDescent="0.25">
      <c r="A41" s="22" t="s">
        <v>83</v>
      </c>
      <c r="B41" s="45">
        <f>A6/$F$33</f>
        <v>1614.9713403842006</v>
      </c>
      <c r="C41" s="45">
        <f>B6/$F$33</f>
        <v>2691.6189006403347</v>
      </c>
      <c r="D41" s="45">
        <f>C6/$F$33</f>
        <v>1076.6475602561338</v>
      </c>
      <c r="E41" s="48">
        <f>SUM(B41:D41)</f>
        <v>5383.2378012806694</v>
      </c>
    </row>
    <row r="42" spans="1:7" x14ac:dyDescent="0.25">
      <c r="A42" s="33"/>
    </row>
    <row r="43" spans="1:7" x14ac:dyDescent="0.25">
      <c r="A43" s="15" t="s">
        <v>79</v>
      </c>
    </row>
    <row r="44" spans="1:7" x14ac:dyDescent="0.25">
      <c r="A44" s="26" t="s">
        <v>39</v>
      </c>
      <c r="B44" s="25" t="s">
        <v>33</v>
      </c>
    </row>
    <row r="45" spans="1:7" x14ac:dyDescent="0.25">
      <c r="A45" s="7" t="s">
        <v>70</v>
      </c>
      <c r="B45" s="44">
        <v>16173</v>
      </c>
    </row>
    <row r="46" spans="1:7" x14ac:dyDescent="0.25">
      <c r="A46" s="7" t="s">
        <v>71</v>
      </c>
      <c r="B46" s="44">
        <v>22005</v>
      </c>
      <c r="C46" s="1"/>
    </row>
    <row r="47" spans="1:7" x14ac:dyDescent="0.25">
      <c r="A47" s="7" t="s">
        <v>72</v>
      </c>
      <c r="B47" s="45">
        <v>14268</v>
      </c>
      <c r="C47" s="16"/>
      <c r="D47" s="1"/>
    </row>
    <row r="48" spans="1:7" x14ac:dyDescent="0.25">
      <c r="A48" s="7" t="s">
        <v>21</v>
      </c>
      <c r="B48" s="45" t="s">
        <v>43</v>
      </c>
      <c r="D48" s="1"/>
    </row>
    <row r="49" spans="1:7" ht="30" x14ac:dyDescent="0.25">
      <c r="A49" s="46" t="s">
        <v>73</v>
      </c>
      <c r="B49" s="47">
        <f>SUM(B45:B48)</f>
        <v>52446</v>
      </c>
    </row>
    <row r="51" spans="1:7" x14ac:dyDescent="0.25">
      <c r="A51" s="4" t="s">
        <v>142</v>
      </c>
      <c r="B51" s="83" t="s">
        <v>79</v>
      </c>
    </row>
    <row r="52" spans="1:7" ht="45" x14ac:dyDescent="0.25">
      <c r="A52" s="58" t="s">
        <v>121</v>
      </c>
      <c r="B52" s="58" t="s">
        <v>70</v>
      </c>
      <c r="C52" s="58" t="s">
        <v>71</v>
      </c>
      <c r="D52" s="58" t="s">
        <v>72</v>
      </c>
      <c r="E52" s="85" t="s">
        <v>93</v>
      </c>
      <c r="F52" s="58" t="s">
        <v>5</v>
      </c>
      <c r="G52" s="61" t="s">
        <v>95</v>
      </c>
    </row>
    <row r="53" spans="1:7" x14ac:dyDescent="0.25">
      <c r="A53" s="81" t="s">
        <v>75</v>
      </c>
      <c r="B53" s="59">
        <v>8524</v>
      </c>
      <c r="C53" s="59">
        <v>20910</v>
      </c>
      <c r="D53" s="59">
        <v>2112</v>
      </c>
      <c r="E53" s="59">
        <v>0</v>
      </c>
      <c r="F53" s="59">
        <f>SUM(B53:E53)</f>
        <v>31546</v>
      </c>
      <c r="G53" s="91">
        <f>SUM(B53:D53)</f>
        <v>31546</v>
      </c>
    </row>
    <row r="54" spans="1:7" x14ac:dyDescent="0.25">
      <c r="A54" s="81" t="s">
        <v>101</v>
      </c>
      <c r="B54" s="59">
        <v>54</v>
      </c>
      <c r="C54" s="59">
        <v>349</v>
      </c>
      <c r="D54" s="59">
        <v>0</v>
      </c>
      <c r="E54" s="59">
        <v>0</v>
      </c>
      <c r="F54" s="59">
        <f>SUM(B54:E54)</f>
        <v>403</v>
      </c>
      <c r="G54" s="91">
        <f>SUM(B54:D54)</f>
        <v>403</v>
      </c>
    </row>
    <row r="55" spans="1:7" x14ac:dyDescent="0.25">
      <c r="A55" s="81" t="s">
        <v>76</v>
      </c>
      <c r="B55" s="59">
        <v>7595</v>
      </c>
      <c r="C55" s="59">
        <v>0</v>
      </c>
      <c r="D55" s="59">
        <v>0</v>
      </c>
      <c r="E55" s="59">
        <v>0</v>
      </c>
      <c r="F55" s="59">
        <f t="shared" ref="F55:F59" si="0">SUM(B55:E55)</f>
        <v>7595</v>
      </c>
      <c r="G55" s="91">
        <f t="shared" ref="G55:G59" si="1">SUM(B55:D55)</f>
        <v>7595</v>
      </c>
    </row>
    <row r="56" spans="1:7" x14ac:dyDescent="0.25">
      <c r="A56" s="81" t="s">
        <v>77</v>
      </c>
      <c r="B56" s="59">
        <v>0</v>
      </c>
      <c r="C56" s="59">
        <v>654</v>
      </c>
      <c r="D56" s="59">
        <v>11719</v>
      </c>
      <c r="E56" s="59">
        <v>0</v>
      </c>
      <c r="F56" s="59">
        <f t="shared" si="0"/>
        <v>12373</v>
      </c>
      <c r="G56" s="91">
        <f t="shared" si="1"/>
        <v>12373</v>
      </c>
    </row>
    <row r="57" spans="1:7" x14ac:dyDescent="0.25">
      <c r="A57" s="81" t="s">
        <v>78</v>
      </c>
      <c r="B57" s="59">
        <v>0</v>
      </c>
      <c r="C57" s="59">
        <v>92</v>
      </c>
      <c r="D57" s="59">
        <v>437</v>
      </c>
      <c r="E57" s="59">
        <v>0</v>
      </c>
      <c r="F57" s="59">
        <f t="shared" si="0"/>
        <v>529</v>
      </c>
      <c r="G57" s="91">
        <f t="shared" si="1"/>
        <v>529</v>
      </c>
    </row>
    <row r="58" spans="1:7" hidden="1" x14ac:dyDescent="0.25">
      <c r="A58" s="81" t="s">
        <v>94</v>
      </c>
      <c r="B58" s="59">
        <v>0</v>
      </c>
      <c r="C58" s="59">
        <v>0</v>
      </c>
      <c r="D58" s="59">
        <v>0</v>
      </c>
      <c r="E58" s="59">
        <v>0</v>
      </c>
      <c r="F58" s="86">
        <f t="shared" si="0"/>
        <v>0</v>
      </c>
      <c r="G58" s="91">
        <f t="shared" si="1"/>
        <v>0</v>
      </c>
    </row>
    <row r="59" spans="1:7" hidden="1" x14ac:dyDescent="0.25">
      <c r="A59" s="81" t="s">
        <v>94</v>
      </c>
      <c r="B59" s="59">
        <v>0</v>
      </c>
      <c r="C59" s="59">
        <v>0</v>
      </c>
      <c r="D59" s="59">
        <v>0</v>
      </c>
      <c r="E59" s="59">
        <v>0</v>
      </c>
      <c r="F59" s="86">
        <f t="shared" si="0"/>
        <v>0</v>
      </c>
      <c r="G59" s="91">
        <f t="shared" si="1"/>
        <v>0</v>
      </c>
    </row>
    <row r="60" spans="1:7" x14ac:dyDescent="0.25">
      <c r="A60" s="30" t="s">
        <v>45</v>
      </c>
      <c r="B60" s="60">
        <f>SUM(B53:B59)</f>
        <v>16173</v>
      </c>
      <c r="C60" s="60">
        <f>SUM(C53:C59)</f>
        <v>22005</v>
      </c>
      <c r="D60" s="60">
        <f>SUM(D53:D59)</f>
        <v>14268</v>
      </c>
      <c r="E60" s="60">
        <f t="shared" ref="E60:F60" si="2">SUM(E53:E59)</f>
        <v>0</v>
      </c>
      <c r="F60" s="60">
        <f t="shared" si="2"/>
        <v>52446</v>
      </c>
      <c r="G60" s="60">
        <f>SUM(B60:D60)</f>
        <v>52446</v>
      </c>
    </row>
    <row r="62" spans="1:7" x14ac:dyDescent="0.25">
      <c r="A62" s="4" t="s">
        <v>147</v>
      </c>
      <c r="B62" s="83" t="s">
        <v>103</v>
      </c>
    </row>
    <row r="63" spans="1:7" ht="60" x14ac:dyDescent="0.25">
      <c r="A63" s="127" t="s">
        <v>123</v>
      </c>
      <c r="B63" s="126" t="s">
        <v>70</v>
      </c>
      <c r="C63" s="126" t="s">
        <v>71</v>
      </c>
      <c r="D63" s="126" t="s">
        <v>72</v>
      </c>
      <c r="E63" s="127" t="s">
        <v>93</v>
      </c>
      <c r="F63" s="126" t="s">
        <v>5</v>
      </c>
      <c r="G63" s="127" t="s">
        <v>122</v>
      </c>
    </row>
    <row r="64" spans="1:7" x14ac:dyDescent="0.25">
      <c r="A64" s="81" t="s">
        <v>101</v>
      </c>
      <c r="B64" s="59">
        <v>80</v>
      </c>
      <c r="C64" s="59">
        <v>0</v>
      </c>
      <c r="D64" s="59">
        <v>0</v>
      </c>
      <c r="E64" s="59">
        <v>0</v>
      </c>
      <c r="F64" s="59">
        <f>SUM(B64:E64)</f>
        <v>80</v>
      </c>
      <c r="G64" s="91">
        <f>SUM(B64:D64)</f>
        <v>80</v>
      </c>
    </row>
    <row r="65" spans="1:7" x14ac:dyDescent="0.25">
      <c r="A65" s="81" t="s">
        <v>75</v>
      </c>
      <c r="B65" s="59">
        <v>6778</v>
      </c>
      <c r="C65" s="59">
        <v>0</v>
      </c>
      <c r="D65" s="59">
        <v>0</v>
      </c>
      <c r="E65" s="59">
        <v>0</v>
      </c>
      <c r="F65" s="59">
        <f>SUM(B65:E65)</f>
        <v>6778</v>
      </c>
      <c r="G65" s="91">
        <f>SUM(B65:D65)</f>
        <v>6778</v>
      </c>
    </row>
    <row r="66" spans="1:7" x14ac:dyDescent="0.25">
      <c r="A66" s="81" t="s">
        <v>76</v>
      </c>
      <c r="B66" s="59">
        <v>7119</v>
      </c>
      <c r="C66" s="59">
        <v>0</v>
      </c>
      <c r="D66" s="59">
        <v>0</v>
      </c>
      <c r="E66" s="59">
        <v>0</v>
      </c>
      <c r="F66" s="59">
        <f t="shared" ref="F66" si="3">SUM(B66:E66)</f>
        <v>7119</v>
      </c>
      <c r="G66" s="91">
        <f t="shared" ref="G66" si="4">SUM(B66:D66)</f>
        <v>7119</v>
      </c>
    </row>
    <row r="67" spans="1:7" x14ac:dyDescent="0.25">
      <c r="A67" s="30" t="s">
        <v>45</v>
      </c>
      <c r="B67" s="60">
        <f>SUM(B64:B66)</f>
        <v>13977</v>
      </c>
      <c r="C67" s="60">
        <f>SUM(C64:C66)</f>
        <v>0</v>
      </c>
      <c r="D67" s="60">
        <f>SUM(D64:D66)</f>
        <v>0</v>
      </c>
      <c r="E67" s="60">
        <f>SUM(E64:E66)</f>
        <v>0</v>
      </c>
      <c r="F67" s="60">
        <f>SUM(F64:F66)</f>
        <v>13977</v>
      </c>
      <c r="G67" s="60">
        <f>SUM(B67:D67)</f>
        <v>13977</v>
      </c>
    </row>
    <row r="68" spans="1:7" x14ac:dyDescent="0.25">
      <c r="A68" s="4" t="s">
        <v>57</v>
      </c>
    </row>
    <row r="69" spans="1:7" ht="45" x14ac:dyDescent="0.25">
      <c r="A69" s="126" t="s">
        <v>49</v>
      </c>
      <c r="B69" s="70" t="s">
        <v>52</v>
      </c>
      <c r="C69" s="71" t="s">
        <v>50</v>
      </c>
    </row>
    <row r="70" spans="1:7" x14ac:dyDescent="0.25">
      <c r="A70" s="72" t="s">
        <v>70</v>
      </c>
      <c r="B70" s="75">
        <f>B73*C70</f>
        <v>118925.6080196774</v>
      </c>
      <c r="C70" s="74">
        <f>B60/$G$60</f>
        <v>0.30837432788010527</v>
      </c>
    </row>
    <row r="71" spans="1:7" x14ac:dyDescent="0.25">
      <c r="A71" s="72" t="s">
        <v>71</v>
      </c>
      <c r="B71" s="75">
        <f>C71*B73</f>
        <v>161810.30139572133</v>
      </c>
      <c r="C71" s="74">
        <f>C60/$G$60</f>
        <v>0.41957441940281431</v>
      </c>
    </row>
    <row r="72" spans="1:7" x14ac:dyDescent="0.25">
      <c r="A72" s="72" t="s">
        <v>72</v>
      </c>
      <c r="B72" s="75">
        <f>C72*B73</f>
        <v>104917.49058460131</v>
      </c>
      <c r="C72" s="74">
        <f>D60/$G$60</f>
        <v>0.27205125271708042</v>
      </c>
    </row>
    <row r="73" spans="1:7" x14ac:dyDescent="0.25">
      <c r="A73" s="94" t="s">
        <v>5</v>
      </c>
      <c r="B73" s="60">
        <f>TOTALS!C5</f>
        <v>385653.4</v>
      </c>
      <c r="C73" s="80">
        <f>SUM(C70:C72)</f>
        <v>1</v>
      </c>
    </row>
    <row r="74" spans="1:7" x14ac:dyDescent="0.25">
      <c r="A74" s="73" t="s">
        <v>51</v>
      </c>
      <c r="B74" s="117"/>
      <c r="C74" s="50">
        <f>TOTALS!B24</f>
        <v>67196.379979127349</v>
      </c>
    </row>
    <row r="76" spans="1:7" hidden="1" x14ac:dyDescent="0.25">
      <c r="A76" s="68" t="s">
        <v>55</v>
      </c>
      <c r="B76" s="92">
        <v>0</v>
      </c>
    </row>
    <row r="82" spans="1:7" s="10" customFormat="1" x14ac:dyDescent="0.25">
      <c r="A82"/>
      <c r="B82"/>
      <c r="C82"/>
      <c r="D82"/>
      <c r="E82"/>
      <c r="F82"/>
      <c r="G82"/>
    </row>
    <row r="83" spans="1:7" s="10" customFormat="1" x14ac:dyDescent="0.25">
      <c r="A83"/>
      <c r="B83"/>
      <c r="C83"/>
      <c r="D83"/>
      <c r="E83"/>
      <c r="F83"/>
      <c r="G83"/>
    </row>
    <row r="84" spans="1:7" s="10" customFormat="1" x14ac:dyDescent="0.25">
      <c r="A84"/>
      <c r="B84"/>
      <c r="C84"/>
      <c r="D84"/>
      <c r="E84"/>
      <c r="F84"/>
      <c r="G84"/>
    </row>
    <row r="85" spans="1:7" s="10" customFormat="1" x14ac:dyDescent="0.25">
      <c r="A85"/>
      <c r="B85"/>
      <c r="C85"/>
      <c r="D85"/>
      <c r="E85"/>
      <c r="F85"/>
      <c r="G85"/>
    </row>
    <row r="86" spans="1:7" s="10" customFormat="1" x14ac:dyDescent="0.25">
      <c r="A86"/>
      <c r="B86"/>
      <c r="C86"/>
      <c r="D86"/>
      <c r="E86"/>
      <c r="F86"/>
      <c r="G86"/>
    </row>
    <row r="88" spans="1:7" x14ac:dyDescent="0.25">
      <c r="G88" s="10"/>
    </row>
    <row r="89" spans="1:7" x14ac:dyDescent="0.25">
      <c r="G89" s="10"/>
    </row>
    <row r="90" spans="1:7" x14ac:dyDescent="0.25">
      <c r="G90" s="10"/>
    </row>
    <row r="91" spans="1:7" x14ac:dyDescent="0.25">
      <c r="G91" s="10"/>
    </row>
    <row r="92" spans="1:7" x14ac:dyDescent="0.25">
      <c r="G92" s="10"/>
    </row>
  </sheetData>
  <mergeCells count="8">
    <mergeCell ref="A3:D3"/>
    <mergeCell ref="A12:E12"/>
    <mergeCell ref="A1:G1"/>
    <mergeCell ref="A36:E36"/>
    <mergeCell ref="A9:F9"/>
    <mergeCell ref="A19:F19"/>
    <mergeCell ref="A31:F31"/>
    <mergeCell ref="A24:F24"/>
  </mergeCells>
  <pageMargins left="0.7" right="0.7" top="0.75" bottom="0.75" header="0.3" footer="0.3"/>
  <pageSetup scale="66" fitToHeight="0" orientation="landscape" horizontalDpi="4294967295" verticalDpi="4294967295" r:id="rId1"/>
  <headerFooter>
    <oddHeader xml:space="preserve">&amp;L&amp;G&amp;C&amp;"-,Bold"DRAFT&amp;R
</oddHeader>
    <oddFooter>&amp;LMay 2017&amp;C&amp;P of &amp;N&amp;RWakulla OSTDS in BMAP Area</oddFooter>
  </headerFooter>
  <rowBreaks count="2" manualBreakCount="2">
    <brk id="42" max="16383" man="1"/>
    <brk id="127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8"/>
  <sheetViews>
    <sheetView view="pageLayout" topLeftCell="A37" zoomScaleNormal="100" workbookViewId="0">
      <selection activeCell="F39" sqref="F38:F39"/>
    </sheetView>
  </sheetViews>
  <sheetFormatPr defaultRowHeight="15" x14ac:dyDescent="0.25"/>
  <cols>
    <col min="1" max="1" width="28.7109375" customWidth="1"/>
    <col min="2" max="2" width="14.42578125" customWidth="1"/>
    <col min="3" max="3" width="14.140625" customWidth="1"/>
    <col min="4" max="4" width="16.5703125" customWidth="1"/>
    <col min="5" max="5" width="15.7109375" customWidth="1"/>
    <col min="6" max="6" width="15.140625" customWidth="1"/>
    <col min="7" max="7" width="21.85546875" bestFit="1" customWidth="1"/>
    <col min="8" max="8" width="4.85546875" style="10" customWidth="1"/>
    <col min="9" max="9" width="32.5703125" customWidth="1"/>
    <col min="10" max="10" width="11.85546875" bestFit="1" customWidth="1"/>
    <col min="11" max="11" width="11.5703125" customWidth="1"/>
    <col min="12" max="12" width="15" customWidth="1"/>
    <col min="13" max="13" width="19.140625" customWidth="1"/>
  </cols>
  <sheetData>
    <row r="1" spans="1:13" ht="18.75" x14ac:dyDescent="0.3">
      <c r="A1" s="152" t="s">
        <v>74</v>
      </c>
      <c r="B1" s="152"/>
      <c r="C1" s="152"/>
      <c r="D1" s="152"/>
      <c r="E1" s="152"/>
      <c r="F1" s="152"/>
      <c r="G1" s="152"/>
      <c r="H1" s="84"/>
      <c r="I1" s="84"/>
      <c r="J1" s="84"/>
      <c r="K1" s="84"/>
      <c r="L1" s="84"/>
      <c r="M1" s="84"/>
    </row>
    <row r="2" spans="1:13" x14ac:dyDescent="0.25">
      <c r="A2" s="57" t="s">
        <v>155</v>
      </c>
    </row>
    <row r="3" spans="1:13" x14ac:dyDescent="0.25">
      <c r="A3" s="151" t="s">
        <v>156</v>
      </c>
      <c r="B3" s="151"/>
      <c r="C3" s="151"/>
      <c r="D3" s="151"/>
    </row>
    <row r="4" spans="1:13" x14ac:dyDescent="0.25">
      <c r="A4" s="21" t="s">
        <v>7</v>
      </c>
      <c r="B4" s="21" t="s">
        <v>8</v>
      </c>
      <c r="C4" s="21" t="s">
        <v>9</v>
      </c>
      <c r="D4" s="21" t="s">
        <v>10</v>
      </c>
    </row>
    <row r="5" spans="1:13" x14ac:dyDescent="0.25">
      <c r="A5" s="6">
        <v>0.3</v>
      </c>
      <c r="B5" s="6">
        <v>0.5</v>
      </c>
      <c r="C5" s="6">
        <v>0.2</v>
      </c>
      <c r="D5" s="21" t="s">
        <v>5</v>
      </c>
    </row>
    <row r="6" spans="1:13" x14ac:dyDescent="0.25">
      <c r="A6" s="36">
        <f>TOTALS!B38</f>
        <v>20158.913993738202</v>
      </c>
      <c r="B6" s="36">
        <f>TOTALS!C38</f>
        <v>33598.189989563674</v>
      </c>
      <c r="C6" s="36">
        <f>TOTALS!D38</f>
        <v>13439.27599582547</v>
      </c>
      <c r="D6" s="37">
        <f>TOTALS!B24</f>
        <v>67196.379979127349</v>
      </c>
    </row>
    <row r="7" spans="1:13" x14ac:dyDescent="0.25">
      <c r="D7" s="17"/>
    </row>
    <row r="8" spans="1:13" x14ac:dyDescent="0.25">
      <c r="A8" s="43" t="s">
        <v>32</v>
      </c>
    </row>
    <row r="9" spans="1:13" x14ac:dyDescent="0.25">
      <c r="A9" s="156" t="s">
        <v>144</v>
      </c>
      <c r="B9" s="156"/>
      <c r="C9" s="156"/>
      <c r="D9" s="156"/>
      <c r="E9" s="156"/>
      <c r="F9" s="156"/>
    </row>
    <row r="10" spans="1:13" x14ac:dyDescent="0.25">
      <c r="A10" s="4" t="s">
        <v>29</v>
      </c>
    </row>
    <row r="11" spans="1:13" x14ac:dyDescent="0.25">
      <c r="A11" s="34" t="s">
        <v>28</v>
      </c>
    </row>
    <row r="12" spans="1:13" x14ac:dyDescent="0.25">
      <c r="A12" s="147" t="s">
        <v>145</v>
      </c>
      <c r="B12" s="148"/>
      <c r="C12" s="148"/>
      <c r="D12" s="148"/>
      <c r="E12" s="149"/>
    </row>
    <row r="13" spans="1:13" ht="30" x14ac:dyDescent="0.25">
      <c r="A13" s="119" t="s">
        <v>36</v>
      </c>
      <c r="B13" s="143" t="s">
        <v>62</v>
      </c>
      <c r="C13" s="119" t="s">
        <v>63</v>
      </c>
      <c r="D13" s="120" t="s">
        <v>64</v>
      </c>
      <c r="E13" s="119" t="s">
        <v>65</v>
      </c>
    </row>
    <row r="14" spans="1:13" x14ac:dyDescent="0.25">
      <c r="A14" s="8">
        <f>9.012*2.7</f>
        <v>24.332400000000003</v>
      </c>
      <c r="B14" s="11">
        <f>A14*(1-0.4)</f>
        <v>14.599440000000001</v>
      </c>
      <c r="C14" s="41">
        <f>B14*0.1</f>
        <v>1.4599440000000001</v>
      </c>
      <c r="D14" s="42">
        <f>B14*0.4</f>
        <v>5.8397760000000005</v>
      </c>
      <c r="E14" s="39">
        <f>B14*0.9</f>
        <v>13.139496000000001</v>
      </c>
      <c r="G14" s="1" t="s">
        <v>100</v>
      </c>
    </row>
    <row r="16" spans="1:13" x14ac:dyDescent="0.25">
      <c r="A16" s="34" t="s">
        <v>11</v>
      </c>
    </row>
    <row r="17" spans="1:10" x14ac:dyDescent="0.25">
      <c r="A17" s="4" t="s">
        <v>30</v>
      </c>
    </row>
    <row r="18" spans="1:10" x14ac:dyDescent="0.25">
      <c r="A18" s="9" t="s">
        <v>18</v>
      </c>
    </row>
    <row r="19" spans="1:10" x14ac:dyDescent="0.25">
      <c r="A19" s="146" t="s">
        <v>37</v>
      </c>
      <c r="B19" s="146"/>
      <c r="C19" s="146"/>
      <c r="D19" s="146"/>
      <c r="E19" s="146"/>
      <c r="F19" s="146"/>
    </row>
    <row r="20" spans="1:10" ht="30" x14ac:dyDescent="0.25">
      <c r="A20" s="119" t="s">
        <v>36</v>
      </c>
      <c r="B20" s="121" t="s">
        <v>17</v>
      </c>
      <c r="C20" s="144" t="s">
        <v>62</v>
      </c>
      <c r="D20" s="119" t="s">
        <v>63</v>
      </c>
      <c r="E20" s="120" t="s">
        <v>64</v>
      </c>
      <c r="F20" s="119" t="s">
        <v>65</v>
      </c>
      <c r="I20" s="96" t="s">
        <v>92</v>
      </c>
      <c r="J20" s="88"/>
    </row>
    <row r="21" spans="1:10" x14ac:dyDescent="0.25">
      <c r="A21" s="8">
        <f>A14</f>
        <v>24.332400000000003</v>
      </c>
      <c r="B21" s="8">
        <f>A21*0.35</f>
        <v>8.5163400000000014</v>
      </c>
      <c r="C21" s="8">
        <f>B21*(1-0.4)</f>
        <v>5.1098040000000005</v>
      </c>
      <c r="D21" s="35">
        <f>C21*0.1</f>
        <v>0.51098040000000011</v>
      </c>
      <c r="E21" s="8">
        <f>SUM(C21*0.4)</f>
        <v>2.0439216000000004</v>
      </c>
      <c r="F21" s="8">
        <f>SUM(C21*0.9)</f>
        <v>4.5988236000000002</v>
      </c>
      <c r="I21" s="5" t="s">
        <v>87</v>
      </c>
      <c r="J21" s="5">
        <v>2.48</v>
      </c>
    </row>
    <row r="22" spans="1:10" x14ac:dyDescent="0.25">
      <c r="A22" s="19"/>
      <c r="B22" s="19"/>
      <c r="C22" s="13"/>
      <c r="D22" s="13"/>
      <c r="E22" s="13"/>
      <c r="I22" s="5" t="s">
        <v>88</v>
      </c>
      <c r="J22" s="5">
        <v>2.93</v>
      </c>
    </row>
    <row r="23" spans="1:10" x14ac:dyDescent="0.25">
      <c r="A23" s="4" t="s">
        <v>31</v>
      </c>
      <c r="I23" s="5" t="s">
        <v>98</v>
      </c>
      <c r="J23" s="5">
        <v>2.74</v>
      </c>
    </row>
    <row r="24" spans="1:10" x14ac:dyDescent="0.25">
      <c r="A24" s="151" t="s">
        <v>40</v>
      </c>
      <c r="B24" s="151"/>
      <c r="C24" s="151"/>
      <c r="D24" s="151"/>
      <c r="E24" s="151"/>
      <c r="F24" s="151"/>
      <c r="I24" s="5" t="s">
        <v>89</v>
      </c>
      <c r="J24" s="5">
        <v>2.61</v>
      </c>
    </row>
    <row r="25" spans="1:10" ht="45" x14ac:dyDescent="0.25">
      <c r="A25" s="121" t="s">
        <v>99</v>
      </c>
      <c r="B25" s="121" t="s">
        <v>148</v>
      </c>
      <c r="C25" s="121" t="s">
        <v>66</v>
      </c>
      <c r="D25" s="121" t="s">
        <v>67</v>
      </c>
      <c r="E25" s="121" t="s">
        <v>68</v>
      </c>
      <c r="F25" s="121" t="s">
        <v>69</v>
      </c>
      <c r="I25" s="95" t="s">
        <v>90</v>
      </c>
      <c r="J25" s="89">
        <f>AVERAGE(J21:J24)</f>
        <v>2.69</v>
      </c>
    </row>
    <row r="26" spans="1:10" x14ac:dyDescent="0.25">
      <c r="A26" s="35">
        <f>C14</f>
        <v>1.4599440000000001</v>
      </c>
      <c r="B26" s="8">
        <f>D14</f>
        <v>5.8397760000000005</v>
      </c>
      <c r="C26" s="8">
        <f>E14</f>
        <v>13.139496000000001</v>
      </c>
      <c r="D26" s="40">
        <f>A26-D21</f>
        <v>0.94896360000000002</v>
      </c>
      <c r="E26" s="38">
        <f>SUM(B26-E21)</f>
        <v>3.7958544000000001</v>
      </c>
      <c r="F26" s="38">
        <f>SUM(C26-F21)</f>
        <v>8.5406724000000018</v>
      </c>
      <c r="I26" s="90" t="s">
        <v>91</v>
      </c>
      <c r="J26" s="89">
        <f>MEDIAN(J21:J24)</f>
        <v>2.6749999999999998</v>
      </c>
    </row>
    <row r="28" spans="1:10" x14ac:dyDescent="0.25">
      <c r="A28" s="34" t="s">
        <v>12</v>
      </c>
    </row>
    <row r="29" spans="1:10" x14ac:dyDescent="0.25">
      <c r="A29" s="9" t="s">
        <v>19</v>
      </c>
    </row>
    <row r="30" spans="1:10" x14ac:dyDescent="0.25">
      <c r="A30" s="4" t="s">
        <v>38</v>
      </c>
    </row>
    <row r="31" spans="1:10" x14ac:dyDescent="0.25">
      <c r="A31" s="146" t="s">
        <v>41</v>
      </c>
      <c r="B31" s="146"/>
      <c r="C31" s="146"/>
      <c r="D31" s="146"/>
      <c r="E31" s="146"/>
      <c r="F31" s="146"/>
    </row>
    <row r="32" spans="1:10" ht="45" x14ac:dyDescent="0.25">
      <c r="A32" s="121" t="s">
        <v>99</v>
      </c>
      <c r="B32" s="121" t="s">
        <v>148</v>
      </c>
      <c r="C32" s="121" t="s">
        <v>66</v>
      </c>
      <c r="D32" s="121" t="s">
        <v>67</v>
      </c>
      <c r="E32" s="121" t="s">
        <v>68</v>
      </c>
      <c r="F32" s="121" t="s">
        <v>69</v>
      </c>
    </row>
    <row r="33" spans="1:13" x14ac:dyDescent="0.25">
      <c r="A33" s="35">
        <f>C14</f>
        <v>1.4599440000000001</v>
      </c>
      <c r="B33" s="8">
        <f>D14</f>
        <v>5.8397760000000005</v>
      </c>
      <c r="C33" s="8">
        <f>E14</f>
        <v>13.139496000000001</v>
      </c>
      <c r="D33" s="40">
        <f>A33*0.95</f>
        <v>1.3869468</v>
      </c>
      <c r="E33" s="38">
        <f>B33*0.95</f>
        <v>5.5477872000000001</v>
      </c>
      <c r="F33" s="38">
        <f>C33*0.95</f>
        <v>12.482521200000001</v>
      </c>
      <c r="G33" s="12"/>
    </row>
    <row r="35" spans="1:13" x14ac:dyDescent="0.25">
      <c r="A35" s="4" t="s">
        <v>157</v>
      </c>
      <c r="F35" s="10"/>
      <c r="G35" s="10"/>
      <c r="I35" s="10"/>
      <c r="J35" s="10"/>
      <c r="K35" s="10"/>
      <c r="L35" s="10"/>
      <c r="M35" s="10"/>
    </row>
    <row r="36" spans="1:13" x14ac:dyDescent="0.25">
      <c r="A36" s="153" t="s">
        <v>34</v>
      </c>
      <c r="B36" s="154"/>
      <c r="C36" s="154"/>
      <c r="D36" s="154"/>
      <c r="E36" s="155"/>
    </row>
    <row r="37" spans="1:13" x14ac:dyDescent="0.25">
      <c r="A37" s="109" t="s">
        <v>27</v>
      </c>
      <c r="B37" s="109" t="s">
        <v>13</v>
      </c>
      <c r="C37" s="109" t="s">
        <v>14</v>
      </c>
      <c r="D37" s="109" t="s">
        <v>15</v>
      </c>
      <c r="E37" s="109" t="s">
        <v>16</v>
      </c>
    </row>
    <row r="38" spans="1:13" x14ac:dyDescent="0.25">
      <c r="A38" s="22" t="s">
        <v>80</v>
      </c>
      <c r="B38" s="36">
        <f>A6/$E$26</f>
        <v>5310.7711385711218</v>
      </c>
      <c r="C38" s="36">
        <f>B6/$E$26</f>
        <v>8851.2852309518712</v>
      </c>
      <c r="D38" s="36">
        <f>C6/$E$26</f>
        <v>3540.5140923807485</v>
      </c>
      <c r="E38" s="157">
        <f>SUM(B38:D38)</f>
        <v>17702.570461903742</v>
      </c>
    </row>
    <row r="39" spans="1:13" x14ac:dyDescent="0.25">
      <c r="A39" s="22" t="s">
        <v>82</v>
      </c>
      <c r="B39" s="36">
        <f>A6/$F$26</f>
        <v>2360.3427282538314</v>
      </c>
      <c r="C39" s="36">
        <f>B6/$F$26</f>
        <v>3933.9045470897195</v>
      </c>
      <c r="D39" s="36">
        <f>C6/$F$26</f>
        <v>1573.5618188358878</v>
      </c>
      <c r="E39" s="157">
        <f>SUM(B39:D39)</f>
        <v>7867.809094179438</v>
      </c>
    </row>
    <row r="40" spans="1:13" x14ac:dyDescent="0.25">
      <c r="A40" s="22" t="s">
        <v>81</v>
      </c>
      <c r="B40" s="158">
        <f>A6/$E$33</f>
        <v>3633.6855158644516</v>
      </c>
      <c r="C40" s="158">
        <f>B6/$E$33</f>
        <v>6056.1425264407535</v>
      </c>
      <c r="D40" s="158">
        <f>C6/$E$33</f>
        <v>2422.4570105763014</v>
      </c>
      <c r="E40" s="157">
        <f>SUM(B40:D40)</f>
        <v>12112.285052881507</v>
      </c>
    </row>
    <row r="41" spans="1:13" x14ac:dyDescent="0.25">
      <c r="A41" s="22" t="s">
        <v>83</v>
      </c>
      <c r="B41" s="158">
        <f>A6/$F$33</f>
        <v>1614.9713403842006</v>
      </c>
      <c r="C41" s="158">
        <f>B6/$F$33</f>
        <v>2691.6189006403347</v>
      </c>
      <c r="D41" s="158">
        <f>C6/$F$33</f>
        <v>1076.6475602561338</v>
      </c>
      <c r="E41" s="157">
        <f>SUM(B41:D41)</f>
        <v>5383.2378012806694</v>
      </c>
    </row>
    <row r="42" spans="1:13" x14ac:dyDescent="0.25">
      <c r="A42" s="33"/>
    </row>
    <row r="43" spans="1:13" x14ac:dyDescent="0.25">
      <c r="A43" s="83" t="s">
        <v>103</v>
      </c>
    </row>
    <row r="44" spans="1:13" ht="30" x14ac:dyDescent="0.25">
      <c r="A44" s="97" t="s">
        <v>39</v>
      </c>
      <c r="B44" s="107" t="s">
        <v>112</v>
      </c>
    </row>
    <row r="45" spans="1:13" x14ac:dyDescent="0.25">
      <c r="A45" s="7" t="s">
        <v>70</v>
      </c>
      <c r="B45" s="44">
        <v>13977</v>
      </c>
    </row>
    <row r="46" spans="1:13" x14ac:dyDescent="0.25">
      <c r="A46" s="7" t="s">
        <v>71</v>
      </c>
      <c r="B46" s="44">
        <v>0</v>
      </c>
      <c r="C46" s="1"/>
    </row>
    <row r="47" spans="1:13" x14ac:dyDescent="0.25">
      <c r="A47" s="7" t="s">
        <v>72</v>
      </c>
      <c r="B47" s="45">
        <v>0</v>
      </c>
      <c r="C47" s="16"/>
      <c r="D47" s="1"/>
    </row>
    <row r="48" spans="1:13" x14ac:dyDescent="0.25">
      <c r="A48" s="7" t="s">
        <v>21</v>
      </c>
      <c r="B48" s="45" t="s">
        <v>43</v>
      </c>
      <c r="D48" s="1"/>
    </row>
    <row r="49" spans="1:9" ht="30" x14ac:dyDescent="0.25">
      <c r="A49" s="46" t="s">
        <v>104</v>
      </c>
      <c r="B49" s="47">
        <f>SUM(B45:B48)</f>
        <v>13977</v>
      </c>
    </row>
    <row r="51" spans="1:9" x14ac:dyDescent="0.25">
      <c r="A51" s="4" t="s">
        <v>56</v>
      </c>
      <c r="B51" s="83" t="s">
        <v>103</v>
      </c>
    </row>
    <row r="52" spans="1:9" ht="60" x14ac:dyDescent="0.25">
      <c r="A52" s="107" t="s">
        <v>123</v>
      </c>
      <c r="B52" s="97" t="s">
        <v>70</v>
      </c>
      <c r="C52" s="127" t="s">
        <v>71</v>
      </c>
      <c r="D52" s="97" t="s">
        <v>72</v>
      </c>
      <c r="E52" s="96" t="s">
        <v>93</v>
      </c>
      <c r="F52" s="97" t="s">
        <v>5</v>
      </c>
      <c r="G52" s="96" t="s">
        <v>122</v>
      </c>
    </row>
    <row r="53" spans="1:9" x14ac:dyDescent="0.25">
      <c r="A53" s="81" t="s">
        <v>101</v>
      </c>
      <c r="B53" s="59">
        <v>80</v>
      </c>
      <c r="C53" s="59">
        <v>0</v>
      </c>
      <c r="D53" s="59">
        <v>0</v>
      </c>
      <c r="E53" s="59">
        <v>0</v>
      </c>
      <c r="F53" s="59">
        <f>SUM(B53:E53)</f>
        <v>80</v>
      </c>
      <c r="G53" s="91">
        <f>SUM(B53:D53)</f>
        <v>80</v>
      </c>
    </row>
    <row r="54" spans="1:9" x14ac:dyDescent="0.25">
      <c r="A54" s="81" t="s">
        <v>75</v>
      </c>
      <c r="B54" s="59">
        <v>6778</v>
      </c>
      <c r="C54" s="59">
        <v>0</v>
      </c>
      <c r="D54" s="59">
        <v>0</v>
      </c>
      <c r="E54" s="59">
        <v>0</v>
      </c>
      <c r="F54" s="59">
        <f>SUM(B54:E54)</f>
        <v>6778</v>
      </c>
      <c r="G54" s="91">
        <f>SUM(B54:D54)</f>
        <v>6778</v>
      </c>
    </row>
    <row r="55" spans="1:9" x14ac:dyDescent="0.25">
      <c r="A55" s="81" t="s">
        <v>76</v>
      </c>
      <c r="B55" s="59">
        <v>7119</v>
      </c>
      <c r="C55" s="59">
        <v>0</v>
      </c>
      <c r="D55" s="59">
        <v>0</v>
      </c>
      <c r="E55" s="59">
        <v>0</v>
      </c>
      <c r="F55" s="59">
        <f t="shared" ref="F55" si="0">SUM(B55:E55)</f>
        <v>7119</v>
      </c>
      <c r="G55" s="91">
        <f t="shared" ref="G55" si="1">SUM(B55:D55)</f>
        <v>7119</v>
      </c>
    </row>
    <row r="56" spans="1:9" x14ac:dyDescent="0.25">
      <c r="A56" s="30" t="s">
        <v>45</v>
      </c>
      <c r="B56" s="60">
        <f>SUM(B53:B55)</f>
        <v>13977</v>
      </c>
      <c r="C56" s="60">
        <f>SUM(C53:C55)</f>
        <v>0</v>
      </c>
      <c r="D56" s="60">
        <f>SUM(D53:D55)</f>
        <v>0</v>
      </c>
      <c r="E56" s="60">
        <f>SUM(E53:E55)</f>
        <v>0</v>
      </c>
      <c r="F56" s="60">
        <f>SUM(F53:F55)</f>
        <v>13977</v>
      </c>
      <c r="G56" s="60">
        <f>SUM(B56:D56)</f>
        <v>13977</v>
      </c>
    </row>
    <row r="58" spans="1:9" x14ac:dyDescent="0.25">
      <c r="A58" s="4" t="s">
        <v>57</v>
      </c>
    </row>
    <row r="59" spans="1:9" ht="105" x14ac:dyDescent="0.25">
      <c r="A59" s="97" t="s">
        <v>39</v>
      </c>
      <c r="B59" s="96" t="s">
        <v>124</v>
      </c>
    </row>
    <row r="60" spans="1:9" x14ac:dyDescent="0.25">
      <c r="A60" s="72" t="s">
        <v>70</v>
      </c>
      <c r="B60" s="59">
        <f>(B56/OSTDS!B60)*OSTDS!B70</f>
        <v>102777.66792129049</v>
      </c>
      <c r="D60" s="134"/>
      <c r="E60" s="10"/>
      <c r="F60" s="10"/>
      <c r="G60" s="10"/>
      <c r="I60" s="10"/>
    </row>
    <row r="61" spans="1:9" x14ac:dyDescent="0.25">
      <c r="A61" s="72" t="s">
        <v>71</v>
      </c>
      <c r="B61" s="75">
        <f>B46*D14</f>
        <v>0</v>
      </c>
      <c r="D61" s="10"/>
      <c r="E61" s="10"/>
      <c r="F61" s="10"/>
      <c r="G61" s="10"/>
      <c r="I61" s="10"/>
    </row>
    <row r="62" spans="1:9" x14ac:dyDescent="0.25">
      <c r="A62" s="72" t="s">
        <v>72</v>
      </c>
      <c r="B62" s="75">
        <f>B47*C14</f>
        <v>0</v>
      </c>
    </row>
    <row r="63" spans="1:9" x14ac:dyDescent="0.25">
      <c r="A63" s="94" t="s">
        <v>5</v>
      </c>
      <c r="B63" s="60">
        <f>SUM(B60:B62)</f>
        <v>102777.66792129049</v>
      </c>
    </row>
    <row r="64" spans="1:9" x14ac:dyDescent="0.25">
      <c r="A64" s="73" t="s">
        <v>51</v>
      </c>
      <c r="B64" s="48">
        <f>TOTALS!$B$24</f>
        <v>67196.379979127349</v>
      </c>
      <c r="D64" s="51"/>
    </row>
    <row r="66" spans="1:4" ht="15.75" thickBot="1" x14ac:dyDescent="0.3">
      <c r="A66" t="s">
        <v>47</v>
      </c>
      <c r="B66" s="2"/>
      <c r="C66" s="2"/>
      <c r="D66" s="62"/>
    </row>
    <row r="67" spans="1:4" ht="64.5" x14ac:dyDescent="0.25">
      <c r="A67" s="100" t="s">
        <v>125</v>
      </c>
      <c r="B67" s="101" t="s">
        <v>48</v>
      </c>
      <c r="C67" s="101" t="s">
        <v>53</v>
      </c>
      <c r="D67" s="102" t="s">
        <v>54</v>
      </c>
    </row>
    <row r="68" spans="1:4" s="10" customFormat="1" x14ac:dyDescent="0.25">
      <c r="A68" s="93" t="s">
        <v>105</v>
      </c>
      <c r="B68" s="99"/>
      <c r="C68" s="99"/>
      <c r="D68" s="103"/>
    </row>
    <row r="69" spans="1:4" s="10" customFormat="1" x14ac:dyDescent="0.25">
      <c r="A69" s="64" t="s">
        <v>70</v>
      </c>
      <c r="B69" s="45">
        <f>B53</f>
        <v>80</v>
      </c>
      <c r="C69" s="45">
        <f>B69*$F$26</f>
        <v>683.2537920000002</v>
      </c>
      <c r="D69" s="78">
        <f>B69*$F$33</f>
        <v>998.60169600000006</v>
      </c>
    </row>
    <row r="70" spans="1:4" s="10" customFormat="1" x14ac:dyDescent="0.25">
      <c r="A70" s="64" t="s">
        <v>71</v>
      </c>
      <c r="B70" s="45">
        <f>C53</f>
        <v>0</v>
      </c>
      <c r="C70" s="45">
        <f>B70*$E$26</f>
        <v>0</v>
      </c>
      <c r="D70" s="78">
        <f>B70*$E$33</f>
        <v>0</v>
      </c>
    </row>
    <row r="71" spans="1:4" s="10" customFormat="1" x14ac:dyDescent="0.25">
      <c r="A71" s="64" t="s">
        <v>72</v>
      </c>
      <c r="B71" s="45">
        <f>D53</f>
        <v>0</v>
      </c>
      <c r="C71" s="45">
        <f>B71*$D$26</f>
        <v>0</v>
      </c>
      <c r="D71" s="78">
        <f>B71*$D$33</f>
        <v>0</v>
      </c>
    </row>
    <row r="72" spans="1:4" s="10" customFormat="1" x14ac:dyDescent="0.25">
      <c r="A72" s="104" t="s">
        <v>102</v>
      </c>
      <c r="B72" s="50">
        <f>SUM(B69:B71)</f>
        <v>80</v>
      </c>
      <c r="C72" s="50">
        <f>SUM(C69:C71)</f>
        <v>683.2537920000002</v>
      </c>
      <c r="D72" s="79">
        <f>SUM(D69:D71)</f>
        <v>998.60169600000006</v>
      </c>
    </row>
    <row r="73" spans="1:4" x14ac:dyDescent="0.25">
      <c r="A73" s="105"/>
      <c r="B73" s="76"/>
      <c r="C73" s="76"/>
      <c r="D73" s="106"/>
    </row>
    <row r="74" spans="1:4" x14ac:dyDescent="0.25">
      <c r="A74" s="93" t="s">
        <v>87</v>
      </c>
      <c r="B74" s="5"/>
      <c r="C74" s="5"/>
      <c r="D74" s="63"/>
    </row>
    <row r="75" spans="1:4" x14ac:dyDescent="0.25">
      <c r="A75" s="64" t="s">
        <v>70</v>
      </c>
      <c r="B75" s="45">
        <f>B54</f>
        <v>6778</v>
      </c>
      <c r="C75" s="45">
        <f>B75*$F$26</f>
        <v>57888.677527200016</v>
      </c>
      <c r="D75" s="78">
        <f>B75*$F$33</f>
        <v>84606.528693600005</v>
      </c>
    </row>
    <row r="76" spans="1:4" x14ac:dyDescent="0.25">
      <c r="A76" s="64" t="s">
        <v>71</v>
      </c>
      <c r="B76" s="45">
        <f>C54</f>
        <v>0</v>
      </c>
      <c r="C76" s="45">
        <f>B76*$E$26</f>
        <v>0</v>
      </c>
      <c r="D76" s="78">
        <f>B76*$E$33</f>
        <v>0</v>
      </c>
    </row>
    <row r="77" spans="1:4" x14ac:dyDescent="0.25">
      <c r="A77" s="64" t="s">
        <v>72</v>
      </c>
      <c r="B77" s="45">
        <f>D54</f>
        <v>0</v>
      </c>
      <c r="C77" s="45">
        <f>B77*$D$26</f>
        <v>0</v>
      </c>
      <c r="D77" s="78">
        <f>B77*$D$33</f>
        <v>0</v>
      </c>
    </row>
    <row r="78" spans="1:4" x14ac:dyDescent="0.25">
      <c r="A78" s="77" t="s">
        <v>96</v>
      </c>
      <c r="B78" s="50">
        <f>SUM(B75:B77)</f>
        <v>6778</v>
      </c>
      <c r="C78" s="50">
        <f>SUM(C75:C77)</f>
        <v>57888.677527200016</v>
      </c>
      <c r="D78" s="79">
        <f>SUM(D75:D77)</f>
        <v>84606.528693600005</v>
      </c>
    </row>
    <row r="79" spans="1:4" x14ac:dyDescent="0.25">
      <c r="A79" s="122"/>
      <c r="B79" s="123"/>
      <c r="C79" s="124"/>
      <c r="D79" s="125"/>
    </row>
    <row r="80" spans="1:4" x14ac:dyDescent="0.25">
      <c r="A80" s="93" t="s">
        <v>88</v>
      </c>
      <c r="B80" s="5"/>
      <c r="C80" s="65"/>
      <c r="D80" s="66"/>
    </row>
    <row r="81" spans="1:8" x14ac:dyDescent="0.25">
      <c r="A81" s="64" t="s">
        <v>70</v>
      </c>
      <c r="B81" s="45">
        <f>B55</f>
        <v>7119</v>
      </c>
      <c r="C81" s="45">
        <f>B81*$F$26</f>
        <v>60801.046815600013</v>
      </c>
      <c r="D81" s="78">
        <f>B81*$F$33</f>
        <v>88863.068422800003</v>
      </c>
    </row>
    <row r="82" spans="1:8" x14ac:dyDescent="0.25">
      <c r="A82" s="64" t="s">
        <v>71</v>
      </c>
      <c r="B82" s="45">
        <f>C55</f>
        <v>0</v>
      </c>
      <c r="C82" s="45">
        <f>B82*$E$26</f>
        <v>0</v>
      </c>
      <c r="D82" s="78">
        <f>B82*$E$33</f>
        <v>0</v>
      </c>
    </row>
    <row r="83" spans="1:8" x14ac:dyDescent="0.25">
      <c r="A83" s="64" t="s">
        <v>72</v>
      </c>
      <c r="B83" s="45">
        <f>D55</f>
        <v>0</v>
      </c>
      <c r="C83" s="45">
        <f>B83*$D$26</f>
        <v>0</v>
      </c>
      <c r="D83" s="78">
        <f>B83*$D$33</f>
        <v>0</v>
      </c>
      <c r="G83" s="14"/>
    </row>
    <row r="84" spans="1:8" x14ac:dyDescent="0.25">
      <c r="A84" s="77" t="s">
        <v>97</v>
      </c>
      <c r="B84" s="50">
        <f>SUM(B81:B83)</f>
        <v>7119</v>
      </c>
      <c r="C84" s="50">
        <f>SUM(C81:C83)</f>
        <v>60801.046815600013</v>
      </c>
      <c r="D84" s="79">
        <f>SUM(D81:D83)</f>
        <v>88863.068422800003</v>
      </c>
      <c r="G84" s="14"/>
    </row>
    <row r="85" spans="1:8" x14ac:dyDescent="0.25">
      <c r="A85" s="55" t="s">
        <v>146</v>
      </c>
      <c r="B85" s="50">
        <f>SUM(B72,B78,B84)</f>
        <v>13977</v>
      </c>
      <c r="C85" s="50">
        <f>SUM(C72,C78,C84)</f>
        <v>119372.97813480004</v>
      </c>
      <c r="D85" s="50">
        <f>SUM(D72,D78,D84)</f>
        <v>174468.19881239999</v>
      </c>
      <c r="E85" s="67"/>
      <c r="F85" s="67"/>
    </row>
    <row r="86" spans="1:8" ht="15" customHeight="1" x14ac:dyDescent="0.25">
      <c r="A86" s="132"/>
      <c r="B86" s="133"/>
      <c r="C86" s="133"/>
      <c r="D86" s="133"/>
      <c r="E86" s="67"/>
      <c r="F86" s="67"/>
    </row>
    <row r="87" spans="1:8" x14ac:dyDescent="0.25">
      <c r="H87"/>
    </row>
    <row r="88" spans="1:8" x14ac:dyDescent="0.25">
      <c r="H88"/>
    </row>
    <row r="89" spans="1:8" x14ac:dyDescent="0.25">
      <c r="H89"/>
    </row>
    <row r="90" spans="1:8" x14ac:dyDescent="0.25">
      <c r="H90"/>
    </row>
    <row r="91" spans="1:8" x14ac:dyDescent="0.25">
      <c r="H91"/>
    </row>
    <row r="92" spans="1:8" x14ac:dyDescent="0.25">
      <c r="H92"/>
    </row>
    <row r="93" spans="1:8" x14ac:dyDescent="0.25">
      <c r="H93"/>
    </row>
    <row r="94" spans="1:8" x14ac:dyDescent="0.25">
      <c r="H94"/>
    </row>
    <row r="95" spans="1:8" x14ac:dyDescent="0.25">
      <c r="H95"/>
    </row>
    <row r="96" spans="1:8" x14ac:dyDescent="0.25">
      <c r="H96"/>
    </row>
    <row r="97" spans="8:8" x14ac:dyDescent="0.25">
      <c r="H97"/>
    </row>
    <row r="98" spans="8:8" x14ac:dyDescent="0.25">
      <c r="H98"/>
    </row>
    <row r="99" spans="8:8" x14ac:dyDescent="0.25">
      <c r="H99"/>
    </row>
    <row r="100" spans="8:8" x14ac:dyDescent="0.25">
      <c r="H100"/>
    </row>
    <row r="101" spans="8:8" x14ac:dyDescent="0.25">
      <c r="H101"/>
    </row>
    <row r="102" spans="8:8" x14ac:dyDescent="0.25">
      <c r="H102"/>
    </row>
    <row r="103" spans="8:8" x14ac:dyDescent="0.25">
      <c r="H103"/>
    </row>
    <row r="104" spans="8:8" x14ac:dyDescent="0.25">
      <c r="H104"/>
    </row>
    <row r="105" spans="8:8" x14ac:dyDescent="0.25">
      <c r="H105"/>
    </row>
    <row r="106" spans="8:8" x14ac:dyDescent="0.25">
      <c r="H106"/>
    </row>
    <row r="107" spans="8:8" x14ac:dyDescent="0.25">
      <c r="H107"/>
    </row>
    <row r="108" spans="8:8" x14ac:dyDescent="0.25">
      <c r="H108"/>
    </row>
    <row r="109" spans="8:8" x14ac:dyDescent="0.25">
      <c r="H109"/>
    </row>
    <row r="110" spans="8:8" x14ac:dyDescent="0.25">
      <c r="H110"/>
    </row>
    <row r="111" spans="8:8" x14ac:dyDescent="0.25">
      <c r="H111"/>
    </row>
    <row r="112" spans="8:8" x14ac:dyDescent="0.25">
      <c r="H112"/>
    </row>
    <row r="113" spans="8:8" x14ac:dyDescent="0.25">
      <c r="H113"/>
    </row>
    <row r="114" spans="8:8" x14ac:dyDescent="0.25">
      <c r="H114"/>
    </row>
    <row r="115" spans="8:8" x14ac:dyDescent="0.25">
      <c r="H115"/>
    </row>
    <row r="116" spans="8:8" x14ac:dyDescent="0.25">
      <c r="H116"/>
    </row>
    <row r="117" spans="8:8" x14ac:dyDescent="0.25">
      <c r="H117"/>
    </row>
    <row r="118" spans="8:8" x14ac:dyDescent="0.25">
      <c r="H118"/>
    </row>
    <row r="119" spans="8:8" x14ac:dyDescent="0.25">
      <c r="H119"/>
    </row>
    <row r="120" spans="8:8" x14ac:dyDescent="0.25">
      <c r="H120"/>
    </row>
    <row r="121" spans="8:8" x14ac:dyDescent="0.25">
      <c r="H121"/>
    </row>
    <row r="122" spans="8:8" x14ac:dyDescent="0.25">
      <c r="H122"/>
    </row>
    <row r="123" spans="8:8" x14ac:dyDescent="0.25">
      <c r="H123"/>
    </row>
    <row r="124" spans="8:8" x14ac:dyDescent="0.25">
      <c r="H124"/>
    </row>
    <row r="125" spans="8:8" x14ac:dyDescent="0.25">
      <c r="H125"/>
    </row>
    <row r="126" spans="8:8" x14ac:dyDescent="0.25">
      <c r="H126"/>
    </row>
    <row r="127" spans="8:8" x14ac:dyDescent="0.25">
      <c r="H127"/>
    </row>
    <row r="128" spans="8:8" x14ac:dyDescent="0.25">
      <c r="H128"/>
    </row>
  </sheetData>
  <mergeCells count="8">
    <mergeCell ref="A31:F31"/>
    <mergeCell ref="A36:E36"/>
    <mergeCell ref="A1:G1"/>
    <mergeCell ref="A3:D3"/>
    <mergeCell ref="A9:F9"/>
    <mergeCell ref="A12:E12"/>
    <mergeCell ref="A19:F19"/>
    <mergeCell ref="A24:F24"/>
  </mergeCells>
  <pageMargins left="0.7" right="0.7" top="0.75" bottom="0.75" header="0.3" footer="0.3"/>
  <pageSetup scale="69" fitToHeight="0" orientation="landscape" r:id="rId1"/>
  <headerFooter>
    <oddHeader>&amp;L&amp;G&amp;CDRAFT</oddHeader>
    <oddFooter>&amp;LMay 2017&amp;C&amp;P of &amp;N&amp;RWakulla OSTDS in PFAs</oddFooter>
  </headerFooter>
  <rowBreaks count="2" manualBreakCount="2">
    <brk id="42" max="16383" man="1"/>
    <brk id="65" max="16383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8"/>
  <sheetViews>
    <sheetView view="pageLayout" zoomScaleNormal="100" workbookViewId="0">
      <selection activeCell="F35" sqref="F35"/>
    </sheetView>
  </sheetViews>
  <sheetFormatPr defaultRowHeight="15" x14ac:dyDescent="0.25"/>
  <cols>
    <col min="1" max="1" width="28.7109375" customWidth="1"/>
    <col min="2" max="2" width="14.42578125" customWidth="1"/>
    <col min="3" max="3" width="14.140625" customWidth="1"/>
    <col min="4" max="4" width="16.5703125" customWidth="1"/>
    <col min="5" max="5" width="15.7109375" customWidth="1"/>
    <col min="6" max="6" width="15.140625" customWidth="1"/>
    <col min="7" max="7" width="21.85546875" customWidth="1"/>
    <col min="8" max="8" width="4.85546875" style="10" customWidth="1"/>
    <col min="9" max="9" width="32.5703125" customWidth="1"/>
    <col min="10" max="10" width="11.85546875" customWidth="1"/>
    <col min="11" max="11" width="11.5703125" customWidth="1"/>
    <col min="12" max="12" width="15" customWidth="1"/>
    <col min="13" max="13" width="19.140625" customWidth="1"/>
  </cols>
  <sheetData>
    <row r="1" spans="1:13" ht="18.75" x14ac:dyDescent="0.3">
      <c r="A1" s="152" t="s">
        <v>74</v>
      </c>
      <c r="B1" s="152"/>
      <c r="C1" s="152"/>
      <c r="D1" s="152"/>
      <c r="E1" s="152"/>
      <c r="F1" s="152"/>
      <c r="G1" s="152"/>
      <c r="H1" s="84"/>
      <c r="I1" s="84"/>
      <c r="J1" s="84"/>
      <c r="K1" s="84"/>
      <c r="L1" s="84"/>
      <c r="M1" s="84"/>
    </row>
    <row r="2" spans="1:13" x14ac:dyDescent="0.25">
      <c r="A2" s="57" t="s">
        <v>154</v>
      </c>
    </row>
    <row r="3" spans="1:13" ht="15" customHeight="1" x14ac:dyDescent="0.25">
      <c r="A3" s="153" t="s">
        <v>152</v>
      </c>
      <c r="B3" s="154"/>
      <c r="C3" s="155"/>
      <c r="D3" s="137"/>
    </row>
    <row r="4" spans="1:13" x14ac:dyDescent="0.25">
      <c r="A4" s="21" t="s">
        <v>7</v>
      </c>
      <c r="B4" s="21" t="s">
        <v>8</v>
      </c>
      <c r="C4" s="21" t="s">
        <v>10</v>
      </c>
    </row>
    <row r="5" spans="1:13" x14ac:dyDescent="0.25">
      <c r="A5" s="6">
        <v>0.5</v>
      </c>
      <c r="B5" s="6">
        <v>0.5</v>
      </c>
      <c r="C5" s="21" t="s">
        <v>5</v>
      </c>
    </row>
    <row r="6" spans="1:13" x14ac:dyDescent="0.25">
      <c r="A6" s="36">
        <f>TOTALS!B54</f>
        <v>33598.189989563674</v>
      </c>
      <c r="B6" s="36">
        <f>TOTALS!C38</f>
        <v>33598.189989563674</v>
      </c>
      <c r="C6" s="37">
        <f>TOTALS!B24</f>
        <v>67196.379979127349</v>
      </c>
    </row>
    <row r="7" spans="1:13" x14ac:dyDescent="0.25">
      <c r="D7" s="17"/>
    </row>
    <row r="8" spans="1:13" x14ac:dyDescent="0.25">
      <c r="A8" s="43" t="s">
        <v>32</v>
      </c>
    </row>
    <row r="9" spans="1:13" x14ac:dyDescent="0.25">
      <c r="A9" s="156" t="s">
        <v>144</v>
      </c>
      <c r="B9" s="156"/>
      <c r="C9" s="156"/>
      <c r="D9" s="156"/>
      <c r="E9" s="156"/>
      <c r="F9" s="156"/>
    </row>
    <row r="10" spans="1:13" x14ac:dyDescent="0.25">
      <c r="A10" s="4" t="s">
        <v>29</v>
      </c>
    </row>
    <row r="11" spans="1:13" x14ac:dyDescent="0.25">
      <c r="A11" s="34" t="s">
        <v>28</v>
      </c>
    </row>
    <row r="12" spans="1:13" x14ac:dyDescent="0.25">
      <c r="A12" s="147" t="s">
        <v>145</v>
      </c>
      <c r="B12" s="148"/>
      <c r="C12" s="148"/>
      <c r="D12" s="148"/>
      <c r="E12" s="149"/>
    </row>
    <row r="13" spans="1:13" ht="30" x14ac:dyDescent="0.25">
      <c r="A13" s="119" t="s">
        <v>36</v>
      </c>
      <c r="B13" s="143" t="s">
        <v>62</v>
      </c>
      <c r="C13" s="119" t="s">
        <v>63</v>
      </c>
      <c r="D13" s="120" t="s">
        <v>64</v>
      </c>
      <c r="E13" s="119" t="s">
        <v>65</v>
      </c>
    </row>
    <row r="14" spans="1:13" x14ac:dyDescent="0.25">
      <c r="A14" s="8">
        <f>9.012*2.7</f>
        <v>24.332400000000003</v>
      </c>
      <c r="B14" s="11">
        <f>A14*(1-0.4)</f>
        <v>14.599440000000001</v>
      </c>
      <c r="C14" s="41">
        <f>B14*0.1</f>
        <v>1.4599440000000001</v>
      </c>
      <c r="D14" s="42">
        <f>B14*0.4</f>
        <v>5.8397760000000005</v>
      </c>
      <c r="E14" s="39">
        <f>B14*0.9</f>
        <v>13.139496000000001</v>
      </c>
      <c r="G14" s="1" t="s">
        <v>100</v>
      </c>
    </row>
    <row r="16" spans="1:13" x14ac:dyDescent="0.25">
      <c r="A16" s="34" t="s">
        <v>11</v>
      </c>
    </row>
    <row r="17" spans="1:10" x14ac:dyDescent="0.25">
      <c r="A17" s="4" t="s">
        <v>30</v>
      </c>
    </row>
    <row r="18" spans="1:10" x14ac:dyDescent="0.25">
      <c r="A18" s="9" t="s">
        <v>18</v>
      </c>
    </row>
    <row r="19" spans="1:10" x14ac:dyDescent="0.25">
      <c r="A19" s="146" t="s">
        <v>37</v>
      </c>
      <c r="B19" s="146"/>
      <c r="C19" s="146"/>
      <c r="D19" s="146"/>
      <c r="E19" s="146"/>
      <c r="F19" s="146"/>
    </row>
    <row r="20" spans="1:10" ht="30" x14ac:dyDescent="0.25">
      <c r="A20" s="119" t="s">
        <v>36</v>
      </c>
      <c r="B20" s="121" t="s">
        <v>17</v>
      </c>
      <c r="C20" s="144" t="s">
        <v>62</v>
      </c>
      <c r="D20" s="119" t="s">
        <v>63</v>
      </c>
      <c r="E20" s="120" t="s">
        <v>64</v>
      </c>
      <c r="F20" s="119" t="s">
        <v>65</v>
      </c>
      <c r="I20" s="129" t="s">
        <v>92</v>
      </c>
      <c r="J20" s="88"/>
    </row>
    <row r="21" spans="1:10" x14ac:dyDescent="0.25">
      <c r="A21" s="8">
        <f>A14</f>
        <v>24.332400000000003</v>
      </c>
      <c r="B21" s="8">
        <f>A21*0.35</f>
        <v>8.5163400000000014</v>
      </c>
      <c r="C21" s="8">
        <f>B21*(1-0.4)</f>
        <v>5.1098040000000005</v>
      </c>
      <c r="D21" s="35">
        <f>C21*0.1</f>
        <v>0.51098040000000011</v>
      </c>
      <c r="E21" s="8">
        <f>SUM(C21*0.4)</f>
        <v>2.0439216000000004</v>
      </c>
      <c r="F21" s="8">
        <f>SUM(C21*0.9)</f>
        <v>4.5988236000000002</v>
      </c>
      <c r="I21" s="5" t="s">
        <v>87</v>
      </c>
      <c r="J21" s="5">
        <v>2.48</v>
      </c>
    </row>
    <row r="22" spans="1:10" x14ac:dyDescent="0.25">
      <c r="A22" s="19"/>
      <c r="B22" s="19"/>
      <c r="C22" s="13"/>
      <c r="D22" s="13"/>
      <c r="E22" s="13"/>
      <c r="I22" s="5" t="s">
        <v>88</v>
      </c>
      <c r="J22" s="5">
        <v>2.93</v>
      </c>
    </row>
    <row r="23" spans="1:10" x14ac:dyDescent="0.25">
      <c r="A23" s="4" t="s">
        <v>31</v>
      </c>
      <c r="I23" s="5" t="s">
        <v>98</v>
      </c>
      <c r="J23" s="5">
        <v>2.74</v>
      </c>
    </row>
    <row r="24" spans="1:10" x14ac:dyDescent="0.25">
      <c r="A24" s="151" t="s">
        <v>40</v>
      </c>
      <c r="B24" s="151"/>
      <c r="C24" s="151"/>
      <c r="D24" s="151"/>
      <c r="E24" s="151"/>
      <c r="F24" s="151"/>
      <c r="I24" s="5" t="s">
        <v>89</v>
      </c>
      <c r="J24" s="5">
        <v>2.61</v>
      </c>
    </row>
    <row r="25" spans="1:10" ht="45" x14ac:dyDescent="0.25">
      <c r="A25" s="121" t="s">
        <v>99</v>
      </c>
      <c r="B25" s="121" t="s">
        <v>148</v>
      </c>
      <c r="C25" s="121" t="s">
        <v>66</v>
      </c>
      <c r="D25" s="121" t="s">
        <v>67</v>
      </c>
      <c r="E25" s="121" t="s">
        <v>68</v>
      </c>
      <c r="F25" s="121" t="s">
        <v>69</v>
      </c>
      <c r="I25" s="95" t="s">
        <v>90</v>
      </c>
      <c r="J25" s="89">
        <f>AVERAGE(J21:J24)</f>
        <v>2.69</v>
      </c>
    </row>
    <row r="26" spans="1:10" x14ac:dyDescent="0.25">
      <c r="A26" s="35">
        <f>C14</f>
        <v>1.4599440000000001</v>
      </c>
      <c r="B26" s="8">
        <f>D14</f>
        <v>5.8397760000000005</v>
      </c>
      <c r="C26" s="8">
        <f>E14</f>
        <v>13.139496000000001</v>
      </c>
      <c r="D26" s="40">
        <f>A26-D21</f>
        <v>0.94896360000000002</v>
      </c>
      <c r="E26" s="38">
        <f>SUM(B26-E21)</f>
        <v>3.7958544000000001</v>
      </c>
      <c r="F26" s="38">
        <f>SUM(C26-F21)</f>
        <v>8.5406724000000018</v>
      </c>
      <c r="I26" s="90" t="s">
        <v>91</v>
      </c>
      <c r="J26" s="89">
        <f>MEDIAN(J21:J24)</f>
        <v>2.6749999999999998</v>
      </c>
    </row>
    <row r="28" spans="1:10" x14ac:dyDescent="0.25">
      <c r="A28" s="34" t="s">
        <v>12</v>
      </c>
    </row>
    <row r="29" spans="1:10" x14ac:dyDescent="0.25">
      <c r="A29" s="9" t="s">
        <v>19</v>
      </c>
    </row>
    <row r="30" spans="1:10" x14ac:dyDescent="0.25">
      <c r="A30" s="4" t="s">
        <v>38</v>
      </c>
    </row>
    <row r="31" spans="1:10" x14ac:dyDescent="0.25">
      <c r="A31" s="146" t="s">
        <v>41</v>
      </c>
      <c r="B31" s="146"/>
      <c r="C31" s="146"/>
      <c r="D31" s="146"/>
      <c r="E31" s="146"/>
      <c r="F31" s="146"/>
    </row>
    <row r="32" spans="1:10" ht="45" x14ac:dyDescent="0.25">
      <c r="A32" s="121" t="s">
        <v>99</v>
      </c>
      <c r="B32" s="121" t="s">
        <v>148</v>
      </c>
      <c r="C32" s="121" t="s">
        <v>66</v>
      </c>
      <c r="D32" s="121" t="s">
        <v>67</v>
      </c>
      <c r="E32" s="121" t="s">
        <v>68</v>
      </c>
      <c r="F32" s="121" t="s">
        <v>69</v>
      </c>
    </row>
    <row r="33" spans="1:13" x14ac:dyDescent="0.25">
      <c r="A33" s="35">
        <f>C14</f>
        <v>1.4599440000000001</v>
      </c>
      <c r="B33" s="8">
        <f>D14</f>
        <v>5.8397760000000005</v>
      </c>
      <c r="C33" s="8">
        <f>E14</f>
        <v>13.139496000000001</v>
      </c>
      <c r="D33" s="40">
        <f>A33*0.95</f>
        <v>1.3869468</v>
      </c>
      <c r="E33" s="38">
        <f>B33*0.95</f>
        <v>5.5477872000000001</v>
      </c>
      <c r="F33" s="38">
        <f>C33*0.95</f>
        <v>12.482521200000001</v>
      </c>
      <c r="G33" s="12"/>
    </row>
    <row r="35" spans="1:13" x14ac:dyDescent="0.25">
      <c r="A35" s="4" t="s">
        <v>153</v>
      </c>
      <c r="F35" s="10"/>
      <c r="G35" s="10"/>
      <c r="I35" s="10"/>
      <c r="J35" s="10"/>
      <c r="K35" s="10"/>
      <c r="L35" s="10"/>
      <c r="M35" s="10"/>
    </row>
    <row r="36" spans="1:13" ht="15" customHeight="1" x14ac:dyDescent="0.25">
      <c r="A36" s="153" t="s">
        <v>34</v>
      </c>
      <c r="B36" s="154"/>
      <c r="C36" s="154"/>
      <c r="D36" s="155"/>
      <c r="E36" s="137"/>
    </row>
    <row r="37" spans="1:13" x14ac:dyDescent="0.25">
      <c r="A37" s="128" t="s">
        <v>27</v>
      </c>
      <c r="B37" s="128" t="s">
        <v>13</v>
      </c>
      <c r="C37" s="128" t="s">
        <v>14</v>
      </c>
      <c r="D37" s="128" t="s">
        <v>16</v>
      </c>
    </row>
    <row r="38" spans="1:13" x14ac:dyDescent="0.25">
      <c r="A38" s="159" t="s">
        <v>80</v>
      </c>
      <c r="B38" s="160">
        <f>A6/$E$26</f>
        <v>8851.2852309518712</v>
      </c>
      <c r="C38" s="160">
        <f>B6/$E$26</f>
        <v>8851.2852309518712</v>
      </c>
      <c r="D38" s="145">
        <f>SUM(B38:C38)</f>
        <v>17702.570461903742</v>
      </c>
    </row>
    <row r="39" spans="1:13" x14ac:dyDescent="0.25">
      <c r="A39" s="22" t="s">
        <v>82</v>
      </c>
      <c r="B39" s="36">
        <f>A6/$F$26</f>
        <v>3933.9045470897195</v>
      </c>
      <c r="C39" s="36">
        <f>B6/$F$26</f>
        <v>3933.9045470897195</v>
      </c>
      <c r="D39" s="145">
        <f t="shared" ref="D39:D41" si="0">SUM(B39:C39)</f>
        <v>7867.8090941794389</v>
      </c>
    </row>
    <row r="40" spans="1:13" x14ac:dyDescent="0.25">
      <c r="A40" s="159" t="s">
        <v>81</v>
      </c>
      <c r="B40" s="161">
        <f>A6/$E$33</f>
        <v>6056.1425264407535</v>
      </c>
      <c r="C40" s="161">
        <f>B6/$E$33</f>
        <v>6056.1425264407535</v>
      </c>
      <c r="D40" s="145">
        <f t="shared" si="0"/>
        <v>12112.285052881507</v>
      </c>
    </row>
    <row r="41" spans="1:13" x14ac:dyDescent="0.25">
      <c r="A41" s="22" t="s">
        <v>83</v>
      </c>
      <c r="B41" s="158">
        <f>A6/$F$33</f>
        <v>2691.6189006403347</v>
      </c>
      <c r="C41" s="158">
        <f>B6/$F$33</f>
        <v>2691.6189006403347</v>
      </c>
      <c r="D41" s="145">
        <f t="shared" si="0"/>
        <v>5383.2378012806694</v>
      </c>
    </row>
    <row r="42" spans="1:13" x14ac:dyDescent="0.25">
      <c r="A42" s="33"/>
    </row>
    <row r="43" spans="1:13" x14ac:dyDescent="0.25">
      <c r="A43" s="83" t="s">
        <v>103</v>
      </c>
    </row>
    <row r="44" spans="1:13" ht="30" x14ac:dyDescent="0.25">
      <c r="A44" s="128" t="s">
        <v>39</v>
      </c>
      <c r="B44" s="129" t="s">
        <v>112</v>
      </c>
    </row>
    <row r="45" spans="1:13" x14ac:dyDescent="0.25">
      <c r="A45" s="7" t="s">
        <v>70</v>
      </c>
      <c r="B45" s="44">
        <v>13977</v>
      </c>
    </row>
    <row r="46" spans="1:13" x14ac:dyDescent="0.25">
      <c r="A46" s="7" t="s">
        <v>71</v>
      </c>
      <c r="B46" s="44">
        <v>0</v>
      </c>
      <c r="C46" s="1"/>
    </row>
    <row r="47" spans="1:13" x14ac:dyDescent="0.25">
      <c r="A47" s="7" t="s">
        <v>72</v>
      </c>
      <c r="B47" s="45">
        <v>0</v>
      </c>
      <c r="C47" s="16"/>
      <c r="D47" s="1"/>
    </row>
    <row r="48" spans="1:13" x14ac:dyDescent="0.25">
      <c r="A48" s="7" t="s">
        <v>21</v>
      </c>
      <c r="B48" s="45" t="s">
        <v>43</v>
      </c>
      <c r="D48" s="1"/>
    </row>
    <row r="49" spans="1:9" ht="30" x14ac:dyDescent="0.25">
      <c r="A49" s="46" t="s">
        <v>104</v>
      </c>
      <c r="B49" s="47">
        <f>SUM(B45:B48)</f>
        <v>13977</v>
      </c>
    </row>
    <row r="51" spans="1:9" x14ac:dyDescent="0.25">
      <c r="A51" s="4" t="s">
        <v>56</v>
      </c>
      <c r="B51" s="83" t="s">
        <v>103</v>
      </c>
    </row>
    <row r="52" spans="1:9" ht="60" x14ac:dyDescent="0.25">
      <c r="A52" s="129" t="s">
        <v>123</v>
      </c>
      <c r="B52" s="128" t="s">
        <v>70</v>
      </c>
      <c r="C52" s="129" t="s">
        <v>71</v>
      </c>
      <c r="D52" s="128" t="s">
        <v>72</v>
      </c>
      <c r="E52" s="129" t="s">
        <v>93</v>
      </c>
      <c r="F52" s="128" t="s">
        <v>5</v>
      </c>
      <c r="G52" s="129" t="s">
        <v>122</v>
      </c>
    </row>
    <row r="53" spans="1:9" x14ac:dyDescent="0.25">
      <c r="A53" s="81" t="s">
        <v>101</v>
      </c>
      <c r="B53" s="59">
        <v>80</v>
      </c>
      <c r="C53" s="59">
        <v>0</v>
      </c>
      <c r="D53" s="59">
        <v>0</v>
      </c>
      <c r="E53" s="59">
        <v>0</v>
      </c>
      <c r="F53" s="59">
        <f>SUM(B53:E53)</f>
        <v>80</v>
      </c>
      <c r="G53" s="91">
        <f>SUM(B53:D53)</f>
        <v>80</v>
      </c>
    </row>
    <row r="54" spans="1:9" x14ac:dyDescent="0.25">
      <c r="A54" s="81" t="s">
        <v>75</v>
      </c>
      <c r="B54" s="59">
        <v>6778</v>
      </c>
      <c r="C54" s="59">
        <v>0</v>
      </c>
      <c r="D54" s="59">
        <v>0</v>
      </c>
      <c r="E54" s="59">
        <v>0</v>
      </c>
      <c r="F54" s="59">
        <f>SUM(B54:E54)</f>
        <v>6778</v>
      </c>
      <c r="G54" s="91">
        <f>SUM(B54:D54)</f>
        <v>6778</v>
      </c>
    </row>
    <row r="55" spans="1:9" x14ac:dyDescent="0.25">
      <c r="A55" s="81" t="s">
        <v>76</v>
      </c>
      <c r="B55" s="59">
        <v>7119</v>
      </c>
      <c r="C55" s="59">
        <v>0</v>
      </c>
      <c r="D55" s="59">
        <v>0</v>
      </c>
      <c r="E55" s="59">
        <v>0</v>
      </c>
      <c r="F55" s="59">
        <f t="shared" ref="F55" si="1">SUM(B55:E55)</f>
        <v>7119</v>
      </c>
      <c r="G55" s="91">
        <f t="shared" ref="G55" si="2">SUM(B55:D55)</f>
        <v>7119</v>
      </c>
    </row>
    <row r="56" spans="1:9" x14ac:dyDescent="0.25">
      <c r="A56" s="30" t="s">
        <v>45</v>
      </c>
      <c r="B56" s="60">
        <f>SUM(B53:B55)</f>
        <v>13977</v>
      </c>
      <c r="C56" s="60">
        <f>SUM(C53:C55)</f>
        <v>0</v>
      </c>
      <c r="D56" s="60">
        <f>SUM(D53:D55)</f>
        <v>0</v>
      </c>
      <c r="E56" s="60">
        <f>SUM(E53:E55)</f>
        <v>0</v>
      </c>
      <c r="F56" s="60">
        <f>SUM(F53:F55)</f>
        <v>13977</v>
      </c>
      <c r="G56" s="60">
        <f>SUM(B56:D56)</f>
        <v>13977</v>
      </c>
    </row>
    <row r="58" spans="1:9" x14ac:dyDescent="0.25">
      <c r="A58" s="4" t="s">
        <v>57</v>
      </c>
    </row>
    <row r="59" spans="1:9" ht="105" x14ac:dyDescent="0.25">
      <c r="A59" s="128" t="s">
        <v>39</v>
      </c>
      <c r="B59" s="129" t="s">
        <v>124</v>
      </c>
    </row>
    <row r="60" spans="1:9" x14ac:dyDescent="0.25">
      <c r="A60" s="72" t="s">
        <v>70</v>
      </c>
      <c r="B60" s="59">
        <f>(B56/OSTDS!B60)*OSTDS!B70</f>
        <v>102777.66792129049</v>
      </c>
      <c r="D60" s="134"/>
      <c r="E60" s="10"/>
      <c r="F60" s="10"/>
      <c r="G60" s="10"/>
      <c r="I60" s="10"/>
    </row>
    <row r="61" spans="1:9" x14ac:dyDescent="0.25">
      <c r="A61" s="72" t="s">
        <v>71</v>
      </c>
      <c r="B61" s="75">
        <f>B46*D14</f>
        <v>0</v>
      </c>
      <c r="D61" s="10"/>
      <c r="E61" s="10"/>
      <c r="F61" s="10"/>
      <c r="G61" s="10"/>
      <c r="I61" s="10"/>
    </row>
    <row r="62" spans="1:9" x14ac:dyDescent="0.25">
      <c r="A62" s="72" t="s">
        <v>72</v>
      </c>
      <c r="B62" s="75">
        <f>B47*C14</f>
        <v>0</v>
      </c>
    </row>
    <row r="63" spans="1:9" x14ac:dyDescent="0.25">
      <c r="A63" s="94" t="s">
        <v>5</v>
      </c>
      <c r="B63" s="60">
        <f>SUM(B60:B62)</f>
        <v>102777.66792129049</v>
      </c>
    </row>
    <row r="64" spans="1:9" x14ac:dyDescent="0.25">
      <c r="A64" s="73" t="s">
        <v>51</v>
      </c>
      <c r="B64" s="48">
        <f>TOTALS!$B$24</f>
        <v>67196.379979127349</v>
      </c>
      <c r="C64" s="138"/>
      <c r="D64" s="51"/>
    </row>
    <row r="66" spans="1:4" ht="15.75" thickBot="1" x14ac:dyDescent="0.3">
      <c r="A66" t="s">
        <v>47</v>
      </c>
      <c r="B66" s="2"/>
      <c r="C66" s="2"/>
      <c r="D66" s="62"/>
    </row>
    <row r="67" spans="1:4" ht="64.5" x14ac:dyDescent="0.25">
      <c r="A67" s="100" t="s">
        <v>125</v>
      </c>
      <c r="B67" s="101" t="s">
        <v>48</v>
      </c>
      <c r="C67" s="101" t="s">
        <v>53</v>
      </c>
      <c r="D67" s="102" t="s">
        <v>54</v>
      </c>
    </row>
    <row r="68" spans="1:4" s="10" customFormat="1" x14ac:dyDescent="0.25">
      <c r="A68" s="93" t="s">
        <v>105</v>
      </c>
      <c r="B68" s="99"/>
      <c r="C68" s="99"/>
      <c r="D68" s="103"/>
    </row>
    <row r="69" spans="1:4" s="10" customFormat="1" x14ac:dyDescent="0.25">
      <c r="A69" s="64" t="s">
        <v>70</v>
      </c>
      <c r="B69" s="45">
        <f>B53</f>
        <v>80</v>
      </c>
      <c r="C69" s="45">
        <f>B69*$F$26</f>
        <v>683.2537920000002</v>
      </c>
      <c r="D69" s="78">
        <f>B69*$F$33</f>
        <v>998.60169600000006</v>
      </c>
    </row>
    <row r="70" spans="1:4" s="10" customFormat="1" x14ac:dyDescent="0.25">
      <c r="A70" s="64" t="s">
        <v>71</v>
      </c>
      <c r="B70" s="45">
        <f>C53</f>
        <v>0</v>
      </c>
      <c r="C70" s="45">
        <f>B70*$E$26</f>
        <v>0</v>
      </c>
      <c r="D70" s="78">
        <f>B70*$E$33</f>
        <v>0</v>
      </c>
    </row>
    <row r="71" spans="1:4" s="10" customFormat="1" x14ac:dyDescent="0.25">
      <c r="A71" s="64" t="s">
        <v>72</v>
      </c>
      <c r="B71" s="45">
        <f>D53</f>
        <v>0</v>
      </c>
      <c r="C71" s="45">
        <f>B71*$D$26</f>
        <v>0</v>
      </c>
      <c r="D71" s="78">
        <f>B71*$D$33</f>
        <v>0</v>
      </c>
    </row>
    <row r="72" spans="1:4" s="10" customFormat="1" x14ac:dyDescent="0.25">
      <c r="A72" s="104" t="s">
        <v>102</v>
      </c>
      <c r="B72" s="50">
        <f>SUM(B69:B71)</f>
        <v>80</v>
      </c>
      <c r="C72" s="50">
        <f>SUM(C69:C71)</f>
        <v>683.2537920000002</v>
      </c>
      <c r="D72" s="79">
        <f>SUM(D69:D71)</f>
        <v>998.60169600000006</v>
      </c>
    </row>
    <row r="73" spans="1:4" x14ac:dyDescent="0.25">
      <c r="A73" s="105"/>
      <c r="B73" s="76"/>
      <c r="C73" s="76"/>
      <c r="D73" s="106"/>
    </row>
    <row r="74" spans="1:4" x14ac:dyDescent="0.25">
      <c r="A74" s="93" t="s">
        <v>87</v>
      </c>
      <c r="B74" s="5"/>
      <c r="C74" s="5"/>
      <c r="D74" s="63"/>
    </row>
    <row r="75" spans="1:4" x14ac:dyDescent="0.25">
      <c r="A75" s="64" t="s">
        <v>70</v>
      </c>
      <c r="B75" s="45">
        <f>B54</f>
        <v>6778</v>
      </c>
      <c r="C75" s="45">
        <f>B75*$F$26</f>
        <v>57888.677527200016</v>
      </c>
      <c r="D75" s="78">
        <f>B75*$F$33</f>
        <v>84606.528693600005</v>
      </c>
    </row>
    <row r="76" spans="1:4" x14ac:dyDescent="0.25">
      <c r="A76" s="64" t="s">
        <v>71</v>
      </c>
      <c r="B76" s="45">
        <f>C54</f>
        <v>0</v>
      </c>
      <c r="C76" s="45">
        <f>B76*$E$26</f>
        <v>0</v>
      </c>
      <c r="D76" s="78">
        <f>B76*$E$33</f>
        <v>0</v>
      </c>
    </row>
    <row r="77" spans="1:4" x14ac:dyDescent="0.25">
      <c r="A77" s="64" t="s">
        <v>72</v>
      </c>
      <c r="B77" s="45">
        <f>D54</f>
        <v>0</v>
      </c>
      <c r="C77" s="45">
        <f>B77*$D$26</f>
        <v>0</v>
      </c>
      <c r="D77" s="78">
        <f>B77*$D$33</f>
        <v>0</v>
      </c>
    </row>
    <row r="78" spans="1:4" x14ac:dyDescent="0.25">
      <c r="A78" s="77" t="s">
        <v>96</v>
      </c>
      <c r="B78" s="50">
        <f>SUM(B75:B77)</f>
        <v>6778</v>
      </c>
      <c r="C78" s="50">
        <f>SUM(C75:C77)</f>
        <v>57888.677527200016</v>
      </c>
      <c r="D78" s="79">
        <f>SUM(D75:D77)</f>
        <v>84606.528693600005</v>
      </c>
    </row>
    <row r="79" spans="1:4" x14ac:dyDescent="0.25">
      <c r="A79" s="122"/>
      <c r="B79" s="123"/>
      <c r="C79" s="124"/>
      <c r="D79" s="125"/>
    </row>
    <row r="80" spans="1:4" x14ac:dyDescent="0.25">
      <c r="A80" s="93" t="s">
        <v>88</v>
      </c>
      <c r="B80" s="5"/>
      <c r="C80" s="65"/>
      <c r="D80" s="66"/>
    </row>
    <row r="81" spans="1:8" x14ac:dyDescent="0.25">
      <c r="A81" s="64" t="s">
        <v>70</v>
      </c>
      <c r="B81" s="45">
        <f>B55</f>
        <v>7119</v>
      </c>
      <c r="C81" s="45">
        <f>B81*$F$26</f>
        <v>60801.046815600013</v>
      </c>
      <c r="D81" s="78">
        <f>B81*$F$33</f>
        <v>88863.068422800003</v>
      </c>
    </row>
    <row r="82" spans="1:8" x14ac:dyDescent="0.25">
      <c r="A82" s="64" t="s">
        <v>71</v>
      </c>
      <c r="B82" s="45">
        <f>C55</f>
        <v>0</v>
      </c>
      <c r="C82" s="45">
        <f>B82*$E$26</f>
        <v>0</v>
      </c>
      <c r="D82" s="78">
        <f>B82*$E$33</f>
        <v>0</v>
      </c>
    </row>
    <row r="83" spans="1:8" x14ac:dyDescent="0.25">
      <c r="A83" s="64" t="s">
        <v>72</v>
      </c>
      <c r="B83" s="45">
        <f>D55</f>
        <v>0</v>
      </c>
      <c r="C83" s="45">
        <f>B83*$D$26</f>
        <v>0</v>
      </c>
      <c r="D83" s="78">
        <f>B83*$D$33</f>
        <v>0</v>
      </c>
      <c r="G83" s="14"/>
    </row>
    <row r="84" spans="1:8" x14ac:dyDescent="0.25">
      <c r="A84" s="77" t="s">
        <v>97</v>
      </c>
      <c r="B84" s="50">
        <f>SUM(B81:B83)</f>
        <v>7119</v>
      </c>
      <c r="C84" s="50">
        <f>SUM(C81:C83)</f>
        <v>60801.046815600013</v>
      </c>
      <c r="D84" s="79">
        <f>SUM(D81:D83)</f>
        <v>88863.068422800003</v>
      </c>
      <c r="G84" s="14"/>
    </row>
    <row r="85" spans="1:8" x14ac:dyDescent="0.25">
      <c r="A85" s="55" t="s">
        <v>146</v>
      </c>
      <c r="B85" s="50">
        <f>SUM(B72,B78,B84)</f>
        <v>13977</v>
      </c>
      <c r="C85" s="50">
        <f>SUM(C72,C78,C84)</f>
        <v>119372.97813480004</v>
      </c>
      <c r="D85" s="50">
        <f>SUM(D72,D78,D84)</f>
        <v>174468.19881239999</v>
      </c>
      <c r="E85" s="67"/>
      <c r="F85" s="67"/>
    </row>
    <row r="86" spans="1:8" ht="15" customHeight="1" x14ac:dyDescent="0.25">
      <c r="A86" s="132"/>
      <c r="B86" s="133"/>
      <c r="C86" s="133"/>
      <c r="D86" s="133"/>
      <c r="E86" s="67"/>
      <c r="F86" s="67"/>
    </row>
    <row r="87" spans="1:8" x14ac:dyDescent="0.25">
      <c r="H87"/>
    </row>
    <row r="88" spans="1:8" x14ac:dyDescent="0.25">
      <c r="H88"/>
    </row>
    <row r="89" spans="1:8" x14ac:dyDescent="0.25">
      <c r="H89"/>
    </row>
    <row r="90" spans="1:8" x14ac:dyDescent="0.25">
      <c r="H90"/>
    </row>
    <row r="91" spans="1:8" x14ac:dyDescent="0.25">
      <c r="H91"/>
    </row>
    <row r="92" spans="1:8" x14ac:dyDescent="0.25">
      <c r="H92"/>
    </row>
    <row r="93" spans="1:8" x14ac:dyDescent="0.25">
      <c r="H93"/>
    </row>
    <row r="94" spans="1:8" x14ac:dyDescent="0.25">
      <c r="H94"/>
    </row>
    <row r="95" spans="1:8" x14ac:dyDescent="0.25">
      <c r="H95"/>
    </row>
    <row r="96" spans="1:8" x14ac:dyDescent="0.25">
      <c r="H96"/>
    </row>
    <row r="97" spans="8:8" x14ac:dyDescent="0.25">
      <c r="H97"/>
    </row>
    <row r="98" spans="8:8" x14ac:dyDescent="0.25">
      <c r="H98"/>
    </row>
    <row r="99" spans="8:8" x14ac:dyDescent="0.25">
      <c r="H99"/>
    </row>
    <row r="100" spans="8:8" x14ac:dyDescent="0.25">
      <c r="H100"/>
    </row>
    <row r="101" spans="8:8" x14ac:dyDescent="0.25">
      <c r="H101"/>
    </row>
    <row r="102" spans="8:8" x14ac:dyDescent="0.25">
      <c r="H102"/>
    </row>
    <row r="103" spans="8:8" x14ac:dyDescent="0.25">
      <c r="H103"/>
    </row>
    <row r="104" spans="8:8" x14ac:dyDescent="0.25">
      <c r="H104"/>
    </row>
    <row r="105" spans="8:8" x14ac:dyDescent="0.25">
      <c r="H105"/>
    </row>
    <row r="106" spans="8:8" x14ac:dyDescent="0.25">
      <c r="H106"/>
    </row>
    <row r="107" spans="8:8" x14ac:dyDescent="0.25">
      <c r="H107"/>
    </row>
    <row r="108" spans="8:8" x14ac:dyDescent="0.25">
      <c r="H108"/>
    </row>
    <row r="109" spans="8:8" x14ac:dyDescent="0.25">
      <c r="H109"/>
    </row>
    <row r="110" spans="8:8" x14ac:dyDescent="0.25">
      <c r="H110"/>
    </row>
    <row r="111" spans="8:8" x14ac:dyDescent="0.25">
      <c r="H111"/>
    </row>
    <row r="112" spans="8:8" x14ac:dyDescent="0.25">
      <c r="H112"/>
    </row>
    <row r="113" spans="8:8" x14ac:dyDescent="0.25">
      <c r="H113"/>
    </row>
    <row r="114" spans="8:8" x14ac:dyDescent="0.25">
      <c r="H114"/>
    </row>
    <row r="115" spans="8:8" x14ac:dyDescent="0.25">
      <c r="H115"/>
    </row>
    <row r="116" spans="8:8" x14ac:dyDescent="0.25">
      <c r="H116"/>
    </row>
    <row r="117" spans="8:8" x14ac:dyDescent="0.25">
      <c r="H117"/>
    </row>
    <row r="118" spans="8:8" x14ac:dyDescent="0.25">
      <c r="H118"/>
    </row>
    <row r="119" spans="8:8" x14ac:dyDescent="0.25">
      <c r="H119"/>
    </row>
    <row r="120" spans="8:8" x14ac:dyDescent="0.25">
      <c r="H120"/>
    </row>
    <row r="121" spans="8:8" x14ac:dyDescent="0.25">
      <c r="H121"/>
    </row>
    <row r="122" spans="8:8" x14ac:dyDescent="0.25">
      <c r="H122"/>
    </row>
    <row r="123" spans="8:8" x14ac:dyDescent="0.25">
      <c r="H123"/>
    </row>
    <row r="124" spans="8:8" x14ac:dyDescent="0.25">
      <c r="H124"/>
    </row>
    <row r="125" spans="8:8" x14ac:dyDescent="0.25">
      <c r="H125"/>
    </row>
    <row r="126" spans="8:8" x14ac:dyDescent="0.25">
      <c r="H126"/>
    </row>
    <row r="127" spans="8:8" x14ac:dyDescent="0.25">
      <c r="H127"/>
    </row>
    <row r="128" spans="8:8" x14ac:dyDescent="0.25">
      <c r="H128"/>
    </row>
  </sheetData>
  <mergeCells count="8">
    <mergeCell ref="A31:F31"/>
    <mergeCell ref="A36:D36"/>
    <mergeCell ref="A3:C3"/>
    <mergeCell ref="A1:G1"/>
    <mergeCell ref="A9:F9"/>
    <mergeCell ref="A12:E12"/>
    <mergeCell ref="A19:F19"/>
    <mergeCell ref="A24:F24"/>
  </mergeCells>
  <pageMargins left="0.7" right="0.7" top="0.75" bottom="0.75" header="0.3" footer="0.3"/>
  <pageSetup scale="69" fitToHeight="0" orientation="landscape" r:id="rId1"/>
  <headerFooter>
    <oddHeader>&amp;L&amp;G&amp;CDRAFT</oddHeader>
    <oddFooter>&amp;LMay 2017&amp;C&amp;P of &amp;N&amp;R
Wakulla OSTDS in PFAs--50/50 Approach</oddFooter>
  </headerFooter>
  <rowBreaks count="2" manualBreakCount="2">
    <brk id="42" max="16383" man="1"/>
    <brk id="65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TOTALS</vt:lpstr>
      <vt:lpstr>OSTDS</vt:lpstr>
      <vt:lpstr>OSTDS in PFA</vt:lpstr>
      <vt:lpstr>OSTDS in PFA_50%50%</vt:lpstr>
      <vt:lpstr>OSTDS!Print_Area</vt:lpstr>
      <vt:lpstr>'OSTDS in PFA'!Print_Area</vt:lpstr>
      <vt:lpstr>'OSTDS in PFA_50%50%'!Print_Area</vt:lpstr>
      <vt:lpstr>TOTALS!Print_Area</vt:lpstr>
      <vt:lpstr>OSTDS!Print_Titles</vt:lpstr>
      <vt:lpstr>'OSTDS in PFA'!Print_Titles</vt:lpstr>
      <vt:lpstr>'OSTDS in PFA_50%50%'!Print_Titles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Cathleen Foerster;Tiffany Busby</dc:creator>
  <cp:lastModifiedBy>Homann, Moira</cp:lastModifiedBy>
  <cp:lastPrinted>2017-05-08T19:05:45Z</cp:lastPrinted>
  <dcterms:created xsi:type="dcterms:W3CDTF">2016-12-14T12:55:38Z</dcterms:created>
  <dcterms:modified xsi:type="dcterms:W3CDTF">2017-05-12T16:42:08Z</dcterms:modified>
</cp:coreProperties>
</file>