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/>
  <mc:AlternateContent xmlns:mc="http://schemas.openxmlformats.org/markup-compatibility/2006">
    <mc:Choice Requires="x15">
      <x15ac:absPath xmlns:x15ac="http://schemas.microsoft.com/office/spreadsheetml/2010/11/ac" url="R:\WPCS\BASINS\Ocklawaha\UOB_2020\"/>
    </mc:Choice>
  </mc:AlternateContent>
  <xr:revisionPtr revIDLastSave="0" documentId="13_ncr:1_{64471FF2-804A-418C-B960-1B6B1B0358D3}" xr6:coauthVersionLast="44" xr6:coauthVersionMax="44" xr10:uidLastSave="{00000000-0000-0000-0000-000000000000}"/>
  <bookViews>
    <workbookView xWindow="-19320" yWindow="-120" windowWidth="19440" windowHeight="15000" xr2:uid="{00000000-000D-0000-FFFF-FFFF00000000}"/>
  </bookViews>
  <sheets>
    <sheet name="Notes" sheetId="94" r:id="rId1"/>
    <sheet name="priority lake reduction summary" sheetId="87" r:id="rId2"/>
    <sheet name="prioritylake allocation summary" sheetId="89" r:id="rId3"/>
    <sheet name="Project Summary" sheetId="96" r:id="rId4"/>
    <sheet name="summary priority budget" sheetId="101" r:id="rId5"/>
    <sheet name="De minimis Summary" sheetId="97" r:id="rId6"/>
    <sheet name="Harris Allocate" sheetId="83" r:id="rId7"/>
    <sheet name="Hydrology" sheetId="111" r:id="rId8"/>
    <sheet name="Trout Allocate" sheetId="88" r:id="rId9"/>
    <sheet name=" Palatlakaha allocation TP" sheetId="84" r:id="rId10"/>
    <sheet name="Yale allocation" sheetId="86" r:id="rId11"/>
    <sheet name="Carlton Allocate" sheetId="82" r:id="rId12"/>
    <sheet name="Harris Chain education" sheetId="90" r:id="rId13"/>
    <sheet name="Education_summary" sheetId="92" r:id="rId14"/>
    <sheet name="education credit scheme" sheetId="93" r:id="rId15"/>
    <sheet name="Denham_allocation" sheetId="98" r:id="rId16"/>
    <sheet name="Roberts_allocation" sheetId="99" r:id="rId17"/>
    <sheet name="Marshall_allocation" sheetId="100" r:id="rId18"/>
    <sheet name="summary budgets nonpriority" sheetId="102" r:id="rId19"/>
    <sheet name="Trout Expanded" sheetId="95" r:id="rId20"/>
    <sheet name="ag converted" sheetId="103" r:id="rId21"/>
    <sheet name="Ag_BMPs Palatlakaha" sheetId="104" r:id="rId22"/>
    <sheet name="Harris Chain Ag BMPs_032017" sheetId="105" r:id="rId23"/>
    <sheet name="Basin Acreages_032917" sheetId="106" r:id="rId24"/>
    <sheet name="Harris Chain ag summary" sheetId="108" r:id="rId25"/>
    <sheet name="Basin_acreages_122017" sheetId="107" r:id="rId26"/>
    <sheet name="UOB 2020 Ag" sheetId="110" r:id="rId27"/>
    <sheet name="122017 ag asummary" sheetId="109" r:id="rId28"/>
  </sheets>
  <definedNames>
    <definedName name="_xlnm._FilterDatabase" localSheetId="23" hidden="1">'Basin Acreages_032917'!$R$31:$T$31</definedName>
    <definedName name="_xlnm.Print_Area" localSheetId="9">' Palatlakaha allocation TP'!$A$1:$L$100</definedName>
    <definedName name="_xlnm.Print_Area" localSheetId="11">'Carlton Allocate'!$A$1:$L$75</definedName>
    <definedName name="_xlnm.Print_Area" localSheetId="13">Education_summary!$A$2:$AA$34</definedName>
    <definedName name="_xlnm.Print_Area" localSheetId="6">'Harris Allocate'!$A$85:$M$95</definedName>
    <definedName name="_xlnm.Print_Area" localSheetId="3">'Project Summary'!$A$2:$AE$35</definedName>
    <definedName name="_xlnm.Print_Area" localSheetId="8">'Trout Allocate'!$A$1:$L$80</definedName>
    <definedName name="_xlnm.Print_Area" localSheetId="10">'Yale allocation'!$A$1:$L$83</definedName>
    <definedName name="_xlnm.Print_Titles" localSheetId="3">'Project Summary'!$A:$A</definedName>
  </definedNames>
  <calcPr calcId="191029" calcOnSave="0"/>
  <pivotCaches>
    <pivotCache cacheId="0" r:id="rId29"/>
    <pivotCache cacheId="1" r:id="rId30"/>
    <pivotCache cacheId="2" r:id="rId3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2" i="83" l="1"/>
  <c r="E91" i="83"/>
  <c r="J93" i="83" l="1"/>
  <c r="J90" i="83"/>
  <c r="J88" i="83"/>
  <c r="J87" i="83"/>
  <c r="J80" i="83" l="1"/>
  <c r="J79" i="83"/>
  <c r="J78" i="83"/>
  <c r="J77" i="83"/>
  <c r="J76" i="83"/>
  <c r="J75" i="83"/>
  <c r="J74" i="83"/>
  <c r="I81" i="83"/>
  <c r="I80" i="83"/>
  <c r="I79" i="83"/>
  <c r="I78" i="83"/>
  <c r="I77" i="83"/>
  <c r="I76" i="83"/>
  <c r="I75" i="83"/>
  <c r="I74" i="83"/>
  <c r="H81" i="83"/>
  <c r="L56" i="83"/>
  <c r="L55" i="83"/>
  <c r="L54" i="83"/>
  <c r="L53" i="83"/>
  <c r="L58" i="83" s="1"/>
  <c r="K56" i="83"/>
  <c r="K55" i="83"/>
  <c r="K54" i="83"/>
  <c r="K58" i="83" s="1"/>
  <c r="K53" i="83"/>
  <c r="AG11" i="106" l="1"/>
  <c r="AF11" i="106"/>
  <c r="AE11" i="106"/>
  <c r="F20" i="83" l="1"/>
  <c r="F17" i="83"/>
  <c r="T13" i="106"/>
  <c r="T12" i="106"/>
  <c r="U37" i="106"/>
  <c r="U42" i="106"/>
  <c r="U41" i="106"/>
  <c r="U40" i="106"/>
  <c r="U39" i="106"/>
  <c r="U38" i="106"/>
  <c r="U36" i="106"/>
  <c r="U35" i="106"/>
  <c r="U34" i="106"/>
  <c r="U33" i="106"/>
  <c r="U32" i="106"/>
  <c r="U6" i="106"/>
  <c r="Q10" i="106"/>
  <c r="O10" i="106"/>
  <c r="N10" i="106"/>
  <c r="AD11" i="106" l="1"/>
  <c r="AC11" i="106"/>
  <c r="AA11" i="106"/>
  <c r="X11" i="106"/>
  <c r="W11" i="106"/>
  <c r="AD10" i="106"/>
  <c r="AG9" i="106" l="1"/>
  <c r="AF9" i="106"/>
  <c r="AE9" i="106"/>
  <c r="AG8" i="106"/>
  <c r="AE8" i="106"/>
  <c r="AG7" i="106"/>
  <c r="AF7" i="106"/>
  <c r="AE7" i="106"/>
  <c r="AF6" i="106"/>
  <c r="AE6" i="106"/>
  <c r="AF4" i="106"/>
  <c r="AE4" i="106"/>
  <c r="H29" i="104" l="1"/>
  <c r="F32" i="104"/>
  <c r="K9" i="110"/>
  <c r="I9" i="110"/>
  <c r="I32" i="103" l="1"/>
  <c r="G71" i="88" l="1"/>
  <c r="J59" i="98"/>
  <c r="B59" i="98"/>
  <c r="K25" i="88" l="1"/>
  <c r="M10" i="107" l="1"/>
  <c r="O10" i="107"/>
  <c r="K10" i="107"/>
  <c r="H10" i="107"/>
  <c r="J10" i="107"/>
  <c r="G9" i="104" l="1"/>
  <c r="G4" i="104"/>
  <c r="G11" i="104"/>
  <c r="G8" i="104"/>
  <c r="G3" i="104"/>
  <c r="D17" i="104" l="1"/>
  <c r="D16" i="104"/>
  <c r="B36" i="104" l="1"/>
  <c r="B29" i="104"/>
  <c r="K58" i="100" l="1"/>
  <c r="D20" i="82" l="1"/>
  <c r="H24" i="107" l="1"/>
  <c r="F18" i="82" l="1"/>
  <c r="F17" i="82"/>
  <c r="F16" i="82"/>
  <c r="F11" i="82"/>
  <c r="F9" i="82"/>
  <c r="F8" i="82"/>
  <c r="F5" i="82"/>
  <c r="D9" i="84"/>
  <c r="F9" i="84" s="1"/>
  <c r="F8" i="84"/>
  <c r="E71" i="86" l="1"/>
  <c r="E68" i="86"/>
  <c r="E67" i="86"/>
  <c r="E68" i="88"/>
  <c r="E67" i="88"/>
  <c r="E71" i="88" s="1"/>
  <c r="S11" i="106"/>
  <c r="Q11" i="106"/>
  <c r="T20" i="106" s="1"/>
  <c r="O11" i="106"/>
  <c r="N11" i="106"/>
  <c r="L11" i="106"/>
  <c r="R16" i="106" l="1"/>
  <c r="R17" i="106" s="1"/>
  <c r="D30" i="103"/>
  <c r="E30" i="103" s="1"/>
  <c r="C31" i="103"/>
  <c r="D31" i="103" s="1"/>
  <c r="E31" i="103" s="1"/>
  <c r="C30" i="103"/>
  <c r="Z4" i="109"/>
  <c r="Z5" i="109"/>
  <c r="AC5" i="109"/>
  <c r="Z7" i="109"/>
  <c r="AE5" i="109"/>
  <c r="AE3" i="109"/>
  <c r="AE4" i="109"/>
  <c r="AC4" i="109"/>
  <c r="AE6" i="109"/>
  <c r="Z6" i="109"/>
  <c r="AD4" i="109"/>
  <c r="AC8" i="109"/>
  <c r="AC7" i="109"/>
  <c r="AD5" i="109"/>
  <c r="AC3" i="109"/>
  <c r="AE8" i="109"/>
  <c r="AE7" i="109"/>
  <c r="AD7" i="109"/>
  <c r="Z8" i="109"/>
  <c r="AD3" i="109"/>
  <c r="AB3" i="109"/>
  <c r="F18" i="108"/>
  <c r="Z3" i="109"/>
  <c r="AD6" i="109"/>
  <c r="AB4" i="109"/>
  <c r="AB5" i="109"/>
  <c r="AD8" i="109"/>
  <c r="AC6" i="109"/>
  <c r="H34" i="107"/>
  <c r="AA7" i="109" l="1"/>
  <c r="AA6" i="109"/>
  <c r="AA8" i="109"/>
  <c r="E33" i="103"/>
  <c r="AA5" i="109"/>
  <c r="AA4" i="109"/>
  <c r="AA3" i="109"/>
  <c r="D32" i="102"/>
  <c r="AF7" i="109"/>
  <c r="B34" i="108"/>
  <c r="B18" i="108"/>
  <c r="B33" i="108"/>
  <c r="B36" i="108"/>
  <c r="B17" i="108"/>
  <c r="B26" i="108"/>
  <c r="AF8" i="109"/>
  <c r="B28" i="108"/>
  <c r="B37" i="108"/>
  <c r="B24" i="108"/>
  <c r="B31" i="108"/>
  <c r="B30" i="108"/>
  <c r="B27" i="108"/>
  <c r="B29" i="108"/>
  <c r="B32" i="108"/>
  <c r="B23" i="108"/>
  <c r="AF3" i="109"/>
  <c r="B25" i="108"/>
  <c r="B38" i="108"/>
  <c r="B22" i="108"/>
  <c r="B35" i="108"/>
  <c r="B39" i="108" l="1"/>
  <c r="C28" i="108" s="1"/>
  <c r="C26" i="108"/>
  <c r="C31" i="108"/>
  <c r="B19" i="108"/>
  <c r="C37" i="108" l="1"/>
  <c r="C35" i="108"/>
  <c r="C24" i="108"/>
  <c r="C38" i="108"/>
  <c r="C33" i="108"/>
  <c r="C23" i="108"/>
  <c r="C22" i="108"/>
  <c r="C29" i="108"/>
  <c r="C32" i="108"/>
  <c r="C36" i="108"/>
  <c r="C34" i="108"/>
  <c r="C30" i="108"/>
  <c r="C27" i="108"/>
  <c r="C25" i="108"/>
  <c r="N60" i="107"/>
  <c r="O60" i="107" s="1"/>
  <c r="P60" i="107" s="1"/>
  <c r="N48" i="107"/>
  <c r="Q55" i="107"/>
  <c r="Q43" i="107"/>
  <c r="N36" i="107"/>
  <c r="Q31" i="107"/>
  <c r="P11" i="107"/>
  <c r="O48" i="107" l="1"/>
  <c r="P48" i="107" s="1"/>
  <c r="O36" i="107"/>
  <c r="P36" i="107" s="1"/>
  <c r="O24" i="107"/>
  <c r="P24" i="107" s="1"/>
  <c r="Q19" i="107"/>
  <c r="N19" i="107"/>
  <c r="H60" i="107"/>
  <c r="K55" i="107"/>
  <c r="P8" i="107"/>
  <c r="N58" i="107" s="1"/>
  <c r="O58" i="107" s="1"/>
  <c r="P58" i="107" s="1"/>
  <c r="Q58" i="107" s="1"/>
  <c r="P7" i="107"/>
  <c r="N57" i="107" s="1"/>
  <c r="O57" i="107" s="1"/>
  <c r="P57" i="107" s="1"/>
  <c r="Q57" i="107" s="1"/>
  <c r="P6" i="107"/>
  <c r="N56" i="107" s="1"/>
  <c r="O56" i="107" s="1"/>
  <c r="P56" i="107" s="1"/>
  <c r="Q56" i="107" s="1"/>
  <c r="P4" i="107"/>
  <c r="N54" i="107" s="1"/>
  <c r="O11" i="107"/>
  <c r="O8" i="107"/>
  <c r="N46" i="107" s="1"/>
  <c r="O46" i="107" s="1"/>
  <c r="P46" i="107" s="1"/>
  <c r="Q46" i="107" s="1"/>
  <c r="O7" i="107"/>
  <c r="N45" i="107" s="1"/>
  <c r="O45" i="107" s="1"/>
  <c r="P45" i="107" s="1"/>
  <c r="Q45" i="107" s="1"/>
  <c r="O6" i="107"/>
  <c r="N44" i="107" s="1"/>
  <c r="O44" i="107" s="1"/>
  <c r="O4" i="107"/>
  <c r="N42" i="107" s="1"/>
  <c r="O42" i="107" s="1"/>
  <c r="P42" i="107" s="1"/>
  <c r="Q42" i="107" s="1"/>
  <c r="M11" i="107"/>
  <c r="N8" i="107"/>
  <c r="N7" i="107"/>
  <c r="N6" i="107"/>
  <c r="M8" i="107"/>
  <c r="M7" i="107"/>
  <c r="M6" i="107"/>
  <c r="M4" i="107"/>
  <c r="N30" i="107" s="1"/>
  <c r="O30" i="107" s="1"/>
  <c r="P30" i="107" s="1"/>
  <c r="L8" i="107"/>
  <c r="N22" i="107" s="1"/>
  <c r="O22" i="107" s="1"/>
  <c r="P22" i="107" s="1"/>
  <c r="L7" i="107"/>
  <c r="N21" i="107" s="1"/>
  <c r="O21" i="107" s="1"/>
  <c r="P21" i="107" s="1"/>
  <c r="L6" i="107"/>
  <c r="N20" i="107" s="1"/>
  <c r="O20" i="107" s="1"/>
  <c r="P20" i="107" s="1"/>
  <c r="L4" i="107"/>
  <c r="N18" i="107" s="1"/>
  <c r="O18" i="107" s="1"/>
  <c r="P18" i="107" s="1"/>
  <c r="K11" i="107"/>
  <c r="K8" i="107"/>
  <c r="H58" i="107" s="1"/>
  <c r="I58" i="107" s="1"/>
  <c r="J58" i="107" s="1"/>
  <c r="K7" i="107"/>
  <c r="H57" i="107" s="1"/>
  <c r="I57" i="107" s="1"/>
  <c r="J57" i="107" s="1"/>
  <c r="K6" i="107"/>
  <c r="H56" i="107" s="1"/>
  <c r="K4" i="107"/>
  <c r="H54" i="107" s="1"/>
  <c r="N34" i="107" l="1"/>
  <c r="O34" i="107" s="1"/>
  <c r="P34" i="107" s="1"/>
  <c r="Q34" i="107" s="1"/>
  <c r="I56" i="107"/>
  <c r="H59" i="107"/>
  <c r="I54" i="107"/>
  <c r="J54" i="107" s="1"/>
  <c r="P23" i="107"/>
  <c r="P25" i="107" s="1"/>
  <c r="O54" i="107"/>
  <c r="P54" i="107" s="1"/>
  <c r="N59" i="107"/>
  <c r="N33" i="107"/>
  <c r="O33" i="107" s="1"/>
  <c r="P33" i="107" s="1"/>
  <c r="Q33" i="107" s="1"/>
  <c r="N32" i="107"/>
  <c r="O32" i="107" s="1"/>
  <c r="P32" i="107" s="1"/>
  <c r="N47" i="107"/>
  <c r="P44" i="107"/>
  <c r="Q44" i="107" s="1"/>
  <c r="Q47" i="107" s="1"/>
  <c r="I60" i="107"/>
  <c r="P59" i="107"/>
  <c r="P61" i="107" s="1"/>
  <c r="Q54" i="107"/>
  <c r="Q59" i="107" s="1"/>
  <c r="Q30" i="107"/>
  <c r="Q21" i="107"/>
  <c r="Q20" i="107"/>
  <c r="Q22" i="107"/>
  <c r="N23" i="107"/>
  <c r="K58" i="107"/>
  <c r="K57" i="107"/>
  <c r="H48" i="107"/>
  <c r="H44" i="107"/>
  <c r="H42" i="107"/>
  <c r="I42" i="107" s="1"/>
  <c r="J42" i="107" s="1"/>
  <c r="J11" i="107"/>
  <c r="J8" i="107"/>
  <c r="H46" i="107" s="1"/>
  <c r="I46" i="107" s="1"/>
  <c r="J46" i="107" s="1"/>
  <c r="J7" i="107"/>
  <c r="H45" i="107" s="1"/>
  <c r="I45" i="107" s="1"/>
  <c r="J45" i="107" s="1"/>
  <c r="J6" i="107"/>
  <c r="J4" i="107"/>
  <c r="K43" i="107"/>
  <c r="I34" i="107"/>
  <c r="J34" i="107" s="1"/>
  <c r="H31" i="107"/>
  <c r="J36" i="107"/>
  <c r="K31" i="107"/>
  <c r="I8" i="107"/>
  <c r="I7" i="107"/>
  <c r="H33" i="107" s="1"/>
  <c r="I33" i="107" s="1"/>
  <c r="J33" i="107" s="1"/>
  <c r="I6" i="107"/>
  <c r="H32" i="107" s="1"/>
  <c r="I32" i="107" s="1"/>
  <c r="J32" i="107" s="1"/>
  <c r="I4" i="107"/>
  <c r="H30" i="107" s="1"/>
  <c r="I30" i="107" s="1"/>
  <c r="J30" i="107" s="1"/>
  <c r="K19" i="107"/>
  <c r="H6" i="107"/>
  <c r="H20" i="107" s="1"/>
  <c r="I20" i="107" s="1"/>
  <c r="H19" i="107"/>
  <c r="I24" i="107"/>
  <c r="H11" i="107"/>
  <c r="H8" i="107"/>
  <c r="H22" i="107" s="1"/>
  <c r="I22" i="107" s="1"/>
  <c r="J22" i="107" s="1"/>
  <c r="K22" i="107" s="1"/>
  <c r="H7" i="107"/>
  <c r="H21" i="107" s="1"/>
  <c r="I21" i="107" s="1"/>
  <c r="J21" i="107" s="1"/>
  <c r="K21" i="107" s="1"/>
  <c r="H4" i="107"/>
  <c r="H18" i="107" s="1"/>
  <c r="I18" i="107" l="1"/>
  <c r="J18" i="107" s="1"/>
  <c r="K18" i="107" s="1"/>
  <c r="H23" i="107"/>
  <c r="Q32" i="107"/>
  <c r="Q35" i="107" s="1"/>
  <c r="P35" i="107"/>
  <c r="P37" i="107" s="1"/>
  <c r="I44" i="107"/>
  <c r="P47" i="107"/>
  <c r="P49" i="107" s="1"/>
  <c r="N35" i="107"/>
  <c r="I48" i="107"/>
  <c r="J48" i="107" s="1"/>
  <c r="J35" i="107"/>
  <c r="J37" i="107" s="1"/>
  <c r="Q18" i="107"/>
  <c r="Q23" i="107" s="1"/>
  <c r="Q25" i="107" s="1"/>
  <c r="K54" i="107"/>
  <c r="K42" i="107"/>
  <c r="K46" i="107"/>
  <c r="K45" i="107"/>
  <c r="H47" i="107"/>
  <c r="K32" i="107"/>
  <c r="K34" i="107"/>
  <c r="K33" i="107"/>
  <c r="K30" i="107"/>
  <c r="H35" i="107"/>
  <c r="P9" i="107"/>
  <c r="N9" i="107"/>
  <c r="L9" i="107"/>
  <c r="M9" i="107"/>
  <c r="O12" i="107"/>
  <c r="O9" i="107"/>
  <c r="K12" i="107"/>
  <c r="K9" i="107"/>
  <c r="J12" i="107"/>
  <c r="J9" i="107"/>
  <c r="I9" i="107"/>
  <c r="H12" i="107"/>
  <c r="H9" i="107"/>
  <c r="M12" i="107"/>
  <c r="J44" i="107" l="1"/>
  <c r="K35" i="107"/>
  <c r="AD9" i="106"/>
  <c r="AC9" i="106"/>
  <c r="AB9" i="106"/>
  <c r="AA9" i="106"/>
  <c r="Y9" i="106"/>
  <c r="X9" i="106"/>
  <c r="J47" i="107" l="1"/>
  <c r="J49" i="107" s="1"/>
  <c r="K44" i="107"/>
  <c r="K47" i="107" s="1"/>
  <c r="R19" i="105"/>
  <c r="R15" i="105"/>
  <c r="R5" i="105"/>
  <c r="R4" i="105"/>
  <c r="R3" i="105"/>
  <c r="R2" i="105"/>
  <c r="S12" i="106" l="1"/>
  <c r="S13" i="106" s="1"/>
  <c r="Q12" i="106"/>
  <c r="Q13" i="106" s="1"/>
  <c r="AB10" i="106" s="1"/>
  <c r="AB11" i="106" s="1"/>
  <c r="O12" i="106"/>
  <c r="N12" i="106"/>
  <c r="N13" i="106" s="1"/>
  <c r="Y10" i="106" s="1"/>
  <c r="Y11" i="106" s="1"/>
  <c r="L12" i="106"/>
  <c r="D6" i="103"/>
  <c r="C6" i="103"/>
  <c r="D5" i="103"/>
  <c r="C5" i="103"/>
  <c r="F4" i="103"/>
  <c r="E4" i="103"/>
  <c r="F3" i="103"/>
  <c r="E3" i="103"/>
  <c r="D4" i="103"/>
  <c r="C4" i="103"/>
  <c r="D3" i="103"/>
  <c r="C3" i="103"/>
  <c r="E2" i="103"/>
  <c r="D2" i="103"/>
  <c r="C2" i="103"/>
  <c r="L20" i="103" l="1"/>
  <c r="F6" i="103"/>
  <c r="F2" i="103"/>
  <c r="F7" i="103" s="1"/>
  <c r="E6" i="103"/>
  <c r="E7" i="103" s="1"/>
  <c r="I24" i="105"/>
  <c r="I25" i="105"/>
  <c r="I23" i="105"/>
  <c r="I22" i="105"/>
  <c r="I21" i="105"/>
  <c r="I20" i="105"/>
  <c r="I19" i="105"/>
  <c r="I18" i="105"/>
  <c r="K138" i="105"/>
  <c r="K135" i="105"/>
  <c r="K132" i="105"/>
  <c r="J138" i="105"/>
  <c r="J132" i="105"/>
  <c r="D7" i="103" l="1"/>
  <c r="R73" i="105"/>
  <c r="S73" i="105" s="1"/>
  <c r="R72" i="105"/>
  <c r="S72" i="105" s="1"/>
  <c r="R71" i="105"/>
  <c r="S71" i="105" s="1"/>
  <c r="R70" i="105"/>
  <c r="S70" i="105" s="1"/>
  <c r="R69" i="105"/>
  <c r="S69" i="105" s="1"/>
  <c r="R68" i="105"/>
  <c r="S68" i="105" s="1"/>
  <c r="R67" i="105"/>
  <c r="S67" i="105" s="1"/>
  <c r="R66" i="105"/>
  <c r="S66" i="105" s="1"/>
  <c r="R65" i="105"/>
  <c r="S65" i="105" s="1"/>
  <c r="R64" i="105"/>
  <c r="S64" i="105" s="1"/>
  <c r="R63" i="105"/>
  <c r="S63" i="105" s="1"/>
  <c r="R62" i="105"/>
  <c r="S62" i="105" s="1"/>
  <c r="T62" i="105" s="1"/>
  <c r="R61" i="105"/>
  <c r="S61" i="105" s="1"/>
  <c r="T61" i="105" s="1"/>
  <c r="R60" i="105"/>
  <c r="S60" i="105" s="1"/>
  <c r="T60" i="105" s="1"/>
  <c r="R59" i="105"/>
  <c r="S59" i="105" s="1"/>
  <c r="T59" i="105" s="1"/>
  <c r="R58" i="105"/>
  <c r="S58" i="105" s="1"/>
  <c r="T58" i="105" s="1"/>
  <c r="R57" i="105"/>
  <c r="S57" i="105" s="1"/>
  <c r="T57" i="105" s="1"/>
  <c r="R56" i="105"/>
  <c r="S56" i="105" s="1"/>
  <c r="T56" i="105" s="1"/>
  <c r="R55" i="105"/>
  <c r="S55" i="105" s="1"/>
  <c r="T55" i="105" s="1"/>
  <c r="W37" i="105" s="1"/>
  <c r="X37" i="105" s="1"/>
  <c r="R54" i="105"/>
  <c r="S54" i="105" s="1"/>
  <c r="R53" i="105"/>
  <c r="S53" i="105" s="1"/>
  <c r="R52" i="105"/>
  <c r="S52" i="105" s="1"/>
  <c r="R51" i="105"/>
  <c r="S51" i="105" s="1"/>
  <c r="R50" i="105"/>
  <c r="S50" i="105" s="1"/>
  <c r="R49" i="105"/>
  <c r="S49" i="105" s="1"/>
  <c r="R48" i="105"/>
  <c r="S48" i="105" s="1"/>
  <c r="R47" i="105"/>
  <c r="S47" i="105" s="1"/>
  <c r="R46" i="105"/>
  <c r="S46" i="105" s="1"/>
  <c r="R45" i="105"/>
  <c r="S45" i="105" s="1"/>
  <c r="R44" i="105"/>
  <c r="S44" i="105" s="1"/>
  <c r="R43" i="105"/>
  <c r="S43" i="105" s="1"/>
  <c r="R42" i="105"/>
  <c r="S42" i="105" s="1"/>
  <c r="R41" i="105"/>
  <c r="S41" i="105" s="1"/>
  <c r="R40" i="105"/>
  <c r="S40" i="105" s="1"/>
  <c r="R39" i="105"/>
  <c r="S39" i="105" s="1"/>
  <c r="R38" i="105"/>
  <c r="S38" i="105" s="1"/>
  <c r="R37" i="105"/>
  <c r="S37" i="105" s="1"/>
  <c r="R36" i="105"/>
  <c r="S36" i="105" s="1"/>
  <c r="R35" i="105"/>
  <c r="S35" i="105" s="1"/>
  <c r="R34" i="105"/>
  <c r="S34" i="105" s="1"/>
  <c r="R33" i="105"/>
  <c r="S33" i="105" s="1"/>
  <c r="R32" i="105"/>
  <c r="S32" i="105" s="1"/>
  <c r="R31" i="105"/>
  <c r="S31" i="105" s="1"/>
  <c r="R30" i="105"/>
  <c r="S30" i="105" s="1"/>
  <c r="R29" i="105"/>
  <c r="S29" i="105" s="1"/>
  <c r="R28" i="105"/>
  <c r="S28" i="105" s="1"/>
  <c r="R27" i="105"/>
  <c r="S27" i="105" s="1"/>
  <c r="R26" i="105" l="1"/>
  <c r="S26" i="105" s="1"/>
  <c r="R25" i="105"/>
  <c r="S25" i="105" s="1"/>
  <c r="R24" i="105"/>
  <c r="S24" i="105" s="1"/>
  <c r="R23" i="105"/>
  <c r="S23" i="105" s="1"/>
  <c r="R22" i="105"/>
  <c r="S22" i="105" s="1"/>
  <c r="R21" i="105"/>
  <c r="S21" i="105" s="1"/>
  <c r="R20" i="105"/>
  <c r="S20" i="105" s="1"/>
  <c r="S19" i="105"/>
  <c r="R18" i="105"/>
  <c r="S18" i="105" s="1"/>
  <c r="R17" i="105"/>
  <c r="S17" i="105" s="1"/>
  <c r="R16" i="105"/>
  <c r="S16" i="105" s="1"/>
  <c r="S15" i="105"/>
  <c r="R14" i="105"/>
  <c r="S14" i="105" s="1"/>
  <c r="T14" i="105" s="1"/>
  <c r="U14" i="105" s="1"/>
  <c r="R13" i="105"/>
  <c r="S13" i="105" s="1"/>
  <c r="R12" i="105"/>
  <c r="S12" i="105" s="1"/>
  <c r="T12" i="105" s="1"/>
  <c r="U12" i="105" s="1"/>
  <c r="R11" i="105"/>
  <c r="S11" i="105" s="1"/>
  <c r="T11" i="105" s="1"/>
  <c r="U11" i="105" s="1"/>
  <c r="R10" i="105"/>
  <c r="S10" i="105" s="1"/>
  <c r="R9" i="105"/>
  <c r="S9" i="105" s="1"/>
  <c r="T9" i="105" s="1"/>
  <c r="U9" i="105" s="1"/>
  <c r="R8" i="105"/>
  <c r="S8" i="105" s="1"/>
  <c r="T8" i="105" s="1"/>
  <c r="U8" i="105" s="1"/>
  <c r="R7" i="105"/>
  <c r="S7" i="105" s="1"/>
  <c r="R6" i="105"/>
  <c r="S6" i="105" s="1"/>
  <c r="T6" i="105" s="1"/>
  <c r="U6" i="105" s="1"/>
  <c r="S5" i="105"/>
  <c r="T5" i="105" s="1"/>
  <c r="U5" i="105" s="1"/>
  <c r="S4" i="105"/>
  <c r="T4" i="105" s="1"/>
  <c r="U4" i="105" s="1"/>
  <c r="S3" i="105"/>
  <c r="S2" i="105"/>
  <c r="T2" i="105" s="1"/>
  <c r="U2" i="105" l="1"/>
  <c r="B203" i="105"/>
  <c r="B196" i="105"/>
  <c r="B188" i="105"/>
  <c r="C188" i="105" s="1"/>
  <c r="B178" i="105"/>
  <c r="B166" i="105"/>
  <c r="B157" i="105"/>
  <c r="B150" i="105"/>
  <c r="B144" i="105"/>
  <c r="C144" i="105" s="1"/>
  <c r="B136" i="105"/>
  <c r="X28" i="105" l="1"/>
  <c r="X27" i="105"/>
  <c r="X26" i="105"/>
  <c r="X25" i="105"/>
  <c r="X24" i="105"/>
  <c r="X23" i="105"/>
  <c r="X22" i="105"/>
  <c r="X21" i="105"/>
  <c r="X20" i="105"/>
  <c r="X19" i="105"/>
  <c r="X17" i="105"/>
  <c r="X18" i="105"/>
  <c r="X16" i="105"/>
  <c r="X15" i="105"/>
  <c r="X14" i="105"/>
  <c r="X13" i="105"/>
  <c r="X12" i="105"/>
  <c r="X11" i="105"/>
  <c r="X10" i="105"/>
  <c r="X9" i="105"/>
  <c r="X8" i="105"/>
  <c r="X7" i="105"/>
  <c r="X6" i="105"/>
  <c r="X5" i="105"/>
  <c r="X4" i="105"/>
  <c r="X3" i="105"/>
  <c r="I10" i="105"/>
  <c r="I9" i="105"/>
  <c r="I8" i="105"/>
  <c r="I7" i="105"/>
  <c r="I6" i="105"/>
  <c r="I5" i="105"/>
  <c r="I4" i="105"/>
  <c r="I13" i="105" s="1"/>
  <c r="I11" i="105" l="1"/>
  <c r="I14" i="105" s="1"/>
  <c r="B25" i="104"/>
  <c r="B24" i="104" l="1"/>
  <c r="B26" i="104" s="1"/>
  <c r="B27" i="104" s="1"/>
  <c r="C7" i="103" l="1"/>
  <c r="T28" i="96" l="1"/>
  <c r="E7" i="82" l="1"/>
  <c r="B7" i="82"/>
  <c r="B20" i="82" s="1"/>
  <c r="F20" i="82" s="1"/>
  <c r="E25" i="88"/>
  <c r="E13" i="88"/>
  <c r="B13" i="88"/>
  <c r="B25" i="88" s="1"/>
  <c r="E15" i="83"/>
  <c r="B15" i="83"/>
  <c r="B30" i="83" s="1"/>
  <c r="E7" i="84"/>
  <c r="B7" i="84"/>
  <c r="F7" i="84" s="1"/>
  <c r="C24" i="98"/>
  <c r="F13" i="88" l="1"/>
  <c r="F7" i="82"/>
  <c r="V23" i="96" l="1"/>
  <c r="AB23" i="96"/>
  <c r="AM28" i="96" l="1"/>
  <c r="AL28" i="96"/>
  <c r="AI28" i="96"/>
  <c r="AK13" i="96"/>
  <c r="AN3" i="96" l="1"/>
  <c r="AH25" i="96"/>
  <c r="J21" i="96"/>
  <c r="P21" i="96"/>
  <c r="Y21" i="96"/>
  <c r="AN20" i="96"/>
  <c r="AH20" i="96"/>
  <c r="AK14" i="96"/>
  <c r="AN28" i="96" l="1"/>
  <c r="J57" i="100" l="1"/>
  <c r="G56" i="100"/>
  <c r="AA25" i="92" l="1"/>
  <c r="D22" i="92"/>
  <c r="F22" i="92"/>
  <c r="B62" i="100" l="1"/>
  <c r="C61" i="100" s="1"/>
  <c r="O41" i="100" s="1"/>
  <c r="D54" i="89" s="1"/>
  <c r="C60" i="100" l="1"/>
  <c r="O42" i="100" s="1"/>
  <c r="D60" i="89" s="1"/>
  <c r="E60" i="89" s="1"/>
  <c r="D69" i="98" l="1"/>
  <c r="C69" i="98"/>
  <c r="B69" i="98"/>
  <c r="A68" i="98"/>
  <c r="H34" i="100" l="1"/>
  <c r="M40" i="100" l="1"/>
  <c r="M39" i="100"/>
  <c r="L39" i="99" l="1"/>
  <c r="L38" i="99"/>
  <c r="H32" i="99" l="1"/>
  <c r="C31" i="100" l="1"/>
  <c r="B29" i="100"/>
  <c r="C29" i="100" s="1"/>
  <c r="B28" i="100"/>
  <c r="C28" i="100" s="1"/>
  <c r="B27" i="100"/>
  <c r="C27" i="100" s="1"/>
  <c r="B26" i="100"/>
  <c r="B30" i="100"/>
  <c r="B25" i="100"/>
  <c r="C25" i="100" s="1"/>
  <c r="B24" i="100"/>
  <c r="C48" i="100" l="1"/>
  <c r="C47" i="100"/>
  <c r="E48" i="100"/>
  <c r="E47" i="100"/>
  <c r="G48" i="100"/>
  <c r="G47" i="100"/>
  <c r="C30" i="100"/>
  <c r="H50" i="100" s="1"/>
  <c r="W25" i="92" s="1"/>
  <c r="H49" i="100"/>
  <c r="H24" i="100"/>
  <c r="B23" i="100"/>
  <c r="C26" i="100"/>
  <c r="W7" i="92" l="1"/>
  <c r="X7" i="92" s="1"/>
  <c r="J49" i="100"/>
  <c r="D56" i="100" s="1"/>
  <c r="J56" i="100" s="1"/>
  <c r="B33" i="100"/>
  <c r="C23" i="100"/>
  <c r="D23" i="100" s="1"/>
  <c r="D26" i="100"/>
  <c r="D29" i="100"/>
  <c r="H47" i="100"/>
  <c r="H48" i="100"/>
  <c r="B28" i="98"/>
  <c r="B26" i="99"/>
  <c r="B28" i="99"/>
  <c r="B27" i="99"/>
  <c r="B24" i="99"/>
  <c r="B23" i="99"/>
  <c r="H23" i="99" s="1"/>
  <c r="D25" i="100" l="1"/>
  <c r="D30" i="100"/>
  <c r="D28" i="100"/>
  <c r="B35" i="100"/>
  <c r="E29" i="100" s="1"/>
  <c r="J40" i="100" s="1"/>
  <c r="D27" i="100"/>
  <c r="J48" i="100"/>
  <c r="W15" i="92"/>
  <c r="J47" i="100"/>
  <c r="W22" i="92"/>
  <c r="J39" i="100"/>
  <c r="D33" i="100"/>
  <c r="C26" i="99"/>
  <c r="C24" i="99"/>
  <c r="B25" i="99"/>
  <c r="B22" i="99" s="1"/>
  <c r="B32" i="99" s="1"/>
  <c r="C27" i="99"/>
  <c r="C28" i="99"/>
  <c r="F59" i="98"/>
  <c r="H29" i="100" l="1"/>
  <c r="E28" i="100"/>
  <c r="W27" i="92"/>
  <c r="E27" i="100"/>
  <c r="E30" i="100"/>
  <c r="E26" i="100"/>
  <c r="H26" i="100" s="1"/>
  <c r="E25" i="100"/>
  <c r="E35" i="100" s="1"/>
  <c r="H30" i="100"/>
  <c r="K42" i="100"/>
  <c r="N42" i="100" s="1"/>
  <c r="B57" i="100" s="1"/>
  <c r="L87" i="87" s="1"/>
  <c r="M87" i="87" s="1"/>
  <c r="K41" i="100"/>
  <c r="E23" i="100"/>
  <c r="X15" i="92"/>
  <c r="X22" i="92"/>
  <c r="D24" i="99"/>
  <c r="D28" i="99"/>
  <c r="G44" i="99"/>
  <c r="G43" i="99"/>
  <c r="E44" i="99"/>
  <c r="E43" i="99"/>
  <c r="C44" i="99"/>
  <c r="C43" i="99"/>
  <c r="D27" i="99"/>
  <c r="D26" i="99"/>
  <c r="C22" i="99"/>
  <c r="D22" i="99" s="1"/>
  <c r="C25" i="99"/>
  <c r="D25" i="99" s="1"/>
  <c r="G51" i="98"/>
  <c r="D68" i="98" s="1"/>
  <c r="G50" i="98"/>
  <c r="D67" i="98" s="1"/>
  <c r="G49" i="98"/>
  <c r="D66" i="98" s="1"/>
  <c r="G48" i="98"/>
  <c r="D65" i="98" s="1"/>
  <c r="E51" i="98"/>
  <c r="C68" i="98" s="1"/>
  <c r="E50" i="98"/>
  <c r="C67" i="98" s="1"/>
  <c r="E49" i="98"/>
  <c r="C66" i="98" s="1"/>
  <c r="E48" i="98"/>
  <c r="C65" i="98" s="1"/>
  <c r="C51" i="98"/>
  <c r="C50" i="98"/>
  <c r="C49" i="98"/>
  <c r="C48" i="98"/>
  <c r="H25" i="100" l="1"/>
  <c r="G40" i="100"/>
  <c r="H28" i="100"/>
  <c r="G39" i="100"/>
  <c r="D39" i="100"/>
  <c r="H27" i="100"/>
  <c r="D40" i="100"/>
  <c r="N40" i="100" s="1"/>
  <c r="B55" i="100" s="1"/>
  <c r="L81" i="87" s="1"/>
  <c r="H48" i="98"/>
  <c r="B65" i="98"/>
  <c r="B56" i="100"/>
  <c r="L73" i="87" s="1"/>
  <c r="N41" i="100"/>
  <c r="J55" i="100"/>
  <c r="H49" i="98"/>
  <c r="B66" i="98"/>
  <c r="H50" i="98"/>
  <c r="B67" i="98"/>
  <c r="H51" i="98"/>
  <c r="B68" i="98"/>
  <c r="J54" i="100"/>
  <c r="X27" i="92"/>
  <c r="AA22" i="92"/>
  <c r="H44" i="99"/>
  <c r="H43" i="99"/>
  <c r="D32" i="99"/>
  <c r="B34" i="99"/>
  <c r="E28" i="99" s="1"/>
  <c r="T3" i="98"/>
  <c r="T2" i="98"/>
  <c r="T1" i="98"/>
  <c r="B27" i="98"/>
  <c r="B25" i="98"/>
  <c r="H25" i="98" s="1"/>
  <c r="B31" i="98"/>
  <c r="B26" i="98"/>
  <c r="B33" i="98"/>
  <c r="B32" i="98"/>
  <c r="B22" i="98"/>
  <c r="O40" i="100" l="1"/>
  <c r="D57" i="89" s="1"/>
  <c r="O39" i="100"/>
  <c r="D53" i="89" s="1"/>
  <c r="B24" i="98"/>
  <c r="N39" i="100"/>
  <c r="B54" i="100" s="1"/>
  <c r="L86" i="87" s="1"/>
  <c r="M86" i="87" s="1"/>
  <c r="J43" i="99"/>
  <c r="U15" i="92"/>
  <c r="J44" i="99"/>
  <c r="V23" i="92" s="1"/>
  <c r="AA23" i="92" s="1"/>
  <c r="U23" i="92"/>
  <c r="D26" i="98"/>
  <c r="D30" i="98"/>
  <c r="D31" i="98"/>
  <c r="D33" i="98"/>
  <c r="D27" i="98"/>
  <c r="D28" i="98"/>
  <c r="D29" i="98"/>
  <c r="E22" i="99"/>
  <c r="J48" i="98"/>
  <c r="Y7" i="92"/>
  <c r="E65" i="98"/>
  <c r="V15" i="92"/>
  <c r="V27" i="92" s="1"/>
  <c r="J50" i="98"/>
  <c r="D57" i="98" s="1"/>
  <c r="Y11" i="92"/>
  <c r="E67" i="98"/>
  <c r="J51" i="98"/>
  <c r="Y18" i="92"/>
  <c r="E68" i="98"/>
  <c r="J49" i="98"/>
  <c r="D56" i="98" s="1"/>
  <c r="Y10" i="92"/>
  <c r="E66" i="98"/>
  <c r="J39" i="99"/>
  <c r="J38" i="99"/>
  <c r="E27" i="99"/>
  <c r="H27" i="99" s="1"/>
  <c r="E26" i="99"/>
  <c r="E24" i="99"/>
  <c r="E25" i="99"/>
  <c r="H25" i="99" s="1"/>
  <c r="H28" i="99"/>
  <c r="T4" i="98"/>
  <c r="P17" i="98"/>
  <c r="P16" i="98"/>
  <c r="P15" i="98"/>
  <c r="P14" i="98"/>
  <c r="P13" i="98"/>
  <c r="P12" i="98"/>
  <c r="P11" i="98"/>
  <c r="P10" i="98"/>
  <c r="P9" i="98"/>
  <c r="P8" i="98"/>
  <c r="P7" i="98"/>
  <c r="P6" i="98"/>
  <c r="P5" i="98"/>
  <c r="P4" i="98"/>
  <c r="P3" i="98"/>
  <c r="P2" i="98"/>
  <c r="Y27" i="92" l="1"/>
  <c r="D61" i="89"/>
  <c r="E53" i="89"/>
  <c r="U27" i="92"/>
  <c r="D55" i="98"/>
  <c r="Z7" i="92"/>
  <c r="D35" i="98"/>
  <c r="D58" i="98"/>
  <c r="F58" i="98" s="1"/>
  <c r="J58" i="98" s="1"/>
  <c r="Z18" i="92"/>
  <c r="Z10" i="92"/>
  <c r="E69" i="98"/>
  <c r="F68" i="98" s="1"/>
  <c r="Z11" i="92"/>
  <c r="D39" i="99"/>
  <c r="D38" i="99"/>
  <c r="H26" i="99"/>
  <c r="G39" i="99"/>
  <c r="G38" i="99"/>
  <c r="E34" i="99"/>
  <c r="H24" i="99"/>
  <c r="B37" i="98"/>
  <c r="P18" i="98"/>
  <c r="D17" i="96"/>
  <c r="J10" i="96"/>
  <c r="N39" i="99" l="1"/>
  <c r="C59" i="89" s="1"/>
  <c r="E59" i="89" s="1"/>
  <c r="N38" i="99"/>
  <c r="C57" i="89" s="1"/>
  <c r="M38" i="99"/>
  <c r="B48" i="99" s="1"/>
  <c r="K81" i="87" s="1"/>
  <c r="M81" i="87" s="1"/>
  <c r="F66" i="98"/>
  <c r="M39" i="99"/>
  <c r="B49" i="99" s="1"/>
  <c r="K85" i="87" s="1"/>
  <c r="M85" i="87" s="1"/>
  <c r="F67" i="98"/>
  <c r="F69" i="98"/>
  <c r="F65" i="98"/>
  <c r="AJ11" i="96"/>
  <c r="Z27" i="92"/>
  <c r="C48" i="99"/>
  <c r="E26" i="98"/>
  <c r="E30" i="98"/>
  <c r="H30" i="98" s="1"/>
  <c r="E29" i="98"/>
  <c r="E27" i="98"/>
  <c r="E28" i="98"/>
  <c r="H28" i="98" s="1"/>
  <c r="E31" i="98"/>
  <c r="H31" i="98" s="1"/>
  <c r="H29" i="98"/>
  <c r="E33" i="98"/>
  <c r="E24" i="98" l="1"/>
  <c r="E35" i="98" s="1"/>
  <c r="H33" i="98"/>
  <c r="B60" i="98"/>
  <c r="C49" i="99"/>
  <c r="F48" i="99"/>
  <c r="G48" i="99"/>
  <c r="E57" i="89"/>
  <c r="C61" i="89"/>
  <c r="AJ28" i="96"/>
  <c r="AK11" i="96"/>
  <c r="AK28" i="96" s="1"/>
  <c r="E37" i="98"/>
  <c r="H26" i="98"/>
  <c r="D42" i="98"/>
  <c r="D43" i="98"/>
  <c r="D41" i="98"/>
  <c r="D44" i="98"/>
  <c r="L44" i="98"/>
  <c r="B58" i="89" s="1"/>
  <c r="E58" i="89" s="1"/>
  <c r="L41" i="98"/>
  <c r="B54" i="89" s="1"/>
  <c r="L42" i="98"/>
  <c r="B55" i="89" s="1"/>
  <c r="E55" i="89" s="1"/>
  <c r="H27" i="98"/>
  <c r="L43" i="98"/>
  <c r="B56" i="89" s="1"/>
  <c r="E56" i="89" s="1"/>
  <c r="J42" i="98"/>
  <c r="J41" i="98"/>
  <c r="J44" i="98"/>
  <c r="J43" i="98"/>
  <c r="G41" i="98"/>
  <c r="G44" i="98"/>
  <c r="G43" i="98"/>
  <c r="G42" i="98"/>
  <c r="H24" i="98" l="1"/>
  <c r="H35" i="98" s="1"/>
  <c r="J48" i="99"/>
  <c r="F49" i="99"/>
  <c r="G49" i="99"/>
  <c r="B61" i="89"/>
  <c r="E54" i="89"/>
  <c r="K42" i="98"/>
  <c r="B56" i="98" s="1"/>
  <c r="K44" i="98"/>
  <c r="K41" i="98"/>
  <c r="B55" i="98" s="1"/>
  <c r="K43" i="98"/>
  <c r="B57" i="98" s="1"/>
  <c r="B58" i="98" l="1"/>
  <c r="B61" i="98" s="1"/>
  <c r="J49" i="99"/>
  <c r="F57" i="98"/>
  <c r="J57" i="98" s="1"/>
  <c r="J77" i="87"/>
  <c r="M77" i="87" s="1"/>
  <c r="K45" i="98"/>
  <c r="C56" i="98"/>
  <c r="F56" i="98" s="1"/>
  <c r="J56" i="98" s="1"/>
  <c r="J76" i="87"/>
  <c r="M76" i="87" s="1"/>
  <c r="P26" i="96"/>
  <c r="Y26" i="96"/>
  <c r="J26" i="96"/>
  <c r="D26" i="96"/>
  <c r="AE15" i="96"/>
  <c r="AE14" i="96"/>
  <c r="AE8" i="96"/>
  <c r="AE7" i="96"/>
  <c r="AB15" i="96"/>
  <c r="AB7" i="96"/>
  <c r="AB6" i="96"/>
  <c r="Y14" i="96"/>
  <c r="Y12" i="96"/>
  <c r="Y7" i="96"/>
  <c r="Y6" i="96"/>
  <c r="V12" i="96"/>
  <c r="V7" i="96"/>
  <c r="V6" i="96"/>
  <c r="S20" i="96"/>
  <c r="S13" i="96"/>
  <c r="P20" i="96"/>
  <c r="P7" i="96"/>
  <c r="P6" i="96"/>
  <c r="M20" i="96"/>
  <c r="M7" i="96"/>
  <c r="J14" i="96"/>
  <c r="J7" i="96"/>
  <c r="G20" i="96"/>
  <c r="G19" i="96"/>
  <c r="G7" i="96"/>
  <c r="G3" i="96"/>
  <c r="D14" i="96"/>
  <c r="D9" i="96"/>
  <c r="D7" i="96"/>
  <c r="D5" i="96"/>
  <c r="J84" i="87" l="1"/>
  <c r="C55" i="98"/>
  <c r="F55" i="98" s="1"/>
  <c r="J55" i="98" s="1"/>
  <c r="J73" i="87"/>
  <c r="M73" i="87" s="1"/>
  <c r="B59" i="82"/>
  <c r="D59" i="82"/>
  <c r="F59" i="82"/>
  <c r="B63" i="86"/>
  <c r="D63" i="86"/>
  <c r="F63" i="86"/>
  <c r="B62" i="88"/>
  <c r="D62" i="88"/>
  <c r="F62" i="88"/>
  <c r="F81" i="83"/>
  <c r="D81" i="83"/>
  <c r="B81" i="83"/>
  <c r="K63" i="82" l="1"/>
  <c r="K70" i="86"/>
  <c r="K71" i="86"/>
  <c r="K69" i="88"/>
  <c r="D37" i="82" l="1"/>
  <c r="C37" i="82"/>
  <c r="I44" i="82"/>
  <c r="F44" i="82"/>
  <c r="C44" i="82"/>
  <c r="I44" i="86"/>
  <c r="F44" i="86"/>
  <c r="C44" i="86"/>
  <c r="I47" i="84"/>
  <c r="F47" i="84"/>
  <c r="C47" i="84"/>
  <c r="I39" i="88"/>
  <c r="H39" i="88"/>
  <c r="F39" i="88"/>
  <c r="E39" i="88"/>
  <c r="C39" i="88"/>
  <c r="B39" i="88"/>
  <c r="C45" i="88"/>
  <c r="I58" i="83"/>
  <c r="F58" i="83"/>
  <c r="C58" i="83"/>
  <c r="D47" i="83"/>
  <c r="C47" i="83"/>
  <c r="F7" i="83" l="1"/>
  <c r="B32" i="83" l="1"/>
  <c r="E70" i="82" l="1"/>
  <c r="D70" i="82"/>
  <c r="C70" i="82"/>
  <c r="B70" i="82"/>
  <c r="A70" i="82"/>
  <c r="A71" i="82"/>
  <c r="B4" i="97" s="1"/>
  <c r="A72" i="82"/>
  <c r="B3" i="97" s="1"/>
  <c r="A73" i="82"/>
  <c r="B5" i="97" s="1"/>
  <c r="E76" i="86"/>
  <c r="D76" i="86"/>
  <c r="C76" i="86"/>
  <c r="B76" i="86"/>
  <c r="A76" i="86"/>
  <c r="A77" i="86"/>
  <c r="B28" i="97" s="1"/>
  <c r="A78" i="86"/>
  <c r="B26" i="97" s="1"/>
  <c r="A79" i="86"/>
  <c r="B29" i="97" s="1"/>
  <c r="A80" i="86"/>
  <c r="B25" i="97" s="1"/>
  <c r="A81" i="86"/>
  <c r="B27" i="97" s="1"/>
  <c r="E91" i="84"/>
  <c r="D91" i="84"/>
  <c r="D99" i="84"/>
  <c r="E15" i="97" s="1"/>
  <c r="C91" i="84"/>
  <c r="B91" i="84"/>
  <c r="A91" i="84"/>
  <c r="A92" i="84"/>
  <c r="B16" i="97" s="1"/>
  <c r="A93" i="84"/>
  <c r="B19" i="97" s="1"/>
  <c r="A94" i="84"/>
  <c r="B20" i="97" s="1"/>
  <c r="A95" i="84"/>
  <c r="B18" i="97" s="1"/>
  <c r="A96" i="84"/>
  <c r="B13" i="97" s="1"/>
  <c r="A97" i="84"/>
  <c r="B17" i="97" s="1"/>
  <c r="A98" i="84"/>
  <c r="B14" i="97" s="1"/>
  <c r="A99" i="84"/>
  <c r="B15" i="97" s="1"/>
  <c r="A100" i="84"/>
  <c r="E75" i="88"/>
  <c r="D75" i="88"/>
  <c r="C75" i="88"/>
  <c r="B75" i="88"/>
  <c r="A75" i="88"/>
  <c r="A76" i="88"/>
  <c r="B24" i="97" s="1"/>
  <c r="A77" i="88"/>
  <c r="B21" i="97" s="1"/>
  <c r="A78" i="88"/>
  <c r="B22" i="97" s="1"/>
  <c r="A79" i="88"/>
  <c r="B23" i="97" s="1"/>
  <c r="A80" i="88"/>
  <c r="A98" i="83"/>
  <c r="B98" i="83"/>
  <c r="C98" i="83"/>
  <c r="D98" i="83"/>
  <c r="F98" i="83"/>
  <c r="A99" i="83"/>
  <c r="B8" i="97" s="1"/>
  <c r="A100" i="83"/>
  <c r="B9" i="97" s="1"/>
  <c r="A101" i="83"/>
  <c r="B7" i="97" s="1"/>
  <c r="A102" i="83"/>
  <c r="B11" i="97" s="1"/>
  <c r="A103" i="83"/>
  <c r="B12" i="97" s="1"/>
  <c r="A104" i="83"/>
  <c r="B10" i="97" s="1"/>
  <c r="A105" i="83"/>
  <c r="B6" i="97" s="1"/>
  <c r="A106" i="83"/>
  <c r="H36" i="82" l="1"/>
  <c r="I34" i="82" s="1"/>
  <c r="H32" i="86"/>
  <c r="I31" i="86" s="1"/>
  <c r="J31" i="86" s="1"/>
  <c r="H45" i="83"/>
  <c r="I41" i="83" l="1"/>
  <c r="J41" i="83" s="1"/>
  <c r="N41" i="83"/>
  <c r="N42" i="83" s="1"/>
  <c r="J34" i="82"/>
  <c r="I35" i="82"/>
  <c r="J35" i="82" s="1"/>
  <c r="I42" i="83"/>
  <c r="J42" i="83" s="1"/>
  <c r="I43" i="83"/>
  <c r="J43" i="83" s="1"/>
  <c r="I40" i="83"/>
  <c r="I44" i="83"/>
  <c r="J44" i="83" s="1"/>
  <c r="I30" i="86"/>
  <c r="F72" i="84"/>
  <c r="F70" i="84"/>
  <c r="F69" i="84"/>
  <c r="F68" i="84"/>
  <c r="F67" i="84"/>
  <c r="F66" i="84"/>
  <c r="F65" i="84"/>
  <c r="D72" i="84"/>
  <c r="D71" i="84"/>
  <c r="D70" i="84"/>
  <c r="D69" i="84"/>
  <c r="D68" i="84"/>
  <c r="D67" i="84"/>
  <c r="D66" i="84"/>
  <c r="D65" i="84"/>
  <c r="B72" i="84"/>
  <c r="B71" i="84"/>
  <c r="B70" i="84"/>
  <c r="B69" i="84"/>
  <c r="B68" i="84"/>
  <c r="B67" i="84"/>
  <c r="B66" i="84"/>
  <c r="B65" i="84"/>
  <c r="N44" i="83" l="1"/>
  <c r="N43" i="83"/>
  <c r="B73" i="84"/>
  <c r="D73" i="84"/>
  <c r="F73" i="84"/>
  <c r="J30" i="86"/>
  <c r="J32" i="86" s="1"/>
  <c r="I32" i="86"/>
  <c r="I36" i="82"/>
  <c r="J36" i="82"/>
  <c r="I45" i="83"/>
  <c r="J40" i="83"/>
  <c r="J45" i="83" s="1"/>
  <c r="J8" i="82" l="1"/>
  <c r="J5" i="82"/>
  <c r="G18" i="82"/>
  <c r="G17" i="82"/>
  <c r="G16" i="82"/>
  <c r="G14" i="82"/>
  <c r="G13" i="82"/>
  <c r="G12" i="82"/>
  <c r="G11" i="82"/>
  <c r="G9" i="82"/>
  <c r="G7" i="82" s="1"/>
  <c r="E65" i="82" l="1"/>
  <c r="E64" i="82"/>
  <c r="I57" i="82"/>
  <c r="I56" i="82"/>
  <c r="I58" i="82"/>
  <c r="E70" i="86"/>
  <c r="E86" i="84"/>
  <c r="E85" i="84"/>
  <c r="E83" i="84"/>
  <c r="E82" i="84"/>
  <c r="E80" i="84"/>
  <c r="E93" i="83"/>
  <c r="E87" i="83"/>
  <c r="E28" i="96"/>
  <c r="F28" i="96"/>
  <c r="G28" i="96"/>
  <c r="H28" i="96"/>
  <c r="K28" i="96"/>
  <c r="N28" i="96"/>
  <c r="Q28" i="96"/>
  <c r="W28" i="96"/>
  <c r="Z28" i="96"/>
  <c r="AC28" i="96"/>
  <c r="AF28" i="96"/>
  <c r="AG28" i="96"/>
  <c r="AH28" i="96"/>
  <c r="B28" i="96"/>
  <c r="E87" i="84" l="1"/>
  <c r="E66" i="82"/>
  <c r="E72" i="86"/>
  <c r="E94" i="83"/>
  <c r="F20" i="92" l="1"/>
  <c r="F19" i="92"/>
  <c r="F17" i="92"/>
  <c r="F15" i="92"/>
  <c r="F14" i="92"/>
  <c r="F13" i="92"/>
  <c r="F8" i="92"/>
  <c r="F6" i="92"/>
  <c r="F5" i="92"/>
  <c r="D20" i="92"/>
  <c r="D18" i="92"/>
  <c r="D17" i="92"/>
  <c r="D16" i="92"/>
  <c r="D15" i="92"/>
  <c r="D12" i="92"/>
  <c r="F12" i="92" s="1"/>
  <c r="D9" i="92"/>
  <c r="D6" i="92"/>
  <c r="D4" i="92"/>
  <c r="I14" i="90"/>
  <c r="H47" i="84" l="1"/>
  <c r="E47" i="84"/>
  <c r="B47" i="84" l="1"/>
  <c r="I44" i="95" l="1"/>
  <c r="H37" i="95"/>
  <c r="I37" i="95" s="1"/>
  <c r="F37" i="95"/>
  <c r="F36" i="95"/>
  <c r="G36" i="95" s="1"/>
  <c r="H36" i="95" s="1"/>
  <c r="I36" i="95" s="1"/>
  <c r="F35" i="95"/>
  <c r="F34" i="95"/>
  <c r="G34" i="95" s="1"/>
  <c r="H34" i="95" s="1"/>
  <c r="I34" i="95" s="1"/>
  <c r="F33" i="95"/>
  <c r="G33" i="95" s="1"/>
  <c r="H33" i="95" s="1"/>
  <c r="I33" i="95" s="1"/>
  <c r="F32" i="95"/>
  <c r="G32" i="95" s="1"/>
  <c r="H32" i="95" s="1"/>
  <c r="I32" i="95" s="1"/>
  <c r="F31" i="95"/>
  <c r="G31" i="95" s="1"/>
  <c r="H31" i="95" s="1"/>
  <c r="I31" i="95" s="1"/>
  <c r="F30" i="95"/>
  <c r="G30" i="95" s="1"/>
  <c r="H30" i="95" s="1"/>
  <c r="I30" i="95" s="1"/>
  <c r="F29" i="95"/>
  <c r="G29" i="95" s="1"/>
  <c r="H29" i="95" s="1"/>
  <c r="I29" i="95" s="1"/>
  <c r="F28" i="95"/>
  <c r="F27" i="95"/>
  <c r="G27" i="95" s="1"/>
  <c r="H27" i="95" s="1"/>
  <c r="I27" i="95" s="1"/>
  <c r="F26" i="95"/>
  <c r="G26" i="95" s="1"/>
  <c r="H26" i="95" s="1"/>
  <c r="I26" i="95" s="1"/>
  <c r="F25" i="95"/>
  <c r="G25" i="95" s="1"/>
  <c r="H25" i="95" s="1"/>
  <c r="I25" i="95" s="1"/>
  <c r="F24" i="95"/>
  <c r="G24" i="95" s="1"/>
  <c r="H24" i="95" s="1"/>
  <c r="I24" i="95" s="1"/>
  <c r="F23" i="95"/>
  <c r="G23" i="95" s="1"/>
  <c r="H23" i="95" s="1"/>
  <c r="I23" i="95" s="1"/>
  <c r="F22" i="95"/>
  <c r="G22" i="95" s="1"/>
  <c r="H22" i="95" s="1"/>
  <c r="I22" i="95" s="1"/>
  <c r="F21" i="95"/>
  <c r="G21" i="95" s="1"/>
  <c r="H21" i="95" s="1"/>
  <c r="I21" i="95" s="1"/>
  <c r="F20" i="95"/>
  <c r="G20" i="95" s="1"/>
  <c r="H20" i="95" s="1"/>
  <c r="I20" i="95" s="1"/>
  <c r="G35" i="95"/>
  <c r="H35" i="95" s="1"/>
  <c r="I35" i="95" s="1"/>
  <c r="G28" i="95"/>
  <c r="H28" i="95" s="1"/>
  <c r="I28" i="95" s="1"/>
  <c r="J32" i="95" l="1"/>
  <c r="J36" i="95"/>
  <c r="J37" i="95"/>
  <c r="G73" i="95"/>
  <c r="G98" i="95"/>
  <c r="J34" i="95"/>
  <c r="G86" i="95"/>
  <c r="G64" i="95"/>
  <c r="J22" i="95"/>
  <c r="G90" i="95"/>
  <c r="G105" i="95"/>
  <c r="G80" i="95"/>
  <c r="G65" i="95"/>
  <c r="J26" i="95"/>
  <c r="G84" i="95"/>
  <c r="G62" i="95"/>
  <c r="G100" i="95"/>
  <c r="G75" i="95"/>
  <c r="G82" i="95"/>
  <c r="G92" i="95"/>
  <c r="G107" i="95"/>
  <c r="G67" i="95"/>
  <c r="G69" i="95"/>
  <c r="G94" i="95"/>
  <c r="J30" i="95"/>
  <c r="G106" i="95"/>
  <c r="G91" i="95"/>
  <c r="G66" i="95"/>
  <c r="J27" i="95"/>
  <c r="G70" i="95"/>
  <c r="G95" i="95"/>
  <c r="J31" i="95"/>
  <c r="G63" i="95"/>
  <c r="G85" i="95"/>
  <c r="G87" i="95"/>
  <c r="G77" i="95"/>
  <c r="G102" i="95"/>
  <c r="J23" i="95"/>
  <c r="G88" i="95"/>
  <c r="G78" i="95"/>
  <c r="L63" i="95" s="1"/>
  <c r="G103" i="95"/>
  <c r="J24" i="95"/>
  <c r="J28" i="95"/>
  <c r="G71" i="95"/>
  <c r="G96" i="95"/>
  <c r="G104" i="95"/>
  <c r="G89" i="95"/>
  <c r="G79" i="95"/>
  <c r="M63" i="95" s="1"/>
  <c r="G68" i="95"/>
  <c r="G93" i="95"/>
  <c r="G97" i="95"/>
  <c r="G72" i="95"/>
  <c r="G99" i="95"/>
  <c r="G74" i="95"/>
  <c r="G81" i="95"/>
  <c r="J35" i="95"/>
  <c r="G76" i="95"/>
  <c r="G101" i="95"/>
  <c r="G83" i="95"/>
  <c r="J20" i="95"/>
  <c r="J21" i="95"/>
  <c r="J25" i="95"/>
  <c r="J29" i="95"/>
  <c r="J33" i="95"/>
  <c r="G58" i="95"/>
  <c r="G57" i="95"/>
  <c r="G56" i="95"/>
  <c r="G55" i="95"/>
  <c r="G54" i="95"/>
  <c r="G53" i="95"/>
  <c r="E58" i="95"/>
  <c r="E57" i="95"/>
  <c r="E56" i="95"/>
  <c r="E55" i="95"/>
  <c r="E54" i="95"/>
  <c r="E53" i="95"/>
  <c r="C58" i="95"/>
  <c r="C57" i="95"/>
  <c r="C56" i="95"/>
  <c r="C55" i="95"/>
  <c r="C54" i="95"/>
  <c r="C53" i="95"/>
  <c r="K63" i="95" l="1"/>
  <c r="K65" i="95"/>
  <c r="M65" i="95"/>
  <c r="L64" i="95"/>
  <c r="K64" i="95"/>
  <c r="M64" i="95"/>
  <c r="L65" i="95"/>
  <c r="N65" i="95"/>
  <c r="L72" i="95" s="1"/>
  <c r="M72" i="95" s="1"/>
  <c r="L62" i="95"/>
  <c r="N63" i="95"/>
  <c r="L70" i="95" s="1"/>
  <c r="M70" i="95" s="1"/>
  <c r="K62" i="95"/>
  <c r="G108" i="95"/>
  <c r="M62" i="95"/>
  <c r="F22" i="82"/>
  <c r="F23" i="82" s="1"/>
  <c r="H18" i="82"/>
  <c r="H17" i="82"/>
  <c r="E20" i="86"/>
  <c r="B20" i="86"/>
  <c r="B22" i="86" s="1"/>
  <c r="I17" i="82" l="1"/>
  <c r="K35" i="82" s="1"/>
  <c r="D50" i="82" s="1"/>
  <c r="K65" i="82" s="1"/>
  <c r="N62" i="95"/>
  <c r="L69" i="95" s="1"/>
  <c r="I18" i="82"/>
  <c r="J18" i="82" s="1"/>
  <c r="N64" i="95"/>
  <c r="L71" i="95" s="1"/>
  <c r="M71" i="95" s="1"/>
  <c r="J17" i="82" l="1"/>
  <c r="L35" i="82" s="1"/>
  <c r="D29" i="89" s="1"/>
  <c r="K34" i="82"/>
  <c r="D49" i="82" s="1"/>
  <c r="N66" i="95"/>
  <c r="M69" i="95"/>
  <c r="L73" i="95"/>
  <c r="L34" i="82"/>
  <c r="D24" i="89" s="1"/>
  <c r="F18" i="86"/>
  <c r="F17" i="86"/>
  <c r="F28" i="83"/>
  <c r="F27" i="83"/>
  <c r="K64" i="82" l="1"/>
  <c r="K66" i="82" s="1"/>
  <c r="G28" i="83"/>
  <c r="G27" i="83"/>
  <c r="G17" i="86"/>
  <c r="G18" i="86"/>
  <c r="H58" i="83" l="1"/>
  <c r="E58" i="83"/>
  <c r="B58" i="83"/>
  <c r="B47" i="83"/>
  <c r="B37" i="82" l="1"/>
  <c r="H44" i="82"/>
  <c r="E44" i="82"/>
  <c r="B44" i="82"/>
  <c r="H44" i="86" l="1"/>
  <c r="E44" i="86"/>
  <c r="B44" i="86"/>
  <c r="E19" i="87" l="1"/>
  <c r="D19" i="87"/>
  <c r="C19" i="87"/>
  <c r="D9" i="90" l="1"/>
  <c r="H28" i="90" s="1"/>
  <c r="D7" i="90"/>
  <c r="H18" i="90" s="1"/>
  <c r="H20" i="90" s="1"/>
  <c r="J20" i="90" s="1"/>
  <c r="D5" i="90"/>
  <c r="H36" i="90" s="1"/>
  <c r="J36" i="90" s="1"/>
  <c r="D3" i="90"/>
  <c r="H46" i="90" s="1"/>
  <c r="S10" i="92" l="1"/>
  <c r="J46" i="90"/>
  <c r="H15" i="90"/>
  <c r="Q10" i="92"/>
  <c r="R10" i="92" s="1"/>
  <c r="O11" i="96" s="1"/>
  <c r="H25" i="90"/>
  <c r="O16" i="92"/>
  <c r="J18" i="90"/>
  <c r="H29" i="90"/>
  <c r="M11" i="92"/>
  <c r="N11" i="92" s="1"/>
  <c r="J28" i="90"/>
  <c r="H47" i="90"/>
  <c r="H16" i="90"/>
  <c r="J16" i="90" s="1"/>
  <c r="J21" i="90" s="1"/>
  <c r="H26" i="90"/>
  <c r="H34" i="90"/>
  <c r="H38" i="90"/>
  <c r="H48" i="90"/>
  <c r="H37" i="90"/>
  <c r="H17" i="90"/>
  <c r="H35" i="90"/>
  <c r="H39" i="90"/>
  <c r="Q16" i="92" s="1"/>
  <c r="H49" i="90"/>
  <c r="H27" i="90"/>
  <c r="H14" i="90"/>
  <c r="Q21" i="92" l="1"/>
  <c r="R21" i="92" s="1"/>
  <c r="AA21" i="92" s="1"/>
  <c r="H41" i="90"/>
  <c r="J41" i="90" s="1"/>
  <c r="J42" i="90" s="1"/>
  <c r="Q26" i="92"/>
  <c r="R26" i="92" s="1"/>
  <c r="P16" i="92"/>
  <c r="O26" i="92"/>
  <c r="P26" i="92" s="1"/>
  <c r="P11" i="96"/>
  <c r="T10" i="92"/>
  <c r="R11" i="96" s="1"/>
  <c r="H50" i="90"/>
  <c r="O6" i="92"/>
  <c r="J14" i="90"/>
  <c r="H19" i="90"/>
  <c r="M10" i="92"/>
  <c r="N10" i="92" s="1"/>
  <c r="AD11" i="96" s="1"/>
  <c r="J27" i="90"/>
  <c r="S16" i="92"/>
  <c r="T16" i="92" s="1"/>
  <c r="J49" i="90"/>
  <c r="J37" i="90"/>
  <c r="O18" i="96" s="1"/>
  <c r="P18" i="96" s="1"/>
  <c r="M20" i="92"/>
  <c r="N20" i="92" s="1"/>
  <c r="AA20" i="92" s="1"/>
  <c r="J26" i="90"/>
  <c r="O7" i="92"/>
  <c r="P7" i="92" s="1"/>
  <c r="J15" i="90"/>
  <c r="R16" i="92"/>
  <c r="J39" i="90"/>
  <c r="S15" i="92"/>
  <c r="T15" i="92" s="1"/>
  <c r="J48" i="90"/>
  <c r="O10" i="92"/>
  <c r="P10" i="92" s="1"/>
  <c r="X11" i="96" s="1"/>
  <c r="M7" i="92"/>
  <c r="J25" i="90"/>
  <c r="H30" i="90"/>
  <c r="J38" i="90"/>
  <c r="Q15" i="92"/>
  <c r="R15" i="92" s="1"/>
  <c r="M12" i="92"/>
  <c r="N12" i="92" s="1"/>
  <c r="J29" i="90"/>
  <c r="Q7" i="92"/>
  <c r="R7" i="92" s="1"/>
  <c r="J35" i="90"/>
  <c r="O11" i="92"/>
  <c r="P11" i="92" s="1"/>
  <c r="J17" i="90"/>
  <c r="Q6" i="92"/>
  <c r="J34" i="90"/>
  <c r="H40" i="90"/>
  <c r="S21" i="92"/>
  <c r="J47" i="90"/>
  <c r="B19" i="84"/>
  <c r="F19" i="84"/>
  <c r="H11" i="84" s="1"/>
  <c r="J50" i="90" l="1"/>
  <c r="S11" i="96"/>
  <c r="S28" i="96" s="1"/>
  <c r="R28" i="96"/>
  <c r="O28" i="96"/>
  <c r="Y11" i="96"/>
  <c r="Y28" i="96" s="1"/>
  <c r="X28" i="96"/>
  <c r="P28" i="96"/>
  <c r="AE11" i="96"/>
  <c r="AE28" i="96" s="1"/>
  <c r="AD28" i="96"/>
  <c r="T27" i="92"/>
  <c r="R6" i="92"/>
  <c r="R27" i="92" s="1"/>
  <c r="Q27" i="92"/>
  <c r="P6" i="92"/>
  <c r="P27" i="92" s="1"/>
  <c r="O27" i="92"/>
  <c r="N7" i="92"/>
  <c r="N27" i="92" s="1"/>
  <c r="M27" i="92"/>
  <c r="S27" i="92"/>
  <c r="J40" i="90"/>
  <c r="J19" i="90"/>
  <c r="J30" i="90"/>
  <c r="F21" i="84"/>
  <c r="F22" i="84" s="1"/>
  <c r="G58" i="82" l="1"/>
  <c r="D73" i="82" s="1"/>
  <c r="E5" i="97" s="1"/>
  <c r="G57" i="82"/>
  <c r="D72" i="82" s="1"/>
  <c r="E3" i="97" s="1"/>
  <c r="G56" i="82"/>
  <c r="D71" i="82" s="1"/>
  <c r="E4" i="97" s="1"/>
  <c r="E58" i="82"/>
  <c r="C73" i="82" s="1"/>
  <c r="D5" i="97" s="1"/>
  <c r="E57" i="82"/>
  <c r="C72" i="82" s="1"/>
  <c r="D3" i="97" s="1"/>
  <c r="E56" i="82"/>
  <c r="C71" i="82" s="1"/>
  <c r="D4" i="97" s="1"/>
  <c r="C58" i="82"/>
  <c r="B73" i="82" s="1"/>
  <c r="C5" i="97" s="1"/>
  <c r="C57" i="82"/>
  <c r="B72" i="82" s="1"/>
  <c r="C3" i="97" s="1"/>
  <c r="C56" i="82"/>
  <c r="B71" i="82" s="1"/>
  <c r="C4" i="97" s="1"/>
  <c r="G80" i="83"/>
  <c r="D105" i="83" s="1"/>
  <c r="E6" i="97" s="1"/>
  <c r="G79" i="83"/>
  <c r="D104" i="83" s="1"/>
  <c r="E10" i="97" s="1"/>
  <c r="G78" i="83"/>
  <c r="D103" i="83" s="1"/>
  <c r="E12" i="97" s="1"/>
  <c r="G77" i="83"/>
  <c r="D102" i="83" s="1"/>
  <c r="E11" i="97" s="1"/>
  <c r="G76" i="83"/>
  <c r="D101" i="83" s="1"/>
  <c r="E7" i="97" s="1"/>
  <c r="G75" i="83"/>
  <c r="D100" i="83" s="1"/>
  <c r="E9" i="97" s="1"/>
  <c r="G74" i="83"/>
  <c r="D99" i="83" s="1"/>
  <c r="E8" i="97" s="1"/>
  <c r="E80" i="83"/>
  <c r="C105" i="83" s="1"/>
  <c r="D6" i="97" s="1"/>
  <c r="E79" i="83"/>
  <c r="C104" i="83" s="1"/>
  <c r="D10" i="97" s="1"/>
  <c r="E78" i="83"/>
  <c r="C103" i="83" s="1"/>
  <c r="D12" i="97" s="1"/>
  <c r="E77" i="83"/>
  <c r="C102" i="83" s="1"/>
  <c r="D11" i="97" s="1"/>
  <c r="E76" i="83"/>
  <c r="C101" i="83" s="1"/>
  <c r="D7" i="97" s="1"/>
  <c r="E75" i="83"/>
  <c r="C100" i="83" s="1"/>
  <c r="D9" i="97" s="1"/>
  <c r="E74" i="83"/>
  <c r="C99" i="83" s="1"/>
  <c r="D8" i="97" s="1"/>
  <c r="C80" i="83"/>
  <c r="B105" i="83" s="1"/>
  <c r="C6" i="97" s="1"/>
  <c r="C79" i="83"/>
  <c r="B104" i="83" s="1"/>
  <c r="C10" i="97" s="1"/>
  <c r="C78" i="83"/>
  <c r="B103" i="83" s="1"/>
  <c r="C12" i="97" s="1"/>
  <c r="C77" i="83"/>
  <c r="B102" i="83" s="1"/>
  <c r="C11" i="97" s="1"/>
  <c r="C76" i="83"/>
  <c r="B101" i="83" s="1"/>
  <c r="C7" i="97" s="1"/>
  <c r="C75" i="83"/>
  <c r="B100" i="83" s="1"/>
  <c r="C9" i="97" s="1"/>
  <c r="C74" i="83"/>
  <c r="B99" i="83" s="1"/>
  <c r="C8" i="97" s="1"/>
  <c r="E7" i="92" l="1"/>
  <c r="F7" i="92" s="1"/>
  <c r="E16" i="92"/>
  <c r="F16" i="92" s="1"/>
  <c r="AA16" i="92" s="1"/>
  <c r="H57" i="82"/>
  <c r="H58" i="82"/>
  <c r="H56" i="82"/>
  <c r="E71" i="82" s="1"/>
  <c r="F4" i="97" s="1"/>
  <c r="G81" i="83"/>
  <c r="D106" i="83" s="1"/>
  <c r="E81" i="83"/>
  <c r="C106" i="83" s="1"/>
  <c r="F99" i="83"/>
  <c r="F8" i="97" s="1"/>
  <c r="C81" i="83"/>
  <c r="B106" i="83" s="1"/>
  <c r="E9" i="92"/>
  <c r="F9" i="92" s="1"/>
  <c r="AA9" i="92" s="1"/>
  <c r="E18" i="92"/>
  <c r="F18" i="92" l="1"/>
  <c r="J82" i="83"/>
  <c r="L82" i="83" s="1"/>
  <c r="G15" i="92"/>
  <c r="H15" i="92" s="1"/>
  <c r="AA15" i="92" s="1"/>
  <c r="E73" i="82"/>
  <c r="G10" i="92"/>
  <c r="H10" i="92" s="1"/>
  <c r="L11" i="96" s="1"/>
  <c r="E72" i="82"/>
  <c r="L80" i="83"/>
  <c r="M80" i="83" s="1"/>
  <c r="F105" i="83"/>
  <c r="F6" i="97" s="1"/>
  <c r="L79" i="83"/>
  <c r="M79" i="83" s="1"/>
  <c r="F104" i="83"/>
  <c r="F10" i="97" s="1"/>
  <c r="L78" i="83"/>
  <c r="M78" i="83" s="1"/>
  <c r="D91" i="83" s="1"/>
  <c r="F103" i="83"/>
  <c r="F12" i="97" s="1"/>
  <c r="L77" i="83"/>
  <c r="M77" i="83" s="1"/>
  <c r="F102" i="83"/>
  <c r="F11" i="97" s="1"/>
  <c r="L76" i="83"/>
  <c r="M76" i="83" s="1"/>
  <c r="F101" i="83"/>
  <c r="F7" i="97" s="1"/>
  <c r="L75" i="83"/>
  <c r="M75" i="83" s="1"/>
  <c r="D88" i="83" s="1"/>
  <c r="F100" i="83"/>
  <c r="F9" i="97" s="1"/>
  <c r="E10" i="92"/>
  <c r="F10" i="92" s="1"/>
  <c r="I11" i="96" s="1"/>
  <c r="J11" i="96" s="1"/>
  <c r="J57" i="82"/>
  <c r="D64" i="82" s="1"/>
  <c r="J58" i="82"/>
  <c r="D65" i="82" s="1"/>
  <c r="E11" i="92"/>
  <c r="F11" i="92" s="1"/>
  <c r="G7" i="92"/>
  <c r="G27" i="92" s="1"/>
  <c r="J56" i="82"/>
  <c r="D63" i="82" s="1"/>
  <c r="J81" i="83"/>
  <c r="F106" i="83" s="1"/>
  <c r="L74" i="83"/>
  <c r="M74" i="83" s="1"/>
  <c r="E4" i="92"/>
  <c r="D90" i="83" l="1"/>
  <c r="D66" i="82"/>
  <c r="M11" i="96"/>
  <c r="M28" i="96" s="1"/>
  <c r="L28" i="96"/>
  <c r="F4" i="92"/>
  <c r="E26" i="92"/>
  <c r="F26" i="92" s="1"/>
  <c r="AA18" i="92"/>
  <c r="I24" i="96"/>
  <c r="E27" i="92"/>
  <c r="F5" i="97"/>
  <c r="F3" i="97"/>
  <c r="G100" i="83"/>
  <c r="G9" i="97" s="1"/>
  <c r="G106" i="83"/>
  <c r="G99" i="83"/>
  <c r="G8" i="97" s="1"/>
  <c r="G103" i="83"/>
  <c r="G12" i="97" s="1"/>
  <c r="G105" i="83"/>
  <c r="G6" i="97" s="1"/>
  <c r="G102" i="83"/>
  <c r="G11" i="97" s="1"/>
  <c r="G104" i="83"/>
  <c r="G10" i="97" s="1"/>
  <c r="G101" i="83"/>
  <c r="G7" i="97" s="1"/>
  <c r="D92" i="83"/>
  <c r="D89" i="83"/>
  <c r="D93" i="83"/>
  <c r="L81" i="83"/>
  <c r="D87" i="83"/>
  <c r="H7" i="92"/>
  <c r="H27" i="92" s="1"/>
  <c r="AA4" i="92" l="1"/>
  <c r="F27" i="92"/>
  <c r="J24" i="96"/>
  <c r="J28" i="96" s="1"/>
  <c r="I28" i="96"/>
  <c r="D94" i="83"/>
  <c r="F20" i="88"/>
  <c r="G20" i="88" s="1"/>
  <c r="F19" i="88"/>
  <c r="G19" i="88" s="1"/>
  <c r="F18" i="88"/>
  <c r="G18" i="88" s="1"/>
  <c r="F17" i="88"/>
  <c r="G17" i="88" s="1"/>
  <c r="F15" i="88"/>
  <c r="F22" i="88"/>
  <c r="F14" i="88"/>
  <c r="F11" i="88"/>
  <c r="J11" i="88" s="1"/>
  <c r="F10" i="88"/>
  <c r="G10" i="88" s="1"/>
  <c r="F8" i="88"/>
  <c r="J14" i="88" l="1"/>
  <c r="G13" i="88"/>
  <c r="F25" i="88"/>
  <c r="C59" i="88"/>
  <c r="B77" i="88" s="1"/>
  <c r="C21" i="97" s="1"/>
  <c r="C58" i="88"/>
  <c r="B76" i="88" s="1"/>
  <c r="C24" i="97" s="1"/>
  <c r="C60" i="88"/>
  <c r="B78" i="88" s="1"/>
  <c r="C22" i="97" s="1"/>
  <c r="C61" i="88"/>
  <c r="B79" i="88" s="1"/>
  <c r="C23" i="97" s="1"/>
  <c r="E59" i="88"/>
  <c r="C77" i="88" s="1"/>
  <c r="D21" i="97" s="1"/>
  <c r="E60" i="88"/>
  <c r="C78" i="88" s="1"/>
  <c r="D22" i="97" s="1"/>
  <c r="E58" i="88"/>
  <c r="C76" i="88" s="1"/>
  <c r="D24" i="97" s="1"/>
  <c r="E61" i="88"/>
  <c r="C79" i="88" s="1"/>
  <c r="D23" i="97" s="1"/>
  <c r="G59" i="88"/>
  <c r="D77" i="88" s="1"/>
  <c r="E21" i="97" s="1"/>
  <c r="G58" i="88"/>
  <c r="D76" i="88" s="1"/>
  <c r="E24" i="97" s="1"/>
  <c r="G60" i="88"/>
  <c r="D78" i="88" s="1"/>
  <c r="E22" i="97" s="1"/>
  <c r="G61" i="88"/>
  <c r="D79" i="88" s="1"/>
  <c r="E23" i="97" s="1"/>
  <c r="F27" i="88"/>
  <c r="F28" i="88" s="1"/>
  <c r="G15" i="88"/>
  <c r="G8" i="88"/>
  <c r="G22" i="88"/>
  <c r="E62" i="88" l="1"/>
  <c r="C80" i="88" s="1"/>
  <c r="G62" i="88"/>
  <c r="D80" i="88" s="1"/>
  <c r="C62" i="88"/>
  <c r="B80" i="88" s="1"/>
  <c r="H22" i="88"/>
  <c r="I22" i="88" s="1"/>
  <c r="J22" i="88" s="1"/>
  <c r="H61" i="88"/>
  <c r="E79" i="88" s="1"/>
  <c r="F23" i="97" s="1"/>
  <c r="H60" i="88"/>
  <c r="E78" i="88" s="1"/>
  <c r="F22" i="97" s="1"/>
  <c r="H20" i="88"/>
  <c r="I20" i="88" s="1"/>
  <c r="J20" i="88" s="1"/>
  <c r="H58" i="88"/>
  <c r="E76" i="88" s="1"/>
  <c r="F24" i="97" s="1"/>
  <c r="H59" i="88"/>
  <c r="E77" i="88" s="1"/>
  <c r="F21" i="97" s="1"/>
  <c r="H10" i="88"/>
  <c r="I10" i="88" s="1"/>
  <c r="J10" i="88" s="1"/>
  <c r="H8" i="88"/>
  <c r="H15" i="88"/>
  <c r="I15" i="88" s="1"/>
  <c r="H19" i="88"/>
  <c r="I19" i="88" s="1"/>
  <c r="H18" i="88"/>
  <c r="I18" i="88" s="1"/>
  <c r="H17" i="88"/>
  <c r="I17" i="88" s="1"/>
  <c r="B27" i="88"/>
  <c r="D25" i="88"/>
  <c r="J15" i="88" l="1"/>
  <c r="I13" i="88"/>
  <c r="D43" i="88"/>
  <c r="E60" i="87" s="1"/>
  <c r="K6" i="92"/>
  <c r="H62" i="88"/>
  <c r="E80" i="88" s="1"/>
  <c r="F80" i="88" s="1"/>
  <c r="J58" i="88"/>
  <c r="D66" i="88" s="1"/>
  <c r="D44" i="88"/>
  <c r="J36" i="88"/>
  <c r="K10" i="92"/>
  <c r="L10" i="92" s="1"/>
  <c r="U11" i="96" s="1"/>
  <c r="J60" i="88"/>
  <c r="D68" i="88" s="1"/>
  <c r="J37" i="88"/>
  <c r="K7" i="92"/>
  <c r="L7" i="92" s="1"/>
  <c r="J59" i="88"/>
  <c r="D67" i="88" s="1"/>
  <c r="K17" i="92"/>
  <c r="L17" i="92" s="1"/>
  <c r="J61" i="88"/>
  <c r="D69" i="88" s="1"/>
  <c r="J38" i="88"/>
  <c r="J35" i="88"/>
  <c r="E43" i="88"/>
  <c r="E23" i="89" s="1"/>
  <c r="E44" i="88"/>
  <c r="E24" i="89" s="1"/>
  <c r="J19" i="88"/>
  <c r="G38" i="88"/>
  <c r="G37" i="88"/>
  <c r="G36" i="88"/>
  <c r="G35" i="88"/>
  <c r="H28" i="88"/>
  <c r="J18" i="88"/>
  <c r="D38" i="88"/>
  <c r="D37" i="88"/>
  <c r="D36" i="88"/>
  <c r="D35" i="88"/>
  <c r="I8" i="88"/>
  <c r="I27" i="88" s="1"/>
  <c r="D71" i="88" l="1"/>
  <c r="J17" i="88"/>
  <c r="J13" i="88" s="1"/>
  <c r="V11" i="96"/>
  <c r="V28" i="96" s="1"/>
  <c r="U28" i="96"/>
  <c r="L6" i="92"/>
  <c r="L27" i="92" s="1"/>
  <c r="K27" i="92"/>
  <c r="D45" i="88"/>
  <c r="C50" i="88"/>
  <c r="K66" i="88" s="1"/>
  <c r="I71" i="88"/>
  <c r="F79" i="88"/>
  <c r="G23" i="97" s="1"/>
  <c r="F77" i="88"/>
  <c r="G21" i="97" s="1"/>
  <c r="F78" i="88"/>
  <c r="G22" i="97" s="1"/>
  <c r="F76" i="88"/>
  <c r="G24" i="97" s="1"/>
  <c r="C52" i="88"/>
  <c r="E61" i="87"/>
  <c r="J62" i="88"/>
  <c r="J39" i="88"/>
  <c r="E45" i="88"/>
  <c r="K35" i="88"/>
  <c r="F42" i="87" s="1"/>
  <c r="F72" i="87" s="1"/>
  <c r="D39" i="88"/>
  <c r="L35" i="88"/>
  <c r="F6" i="89" s="1"/>
  <c r="F36" i="89" s="1"/>
  <c r="L38" i="88"/>
  <c r="L37" i="88"/>
  <c r="L36" i="88"/>
  <c r="G39" i="88"/>
  <c r="K38" i="88"/>
  <c r="J30" i="88"/>
  <c r="K36" i="88"/>
  <c r="K37" i="88"/>
  <c r="J8" i="88"/>
  <c r="F26" i="87"/>
  <c r="J29" i="88" l="1"/>
  <c r="C54" i="88"/>
  <c r="K68" i="88"/>
  <c r="K71" i="88" s="1"/>
  <c r="B53" i="88"/>
  <c r="D53" i="88" s="1"/>
  <c r="B69" i="88" s="1"/>
  <c r="F53" i="87"/>
  <c r="F83" i="87" s="1"/>
  <c r="E53" i="88"/>
  <c r="F17" i="89"/>
  <c r="F47" i="89" s="1"/>
  <c r="B52" i="88"/>
  <c r="B68" i="88" s="1"/>
  <c r="F46" i="87"/>
  <c r="F76" i="87" s="1"/>
  <c r="B51" i="88"/>
  <c r="F43" i="87"/>
  <c r="F73" i="87" s="1"/>
  <c r="E51" i="88"/>
  <c r="F7" i="89"/>
  <c r="F37" i="89" s="1"/>
  <c r="E52" i="88"/>
  <c r="F10" i="89"/>
  <c r="F40" i="89" s="1"/>
  <c r="K39" i="88"/>
  <c r="B50" i="88"/>
  <c r="B66" i="88" s="1"/>
  <c r="L39" i="88"/>
  <c r="E50" i="88"/>
  <c r="D51" i="82"/>
  <c r="C66" i="88" l="1"/>
  <c r="G66" i="88" s="1"/>
  <c r="C69" i="88"/>
  <c r="G69" i="88" s="1"/>
  <c r="D52" i="88"/>
  <c r="C68" i="88"/>
  <c r="G68" i="88" s="1"/>
  <c r="D51" i="88"/>
  <c r="B67" i="88"/>
  <c r="E54" i="88"/>
  <c r="F50" i="89"/>
  <c r="F89" i="87"/>
  <c r="F56" i="87"/>
  <c r="B54" i="88"/>
  <c r="D50" i="88"/>
  <c r="G14" i="86"/>
  <c r="G13" i="86"/>
  <c r="G12" i="86"/>
  <c r="C67" i="88" l="1"/>
  <c r="G67" i="88" s="1"/>
  <c r="B71" i="88"/>
  <c r="F69" i="88"/>
  <c r="F68" i="88"/>
  <c r="D54" i="88"/>
  <c r="C62" i="86"/>
  <c r="B81" i="86" s="1"/>
  <c r="C27" i="97" s="1"/>
  <c r="C58" i="86"/>
  <c r="B77" i="86" s="1"/>
  <c r="C28" i="97" s="1"/>
  <c r="C61" i="86"/>
  <c r="B80" i="86" s="1"/>
  <c r="C25" i="97" s="1"/>
  <c r="C60" i="86"/>
  <c r="B79" i="86" s="1"/>
  <c r="C29" i="97" s="1"/>
  <c r="C59" i="86"/>
  <c r="B78" i="86" s="1"/>
  <c r="C26" i="97" s="1"/>
  <c r="G60" i="86"/>
  <c r="D79" i="86" s="1"/>
  <c r="E29" i="97" s="1"/>
  <c r="G59" i="86"/>
  <c r="D78" i="86" s="1"/>
  <c r="E26" i="97" s="1"/>
  <c r="G58" i="86"/>
  <c r="D77" i="86" s="1"/>
  <c r="E28" i="97" s="1"/>
  <c r="G61" i="86"/>
  <c r="D80" i="86" s="1"/>
  <c r="E25" i="97" s="1"/>
  <c r="G62" i="86"/>
  <c r="D81" i="86" s="1"/>
  <c r="E27" i="97" s="1"/>
  <c r="E61" i="86"/>
  <c r="C80" i="86" s="1"/>
  <c r="D25" i="97" s="1"/>
  <c r="E58" i="86"/>
  <c r="C77" i="86" s="1"/>
  <c r="D28" i="97" s="1"/>
  <c r="E60" i="86"/>
  <c r="C79" i="86" s="1"/>
  <c r="D29" i="97" s="1"/>
  <c r="E59" i="86"/>
  <c r="C78" i="86" s="1"/>
  <c r="D26" i="97" s="1"/>
  <c r="E62" i="86"/>
  <c r="C81" i="86" s="1"/>
  <c r="D27" i="97" s="1"/>
  <c r="H14" i="82"/>
  <c r="I14" i="82" s="1"/>
  <c r="J14" i="82" s="1"/>
  <c r="H13" i="82"/>
  <c r="I13" i="82" s="1"/>
  <c r="J13" i="82" s="1"/>
  <c r="H12" i="82"/>
  <c r="I12" i="82" s="1"/>
  <c r="F67" i="88" l="1"/>
  <c r="J69" i="88"/>
  <c r="L69" i="88" s="1"/>
  <c r="M69" i="88"/>
  <c r="J67" i="88"/>
  <c r="L67" i="88" s="1"/>
  <c r="M67" i="88"/>
  <c r="J68" i="88"/>
  <c r="L68" i="88" s="1"/>
  <c r="M68" i="88"/>
  <c r="C71" i="88"/>
  <c r="F66" i="88"/>
  <c r="E63" i="86"/>
  <c r="C82" i="86" s="1"/>
  <c r="G63" i="86"/>
  <c r="D82" i="86" s="1"/>
  <c r="H60" i="86"/>
  <c r="E79" i="86" s="1"/>
  <c r="C63" i="86"/>
  <c r="B82" i="86" s="1"/>
  <c r="H61" i="86"/>
  <c r="E80" i="86" s="1"/>
  <c r="H58" i="86"/>
  <c r="E77" i="86" s="1"/>
  <c r="H59" i="86"/>
  <c r="E78" i="86" s="1"/>
  <c r="H62" i="86"/>
  <c r="E81" i="86" s="1"/>
  <c r="D43" i="82"/>
  <c r="D42" i="82"/>
  <c r="D41" i="82"/>
  <c r="I11" i="82"/>
  <c r="G42" i="82"/>
  <c r="G41" i="82"/>
  <c r="G43" i="82"/>
  <c r="J43" i="82"/>
  <c r="J42" i="82"/>
  <c r="J41" i="82"/>
  <c r="J12" i="82"/>
  <c r="J11" i="82" s="1"/>
  <c r="J66" i="88" l="1"/>
  <c r="L66" i="88" s="1"/>
  <c r="L71" i="88" s="1"/>
  <c r="M66" i="88"/>
  <c r="M71" i="88" s="1"/>
  <c r="F27" i="97"/>
  <c r="F25" i="97"/>
  <c r="F26" i="97"/>
  <c r="F29" i="97"/>
  <c r="F28" i="97"/>
  <c r="F71" i="88"/>
  <c r="K42" i="82"/>
  <c r="I10" i="92"/>
  <c r="J10" i="92" s="1"/>
  <c r="AA11" i="96" s="1"/>
  <c r="J60" i="86"/>
  <c r="D69" i="86" s="1"/>
  <c r="I17" i="92"/>
  <c r="J17" i="92" s="1"/>
  <c r="AA17" i="92" s="1"/>
  <c r="J62" i="86"/>
  <c r="D71" i="86" s="1"/>
  <c r="H63" i="86"/>
  <c r="E82" i="86" s="1"/>
  <c r="F82" i="86" s="1"/>
  <c r="I7" i="92"/>
  <c r="J7" i="92" s="1"/>
  <c r="J59" i="86"/>
  <c r="D68" i="86" s="1"/>
  <c r="I6" i="92"/>
  <c r="J58" i="86"/>
  <c r="D67" i="86" s="1"/>
  <c r="I12" i="92"/>
  <c r="J12" i="92" s="1"/>
  <c r="AA12" i="92" s="1"/>
  <c r="J61" i="86"/>
  <c r="D70" i="86" s="1"/>
  <c r="L41" i="82"/>
  <c r="D7" i="89" s="1"/>
  <c r="D37" i="89" s="1"/>
  <c r="L43" i="82"/>
  <c r="D15" i="89" s="1"/>
  <c r="L42" i="82"/>
  <c r="D10" i="89" s="1"/>
  <c r="D40" i="89" s="1"/>
  <c r="J44" i="82"/>
  <c r="D44" i="82"/>
  <c r="K41" i="82"/>
  <c r="G44" i="82"/>
  <c r="K43" i="82"/>
  <c r="G14" i="84"/>
  <c r="G71" i="84" s="1"/>
  <c r="D98" i="84" s="1"/>
  <c r="E14" i="97" s="1"/>
  <c r="G13" i="84"/>
  <c r="G12" i="84"/>
  <c r="D72" i="86" l="1"/>
  <c r="D43" i="87"/>
  <c r="B48" i="82"/>
  <c r="D46" i="87"/>
  <c r="D76" i="87" s="1"/>
  <c r="B49" i="82"/>
  <c r="D51" i="87"/>
  <c r="G51" i="87" s="1"/>
  <c r="B50" i="82"/>
  <c r="AB11" i="96"/>
  <c r="AB28" i="96" s="1"/>
  <c r="AA28" i="96"/>
  <c r="J71" i="88"/>
  <c r="J6" i="92"/>
  <c r="AA6" i="92" s="1"/>
  <c r="I27" i="92"/>
  <c r="F79" i="86"/>
  <c r="G29" i="97" s="1"/>
  <c r="F80" i="86"/>
  <c r="G25" i="97" s="1"/>
  <c r="F77" i="86"/>
  <c r="G28" i="97" s="1"/>
  <c r="F78" i="86"/>
  <c r="G26" i="97" s="1"/>
  <c r="F81" i="86"/>
  <c r="G27" i="97" s="1"/>
  <c r="D81" i="87"/>
  <c r="C71" i="84"/>
  <c r="B98" i="84" s="1"/>
  <c r="C14" i="97" s="1"/>
  <c r="C72" i="84"/>
  <c r="B99" i="84" s="1"/>
  <c r="C15" i="97" s="1"/>
  <c r="E71" i="84"/>
  <c r="C98" i="84" s="1"/>
  <c r="D14" i="97" s="1"/>
  <c r="E72" i="84"/>
  <c r="C99" i="84" s="1"/>
  <c r="D15" i="97" s="1"/>
  <c r="D73" i="87"/>
  <c r="D45" i="89"/>
  <c r="G45" i="89" s="1"/>
  <c r="G15" i="89"/>
  <c r="J63" i="86"/>
  <c r="K44" i="82"/>
  <c r="H14" i="84"/>
  <c r="I14" i="84" s="1"/>
  <c r="J46" i="84" s="1"/>
  <c r="G70" i="84"/>
  <c r="D97" i="84" s="1"/>
  <c r="E17" i="97" s="1"/>
  <c r="G66" i="84"/>
  <c r="D93" i="84" s="1"/>
  <c r="E19" i="97" s="1"/>
  <c r="G69" i="84"/>
  <c r="D96" i="84" s="1"/>
  <c r="E13" i="97" s="1"/>
  <c r="G65" i="84"/>
  <c r="D92" i="84" s="1"/>
  <c r="E16" i="97" s="1"/>
  <c r="G68" i="84"/>
  <c r="D95" i="84" s="1"/>
  <c r="E18" i="97" s="1"/>
  <c r="G67" i="84"/>
  <c r="D94" i="84" s="1"/>
  <c r="E20" i="97" s="1"/>
  <c r="H12" i="84"/>
  <c r="I12" i="84" s="1"/>
  <c r="C70" i="84"/>
  <c r="B97" i="84" s="1"/>
  <c r="C17" i="97" s="1"/>
  <c r="C66" i="84"/>
  <c r="B93" i="84" s="1"/>
  <c r="C19" i="97" s="1"/>
  <c r="C69" i="84"/>
  <c r="B96" i="84" s="1"/>
  <c r="C13" i="97" s="1"/>
  <c r="C65" i="84"/>
  <c r="B92" i="84" s="1"/>
  <c r="C16" i="97" s="1"/>
  <c r="C68" i="84"/>
  <c r="B95" i="84" s="1"/>
  <c r="C18" i="97" s="1"/>
  <c r="C67" i="84"/>
  <c r="B94" i="84" s="1"/>
  <c r="C20" i="97" s="1"/>
  <c r="H13" i="84"/>
  <c r="I13" i="84" s="1"/>
  <c r="G46" i="84" s="1"/>
  <c r="E68" i="84"/>
  <c r="C95" i="84" s="1"/>
  <c r="D18" i="97" s="1"/>
  <c r="E67" i="84"/>
  <c r="C94" i="84" s="1"/>
  <c r="D20" i="97" s="1"/>
  <c r="E70" i="84"/>
  <c r="C97" i="84" s="1"/>
  <c r="D17" i="97" s="1"/>
  <c r="E66" i="84"/>
  <c r="C93" i="84" s="1"/>
  <c r="D19" i="97" s="1"/>
  <c r="E69" i="84"/>
  <c r="C96" i="84" s="1"/>
  <c r="D13" i="97" s="1"/>
  <c r="E65" i="84"/>
  <c r="C92" i="84" s="1"/>
  <c r="D16" i="97" s="1"/>
  <c r="L44" i="82"/>
  <c r="F48" i="82"/>
  <c r="F18" i="87"/>
  <c r="F17" i="87"/>
  <c r="F16" i="87"/>
  <c r="F15" i="87"/>
  <c r="F12" i="87"/>
  <c r="F9" i="87"/>
  <c r="F7" i="87"/>
  <c r="F6" i="87"/>
  <c r="F4" i="87"/>
  <c r="J27" i="92" l="1"/>
  <c r="D56" i="87"/>
  <c r="B64" i="82"/>
  <c r="C64" i="82" s="1"/>
  <c r="E49" i="82"/>
  <c r="B65" i="82"/>
  <c r="C65" i="82" s="1"/>
  <c r="G65" i="82" s="1"/>
  <c r="E50" i="82"/>
  <c r="B63" i="82"/>
  <c r="B51" i="82"/>
  <c r="E48" i="82"/>
  <c r="D46" i="84"/>
  <c r="K46" i="84" s="1"/>
  <c r="D45" i="84"/>
  <c r="G73" i="84"/>
  <c r="D100" i="84" s="1"/>
  <c r="H71" i="84"/>
  <c r="H72" i="84"/>
  <c r="E99" i="84" s="1"/>
  <c r="F15" i="97" s="1"/>
  <c r="C73" i="84"/>
  <c r="B100" i="84" s="1"/>
  <c r="E73" i="84"/>
  <c r="C100" i="84" s="1"/>
  <c r="D50" i="89"/>
  <c r="H68" i="84"/>
  <c r="G45" i="84"/>
  <c r="K45" i="84" s="1"/>
  <c r="G40" i="84"/>
  <c r="D44" i="84"/>
  <c r="D39" i="84"/>
  <c r="J12" i="84"/>
  <c r="H66" i="84"/>
  <c r="E93" i="84" s="1"/>
  <c r="F19" i="97" s="1"/>
  <c r="H67" i="84"/>
  <c r="E94" i="84" s="1"/>
  <c r="F20" i="97" s="1"/>
  <c r="J39" i="84"/>
  <c r="J14" i="84"/>
  <c r="J43" i="84"/>
  <c r="H69" i="84"/>
  <c r="E96" i="84" s="1"/>
  <c r="F13" i="97" s="1"/>
  <c r="J13" i="84"/>
  <c r="G44" i="84"/>
  <c r="I11" i="84"/>
  <c r="D43" i="84"/>
  <c r="J41" i="84"/>
  <c r="J40" i="84"/>
  <c r="G39" i="84"/>
  <c r="G41" i="84"/>
  <c r="D41" i="84"/>
  <c r="D40" i="84"/>
  <c r="J42" i="84"/>
  <c r="J44" i="84"/>
  <c r="H70" i="84"/>
  <c r="E97" i="84" s="1"/>
  <c r="F17" i="97" s="1"/>
  <c r="G43" i="84"/>
  <c r="G42" i="84"/>
  <c r="D42" i="84"/>
  <c r="H65" i="84"/>
  <c r="G26" i="83"/>
  <c r="F31" i="83"/>
  <c r="F65" i="82" l="1"/>
  <c r="M65" i="82" s="1"/>
  <c r="J65" i="82"/>
  <c r="L65" i="82" s="1"/>
  <c r="E51" i="82"/>
  <c r="B66" i="82"/>
  <c r="C63" i="82"/>
  <c r="G64" i="82"/>
  <c r="F64" i="82"/>
  <c r="E92" i="84"/>
  <c r="F16" i="97" s="1"/>
  <c r="H74" i="84"/>
  <c r="J74" i="84" s="1"/>
  <c r="C19" i="92"/>
  <c r="D19" i="92" s="1"/>
  <c r="AA19" i="92" s="1"/>
  <c r="E98" i="84"/>
  <c r="F14" i="97" s="1"/>
  <c r="C11" i="92"/>
  <c r="D11" i="92" s="1"/>
  <c r="AA11" i="92" s="1"/>
  <c r="E95" i="84"/>
  <c r="F18" i="97" s="1"/>
  <c r="J71" i="84"/>
  <c r="D85" i="84" s="1"/>
  <c r="I85" i="84" s="1"/>
  <c r="B59" i="84"/>
  <c r="B86" i="84" s="1"/>
  <c r="B43" i="87"/>
  <c r="C7" i="92"/>
  <c r="D7" i="92" s="1"/>
  <c r="AA7" i="92" s="1"/>
  <c r="J72" i="84"/>
  <c r="D86" i="84" s="1"/>
  <c r="J68" i="84"/>
  <c r="D82" i="84" s="1"/>
  <c r="L46" i="84"/>
  <c r="J47" i="84"/>
  <c r="D47" i="84"/>
  <c r="G47" i="84"/>
  <c r="C5" i="92"/>
  <c r="J65" i="84"/>
  <c r="D79" i="84" s="1"/>
  <c r="L39" i="84"/>
  <c r="D52" i="84" s="1"/>
  <c r="L43" i="84"/>
  <c r="D56" i="84" s="1"/>
  <c r="B43" i="89" s="1"/>
  <c r="G43" i="89" s="1"/>
  <c r="L44" i="84"/>
  <c r="D57" i="84" s="1"/>
  <c r="B14" i="89" s="1"/>
  <c r="G14" i="89" s="1"/>
  <c r="K43" i="84"/>
  <c r="B56" i="84" s="1"/>
  <c r="B83" i="84" s="1"/>
  <c r="C10" i="92"/>
  <c r="D10" i="92" s="1"/>
  <c r="J67" i="84"/>
  <c r="L42" i="84"/>
  <c r="D55" i="84" s="1"/>
  <c r="B11" i="89" s="1"/>
  <c r="L40" i="84"/>
  <c r="D53" i="84" s="1"/>
  <c r="B8" i="89" s="1"/>
  <c r="G8" i="89" s="1"/>
  <c r="C14" i="92"/>
  <c r="D14" i="92" s="1"/>
  <c r="AA14" i="92" s="1"/>
  <c r="J70" i="84"/>
  <c r="D84" i="84" s="1"/>
  <c r="C8" i="92"/>
  <c r="D8" i="92" s="1"/>
  <c r="AA8" i="92" s="1"/>
  <c r="J66" i="84"/>
  <c r="D80" i="84" s="1"/>
  <c r="L45" i="84"/>
  <c r="L41" i="84"/>
  <c r="K42" i="84"/>
  <c r="B55" i="84" s="1"/>
  <c r="B82" i="84" s="1"/>
  <c r="C13" i="92"/>
  <c r="D13" i="92" s="1"/>
  <c r="J69" i="84"/>
  <c r="D83" i="84" s="1"/>
  <c r="I83" i="84" s="1"/>
  <c r="K41" i="84"/>
  <c r="B54" i="84" s="1"/>
  <c r="B81" i="84" s="1"/>
  <c r="K40" i="84"/>
  <c r="B53" i="84" s="1"/>
  <c r="B80" i="84" s="1"/>
  <c r="K44" i="84"/>
  <c r="B50" i="87" s="1"/>
  <c r="B58" i="84"/>
  <c r="B85" i="84" s="1"/>
  <c r="B88" i="87"/>
  <c r="G88" i="87" s="1"/>
  <c r="I88" i="87" s="1"/>
  <c r="B55" i="87"/>
  <c r="G55" i="87" s="1"/>
  <c r="H73" i="84"/>
  <c r="E100" i="84" s="1"/>
  <c r="F100" i="84" s="1"/>
  <c r="K39" i="84"/>
  <c r="F11" i="83"/>
  <c r="F6" i="83"/>
  <c r="G20" i="83"/>
  <c r="F8" i="83"/>
  <c r="F9" i="83"/>
  <c r="F10" i="83"/>
  <c r="F14" i="83"/>
  <c r="F15" i="83"/>
  <c r="F16" i="83"/>
  <c r="F12" i="83"/>
  <c r="F13" i="83"/>
  <c r="J64" i="82" l="1"/>
  <c r="L64" i="82" s="1"/>
  <c r="M64" i="82"/>
  <c r="G63" i="82"/>
  <c r="G66" i="82" s="1"/>
  <c r="C66" i="82"/>
  <c r="F63" i="82"/>
  <c r="C81" i="84"/>
  <c r="G81" i="84" s="1"/>
  <c r="C86" i="84"/>
  <c r="F86" i="84" s="1"/>
  <c r="C85" i="84"/>
  <c r="G85" i="84" s="1"/>
  <c r="C83" i="84"/>
  <c r="F83" i="84" s="1"/>
  <c r="C80" i="84"/>
  <c r="G80" i="84" s="1"/>
  <c r="C82" i="84"/>
  <c r="G82" i="84" s="1"/>
  <c r="AA10" i="92"/>
  <c r="C11" i="96"/>
  <c r="C26" i="92"/>
  <c r="D26" i="92" s="1"/>
  <c r="F30" i="83"/>
  <c r="H24" i="83" s="1"/>
  <c r="D5" i="92"/>
  <c r="AA5" i="92" s="1"/>
  <c r="C27" i="92"/>
  <c r="AA13" i="92"/>
  <c r="D81" i="84"/>
  <c r="D87" i="84" s="1"/>
  <c r="I87" i="84"/>
  <c r="F96" i="84"/>
  <c r="G13" i="97" s="1"/>
  <c r="F97" i="84"/>
  <c r="G17" i="97" s="1"/>
  <c r="F92" i="84"/>
  <c r="G16" i="97" s="1"/>
  <c r="F98" i="84"/>
  <c r="G14" i="97" s="1"/>
  <c r="F99" i="84"/>
  <c r="G15" i="97" s="1"/>
  <c r="F95" i="84"/>
  <c r="G18" i="97" s="1"/>
  <c r="F94" i="84"/>
  <c r="G20" i="97" s="1"/>
  <c r="F93" i="84"/>
  <c r="G19" i="97" s="1"/>
  <c r="D58" i="84"/>
  <c r="B49" i="89" s="1"/>
  <c r="G49" i="89" s="1"/>
  <c r="B19" i="89"/>
  <c r="G19" i="89" s="1"/>
  <c r="J73" i="84"/>
  <c r="D59" i="84"/>
  <c r="B7" i="89"/>
  <c r="B73" i="87"/>
  <c r="D54" i="84"/>
  <c r="B40" i="89" s="1"/>
  <c r="L47" i="84"/>
  <c r="D60" i="84" s="1"/>
  <c r="B44" i="89"/>
  <c r="G44" i="89" s="1"/>
  <c r="B47" i="87"/>
  <c r="B41" i="89"/>
  <c r="B44" i="87"/>
  <c r="B74" i="87" s="1"/>
  <c r="G74" i="87" s="1"/>
  <c r="I74" i="87" s="1"/>
  <c r="B13" i="89"/>
  <c r="G13" i="89" s="1"/>
  <c r="B49" i="87"/>
  <c r="B79" i="87" s="1"/>
  <c r="G79" i="87" s="1"/>
  <c r="I79" i="87" s="1"/>
  <c r="B38" i="89"/>
  <c r="G38" i="89" s="1"/>
  <c r="B57" i="84"/>
  <c r="B84" i="84" s="1"/>
  <c r="K47" i="84"/>
  <c r="B60" i="84" s="1"/>
  <c r="B87" i="84" s="1"/>
  <c r="B46" i="87"/>
  <c r="B76" i="87" s="1"/>
  <c r="B35" i="89"/>
  <c r="B5" i="89"/>
  <c r="G5" i="89" s="1"/>
  <c r="G50" i="87"/>
  <c r="B80" i="87"/>
  <c r="G80" i="87" s="1"/>
  <c r="I80" i="87" s="1"/>
  <c r="B52" i="84"/>
  <c r="B79" i="84" s="1"/>
  <c r="B41" i="87"/>
  <c r="G13" i="83"/>
  <c r="G8" i="83"/>
  <c r="G14" i="83"/>
  <c r="G17" i="83"/>
  <c r="G10" i="83"/>
  <c r="D35" i="86"/>
  <c r="F21" i="86"/>
  <c r="B21" i="84"/>
  <c r="F81" i="84" l="1"/>
  <c r="F82" i="84"/>
  <c r="M63" i="82"/>
  <c r="M66" i="82" s="1"/>
  <c r="J63" i="82"/>
  <c r="F66" i="82"/>
  <c r="F85" i="84"/>
  <c r="F80" i="84"/>
  <c r="K80" i="84" s="1"/>
  <c r="G83" i="84"/>
  <c r="J83" i="84" s="1"/>
  <c r="G86" i="84"/>
  <c r="K86" i="84" s="1"/>
  <c r="C84" i="84"/>
  <c r="G84" i="84" s="1"/>
  <c r="C79" i="84"/>
  <c r="F79" i="84" s="1"/>
  <c r="D11" i="96"/>
  <c r="D28" i="96" s="1"/>
  <c r="C28" i="96"/>
  <c r="AA27" i="92"/>
  <c r="J80" i="84"/>
  <c r="K85" i="84"/>
  <c r="J82" i="84"/>
  <c r="K82" i="84"/>
  <c r="J81" i="84"/>
  <c r="K81" i="84"/>
  <c r="D27" i="92"/>
  <c r="J85" i="84"/>
  <c r="H10" i="83"/>
  <c r="H26" i="83"/>
  <c r="H17" i="83"/>
  <c r="H23" i="83"/>
  <c r="H7" i="83"/>
  <c r="H28" i="83"/>
  <c r="H22" i="83"/>
  <c r="H13" i="83"/>
  <c r="H27" i="83"/>
  <c r="H21" i="83"/>
  <c r="H14" i="83"/>
  <c r="H8" i="83"/>
  <c r="G44" i="87"/>
  <c r="B10" i="89"/>
  <c r="G49" i="87"/>
  <c r="B56" i="87"/>
  <c r="B77" i="87"/>
  <c r="B50" i="89"/>
  <c r="G35" i="89"/>
  <c r="G41" i="87"/>
  <c r="B71" i="87"/>
  <c r="F32" i="83"/>
  <c r="I24" i="83" s="1"/>
  <c r="C20" i="86"/>
  <c r="F7" i="86"/>
  <c r="F8" i="86"/>
  <c r="J8" i="86" s="1"/>
  <c r="D20" i="86"/>
  <c r="F9" i="86"/>
  <c r="F11" i="86"/>
  <c r="F15" i="86"/>
  <c r="F16" i="86"/>
  <c r="F5" i="86"/>
  <c r="D35" i="84"/>
  <c r="M54" i="83" l="1"/>
  <c r="M55" i="83"/>
  <c r="M56" i="83"/>
  <c r="M53" i="83"/>
  <c r="M58" i="83" s="1"/>
  <c r="J24" i="83"/>
  <c r="K83" i="84"/>
  <c r="L63" i="82"/>
  <c r="L66" i="82" s="1"/>
  <c r="J66" i="82"/>
  <c r="F20" i="86"/>
  <c r="H13" i="86" s="1"/>
  <c r="C87" i="84"/>
  <c r="G79" i="84"/>
  <c r="G87" i="84" s="1"/>
  <c r="J86" i="84"/>
  <c r="F84" i="84"/>
  <c r="K84" i="84" s="1"/>
  <c r="H33" i="83"/>
  <c r="I28" i="83"/>
  <c r="J28" i="83" s="1"/>
  <c r="I23" i="83"/>
  <c r="J57" i="83" s="1"/>
  <c r="I27" i="83"/>
  <c r="B89" i="87"/>
  <c r="G71" i="87"/>
  <c r="I71" i="87" s="1"/>
  <c r="I22" i="83"/>
  <c r="G53" i="83" s="1"/>
  <c r="I7" i="83"/>
  <c r="F33" i="83"/>
  <c r="I8" i="83"/>
  <c r="J8" i="83" s="1"/>
  <c r="I14" i="83"/>
  <c r="J14" i="83" s="1"/>
  <c r="I21" i="83"/>
  <c r="I13" i="83"/>
  <c r="J13" i="83" s="1"/>
  <c r="I26" i="83"/>
  <c r="J12" i="83"/>
  <c r="J16" i="83"/>
  <c r="I17" i="83"/>
  <c r="J17" i="83" s="1"/>
  <c r="J11" i="83"/>
  <c r="I10" i="83"/>
  <c r="J10" i="83" s="1"/>
  <c r="G11" i="86"/>
  <c r="J5" i="86"/>
  <c r="G9" i="86"/>
  <c r="G16" i="86"/>
  <c r="G9" i="84"/>
  <c r="D52" i="83" l="1"/>
  <c r="I20" i="83"/>
  <c r="H9" i="86"/>
  <c r="J79" i="84"/>
  <c r="H16" i="86"/>
  <c r="H17" i="86"/>
  <c r="H12" i="86"/>
  <c r="H14" i="86"/>
  <c r="H18" i="86"/>
  <c r="F87" i="84"/>
  <c r="J87" i="84" s="1"/>
  <c r="K79" i="84"/>
  <c r="K87" i="84" s="1"/>
  <c r="J84" i="84"/>
  <c r="J55" i="83"/>
  <c r="J56" i="83"/>
  <c r="J53" i="83"/>
  <c r="J54" i="83"/>
  <c r="J52" i="83"/>
  <c r="J51" i="83"/>
  <c r="J23" i="83"/>
  <c r="K42" i="83"/>
  <c r="K41" i="83"/>
  <c r="B63" i="87" s="1"/>
  <c r="K44" i="83"/>
  <c r="K40" i="83"/>
  <c r="K43" i="83"/>
  <c r="B64" i="87" s="1"/>
  <c r="J27" i="83"/>
  <c r="H9" i="84"/>
  <c r="H19" i="84" s="1"/>
  <c r="G55" i="83"/>
  <c r="G56" i="83"/>
  <c r="G57" i="83"/>
  <c r="J22" i="83"/>
  <c r="G52" i="83"/>
  <c r="G54" i="83"/>
  <c r="G51" i="83"/>
  <c r="D57" i="83"/>
  <c r="N57" i="83" s="1"/>
  <c r="D53" i="83"/>
  <c r="N53" i="83" s="1"/>
  <c r="J26" i="83"/>
  <c r="D55" i="83"/>
  <c r="N55" i="83" s="1"/>
  <c r="D56" i="83"/>
  <c r="D51" i="83"/>
  <c r="N51" i="83" s="1"/>
  <c r="J21" i="83"/>
  <c r="J20" i="83" s="1"/>
  <c r="D54" i="83"/>
  <c r="E30" i="84"/>
  <c r="E32" i="84"/>
  <c r="E31" i="84"/>
  <c r="F22" i="86"/>
  <c r="E34" i="82"/>
  <c r="C48" i="82" s="1"/>
  <c r="E36" i="82"/>
  <c r="C50" i="82" s="1"/>
  <c r="E35" i="82"/>
  <c r="C49" i="82" s="1"/>
  <c r="D66" i="83" l="1"/>
  <c r="N56" i="83"/>
  <c r="N54" i="83"/>
  <c r="N52" i="83"/>
  <c r="I16" i="86"/>
  <c r="C45" i="87"/>
  <c r="G45" i="87" s="1"/>
  <c r="B64" i="83"/>
  <c r="B89" i="83" s="1"/>
  <c r="C89" i="83" s="1"/>
  <c r="F89" i="83" s="1"/>
  <c r="J89" i="83" s="1"/>
  <c r="K91" i="83"/>
  <c r="J58" i="83"/>
  <c r="D64" i="83"/>
  <c r="L41" i="83"/>
  <c r="B26" i="89" s="1"/>
  <c r="L44" i="83"/>
  <c r="B28" i="89" s="1"/>
  <c r="L40" i="83"/>
  <c r="B25" i="89" s="1"/>
  <c r="L43" i="83"/>
  <c r="L42" i="83"/>
  <c r="B24" i="89" s="1"/>
  <c r="F64" i="87"/>
  <c r="H77" i="87" s="1"/>
  <c r="E45" i="83"/>
  <c r="I32" i="83"/>
  <c r="I18" i="86"/>
  <c r="J18" i="86" s="1"/>
  <c r="I17" i="86"/>
  <c r="H23" i="86"/>
  <c r="K45" i="83"/>
  <c r="O57" i="83"/>
  <c r="O53" i="83"/>
  <c r="C9" i="89" s="1"/>
  <c r="O52" i="83"/>
  <c r="O56" i="83"/>
  <c r="C16" i="89" s="1"/>
  <c r="O51" i="83"/>
  <c r="C4" i="89" s="1"/>
  <c r="O54" i="83"/>
  <c r="C10" i="89" s="1"/>
  <c r="J34" i="83"/>
  <c r="O55" i="83"/>
  <c r="C11" i="89" s="1"/>
  <c r="C53" i="84"/>
  <c r="B8" i="87"/>
  <c r="F8" i="87" s="1"/>
  <c r="C54" i="84"/>
  <c r="B10" i="87"/>
  <c r="F10" i="87" s="1"/>
  <c r="C55" i="84"/>
  <c r="B11" i="87"/>
  <c r="F11" i="87" s="1"/>
  <c r="I9" i="84"/>
  <c r="D67" i="83"/>
  <c r="B65" i="87"/>
  <c r="D62" i="83"/>
  <c r="B62" i="87"/>
  <c r="F63" i="87"/>
  <c r="H75" i="87" s="1"/>
  <c r="D65" i="83"/>
  <c r="B61" i="87"/>
  <c r="G58" i="83"/>
  <c r="D58" i="83"/>
  <c r="N58" i="83" s="1"/>
  <c r="E40" i="83"/>
  <c r="E44" i="83"/>
  <c r="E46" i="83"/>
  <c r="E43" i="83"/>
  <c r="E42" i="83"/>
  <c r="E41" i="83"/>
  <c r="I12" i="86"/>
  <c r="I14" i="86"/>
  <c r="I13" i="86"/>
  <c r="E37" i="82"/>
  <c r="E29" i="84"/>
  <c r="J11" i="84"/>
  <c r="E34" i="84"/>
  <c r="E33" i="84"/>
  <c r="F23" i="86"/>
  <c r="I9" i="86"/>
  <c r="H16" i="82"/>
  <c r="I16" i="82" s="1"/>
  <c r="H9" i="82"/>
  <c r="I9" i="82" s="1"/>
  <c r="C64" i="83" l="1"/>
  <c r="I21" i="84"/>
  <c r="K89" i="84" s="1"/>
  <c r="I7" i="84"/>
  <c r="C40" i="87"/>
  <c r="C70" i="87" s="1"/>
  <c r="B62" i="83"/>
  <c r="C62" i="83" s="1"/>
  <c r="C52" i="87"/>
  <c r="G52" i="87" s="1"/>
  <c r="B67" i="83"/>
  <c r="B92" i="83" s="1"/>
  <c r="C43" i="87"/>
  <c r="C73" i="87" s="1"/>
  <c r="B63" i="83"/>
  <c r="E63" i="83" s="1"/>
  <c r="B88" i="83" s="1"/>
  <c r="C88" i="83" s="1"/>
  <c r="C75" i="87"/>
  <c r="G75" i="87" s="1"/>
  <c r="I75" i="87" s="1"/>
  <c r="C54" i="87"/>
  <c r="G54" i="87" s="1"/>
  <c r="B68" i="83"/>
  <c r="E68" i="83" s="1"/>
  <c r="B93" i="83" s="1"/>
  <c r="C93" i="83" s="1"/>
  <c r="F93" i="83" s="1"/>
  <c r="C46" i="87"/>
  <c r="C76" i="87" s="1"/>
  <c r="B65" i="83"/>
  <c r="B90" i="83" s="1"/>
  <c r="C90" i="83" s="1"/>
  <c r="F90" i="83" s="1"/>
  <c r="C47" i="87"/>
  <c r="G47" i="87" s="1"/>
  <c r="B66" i="83"/>
  <c r="C66" i="83" s="1"/>
  <c r="B67" i="87"/>
  <c r="E67" i="83"/>
  <c r="K92" i="83"/>
  <c r="K90" i="83"/>
  <c r="K87" i="83"/>
  <c r="E64" i="83"/>
  <c r="K89" i="83"/>
  <c r="M89" i="83" s="1"/>
  <c r="J9" i="84"/>
  <c r="C40" i="89"/>
  <c r="C39" i="89"/>
  <c r="G39" i="89" s="1"/>
  <c r="G9" i="89"/>
  <c r="C34" i="89"/>
  <c r="G4" i="89"/>
  <c r="F68" i="83"/>
  <c r="C18" i="89"/>
  <c r="C41" i="89"/>
  <c r="G41" i="89" s="1"/>
  <c r="G11" i="89"/>
  <c r="C46" i="89"/>
  <c r="G46" i="89" s="1"/>
  <c r="G16" i="89"/>
  <c r="F63" i="83"/>
  <c r="C7" i="89"/>
  <c r="J17" i="86"/>
  <c r="K30" i="86"/>
  <c r="C60" i="87" s="1"/>
  <c r="F60" i="87" s="1"/>
  <c r="K31" i="86"/>
  <c r="F65" i="83"/>
  <c r="O58" i="83"/>
  <c r="F62" i="83"/>
  <c r="L45" i="83"/>
  <c r="C57" i="84"/>
  <c r="B14" i="87"/>
  <c r="F14" i="87" s="1"/>
  <c r="C52" i="84"/>
  <c r="B5" i="87"/>
  <c r="F67" i="83"/>
  <c r="C56" i="84"/>
  <c r="B13" i="87"/>
  <c r="F13" i="87" s="1"/>
  <c r="D69" i="83"/>
  <c r="J35" i="83"/>
  <c r="F64" i="83"/>
  <c r="F66" i="83"/>
  <c r="F62" i="87"/>
  <c r="H70" i="87" s="1"/>
  <c r="F65" i="87"/>
  <c r="H82" i="87" s="1"/>
  <c r="J24" i="84"/>
  <c r="E35" i="84"/>
  <c r="I22" i="82"/>
  <c r="J9" i="82"/>
  <c r="J7" i="82" s="1"/>
  <c r="D66" i="87"/>
  <c r="J16" i="82"/>
  <c r="H23" i="82"/>
  <c r="E47" i="83"/>
  <c r="G43" i="86"/>
  <c r="G39" i="86"/>
  <c r="G42" i="86"/>
  <c r="G41" i="86"/>
  <c r="G40" i="86"/>
  <c r="J13" i="86"/>
  <c r="J42" i="86"/>
  <c r="J41" i="86"/>
  <c r="J40" i="86"/>
  <c r="J43" i="86"/>
  <c r="J39" i="86"/>
  <c r="J14" i="86"/>
  <c r="I11" i="86"/>
  <c r="D40" i="86"/>
  <c r="D43" i="86"/>
  <c r="D39" i="86"/>
  <c r="D42" i="86"/>
  <c r="D41" i="86"/>
  <c r="J12" i="86"/>
  <c r="J16" i="86"/>
  <c r="J9" i="86"/>
  <c r="E62" i="83" l="1"/>
  <c r="J21" i="82"/>
  <c r="J11" i="86"/>
  <c r="I22" i="86"/>
  <c r="K40" i="86"/>
  <c r="B49" i="86" s="1"/>
  <c r="E49" i="86" s="1"/>
  <c r="J23" i="84"/>
  <c r="J7" i="84"/>
  <c r="C84" i="87"/>
  <c r="G84" i="87" s="1"/>
  <c r="I84" i="87" s="1"/>
  <c r="C77" i="87"/>
  <c r="G77" i="87" s="1"/>
  <c r="I77" i="87" s="1"/>
  <c r="G40" i="87"/>
  <c r="C82" i="87"/>
  <c r="G82" i="87" s="1"/>
  <c r="I82" i="87" s="1"/>
  <c r="C68" i="83"/>
  <c r="C67" i="83"/>
  <c r="L89" i="83"/>
  <c r="M93" i="83"/>
  <c r="L93" i="83"/>
  <c r="B87" i="83"/>
  <c r="C87" i="83" s="1"/>
  <c r="G87" i="83" s="1"/>
  <c r="B69" i="83"/>
  <c r="B94" i="83" s="1"/>
  <c r="B91" i="83"/>
  <c r="C91" i="83" s="1"/>
  <c r="E66" i="83"/>
  <c r="C56" i="87"/>
  <c r="E65" i="83"/>
  <c r="C63" i="83"/>
  <c r="C92" i="83"/>
  <c r="F92" i="83" s="1"/>
  <c r="J92" i="83" s="1"/>
  <c r="C65" i="83"/>
  <c r="G90" i="83"/>
  <c r="L90" i="83" s="1"/>
  <c r="G88" i="83"/>
  <c r="F88" i="83"/>
  <c r="H72" i="87"/>
  <c r="K94" i="83"/>
  <c r="E43" i="87"/>
  <c r="G34" i="89"/>
  <c r="C37" i="89"/>
  <c r="C48" i="89"/>
  <c r="G48" i="89" s="1"/>
  <c r="G18" i="89"/>
  <c r="D50" i="86"/>
  <c r="K69" i="86" s="1"/>
  <c r="C61" i="87"/>
  <c r="L31" i="86"/>
  <c r="C24" i="89" s="1"/>
  <c r="L30" i="86"/>
  <c r="C23" i="89" s="1"/>
  <c r="D44" i="86"/>
  <c r="F69" i="83"/>
  <c r="J44" i="86"/>
  <c r="G44" i="86"/>
  <c r="L40" i="86"/>
  <c r="L41" i="86"/>
  <c r="E10" i="89" s="1"/>
  <c r="L43" i="86"/>
  <c r="L39" i="86"/>
  <c r="E6" i="89" s="1"/>
  <c r="L42" i="86"/>
  <c r="D48" i="86"/>
  <c r="K67" i="86" s="1"/>
  <c r="K32" i="86"/>
  <c r="J24" i="86"/>
  <c r="J25" i="86"/>
  <c r="B19" i="87"/>
  <c r="F5" i="87"/>
  <c r="F19" i="87" s="1"/>
  <c r="G70" i="87"/>
  <c r="I70" i="87" s="1"/>
  <c r="F50" i="82"/>
  <c r="J24" i="82"/>
  <c r="J25" i="82"/>
  <c r="K36" i="82"/>
  <c r="D61" i="87"/>
  <c r="D67" i="87" s="1"/>
  <c r="F66" i="87"/>
  <c r="H81" i="87" s="1"/>
  <c r="G81" i="87"/>
  <c r="E31" i="86"/>
  <c r="E35" i="86"/>
  <c r="E32" i="86"/>
  <c r="E30" i="86"/>
  <c r="K43" i="86"/>
  <c r="K41" i="86"/>
  <c r="K42" i="86"/>
  <c r="E34" i="86"/>
  <c r="E33" i="86"/>
  <c r="K39" i="86"/>
  <c r="E42" i="87" s="1"/>
  <c r="E72" i="87" s="1"/>
  <c r="E69" i="83" l="1"/>
  <c r="B68" i="86"/>
  <c r="C68" i="86" s="1"/>
  <c r="G68" i="86" s="1"/>
  <c r="K72" i="86"/>
  <c r="M90" i="83"/>
  <c r="C89" i="87"/>
  <c r="F87" i="83"/>
  <c r="M87" i="83" s="1"/>
  <c r="C94" i="83"/>
  <c r="F94" i="83" s="1"/>
  <c r="M88" i="83"/>
  <c r="L88" i="83"/>
  <c r="G92" i="83"/>
  <c r="L92" i="83" s="1"/>
  <c r="G91" i="83"/>
  <c r="F91" i="83"/>
  <c r="J91" i="83" s="1"/>
  <c r="C49" i="86"/>
  <c r="I81" i="87"/>
  <c r="C50" i="89"/>
  <c r="D53" i="86"/>
  <c r="F51" i="86"/>
  <c r="E12" i="89"/>
  <c r="F49" i="86"/>
  <c r="E7" i="89"/>
  <c r="B52" i="86"/>
  <c r="E52" i="86" s="1"/>
  <c r="E53" i="87"/>
  <c r="E36" i="89"/>
  <c r="G6" i="89"/>
  <c r="L32" i="86"/>
  <c r="G42" i="87"/>
  <c r="B51" i="86"/>
  <c r="C51" i="86" s="1"/>
  <c r="E48" i="87"/>
  <c r="F52" i="86"/>
  <c r="E17" i="89"/>
  <c r="E73" i="87"/>
  <c r="G73" i="87" s="1"/>
  <c r="I73" i="87" s="1"/>
  <c r="G43" i="87"/>
  <c r="B50" i="86"/>
  <c r="B69" i="86" s="1"/>
  <c r="C69" i="86" s="1"/>
  <c r="G69" i="86" s="1"/>
  <c r="E46" i="87"/>
  <c r="E40" i="89"/>
  <c r="G40" i="89" s="1"/>
  <c r="G10" i="89"/>
  <c r="F48" i="86"/>
  <c r="L44" i="86"/>
  <c r="B48" i="86"/>
  <c r="B67" i="86" s="1"/>
  <c r="K44" i="86"/>
  <c r="F50" i="86"/>
  <c r="L36" i="82"/>
  <c r="F49" i="82"/>
  <c r="F51" i="82" s="1"/>
  <c r="F61" i="87"/>
  <c r="H76" i="87" s="1"/>
  <c r="H89" i="87" s="1"/>
  <c r="B71" i="86" l="1"/>
  <c r="C71" i="86" s="1"/>
  <c r="G71" i="86" s="1"/>
  <c r="C67" i="86"/>
  <c r="G67" i="86" s="1"/>
  <c r="F68" i="86"/>
  <c r="G94" i="83"/>
  <c r="L87" i="83"/>
  <c r="M92" i="83"/>
  <c r="M91" i="83"/>
  <c r="L91" i="83"/>
  <c r="C48" i="86"/>
  <c r="G46" i="87"/>
  <c r="E76" i="87"/>
  <c r="G76" i="87" s="1"/>
  <c r="E50" i="86"/>
  <c r="E51" i="86"/>
  <c r="C52" i="86"/>
  <c r="C50" i="86"/>
  <c r="G48" i="87"/>
  <c r="E78" i="87"/>
  <c r="G78" i="87" s="1"/>
  <c r="I78" i="87" s="1"/>
  <c r="E56" i="87"/>
  <c r="G36" i="89"/>
  <c r="G53" i="87"/>
  <c r="E83" i="87"/>
  <c r="G83" i="87" s="1"/>
  <c r="I83" i="87" s="1"/>
  <c r="E42" i="89"/>
  <c r="G42" i="89" s="1"/>
  <c r="G12" i="89"/>
  <c r="E47" i="89"/>
  <c r="G47" i="89" s="1"/>
  <c r="G17" i="89"/>
  <c r="G72" i="87"/>
  <c r="I72" i="87" s="1"/>
  <c r="E37" i="89"/>
  <c r="G37" i="89" s="1"/>
  <c r="G7" i="89"/>
  <c r="F53" i="86"/>
  <c r="E48" i="86"/>
  <c r="B53" i="86"/>
  <c r="D89" i="87"/>
  <c r="L94" i="83" l="1"/>
  <c r="B70" i="86"/>
  <c r="J68" i="86"/>
  <c r="L68" i="86" s="1"/>
  <c r="M68" i="86"/>
  <c r="F71" i="86"/>
  <c r="M94" i="83"/>
  <c r="J94" i="83"/>
  <c r="E53" i="86"/>
  <c r="F69" i="86"/>
  <c r="I76" i="87"/>
  <c r="I89" i="87" s="1"/>
  <c r="G89" i="87"/>
  <c r="E89" i="87"/>
  <c r="E50" i="89"/>
  <c r="G50" i="89" s="1"/>
  <c r="C70" i="86" l="1"/>
  <c r="C72" i="86" s="1"/>
  <c r="B72" i="86"/>
  <c r="M71" i="86"/>
  <c r="J71" i="86"/>
  <c r="L71" i="86" s="1"/>
  <c r="J69" i="86"/>
  <c r="L69" i="86" s="1"/>
  <c r="M69" i="86"/>
  <c r="F67" i="86"/>
  <c r="J67" i="86" l="1"/>
  <c r="L67" i="86" s="1"/>
  <c r="M67" i="86"/>
  <c r="G70" i="86"/>
  <c r="G72" i="86" s="1"/>
  <c r="F70" i="86"/>
  <c r="F72" i="86" s="1"/>
  <c r="E59" i="82"/>
  <c r="C74" i="82" s="1"/>
  <c r="J59" i="82"/>
  <c r="G59" i="82"/>
  <c r="D74" i="82" s="1"/>
  <c r="C59" i="82"/>
  <c r="B74" i="82" s="1"/>
  <c r="H59" i="82"/>
  <c r="E74" i="82" s="1"/>
  <c r="M70" i="86" l="1"/>
  <c r="M72" i="86" s="1"/>
  <c r="J70" i="86"/>
  <c r="L70" i="86" s="1"/>
  <c r="L72" i="86" s="1"/>
  <c r="F74" i="82"/>
  <c r="F72" i="82"/>
  <c r="G3" i="97" s="1"/>
  <c r="F71" i="82"/>
  <c r="G4" i="97" s="1"/>
  <c r="F73" i="82"/>
  <c r="G5" i="97" s="1"/>
  <c r="J72" i="86" l="1"/>
  <c r="T3" i="105" l="1"/>
  <c r="W31" i="105" s="1"/>
  <c r="T7" i="105"/>
  <c r="U7" i="105" s="1"/>
  <c r="T10" i="105"/>
  <c r="U10" i="105" s="1"/>
  <c r="T13" i="105"/>
  <c r="U13" i="105" s="1"/>
  <c r="W9" i="106"/>
  <c r="L13" i="106"/>
  <c r="W10" i="106" s="1"/>
  <c r="J24" i="107"/>
  <c r="J20" i="107" s="1"/>
  <c r="K20" i="107" l="1"/>
  <c r="K23" i="107" s="1"/>
  <c r="J23" i="107"/>
  <c r="J25" i="107" s="1"/>
  <c r="U3" i="105"/>
  <c r="X31" i="105" s="1"/>
  <c r="Z9" i="106"/>
  <c r="O13" i="106"/>
  <c r="Z10" i="106" s="1"/>
  <c r="Z11" i="106" s="1"/>
  <c r="J60" i="107"/>
  <c r="J56" i="107" s="1"/>
  <c r="J59" i="107" l="1"/>
  <c r="J61" i="107" s="1"/>
  <c r="K56" i="107"/>
  <c r="K59" i="107" s="1"/>
</calcChain>
</file>

<file path=xl/sharedStrings.xml><?xml version="1.0" encoding="utf-8"?>
<sst xmlns="http://schemas.openxmlformats.org/spreadsheetml/2006/main" count="6233" uniqueCount="922">
  <si>
    <t>Estimated load change from current projects (through 2005)</t>
  </si>
  <si>
    <t>Sources of Total Phosphorus (loading in lbs/yr)</t>
  </si>
  <si>
    <t>Additional reduction needed in TP-loading to meet TMDL (lbs/yr)</t>
  </si>
  <si>
    <t>Baseline and net TP-loading (lbs/yr)</t>
  </si>
  <si>
    <t>TMDL Baseline loading (1991-2000)</t>
  </si>
  <si>
    <t>Total Phosphorus loading baseline, needed reductions, and estimated reductions from restoration and stormwater projects</t>
  </si>
  <si>
    <t xml:space="preserve">  muck farm 4 (active)</t>
  </si>
  <si>
    <t>Additional percent reduction in TP-loading needed to meet TMDL</t>
  </si>
  <si>
    <t>TMDL Baseline loading        (1991-2000)</t>
  </si>
  <si>
    <t>Estimated load change from future projects (2005 on)</t>
  </si>
  <si>
    <t>Trout Lake</t>
  </si>
  <si>
    <t>Lake Harris</t>
  </si>
  <si>
    <t>Lake Yale</t>
  </si>
  <si>
    <t>Lake Carlton</t>
  </si>
  <si>
    <t>High density residential</t>
  </si>
  <si>
    <t>Total</t>
  </si>
  <si>
    <t>Net estimated TP load</t>
  </si>
  <si>
    <t>Total Maximum Daily Load (lbs/yr)</t>
  </si>
  <si>
    <t>Discharge from Palatlakaha River</t>
  </si>
  <si>
    <t>Stormwater runoff</t>
  </si>
  <si>
    <t xml:space="preserve">  Natural area runoff</t>
  </si>
  <si>
    <t xml:space="preserve">  Runoff from developed uses</t>
  </si>
  <si>
    <t>Spring discharge</t>
  </si>
  <si>
    <t>Muck farm discharges</t>
  </si>
  <si>
    <t>Restoration area discharges</t>
  </si>
  <si>
    <t xml:space="preserve">  Harris Bayou</t>
  </si>
  <si>
    <t>Atmospheric deposition (wet/dry)</t>
  </si>
  <si>
    <t>Point sources</t>
  </si>
  <si>
    <t>Seepage/groundwater</t>
  </si>
  <si>
    <t>Septic tanks</t>
  </si>
  <si>
    <t>Loading information</t>
  </si>
  <si>
    <t>Estimated load change from growth (2009 land uses)</t>
  </si>
  <si>
    <t xml:space="preserve">  Agricultural runoff</t>
  </si>
  <si>
    <t>City</t>
  </si>
  <si>
    <t>Clermont</t>
  </si>
  <si>
    <t>Groveland</t>
  </si>
  <si>
    <t>Lake County</t>
  </si>
  <si>
    <t>Leesburg</t>
  </si>
  <si>
    <t>Mascotte</t>
  </si>
  <si>
    <t>Minneola</t>
  </si>
  <si>
    <t>Eustis</t>
  </si>
  <si>
    <t>FDOT</t>
  </si>
  <si>
    <t>Marion County</t>
  </si>
  <si>
    <t>Umatilla</t>
  </si>
  <si>
    <t>Lake</t>
  </si>
  <si>
    <t/>
  </si>
  <si>
    <t>Carlton</t>
  </si>
  <si>
    <t>Orange County</t>
  </si>
  <si>
    <t>Astatula</t>
  </si>
  <si>
    <t>Howey-in-the-Hills</t>
  </si>
  <si>
    <t>Tavares</t>
  </si>
  <si>
    <t>Wildwood</t>
  </si>
  <si>
    <t>Apportionment of Developed Land Uses Reduction lbs TP/yr</t>
  </si>
  <si>
    <t>Allowable Loading or Allocation</t>
  </si>
  <si>
    <t>Proportional reduction needed to meet TMDL</t>
  </si>
  <si>
    <t>Palatlakaha</t>
  </si>
  <si>
    <t>Developed- High</t>
  </si>
  <si>
    <t>Developed- Medium</t>
  </si>
  <si>
    <t>Developed- Low</t>
  </si>
  <si>
    <t>Septic Systems</t>
  </si>
  <si>
    <t>Percent of Systems</t>
  </si>
  <si>
    <t>Howey-In-The-Hills</t>
  </si>
  <si>
    <t>Developed-high</t>
  </si>
  <si>
    <t>Developed-medium</t>
  </si>
  <si>
    <t>Developed-low</t>
  </si>
  <si>
    <t>Developed-High</t>
  </si>
  <si>
    <t>Developed-Medium</t>
  </si>
  <si>
    <t>Developed-Low</t>
  </si>
  <si>
    <t>Lake Yale Reductions</t>
  </si>
  <si>
    <t>Total Loading Reduction by Jurisdiction for Lake Yale</t>
  </si>
  <si>
    <t>Developed-Medium Percent of Area</t>
  </si>
  <si>
    <t>Developed-High Percent of Area</t>
  </si>
  <si>
    <t>Developed-Low Percent of Area</t>
  </si>
  <si>
    <t>Total Loading Reduction by Jurisdiction for Lake Harris</t>
  </si>
  <si>
    <t>Total Reduction Developed lbs/yr TP</t>
  </si>
  <si>
    <t>Reduction for Developed-High lbs/yr TP</t>
  </si>
  <si>
    <t>Reduction for Developed-Medium lbs/yr TP</t>
  </si>
  <si>
    <t>Reduction for Developed-Low lbs/yr TP</t>
  </si>
  <si>
    <t>Palatlakaha River</t>
  </si>
  <si>
    <t>Sum of loading reduction for developed land uses and septic systems.</t>
  </si>
  <si>
    <t>Loading Reduction using 3 categories of developed land use</t>
  </si>
  <si>
    <t xml:space="preserve">  Lake Yale - Summary of Reduction Goals and Estimated Reductions of Total Phosphorus from BMAP Projects</t>
  </si>
  <si>
    <t xml:space="preserve">  Lake Harris - Summary of Reduction Goals and Estimated Reductions of Total Phosphorus from BMAP Projects</t>
  </si>
  <si>
    <t xml:space="preserve"> Palatlakaha River - Summary of Reduction Goals and Estimated Reductions of Total Phosphorus from BMAP Projects</t>
  </si>
  <si>
    <t xml:space="preserve"> Lake Carlton - Summary of Reduction Goals and Estimated Reductions of Total Phosphorus from BMAP Projects</t>
  </si>
  <si>
    <t>Total Loading Reductions - Developed Land Use and Septic Systems</t>
  </si>
  <si>
    <t>Developed Land Use -High</t>
  </si>
  <si>
    <t>Developed Land Use-Medium</t>
  </si>
  <si>
    <t>Developed Land Use- Low</t>
  </si>
  <si>
    <t>Description</t>
  </si>
  <si>
    <t>Harris Chain Land Use Category</t>
  </si>
  <si>
    <t>Palatlakaha River Land Use Category</t>
  </si>
  <si>
    <t>High density residential, high density commercial, and industrial.</t>
  </si>
  <si>
    <t>Medium density residential and low density commercial</t>
  </si>
  <si>
    <t>Low density residential, mining, sprayfields, and open land/recreation</t>
  </si>
  <si>
    <t>Medium density residential and transportation</t>
  </si>
  <si>
    <t>Urban open and low density residential</t>
  </si>
  <si>
    <t xml:space="preserve">Sum of loading reduction for developed land uses. </t>
  </si>
  <si>
    <t>Total lbs/yr TP</t>
  </si>
  <si>
    <t>TMDL Controllable 2009 loading Estimate</t>
  </si>
  <si>
    <t>Controllable 2009 estimated % contribution</t>
  </si>
  <si>
    <t xml:space="preserve">  muck farm 2 (inactive)</t>
  </si>
  <si>
    <t xml:space="preserve">  muck farm 3 (inactive)</t>
  </si>
  <si>
    <t xml:space="preserve">  Pine Meadows restoration area</t>
  </si>
  <si>
    <t>TMDL Baseline loading        (1995-2000)</t>
  </si>
  <si>
    <t xml:space="preserve">    Developed Land Uses-High</t>
  </si>
  <si>
    <t xml:space="preserve">    Developed Land Uses-Medium</t>
  </si>
  <si>
    <t xml:space="preserve">    Developed Land Uses-Low</t>
  </si>
  <si>
    <t>Trout Lake - Summary of Reduction Goals and Estimated Reductions of Total Phosphorus from BMAP Projects</t>
  </si>
  <si>
    <t>Total Loading Reduction by Jurisdiction for Trout Lake</t>
  </si>
  <si>
    <t>Acres Developed</t>
  </si>
  <si>
    <t>Portion Developed</t>
  </si>
  <si>
    <t>Percent Developed</t>
  </si>
  <si>
    <t>Total Allocation lbs /yr TP</t>
  </si>
  <si>
    <t>Total Allocation lbs/yr TP</t>
  </si>
  <si>
    <t>Total Allocation in TP- loading (lbs/yr)</t>
  </si>
  <si>
    <t>Total Developed Land Uses Allocation (lbs/yr TP)</t>
  </si>
  <si>
    <t>Total Allocation Developed lbs/yr TP</t>
  </si>
  <si>
    <t>Additional reduction needed in TP-loading  to meet TMDL (lbs/yr)</t>
  </si>
  <si>
    <t>Total Reduction Septic System lbs/yr TP</t>
  </si>
  <si>
    <t>Loading Reduction lbs/yr TP</t>
  </si>
  <si>
    <t>Portion of Lake Watershed</t>
  </si>
  <si>
    <t xml:space="preserve">Acres Developed </t>
  </si>
  <si>
    <t>Total Acres Developed for Lake</t>
  </si>
  <si>
    <t xml:space="preserve">  Agriculture runoff</t>
  </si>
  <si>
    <t>Total Allocations - Developed Land Use and Septic Systems</t>
  </si>
  <si>
    <t>Total Loading Developed-High lbs/yr TP</t>
  </si>
  <si>
    <t>Developed-High Percent Area</t>
  </si>
  <si>
    <t>Total Loading Developed-Medium lbs/yr TP</t>
  </si>
  <si>
    <t>Total Loading Developed-Low lbs/yr TP</t>
  </si>
  <si>
    <t>Stormwater Total Loading lbs/yr TP</t>
  </si>
  <si>
    <t>Education Credit Loading Information</t>
  </si>
  <si>
    <t>TMDL Baseline loading  (1995-2000)</t>
  </si>
  <si>
    <t>Lake Beauclair</t>
  </si>
  <si>
    <t>Lake Dora</t>
  </si>
  <si>
    <t>Lake Eustis</t>
  </si>
  <si>
    <t>Lake Griffin</t>
  </si>
  <si>
    <t>Total Acres</t>
  </si>
  <si>
    <t>Percent of Entire Basin</t>
  </si>
  <si>
    <t>Stormwater Loading lbs TP/yr</t>
  </si>
  <si>
    <t>Stormwater Loading calculated from baseline loading +change from 2009 land use.  Project reductions were removed from calculation.</t>
  </si>
  <si>
    <t>Fruitland Park</t>
  </si>
  <si>
    <t>Mount Dora</t>
  </si>
  <si>
    <t>Turnpike</t>
  </si>
  <si>
    <t xml:space="preserve">Fruitland Park </t>
  </si>
  <si>
    <t>Total Stormwater Loading lbs TP/yr</t>
  </si>
  <si>
    <t>Total Load (lbs/yr TP)</t>
  </si>
  <si>
    <t xml:space="preserve">Total Reduction </t>
  </si>
  <si>
    <t>Allocation for Developed Land Uses</t>
  </si>
  <si>
    <t>Total Allocation (lbs/yr TP)</t>
  </si>
  <si>
    <t xml:space="preserve">Palatlakaha Reductions </t>
  </si>
  <si>
    <t>Lake Harris Reductions</t>
  </si>
  <si>
    <t>Lake Carlton Reductions</t>
  </si>
  <si>
    <t>Trout Lake Reductions</t>
  </si>
  <si>
    <t xml:space="preserve">Lake Griffin Reductions </t>
  </si>
  <si>
    <t xml:space="preserve">Lake Eustis Reductions </t>
  </si>
  <si>
    <t xml:space="preserve">Lake Dora Reductions </t>
  </si>
  <si>
    <t>Lake Beauclair Reductions</t>
  </si>
  <si>
    <t>Palatlakaha SW Loading</t>
  </si>
  <si>
    <t>Lake Harris SW Loading</t>
  </si>
  <si>
    <t xml:space="preserve">Lake Carlton SW Loading </t>
  </si>
  <si>
    <t xml:space="preserve">Lake Yale SW Loading </t>
  </si>
  <si>
    <t xml:space="preserve">Trout Lake SW Loading </t>
  </si>
  <si>
    <t xml:space="preserve">Lake Griffin SW Loading </t>
  </si>
  <si>
    <t xml:space="preserve">Lake Eustis SW Loading </t>
  </si>
  <si>
    <t>Lake Dora SW Loading</t>
  </si>
  <si>
    <t>Lake Beauclair SW Loading</t>
  </si>
  <si>
    <t>-</t>
  </si>
  <si>
    <t>Activity</t>
  </si>
  <si>
    <t>Activity Details</t>
  </si>
  <si>
    <t xml:space="preserve"> Florida Yards and Neighborhoods program</t>
  </si>
  <si>
    <t xml:space="preserve"> Landscaping local code/ordinance</t>
  </si>
  <si>
    <t xml:space="preserve"> Irrigation local code/ordinance</t>
  </si>
  <si>
    <t xml:space="preserve"> Fertilizer local code/ordinance</t>
  </si>
  <si>
    <t xml:space="preserve"> Pet waste management local code/ordinance</t>
  </si>
  <si>
    <t xml:space="preserve"> Public Service Announcements (PSAs)</t>
  </si>
  <si>
    <t xml:space="preserve"> Informational pamphlets</t>
  </si>
  <si>
    <t xml:space="preserve"> Website</t>
  </si>
  <si>
    <t xml:space="preserve"> Inspection program and call-in number for illicit discharges</t>
  </si>
  <si>
    <t>Total Credit for Education Activities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</si>
  <si>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</si>
  <si>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</si>
  <si>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</si>
  <si>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</si>
  <si>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</si>
  <si>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</si>
  <si>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Credit</t>
  </si>
  <si>
    <t>Support IFAS program or alternative</t>
  </si>
  <si>
    <t>NA</t>
  </si>
  <si>
    <t>Education Credit Information</t>
  </si>
  <si>
    <t>Education Credit as Percent</t>
  </si>
  <si>
    <t>Credit Given as lbs TP/yr Reduction</t>
  </si>
  <si>
    <t>Total Acreage as Portion of All Developed Land Uses in Entire Basin</t>
  </si>
  <si>
    <t>Credit for Educational Activities as Percent</t>
  </si>
  <si>
    <t>Acres Developed-High</t>
  </si>
  <si>
    <t>Percent Developed-High</t>
  </si>
  <si>
    <t>Acres Developed-Medium</t>
  </si>
  <si>
    <t>Percent Developed-Medium</t>
  </si>
  <si>
    <t>Acres Developed-Low</t>
  </si>
  <si>
    <t>Percent Developed-Low</t>
  </si>
  <si>
    <t>Difference Between Developed Land Use Estimates *</t>
  </si>
  <si>
    <t>All information in these spreadsheets is draft.</t>
  </si>
  <si>
    <t>Total Reduction Developed Land Use lbs/yr TP</t>
  </si>
  <si>
    <t>Developed Land Uses Reduction lbs/yr TP</t>
  </si>
  <si>
    <t>Total Allocation Developed Land Uses lbs/yr TP</t>
  </si>
  <si>
    <t xml:space="preserve">Lake Griffin Watershed </t>
  </si>
  <si>
    <t xml:space="preserve">Lake Dora  Watershed </t>
  </si>
  <si>
    <t xml:space="preserve">Lake Beauclair  Watershed </t>
  </si>
  <si>
    <t>Note Number</t>
  </si>
  <si>
    <r>
      <rPr>
        <b/>
        <sz val="10"/>
        <rFont val="Arial"/>
        <family val="2"/>
      </rPr>
      <t xml:space="preserve">Lake Harris Model: </t>
    </r>
    <r>
      <rPr>
        <sz val="10"/>
        <rFont val="Arial"/>
        <family val="2"/>
      </rPr>
      <t>Lake Harris and Little Lake Harris modeled as one basin.  Area (acreage) of the Lake Harris basin is the combined area of the Lake Harris and Little Lake Harris Basins.</t>
    </r>
  </si>
  <si>
    <r>
      <rPr>
        <b/>
        <sz val="10"/>
        <rFont val="Arial"/>
        <family val="2"/>
      </rPr>
      <t>NA=</t>
    </r>
    <r>
      <rPr>
        <sz val="10"/>
        <rFont val="Arial"/>
        <family val="2"/>
      </rPr>
      <t>not applicable</t>
    </r>
  </si>
  <si>
    <t>One Developed Land Use Category without Trout Lake-not including Septic Systems</t>
  </si>
  <si>
    <t>Estimated Total TP Load from Three Categories of Developed Land Uses (lbs/yr)</t>
  </si>
  <si>
    <t>Reductions by Three Developed Land Use Categories: Low, Medium, and High Intensity</t>
  </si>
  <si>
    <t>lbs/yr TP</t>
  </si>
  <si>
    <t>Septic System Loading Reduction-Based on Number of Septic Systems</t>
  </si>
  <si>
    <t>Allocation for Septic Systems</t>
  </si>
  <si>
    <t>Total Allocation Developed Land Use and Septic Systems</t>
  </si>
  <si>
    <t xml:space="preserve">Total Reduction Developed Land Use and Septic Systems </t>
  </si>
  <si>
    <t>Difference Between Developed Land Use Estimates*</t>
  </si>
  <si>
    <r>
      <rPr>
        <b/>
        <sz val="10"/>
        <rFont val="Arial"/>
        <family val="2"/>
      </rPr>
      <t>Projects:</t>
    </r>
    <r>
      <rPr>
        <sz val="10"/>
        <rFont val="Arial"/>
        <family val="2"/>
      </rPr>
      <t xml:space="preserve"> Estimates of reductions and allocations do not include credits (as lbs/yr TP) for projects.  Project information was removed from speadsheets.</t>
    </r>
  </si>
  <si>
    <r>
      <rPr>
        <b/>
        <sz val="10"/>
        <rFont val="Arial"/>
        <family val="2"/>
      </rPr>
      <t xml:space="preserve">Education Credit: </t>
    </r>
    <r>
      <rPr>
        <sz val="10"/>
        <rFont val="Arial"/>
        <family val="2"/>
      </rPr>
      <t>Education crediting scheme is listed in the spreadsheet " Education credit scheme".  Education credit estimated as percent credits x jurisdiction's total stormwater loading.</t>
    </r>
  </si>
  <si>
    <t>Developed Land Uses Required Reduction lbs/yr TP</t>
  </si>
  <si>
    <t>Percent of watershed</t>
  </si>
  <si>
    <t>Percent of Watershed</t>
  </si>
  <si>
    <t>Total Loading Reduction lbs TP /yr</t>
  </si>
  <si>
    <t>Total Loading Reduction lbs /yr TP</t>
  </si>
  <si>
    <t>Total Developed Land Uses Allocation (lbs/yr TP)=runoff from developed uses +septic systems</t>
  </si>
  <si>
    <t xml:space="preserve">Lake Eustis Watershed </t>
  </si>
  <si>
    <t>SW=stormwater</t>
  </si>
  <si>
    <t>Septic systems</t>
  </si>
  <si>
    <t>Package plants</t>
  </si>
  <si>
    <t>Land Use Category</t>
  </si>
  <si>
    <t>Sub-basin</t>
  </si>
  <si>
    <t>Acres</t>
  </si>
  <si>
    <t>Portion</t>
  </si>
  <si>
    <t>% of total landuse acres</t>
  </si>
  <si>
    <t>Developed Land Use- High</t>
  </si>
  <si>
    <t>Developed Land Use- Medium</t>
  </si>
  <si>
    <t>Percent of Total - High</t>
  </si>
  <si>
    <t>Percent of Total - Low</t>
  </si>
  <si>
    <t>Percent of Total - Medium</t>
  </si>
  <si>
    <t xml:space="preserve"> 39-   Developed Land Uses-High</t>
  </si>
  <si>
    <t xml:space="preserve"> 39-   Developed Land Uses-Medium</t>
  </si>
  <si>
    <t xml:space="preserve"> 40-   Developed Land Uses-High</t>
  </si>
  <si>
    <t xml:space="preserve"> 40-  Developed Land Uses-Medium</t>
  </si>
  <si>
    <t xml:space="preserve"> 40-    Developed Land Uses-Low</t>
  </si>
  <si>
    <t xml:space="preserve"> 39-    Developed Land Uses-Low</t>
  </si>
  <si>
    <t xml:space="preserve">  41-  Developed Land Uses-Medium</t>
  </si>
  <si>
    <t xml:space="preserve">  41-    Developed Land Uses-High</t>
  </si>
  <si>
    <t xml:space="preserve">  41- Developed Land Uses-Low</t>
  </si>
  <si>
    <t>42-    Developed Land Uses-High</t>
  </si>
  <si>
    <t>42-    Developed Land Uses-Medium</t>
  </si>
  <si>
    <t>42-    Developed Land Uses-Low</t>
  </si>
  <si>
    <t xml:space="preserve">  43-  Developed Land Uses-High</t>
  </si>
  <si>
    <t xml:space="preserve"> 43-   Developed Land Uses-Medium</t>
  </si>
  <si>
    <t xml:space="preserve">  43-  Developed Land Uses-Low</t>
  </si>
  <si>
    <t xml:space="preserve">  44-  Developed Land Uses-High</t>
  </si>
  <si>
    <t xml:space="preserve"> 44-   Developed Land Uses-Medium</t>
  </si>
  <si>
    <t xml:space="preserve">  44-  Developed Land Uses-Low</t>
  </si>
  <si>
    <t>Data Period 1995-2000</t>
  </si>
  <si>
    <t>lbs TP/yr</t>
  </si>
  <si>
    <t>Basin Number</t>
  </si>
  <si>
    <t>Developed -Medium</t>
  </si>
  <si>
    <t>Develop-Low</t>
  </si>
  <si>
    <t>Sum</t>
  </si>
  <si>
    <t>Septic systems total</t>
  </si>
  <si>
    <t>Reduction lbsTP/yr</t>
  </si>
  <si>
    <t>Trout Lake Acres by Land Use Type</t>
  </si>
  <si>
    <t>Total Acres in Basin</t>
  </si>
  <si>
    <t>Sub-basin 39</t>
  </si>
  <si>
    <t>Sub-basin 40</t>
  </si>
  <si>
    <t>Sub-basin 41</t>
  </si>
  <si>
    <t>Sub-basin 42</t>
  </si>
  <si>
    <t>Developed-High all sub-basins</t>
  </si>
  <si>
    <t>Developed-Medium all sub-basins</t>
  </si>
  <si>
    <t>Developed-Low all sub-basins</t>
  </si>
  <si>
    <t>Sub-basin 43</t>
  </si>
  <si>
    <t>Sub-basin 44</t>
  </si>
  <si>
    <t>Jurisdiction</t>
  </si>
  <si>
    <t>Total Reduction</t>
  </si>
  <si>
    <t>Total Reduction Developed lbs TP/yr -by Sub-basin</t>
  </si>
  <si>
    <t>Total Credits</t>
  </si>
  <si>
    <t>*Comparison of reductions by sub-basin breakout minus total basin.</t>
  </si>
  <si>
    <t>Trout Lake - Summary of Reduction Goals and Estimated Reductions of Total Phosphorus from BMAP Projects Sub-basin Breakout</t>
  </si>
  <si>
    <t>Winter Garden</t>
  </si>
  <si>
    <t>Ocoee</t>
  </si>
  <si>
    <t>Apopka</t>
  </si>
  <si>
    <t>Lake County Parks/SJRWMD</t>
  </si>
  <si>
    <t>LCWA</t>
  </si>
  <si>
    <t>Mt. Dora</t>
  </si>
  <si>
    <t>Palatlakaha River Project Credits</t>
  </si>
  <si>
    <t>Palatlakaha River Education Credits</t>
  </si>
  <si>
    <t xml:space="preserve">Palatlakaha River City Total Credits  </t>
  </si>
  <si>
    <t xml:space="preserve">Lake Apopka Project Credits </t>
  </si>
  <si>
    <t xml:space="preserve">Lake Apopka Education Credits </t>
  </si>
  <si>
    <t xml:space="preserve">Lake Apopka City Total Credits  </t>
  </si>
  <si>
    <t xml:space="preserve">Lake Harris Project Credits </t>
  </si>
  <si>
    <t xml:space="preserve">Lake Harris Education Credits </t>
  </si>
  <si>
    <t>Lake Harris City Total Credits</t>
  </si>
  <si>
    <t xml:space="preserve">Lake Carlton Project Credits </t>
  </si>
  <si>
    <t xml:space="preserve">Lake Carlton Education Credits </t>
  </si>
  <si>
    <t xml:space="preserve">Lake Carlton City Total Credits </t>
  </si>
  <si>
    <t>Lake Dora Project Credits</t>
  </si>
  <si>
    <t xml:space="preserve">Lake Dora Education Credits </t>
  </si>
  <si>
    <t xml:space="preserve">Lake Dora City Total Credits </t>
  </si>
  <si>
    <t>Lake Beauclair Project Credits</t>
  </si>
  <si>
    <t>Lake Beauclair Education Credits</t>
  </si>
  <si>
    <t>Lake Beauclair City Total Credits</t>
  </si>
  <si>
    <t xml:space="preserve">Trout Lake Project Credits </t>
  </si>
  <si>
    <t xml:space="preserve">Trout Lake Education Credits </t>
  </si>
  <si>
    <t>Trout Lake City Total Credits</t>
  </si>
  <si>
    <t xml:space="preserve">Lake Eustis Project Credits </t>
  </si>
  <si>
    <t xml:space="preserve">Lake Eustis Education Credits </t>
  </si>
  <si>
    <t xml:space="preserve">Lake Eustis Total City Credits </t>
  </si>
  <si>
    <t xml:space="preserve">Lake Yale Project Credits </t>
  </si>
  <si>
    <t xml:space="preserve">Lake Yale Education Credits </t>
  </si>
  <si>
    <t xml:space="preserve">Lake Yale City Total Credits </t>
  </si>
  <si>
    <t xml:space="preserve">Lake Griffin Project Credits </t>
  </si>
  <si>
    <t xml:space="preserve">Lake Griffin Education Credits </t>
  </si>
  <si>
    <t xml:space="preserve">Lake Griffin City Total Credits </t>
  </si>
  <si>
    <t xml:space="preserve">Lake Roberts Project Credits </t>
  </si>
  <si>
    <t xml:space="preserve">Lake Roberts Education Credits </t>
  </si>
  <si>
    <t xml:space="preserve">Lake Roberts City Total Credits </t>
  </si>
  <si>
    <t xml:space="preserve">Total </t>
  </si>
  <si>
    <t>Difference      lbs TP/yr*</t>
  </si>
  <si>
    <t>Total Reduction Developed lbs/TP yr</t>
  </si>
  <si>
    <t>Portion of Total Number of Systems</t>
  </si>
  <si>
    <t>Number of Systems*</t>
  </si>
  <si>
    <t xml:space="preserve">*Based solely on distribution of septic systems, does not inlcude package plants. </t>
  </si>
  <si>
    <t>Total Loading Reduction lbs/yr TP</t>
  </si>
  <si>
    <t>Estimated Number of Systems*</t>
  </si>
  <si>
    <t>Percent of Stormwater Total Loading</t>
  </si>
  <si>
    <t>De minimis</t>
  </si>
  <si>
    <t xml:space="preserve">Harris </t>
  </si>
  <si>
    <t xml:space="preserve">Trout </t>
  </si>
  <si>
    <t xml:space="preserve">Palatlakaha </t>
  </si>
  <si>
    <t xml:space="preserve">Yale </t>
  </si>
  <si>
    <t xml:space="preserve">Lake Basin </t>
  </si>
  <si>
    <t xml:space="preserve">2009 Developed Stormwater  Loading by Jurisdiction </t>
  </si>
  <si>
    <t xml:space="preserve">Discharge from Lake Eustis </t>
  </si>
  <si>
    <t>Septic System Reduction</t>
  </si>
  <si>
    <t xml:space="preserve">Education Credit Reduction in lbs TP/yr </t>
  </si>
  <si>
    <t>Education Credit lbs yr TP</t>
  </si>
  <si>
    <t>Project Credits  lbs /yr TP</t>
  </si>
  <si>
    <t>Additional Projects Credits</t>
  </si>
  <si>
    <t>Number of Septic Systems*</t>
  </si>
  <si>
    <t>Portion of Total Number of Septic Systems</t>
  </si>
  <si>
    <t>1,034 OSTDS separately assigned to package plants</t>
  </si>
  <si>
    <t>Reductions and Credits by Jurisdiction for Lake Harris</t>
  </si>
  <si>
    <t>Reductions by Jurisdiction for Lake Harris</t>
  </si>
  <si>
    <t>Reduction by Jurisdiction for Lake Harris</t>
  </si>
  <si>
    <t>* if negative, 3 categories of developed uses lower than composited land uses (1 category).</t>
  </si>
  <si>
    <t>Difference Between Developed Land Use Estimates lbs/yr TP*</t>
  </si>
  <si>
    <t>Developed Land Use Loading Reduction- all developed land categories summed together</t>
  </si>
  <si>
    <t>Total Phosphorus loading baseline, needed reductions, and estimated reductions from restoration - Lake Harris</t>
  </si>
  <si>
    <t>Total Phosphorus loading baseline, needed reductions, and estimated reductions from restoration and stormwater projects - Trout Lake</t>
  </si>
  <si>
    <t>Reductions and Credits by Jurisdiction for Trout Lake</t>
  </si>
  <si>
    <t>Education Credit Reduction in lbs TP/yr</t>
  </si>
  <si>
    <t>Reduction by Jurisdiction for Tout Lake</t>
  </si>
  <si>
    <t>Total Phosphorus loading baseline, needed reductions, and estimated reductions from restoration - Palatlakaha River</t>
  </si>
  <si>
    <t>Reduction by Jurisdiction for Palatlakaha River</t>
  </si>
  <si>
    <t>Total Loading Reduction by Jurisdiction for Palatlakaha River</t>
  </si>
  <si>
    <t>Reductions and Credits by Jurisdiction - Palatlakaha River</t>
  </si>
  <si>
    <t>Reductions and Credits by Jurisdiction - Lake Carlton</t>
  </si>
  <si>
    <t>Reductions and Credits by Jurisdiction - Lake Yale</t>
  </si>
  <si>
    <t>Reduction by Jurisdiction for Lake Yale</t>
  </si>
  <si>
    <t>590 OSTDS attributed to package plants</t>
  </si>
  <si>
    <t>Total Phosphorus loading baseline, needed reductions, and estimated reductions from restoration and stormwater projects - Lake Yale</t>
  </si>
  <si>
    <t>Total Loading Reduction by Jurisdiction for Lake Carlton</t>
  </si>
  <si>
    <t>Total Phosphorus loading baseline, needed reductions, and estimated reductions from restoration -  Lake Carlton</t>
  </si>
  <si>
    <t>18 OSTDS separately attributed to package plants</t>
  </si>
  <si>
    <t>Reduction by Jurisdiction for Lake Carlton</t>
  </si>
  <si>
    <t>De minimis Summary</t>
  </si>
  <si>
    <r>
      <rPr>
        <b/>
        <sz val="10"/>
        <rFont val="Arial"/>
        <family val="2"/>
      </rPr>
      <t>Septic Systems:</t>
    </r>
    <r>
      <rPr>
        <sz val="10"/>
        <rFont val="Arial"/>
        <family val="2"/>
      </rPr>
      <t xml:space="preserve"> Septic system percent number by jurisdiction is estimated as number of systems within a jurisdiction out of the total number included in loading estimates.  Loading is then apportioned by the percent of septic systems within a jurisdiction.  Currently does not include portion of loading attributed to package plants.</t>
    </r>
  </si>
  <si>
    <r>
      <rPr>
        <b/>
        <sz val="10"/>
        <rFont val="Arial"/>
        <family val="2"/>
      </rPr>
      <t>Total Reduction:</t>
    </r>
    <r>
      <rPr>
        <sz val="10"/>
        <rFont val="Arial"/>
        <family val="2"/>
      </rPr>
      <t xml:space="preserve"> Sum of urban stormwater reduction and septic system reductions.</t>
    </r>
  </si>
  <si>
    <t>Summary of Credits and Required Reductions: Reductions based on urban stormwater required reduction</t>
  </si>
  <si>
    <t>Total Reduction lbs/yr TP</t>
  </si>
  <si>
    <t>Total Reduction Developed Land Uses lbs/yr TP</t>
  </si>
  <si>
    <t>Total Urban Stormwater Reduction (lbs/yr TP)</t>
  </si>
  <si>
    <t>Total Septic System Reduction (lbs/yr TP)</t>
  </si>
  <si>
    <t>Total Developed Land Use Reduction (lbs/yr TP)</t>
  </si>
  <si>
    <t>Total Required Developed Land Use Reduction       lbs/yr TP</t>
  </si>
  <si>
    <t>Developed Land Uses (Stormwater) Total Loading lbs/yr TP</t>
  </si>
  <si>
    <t>Summary of Credits and Required Reductions: Reductions based on developed land uses (urban stormwater) required reduction</t>
  </si>
  <si>
    <t>2009 Developed Land Uses Stormwater  Loading by Jurisdiction for Lake Carlton</t>
  </si>
  <si>
    <t>2009 Developed Land Uses Stormwater  Loading by Jurisdiction for Lake Yale</t>
  </si>
  <si>
    <t>2009 Developed Land Uses Stormwater Loading by Jurisdiction for Palatlakaha River</t>
  </si>
  <si>
    <t xml:space="preserve">2009 Developed Land Uses Stormwater Loading by Jurisdiction for Trout Lake </t>
  </si>
  <si>
    <t>2009 Developed Land Uses Stormwater Loading by Jurisdiction for Lake Harris</t>
  </si>
  <si>
    <t>Total Overall Reduction Needed lbs/yr TP</t>
  </si>
  <si>
    <t>First Five Year 50% Required Developed Land Use Reduction lbs/yr TP</t>
  </si>
  <si>
    <t>Second Five Year 50% Required Developed Land Use Reduction (lbs/yr TP)</t>
  </si>
  <si>
    <t>Education Credit lbs /yr TP</t>
  </si>
  <si>
    <t>Second Five Year 50% Required Developed Land Use Reduction lbs/yr TP</t>
  </si>
  <si>
    <t>Palatlakaha Developed Land Use</t>
  </si>
  <si>
    <t>Lake Harris Developed Land Use</t>
  </si>
  <si>
    <t>Lake Carlton Developed Land Use</t>
  </si>
  <si>
    <t>Lake Yale Developed Land Use</t>
  </si>
  <si>
    <t>Trout Lake Developed Land Use</t>
  </si>
  <si>
    <t>Total Septic System Reduction</t>
  </si>
  <si>
    <t>Credits for projects not included in calculations</t>
  </si>
  <si>
    <t>Lake County City Jurisdiction</t>
  </si>
  <si>
    <t>(FYN component added for Astatula, Howey-in-the-Hills, and Tavares)</t>
  </si>
  <si>
    <t>Summary of Credits and Required Reductions: Reductions based on urban stormwater required reduction.  Lake County education credit given for FYN in Astatula, Howey -in-the-Hills, and Tavares</t>
  </si>
  <si>
    <t>Lake County Education calculation</t>
  </si>
  <si>
    <t>Included areas of other cities in Lake County that did not have FYN credits.</t>
  </si>
  <si>
    <t>Included credits for Astatula, Groveland, Howey-in-the-Hills, Mascotte, Minneola, Mt. Dora, Tavares, Clermont</t>
  </si>
  <si>
    <t>Additional education credits for Palatlakaha River, Lake Harris, Lake Dora, and Lake Eustis</t>
  </si>
  <si>
    <t>Listed as Lake County City Jurisdiction</t>
  </si>
  <si>
    <t>Summary of Credits and Required Reductions: Reductions based on urban stormwater required reduction.  Lake County education credit given for FYN in Clermont, Groveland, Mascotte, and Minneola.</t>
  </si>
  <si>
    <t>(FYN component added for Clermont, Groveland, Mascotte, and Minneola)</t>
  </si>
  <si>
    <t>DRAFT Harris Chain and Palatlakaha River Basins Stormwater Loading and Education Crediting  (lbs TP/yr)</t>
  </si>
  <si>
    <t>Second Five Year Additional Education Credits lbs/yr TP</t>
  </si>
  <si>
    <t>Note: Full education credit awarded first five years. If additional education activities added, credits will be added in the future.</t>
  </si>
  <si>
    <t>Final Reduction Needed lbs/yr TP</t>
  </si>
  <si>
    <t>Mt. Dora MS4 requirements plus irrigation ordinance</t>
  </si>
  <si>
    <t>Minneola MS4 requirements</t>
  </si>
  <si>
    <t>Howey-in-the-Hills MS4 requirements</t>
  </si>
  <si>
    <t>Meet all MS4 requirements get 1% credit</t>
  </si>
  <si>
    <t>Mean lbs</t>
  </si>
  <si>
    <t>TMDL Baseline loading (2000-2012)</t>
  </si>
  <si>
    <t>TMDL Controllable loading Estimate</t>
  </si>
  <si>
    <t>Expected load reduction from current projects</t>
  </si>
  <si>
    <t xml:space="preserve">    Developed-high</t>
  </si>
  <si>
    <t xml:space="preserve">    Developed-medium</t>
  </si>
  <si>
    <t xml:space="preserve">    Developed-low</t>
  </si>
  <si>
    <t xml:space="preserve">  Septic systems</t>
  </si>
  <si>
    <t xml:space="preserve">  Package plants</t>
  </si>
  <si>
    <t>Seepage/groundwater/Floridan</t>
  </si>
  <si>
    <t>Internal Load</t>
  </si>
  <si>
    <t>Sources of Total Phosphorus (loading in kg/yr)</t>
  </si>
  <si>
    <t>Total Maximum Daily Load (kg/yr)</t>
  </si>
  <si>
    <t>High</t>
  </si>
  <si>
    <t>med</t>
  </si>
  <si>
    <t>low</t>
  </si>
  <si>
    <t>Reduction by Jurisdiction for Lake Denham</t>
  </si>
  <si>
    <t>2009 Developed Land Uses Stormwater  Loading by Jurisdiction for Lake Denham</t>
  </si>
  <si>
    <t>Low-density residential</t>
  </si>
  <si>
    <t>Medium-density residential</t>
  </si>
  <si>
    <t>High-density residential</t>
  </si>
  <si>
    <t>Low-density commercial</t>
  </si>
  <si>
    <t>High-density commercial</t>
  </si>
  <si>
    <t>Industrial</t>
  </si>
  <si>
    <t>Mining</t>
  </si>
  <si>
    <t>Open land/recreational</t>
  </si>
  <si>
    <t>Pasture</t>
  </si>
  <si>
    <t>Cropland</t>
  </si>
  <si>
    <t>Tree crops</t>
  </si>
  <si>
    <t>Other agriculture</t>
  </si>
  <si>
    <t>Forest/rangeland</t>
  </si>
  <si>
    <t>Water</t>
  </si>
  <si>
    <t>Wetlands</t>
  </si>
  <si>
    <t>Muck farms</t>
  </si>
  <si>
    <r>
      <rPr>
        <b/>
        <sz val="10"/>
        <rFont val="Arial"/>
        <family val="2"/>
      </rPr>
      <t>M</t>
    </r>
    <r>
      <rPr>
        <b/>
        <sz val="8"/>
        <rFont val="Arial"/>
        <family val="2"/>
      </rPr>
      <t>EAN</t>
    </r>
  </si>
  <si>
    <r>
      <rPr>
        <b/>
        <sz val="10"/>
        <rFont val="Arial"/>
        <family val="2"/>
      </rPr>
      <t>M</t>
    </r>
    <r>
      <rPr>
        <b/>
        <sz val="8"/>
        <rFont val="Arial"/>
        <family val="2"/>
      </rPr>
      <t xml:space="preserve">EAN
</t>
    </r>
    <r>
      <rPr>
        <b/>
        <sz val="10"/>
        <rFont val="Arial"/>
        <family val="2"/>
      </rPr>
      <t>(%)</t>
    </r>
  </si>
  <si>
    <r>
      <rPr>
        <b/>
        <sz val="10"/>
        <rFont val="Arial"/>
        <family val="2"/>
      </rPr>
      <t>T</t>
    </r>
    <r>
      <rPr>
        <b/>
        <sz val="8"/>
        <rFont val="Arial"/>
        <family val="2"/>
      </rPr>
      <t>OTAL</t>
    </r>
  </si>
  <si>
    <t>Reductions and Credits by Jurisdiction - Lake Denham</t>
  </si>
  <si>
    <t>Muck Farm</t>
  </si>
  <si>
    <t>Reduction for Developed-High kg/yr TP</t>
  </si>
  <si>
    <t>Total Loading Developed-High kg/yr TP</t>
  </si>
  <si>
    <t>Total Loading Developed-Medium kg/yr TP</t>
  </si>
  <si>
    <t>Reduction for Developed-Medium kg/yr TP</t>
  </si>
  <si>
    <t>Developed Land Uses (Stormwater) Total Loading kg/yr TP</t>
  </si>
  <si>
    <t>Total Loading Developed-Low kg/yr TP</t>
  </si>
  <si>
    <t>Education Credit Reduction in kg/yr TP</t>
  </si>
  <si>
    <t>Reduction for Developed-Low kg/yr TP</t>
  </si>
  <si>
    <t>Total Reduction Developed kg/yr TP</t>
  </si>
  <si>
    <t>Total Allocation Developed kg/yr TP</t>
  </si>
  <si>
    <t>Remaining Required Developed Land Use Reduction to be Achieved by 2027 in kg/yr TP</t>
  </si>
  <si>
    <t>Second Five Year Additional Education Credits kg/yr TP</t>
  </si>
  <si>
    <t>Second Five Year 50% Required Developed Land Use Reduction (kg/yr TP)</t>
  </si>
  <si>
    <t>Project Credits  kg/yr TP</t>
  </si>
  <si>
    <t>Education Credit kg/yr TP</t>
  </si>
  <si>
    <t>First Five Year 50% Required Developed Land Use Reduction kg/yr TP</t>
  </si>
  <si>
    <t>Total Required Developed Land Use Reduction       kg/yr TP</t>
  </si>
  <si>
    <t>Additional Projects Credits kg/yr TP</t>
  </si>
  <si>
    <t>Year</t>
  </si>
  <si>
    <t>Low- Density Residential</t>
  </si>
  <si>
    <t>Medium- Density Residential</t>
  </si>
  <si>
    <t>Low-Density Commercial</t>
  </si>
  <si>
    <t>High-Density Commercial</t>
  </si>
  <si>
    <t>Tree Crops</t>
  </si>
  <si>
    <t>Other Agriculture</t>
  </si>
  <si>
    <t>Open Land/ Recreational</t>
  </si>
  <si>
    <t>Forest/ Rangeland</t>
  </si>
  <si>
    <t>Mean</t>
  </si>
  <si>
    <t>Baseline and net TP-loading (kg/yr)</t>
  </si>
  <si>
    <t>Additional reduction needed in TP-loading to meet TMDL (kg/yr)</t>
  </si>
  <si>
    <t>Revised Net estimated TP load</t>
  </si>
  <si>
    <t>High Density Residential</t>
  </si>
  <si>
    <t>Roads and Highways</t>
  </si>
  <si>
    <t>Open Land/recreational</t>
  </si>
  <si>
    <t>Other  Agriculture</t>
  </si>
  <si>
    <t>Forest</t>
  </si>
  <si>
    <t>Wetland</t>
  </si>
  <si>
    <t xml:space="preserve">    Roadways</t>
  </si>
  <si>
    <t>TMDL Controllable 2009 estimated % contribution</t>
  </si>
  <si>
    <t xml:space="preserve">  Muck Farms</t>
  </si>
  <si>
    <t>Seepage/groundwater/Septic Systems</t>
  </si>
  <si>
    <t>Reduction by Jurisdiction for Lake Roberts</t>
  </si>
  <si>
    <t>Percent of Basin</t>
  </si>
  <si>
    <t>Groundwater Loading kg/yr TP</t>
  </si>
  <si>
    <t>Reduction by Jurisdiction for Marshall Lake</t>
  </si>
  <si>
    <t>2009 Developed Land Uses Stormwater  Loading by Jurisdiction for Marshall Lake</t>
  </si>
  <si>
    <t>Reductions and Credits by Jurisdiction - Marshall Lake</t>
  </si>
  <si>
    <t>Reductions and Credits by Jurisdiction - Lake Roberts</t>
  </si>
  <si>
    <t>2009 Developed Land Uses Stormwater  Loading by Jurisdiction for Lake Roberts</t>
  </si>
  <si>
    <t>Seepage/groundwater/Septic System</t>
  </si>
  <si>
    <t>Reduction for Roadway kg/yr TP</t>
  </si>
  <si>
    <t>Percent of Basin for Groundwater Loading</t>
  </si>
  <si>
    <t>Average</t>
  </si>
  <si>
    <r>
      <rPr>
        <b/>
        <sz val="10"/>
        <rFont val="Arial"/>
        <family val="2"/>
      </rPr>
      <t>Total TP
Loads (kg/yr)</t>
    </r>
  </si>
  <si>
    <t>Lake Harris Net Estimated Load lbs TP/yr</t>
  </si>
  <si>
    <t>Palatlakaha River Net Estimated Load lbs TP/yr</t>
  </si>
  <si>
    <t>Lake Carlton Net Estimated Load lbs TP/yr</t>
  </si>
  <si>
    <t>Trout Lake Net Estimated Load lbs TP/yr</t>
  </si>
  <si>
    <t>Lake Yale Net Estimated Load lbs TP/yr</t>
  </si>
  <si>
    <t xml:space="preserve">  active muck farm </t>
  </si>
  <si>
    <t>Sources of Total Phosphorus lbs/yr</t>
  </si>
  <si>
    <t>Muck farm discharge</t>
  </si>
  <si>
    <t xml:space="preserve">  Apopka restoration area</t>
  </si>
  <si>
    <t xml:space="preserve">  Emeralda Marsh restoration area</t>
  </si>
  <si>
    <t>Tributary inflows</t>
  </si>
  <si>
    <t xml:space="preserve">  discharge from Lake Apopka</t>
  </si>
  <si>
    <t xml:space="preserve">  discharge from Lake Beauclair</t>
  </si>
  <si>
    <t xml:space="preserve">  discharge from Lake Dora</t>
  </si>
  <si>
    <t xml:space="preserve">  discharge from Lake Eustis</t>
  </si>
  <si>
    <t xml:space="preserve">  discharge from Lake Harris</t>
  </si>
  <si>
    <t xml:space="preserve">  discharge from Lake Yale</t>
  </si>
  <si>
    <t>Peat Mine (inactive)</t>
  </si>
  <si>
    <t xml:space="preserve">  Natural areas runoff</t>
  </si>
  <si>
    <t>Package WWTPs</t>
  </si>
  <si>
    <t>Margin of safety</t>
  </si>
  <si>
    <t>Baseline TP-loading (lbs/yr)</t>
  </si>
  <si>
    <t>Expected Reduction in TP-loading (lbs/yr)</t>
  </si>
  <si>
    <t>Net expected TP-loading (lbs/yr)</t>
  </si>
  <si>
    <t>Total Maximum Daily Loads (lbs/yr)</t>
  </si>
  <si>
    <t>Additional reduction needed in TP-loading (lbs/yr)</t>
  </si>
  <si>
    <t xml:space="preserve">  Stormwater runoff developed </t>
  </si>
  <si>
    <t>Lake Apopka Net Estimated Load lbs TP/yr</t>
  </si>
  <si>
    <t>Lake Beauclair Net Estimated Load lbs TP/yr</t>
  </si>
  <si>
    <t>Lake Dora Net Estimated Load lbs TP/yr</t>
  </si>
  <si>
    <t>Lake Eustis Net Estimated Load lbs TP/yr</t>
  </si>
  <si>
    <t>Lake Griffin Net Estimated Load lbs TP/yr</t>
  </si>
  <si>
    <t>0</t>
  </si>
  <si>
    <t xml:space="preserve">  Agricultural BMPs</t>
  </si>
  <si>
    <t xml:space="preserve">  Stormwater BMPs</t>
  </si>
  <si>
    <t>Budgets does not include projects or ag BMPs.  Does not account for upstream reductions for Lake Harris.</t>
  </si>
  <si>
    <t xml:space="preserve"> Septic systems</t>
  </si>
  <si>
    <t>Total kg/yr TP</t>
  </si>
  <si>
    <t>Central Florida Expressway</t>
  </si>
  <si>
    <t>Percent</t>
  </si>
  <si>
    <t>Central Florida Expressway Authority</t>
  </si>
  <si>
    <t>Roadway loading allocated to FDOT and Central Florida Expressway Authority</t>
  </si>
  <si>
    <t>Lake Roberts SW Loading kg TP /yr</t>
  </si>
  <si>
    <t>Lake Roberts Reductions kg TP/yr</t>
  </si>
  <si>
    <t>Additional activities not credited</t>
  </si>
  <si>
    <t>More Stringent stormwater management rules</t>
  </si>
  <si>
    <t>Erosion and sediment control beyond DEP training and BMPs</t>
  </si>
  <si>
    <t>Public outreach programs beyond minimum</t>
  </si>
  <si>
    <t>If a jurisdiction has an MS4 permit minimum of 1% credit assigned for meeting MS4 requirements</t>
  </si>
  <si>
    <t>Wildwood not an MS4, but has water conservation and Florida Friendly Landscaping requirements as part of SWFWMD CUP.</t>
  </si>
  <si>
    <t>Umatilla corrected for removal of YALE04</t>
  </si>
  <si>
    <t>Marshall Lake SW Loading kg TP/yr</t>
  </si>
  <si>
    <t>Marshall Lake Reductions kg TP/yr</t>
  </si>
  <si>
    <t>Lake Denham SW Loading kg TP/yr</t>
  </si>
  <si>
    <t>Lake Denham Reductions kg TP/yr</t>
  </si>
  <si>
    <t xml:space="preserve">Lake Denham Project Credits </t>
  </si>
  <si>
    <t xml:space="preserve">Lake Denham Education Credits </t>
  </si>
  <si>
    <t xml:space="preserve">Lake Denham City Total Credits </t>
  </si>
  <si>
    <t xml:space="preserve">Marshall Lake Project Credits </t>
  </si>
  <si>
    <t xml:space="preserve">Marshall Lake City Total Credits </t>
  </si>
  <si>
    <t xml:space="preserve">Marshall Lake Education Credits </t>
  </si>
  <si>
    <t>Total OSTDS Reduction to be Achieved by 2027 lbs/yr TP</t>
  </si>
  <si>
    <t>Total Reduction kg/yr TP</t>
  </si>
  <si>
    <t>Lake Denham Developed Land Use kg TP /yr</t>
  </si>
  <si>
    <t>Lake Roberts Developed Land Use kg TP /yr</t>
  </si>
  <si>
    <t>Marshall Lake Developed Land Use kg TP/yr</t>
  </si>
  <si>
    <t>Total Allocation kg/yr TP</t>
  </si>
  <si>
    <t>Allocations kg/yr TP</t>
  </si>
  <si>
    <t>Lake Denham kg/yr TP</t>
  </si>
  <si>
    <t>Lake Roberts kg /yr TP</t>
  </si>
  <si>
    <t>Marshall Lake kg/yr TP</t>
  </si>
  <si>
    <t>Roberts, Denham, and Marshall projects in pounds.</t>
  </si>
  <si>
    <t>Remaining Required Developed Land Use Reduction to be Achieved by 2027 in lbs TP/yr</t>
  </si>
  <si>
    <t>Remaining Required Developed Land Use Reduction to be Achieved by 2027 lbs TP/yr</t>
  </si>
  <si>
    <t>Net reduction adjusted for 2009 land use changes</t>
  </si>
  <si>
    <t>Net Change in Lake Apopka Sources lbs TP/yr</t>
  </si>
  <si>
    <t>Net Change in Lake Beauclair Sources lbs TP/yr</t>
  </si>
  <si>
    <t>Net Change in Lake Dora Sources lbs TP/yr</t>
  </si>
  <si>
    <t>Net Change in Lake Eustis Sources lbs TP/yr</t>
  </si>
  <si>
    <t>Net Change in Lake Griffin Sources lbs TP/yr</t>
  </si>
  <si>
    <t>Education Credit Adjusted for Lake Denham</t>
  </si>
  <si>
    <t>Education Credit for Lake Denham removed</t>
  </si>
  <si>
    <t>Lake Denham education credit added back in</t>
  </si>
  <si>
    <t>Total Lake County(FYN component added for Tavares )</t>
  </si>
  <si>
    <t>Lake County Total (FYN component added for Mt. Dora and Tavares )</t>
  </si>
  <si>
    <t xml:space="preserve">Lake County </t>
  </si>
  <si>
    <t>Internal Loading</t>
  </si>
  <si>
    <t xml:space="preserve">Florida Turnpike Enterprise </t>
  </si>
  <si>
    <t>Florida Turnpike Enterprise</t>
  </si>
  <si>
    <t>Total reduction</t>
  </si>
  <si>
    <t>Lake Eustis watershed does not include Trout Lake</t>
  </si>
  <si>
    <t>Lake Beauclair watershed does not include Lake Carlton</t>
  </si>
  <si>
    <t>FDACS-HWTT</t>
  </si>
  <si>
    <t>FDACS</t>
  </si>
  <si>
    <t>Beauclair</t>
  </si>
  <si>
    <t>Dora</t>
  </si>
  <si>
    <t>Griffin</t>
  </si>
  <si>
    <t>Harris</t>
  </si>
  <si>
    <t>Lake Basin</t>
  </si>
  <si>
    <t>Count of polygons</t>
  </si>
  <si>
    <t>Total Acreage</t>
  </si>
  <si>
    <t>Total Conversion</t>
  </si>
  <si>
    <t>PALATLAKAHA wbid 2839</t>
  </si>
  <si>
    <t>Landuse</t>
  </si>
  <si>
    <t>Number of Polygons</t>
  </si>
  <si>
    <t>Acreage Enrolled in NOI</t>
  </si>
  <si>
    <t>Enrolled acreage intersected with Palatlakaha landuse allocation database</t>
  </si>
  <si>
    <t>Only agriculture landuse given BMP credit</t>
  </si>
  <si>
    <t>Only agriculture landuse loading included in allocation.</t>
  </si>
  <si>
    <t>Commodity</t>
  </si>
  <si>
    <t>Citrus</t>
  </si>
  <si>
    <t>CItrus</t>
  </si>
  <si>
    <t>Cow/Calf</t>
  </si>
  <si>
    <t>Nursery</t>
  </si>
  <si>
    <t>Developed Land Use-Low</t>
  </si>
  <si>
    <t>Natural Land Uses</t>
  </si>
  <si>
    <t>Agricultural Land Uses</t>
  </si>
  <si>
    <t>Acreage by Commodity</t>
  </si>
  <si>
    <t>Total Acreage of Agriculture</t>
  </si>
  <si>
    <t>Total Acreage Enrolled</t>
  </si>
  <si>
    <t>Total Ag Acres From Model</t>
  </si>
  <si>
    <t>Percent Enrolled</t>
  </si>
  <si>
    <t>Total Loading for Ag</t>
  </si>
  <si>
    <t>30% efficiency applied</t>
  </si>
  <si>
    <t>Portion of Loading with NOI</t>
  </si>
  <si>
    <t>MODEL_2015</t>
  </si>
  <si>
    <t>Agriculture activities</t>
  </si>
  <si>
    <t>Row/Field Crop</t>
  </si>
  <si>
    <t>Sod</t>
  </si>
  <si>
    <t>Fruit/Nut</t>
  </si>
  <si>
    <t>L Harris</t>
  </si>
  <si>
    <t>Trout</t>
  </si>
  <si>
    <t>Yale</t>
  </si>
  <si>
    <t>Forest, range, or open land</t>
  </si>
  <si>
    <t>Muck farm or restoration area</t>
  </si>
  <si>
    <t>Open water or wetlands</t>
  </si>
  <si>
    <t>Acreage</t>
  </si>
  <si>
    <t>Agriculture</t>
  </si>
  <si>
    <t>Developed Land Use-High</t>
  </si>
  <si>
    <t>Forest, Range, or Open Land</t>
  </si>
  <si>
    <t>Muck Farm or Restoration Area</t>
  </si>
  <si>
    <t>Open Water or Wetlands</t>
  </si>
  <si>
    <t>Converted to</t>
  </si>
  <si>
    <t>lbs-TP/yr credit</t>
  </si>
  <si>
    <t>HARRIS CHAIN OF LAKES PLRM</t>
  </si>
  <si>
    <t>Lake Name (Lake-two)</t>
  </si>
  <si>
    <t>SOURCE2009</t>
  </si>
  <si>
    <t>March 2017 NOI data</t>
  </si>
  <si>
    <t>High density commercial</t>
  </si>
  <si>
    <t>Low density residential</t>
  </si>
  <si>
    <t>Open land/recreation</t>
  </si>
  <si>
    <t>Sprayfield</t>
  </si>
  <si>
    <t>Low density commercial/Institutional</t>
  </si>
  <si>
    <t>Medium density residential</t>
  </si>
  <si>
    <t>Forest/Rangeland</t>
  </si>
  <si>
    <t>Lake Name</t>
  </si>
  <si>
    <t>NOI acreage classified as agriculture in model</t>
  </si>
  <si>
    <t>Row Labels</t>
  </si>
  <si>
    <t>Grand Total</t>
  </si>
  <si>
    <t>Beauclair Total</t>
  </si>
  <si>
    <t>Carlton Total</t>
  </si>
  <si>
    <t>Dora Total</t>
  </si>
  <si>
    <t>Eustis Total</t>
  </si>
  <si>
    <t>Griffin Total</t>
  </si>
  <si>
    <t>Harris Total</t>
  </si>
  <si>
    <t>L Harris Total</t>
  </si>
  <si>
    <t>Trout Total</t>
  </si>
  <si>
    <t>Yale Total</t>
  </si>
  <si>
    <t>Column Labels</t>
  </si>
  <si>
    <t>Sum of SUM_ACREAG</t>
  </si>
  <si>
    <t>Acreage in 2009 LU</t>
  </si>
  <si>
    <t>Commodity BMP</t>
  </si>
  <si>
    <t>Basin Total</t>
  </si>
  <si>
    <t>Basin Total - subset of Beauclair</t>
  </si>
  <si>
    <t>Basin Total - subset of Eustis</t>
  </si>
  <si>
    <t>Palatlakaha Riv*</t>
  </si>
  <si>
    <t>Corresponding LU Class</t>
  </si>
  <si>
    <t>tree crops</t>
  </si>
  <si>
    <t>pasture</t>
  </si>
  <si>
    <t>other agriculture</t>
  </si>
  <si>
    <t>cropland</t>
  </si>
  <si>
    <t>muck farms?</t>
  </si>
  <si>
    <t>feeding operations</t>
  </si>
  <si>
    <t>muck farms</t>
  </si>
  <si>
    <t>Agricultural</t>
  </si>
  <si>
    <t>Agriculture activities Total</t>
  </si>
  <si>
    <t>Developed Land Use- High Total</t>
  </si>
  <si>
    <t>Developed Land Use- Low Total</t>
  </si>
  <si>
    <t>Developed Land Use- Medium Total</t>
  </si>
  <si>
    <t>Forest, range, or open land Total</t>
  </si>
  <si>
    <t>Muck farm or restoration area Total</t>
  </si>
  <si>
    <t>Open water or wetlands Total</t>
  </si>
  <si>
    <t>Total agriculture in basin</t>
  </si>
  <si>
    <t>Harris Chain</t>
  </si>
  <si>
    <t>Feeding Operations</t>
  </si>
  <si>
    <t>Forest/Land</t>
  </si>
  <si>
    <t>high density residential</t>
  </si>
  <si>
    <t>Low density commercial/institutional</t>
  </si>
  <si>
    <t>Muck farm</t>
  </si>
  <si>
    <t>Feeding operations</t>
  </si>
  <si>
    <t>Total Lake Basin Acreage</t>
  </si>
  <si>
    <t>Percent of Basin Acreage</t>
  </si>
  <si>
    <t>SJRWMD acreage 2009 LU</t>
  </si>
  <si>
    <t xml:space="preserve">Lake </t>
  </si>
  <si>
    <t>ACRES</t>
  </si>
  <si>
    <t xml:space="preserve">Eustis </t>
  </si>
  <si>
    <t>Harris and Little Harris</t>
  </si>
  <si>
    <t>Little Harris</t>
  </si>
  <si>
    <t>Agriculture Type</t>
  </si>
  <si>
    <t>Feeding Operation</t>
  </si>
  <si>
    <t>Other acreage classified as agriculture but not included in models as agriculture</t>
  </si>
  <si>
    <t xml:space="preserve">    Muck Farm</t>
  </si>
  <si>
    <t xml:space="preserve">   Sprayfield</t>
  </si>
  <si>
    <t xml:space="preserve">    Sprayfield </t>
  </si>
  <si>
    <t>Basin acreage used for estimating percent area covered by NOI. These acreages modeled as agriculture.</t>
  </si>
  <si>
    <t>without Muck Farm</t>
  </si>
  <si>
    <t>DEP Estimates</t>
  </si>
  <si>
    <t>SJRWMD</t>
  </si>
  <si>
    <t>SJRWMD data</t>
  </si>
  <si>
    <t>% enrolled in NOI as modeled</t>
  </si>
  <si>
    <t>%enrolled basinwide</t>
  </si>
  <si>
    <t>Total Acreage by NOI as modeled</t>
  </si>
  <si>
    <t>Nursery muck farm</t>
  </si>
  <si>
    <t>Sod muck farm</t>
  </si>
  <si>
    <t>Lucode 1820 is golf courses originally included as agriculture acreage, but Ag BMPs do not apply.</t>
  </si>
  <si>
    <t>2014 LUCODE</t>
  </si>
  <si>
    <t>Agricultural acres converted</t>
  </si>
  <si>
    <t>Golf Course acres</t>
  </si>
  <si>
    <t>542.4 acres of LU code 1820 (golf courses) were modeled as Other Agriculture.</t>
  </si>
  <si>
    <t>Model Source</t>
  </si>
  <si>
    <t>Agriculture landuse 2014 acres</t>
  </si>
  <si>
    <t>Updated Landuse 2014 other than Golf course acres</t>
  </si>
  <si>
    <t>Golf courses</t>
  </si>
  <si>
    <t>Total Loading</t>
  </si>
  <si>
    <t>Estimated Agriculture loadings to UORB lakes 2009 land use with baseline period hydrology (pounds)</t>
  </si>
  <si>
    <t>Data from R. Fulton</t>
  </si>
  <si>
    <t>Net estimated loading accounting for 2009 land use changes without BMPs.</t>
  </si>
  <si>
    <t>Golf course % of Other agriculture</t>
  </si>
  <si>
    <t>Golf course loading</t>
  </si>
  <si>
    <t>Loading lbs-TP/yr</t>
  </si>
  <si>
    <t>30% efficiency of BMP applied</t>
  </si>
  <si>
    <t>Lake Loading by Agricultural Type lbs-TP</t>
  </si>
  <si>
    <t>Total reduction credit</t>
  </si>
  <si>
    <t>LAKE_TWO</t>
  </si>
  <si>
    <t>FREQUENCY</t>
  </si>
  <si>
    <t>SUM_ACREAG</t>
  </si>
  <si>
    <t>CITRUS</t>
  </si>
  <si>
    <t>NURSERY</t>
  </si>
  <si>
    <t>ROW/FIELD CROPS</t>
  </si>
  <si>
    <t>SOD</t>
  </si>
  <si>
    <t>FRUIT/NUT</t>
  </si>
  <si>
    <t>CITRUS; ROW/FIELD CROPS</t>
  </si>
  <si>
    <t>COW/CALF</t>
  </si>
  <si>
    <t>CITRUS; COW/CALF</t>
  </si>
  <si>
    <t>Acreage of agriculture types modeled based on 2009 land use.</t>
  </si>
  <si>
    <t>NOI summary data from December 31, 2017</t>
  </si>
  <si>
    <t>COMMODITY NOI</t>
  </si>
  <si>
    <t>SOURCE2009 Modeled</t>
  </si>
  <si>
    <t>NOI acreage summarized by lake</t>
  </si>
  <si>
    <t>Estimate of loading reduction</t>
  </si>
  <si>
    <t>Beauclair Acres</t>
  </si>
  <si>
    <t>Beauclair percent of agriculture</t>
  </si>
  <si>
    <t xml:space="preserve">Total loading </t>
  </si>
  <si>
    <r>
      <t>Reduction lbs-TP/yr at 30%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efficiency of BMP</t>
    </r>
  </si>
  <si>
    <t>Carlton Acres</t>
  </si>
  <si>
    <t>Carlton percent of agriculture</t>
  </si>
  <si>
    <t>Agriculture Type Modeled</t>
  </si>
  <si>
    <t>Dora Acres</t>
  </si>
  <si>
    <t>Dora percent of agriculture</t>
  </si>
  <si>
    <t>Eustis Acres</t>
  </si>
  <si>
    <t>Eustis percent of agriculture</t>
  </si>
  <si>
    <t>Trout Acres</t>
  </si>
  <si>
    <t>Trout percent of agriculture</t>
  </si>
  <si>
    <t>Harris Acres</t>
  </si>
  <si>
    <t>Harris Percent of Agriculture</t>
  </si>
  <si>
    <t>Griffin Acres</t>
  </si>
  <si>
    <t>Griffin Percent of Agriculture</t>
  </si>
  <si>
    <t>Yale Acres</t>
  </si>
  <si>
    <t>Yale Percent of Agriculture</t>
  </si>
  <si>
    <t>Total loading /reduction</t>
  </si>
  <si>
    <t>Total Loading/Reduction</t>
  </si>
  <si>
    <t>Total Acres Under NOI</t>
  </si>
  <si>
    <t>Percent Acres Under NOI</t>
  </si>
  <si>
    <t>Modeled Agriculture Acres Under NOI</t>
  </si>
  <si>
    <t>Acreage with NOIs</t>
  </si>
  <si>
    <t>Ag Acreage Under NOI</t>
  </si>
  <si>
    <t>Modeled Land Use</t>
  </si>
  <si>
    <t>High Density Commercial</t>
  </si>
  <si>
    <t>Low Density Commercial</t>
  </si>
  <si>
    <t>Lower Density Residential</t>
  </si>
  <si>
    <t>Medium Density Residential</t>
  </si>
  <si>
    <t>Muck Farms</t>
  </si>
  <si>
    <t>Open Land/Recreation</t>
  </si>
  <si>
    <t>Tree Crop</t>
  </si>
  <si>
    <t>Percent of Acres</t>
  </si>
  <si>
    <t>CONT_LAKE</t>
  </si>
  <si>
    <t>COMMODITY</t>
  </si>
  <si>
    <t>SUM_ACRES</t>
  </si>
  <si>
    <t>CITRUS; FRUIT/NUT</t>
  </si>
  <si>
    <t>FRUIT/NUT; NURSERY</t>
  </si>
  <si>
    <t>Nolake</t>
  </si>
  <si>
    <t>CITRUS; NURSERY</t>
  </si>
  <si>
    <t>EQUINE</t>
  </si>
  <si>
    <t>COW/CALF; FRUIT/NUT</t>
  </si>
  <si>
    <t>COW/CALF; NURSERY</t>
  </si>
  <si>
    <t>Sum of SUM_ACRES</t>
  </si>
  <si>
    <t>Land Use</t>
  </si>
  <si>
    <t>Golf Course</t>
  </si>
  <si>
    <t xml:space="preserve">Converted </t>
  </si>
  <si>
    <t>insignificant medium density residentiall</t>
  </si>
  <si>
    <t>forest/rangeland</t>
  </si>
  <si>
    <t>Converted Acres Lake Harris</t>
  </si>
  <si>
    <t>Loading</t>
  </si>
  <si>
    <t>Percent of Acreage</t>
  </si>
  <si>
    <t>Total change in loading</t>
  </si>
  <si>
    <t>Golf course corrections on Basin_acreages_122017 tab</t>
  </si>
  <si>
    <t>(blank)</t>
  </si>
  <si>
    <t>Apopka Total</t>
  </si>
  <si>
    <t>Nolake Total</t>
  </si>
  <si>
    <t>Palatlakaha Riv* Total</t>
  </si>
  <si>
    <t>Lake Apopka</t>
  </si>
  <si>
    <t>Acres NonAG Enrolled</t>
  </si>
  <si>
    <t>Acres AG Enrolled</t>
  </si>
  <si>
    <t>Muck Farm in Ag</t>
  </si>
  <si>
    <t>Urban Acres in Ag</t>
  </si>
  <si>
    <t>Forest/Rangeland in Ag</t>
  </si>
  <si>
    <t>% Ag enrolled</t>
  </si>
  <si>
    <t>Wetlands/Water in Ag</t>
  </si>
  <si>
    <t>summary by Lake of land classified as agriculture covered by an NOI</t>
  </si>
  <si>
    <t>NoLake</t>
  </si>
  <si>
    <t>acreage without Golf course</t>
  </si>
  <si>
    <t>Harris =Harris +little Harris</t>
  </si>
  <si>
    <t>Converted Land</t>
  </si>
  <si>
    <t xml:space="preserve">     Agriculture BMPs</t>
  </si>
  <si>
    <t xml:space="preserve">     Land Conversion</t>
  </si>
  <si>
    <t xml:space="preserve">      Agriculture BMPs</t>
  </si>
  <si>
    <t xml:space="preserve">    Agriculture BMPs</t>
  </si>
  <si>
    <r>
      <rPr>
        <b/>
        <sz val="10"/>
        <rFont val="Arial"/>
        <family val="2"/>
      </rPr>
      <t>Agricultural BMP</t>
    </r>
    <r>
      <rPr>
        <sz val="10"/>
        <rFont val="Arial"/>
        <family val="2"/>
      </rPr>
      <t xml:space="preserve"> and land conversion credits added in. April 2018.</t>
    </r>
  </si>
  <si>
    <t>Ag acres converted to forest</t>
  </si>
  <si>
    <t>Based on land use change from</t>
  </si>
  <si>
    <t>2009 to 2014</t>
  </si>
  <si>
    <t>TP loading previously assigned</t>
  </si>
  <si>
    <t>TN loading previously assigned</t>
  </si>
  <si>
    <t>New TP loading</t>
  </si>
  <si>
    <t>New TN loading</t>
  </si>
  <si>
    <t>Potential TP loading</t>
  </si>
  <si>
    <t>Citrus/Nursery</t>
  </si>
  <si>
    <t>Cow/Calf/Nursery</t>
  </si>
  <si>
    <t>per septic load</t>
  </si>
  <si>
    <t>19 properties connected</t>
  </si>
  <si>
    <t>credit</t>
  </si>
  <si>
    <t>Difference between 2009 and 1995 added to column E.</t>
  </si>
  <si>
    <t>Compared modeled 2009 landuse to modeled 1995 landuse</t>
  </si>
  <si>
    <t>Method updated to modeling technique used by SJRWMD for Lake Eustis subbasins 39,40,41,42,43, and 44</t>
  </si>
  <si>
    <t>Average over 1995-2000 time period of modeled data to coincide with original TMDL period.</t>
  </si>
  <si>
    <t>Provisional credit at 50% of properties</t>
  </si>
  <si>
    <t>Muck Farm -  LCWA</t>
  </si>
  <si>
    <t>Lake Denham projects included at 156 lb TP.</t>
  </si>
  <si>
    <t>Harris watershed includes Little Lake Harris watershed.  Models cannot distinguish between lakes.</t>
  </si>
  <si>
    <t xml:space="preserve">*Based solely on distribution of septic systems, does not include package plants. </t>
  </si>
  <si>
    <t xml:space="preserve"> First Five Year Remaining Developed Land Use Reduction to be Achieved by 2022 in lbs/yr TP</t>
  </si>
  <si>
    <t xml:space="preserve"> First Five Year Remaining Developed Land Use Reduction to be Achieved by 2022 in kg/yr TP</t>
  </si>
  <si>
    <t>Watershed</t>
  </si>
  <si>
    <t>FSAID Ag Lands (Acres)</t>
  </si>
  <si>
    <t>FSAID Ag Enrolled (Acres)</t>
  </si>
  <si>
    <t>Ag Enrolled</t>
  </si>
  <si>
    <t>Unlikely Enrollable</t>
  </si>
  <si>
    <t>Adjusted Total Acres</t>
  </si>
  <si>
    <t>Adjusted Ag Enrolled</t>
  </si>
  <si>
    <t>Total Ag TP Loading</t>
  </si>
  <si>
    <t>TP Reduction</t>
  </si>
  <si>
    <t>Total Ag TN Loading</t>
  </si>
  <si>
    <t>TN Reduction</t>
  </si>
  <si>
    <t>Lake Weir</t>
  </si>
  <si>
    <t>Remaining Upper Ocklawaha Basin</t>
  </si>
  <si>
    <t>Adjusted for conversion to forest</t>
  </si>
  <si>
    <t xml:space="preserve">loss of ag land added to forest </t>
  </si>
  <si>
    <t>Broken out by Commodity</t>
  </si>
  <si>
    <t>FSAID  Ag Lands</t>
  </si>
  <si>
    <t>FSAID AG Enrolled</t>
  </si>
  <si>
    <t>Equine</t>
  </si>
  <si>
    <t>Citrus;Row/Field Crop</t>
  </si>
  <si>
    <t>Denham</t>
  </si>
  <si>
    <t>Marshall</t>
  </si>
  <si>
    <t>Roberts</t>
  </si>
  <si>
    <t>Denham, Marshall, Roberts average agriculture loading from TMDLs</t>
  </si>
  <si>
    <r>
      <t>L</t>
    </r>
    <r>
      <rPr>
        <b/>
        <sz val="8"/>
        <rFont val="Arial"/>
        <family val="2"/>
      </rPr>
      <t xml:space="preserve">AND </t>
    </r>
    <r>
      <rPr>
        <b/>
        <sz val="10"/>
        <rFont val="Arial"/>
        <family val="2"/>
      </rPr>
      <t>U</t>
    </r>
    <r>
      <rPr>
        <b/>
        <sz val="8"/>
        <rFont val="Arial"/>
        <family val="2"/>
      </rPr>
      <t>SE kg/yr</t>
    </r>
    <r>
      <rPr>
        <b/>
        <sz val="10"/>
        <rFont val="Arial"/>
        <family val="2"/>
      </rPr>
      <t xml:space="preserve"> TP</t>
    </r>
  </si>
  <si>
    <t>TP Loads kg/yr TP</t>
  </si>
  <si>
    <t>Corrected Other Agriculture</t>
  </si>
  <si>
    <t>Howey</t>
  </si>
  <si>
    <t>Entity</t>
  </si>
  <si>
    <t>Acreage of golf course</t>
  </si>
  <si>
    <t>Golf Courses (Modeled as Other Agriculture)</t>
  </si>
  <si>
    <t>Developed-Golf Course Percent of Area</t>
  </si>
  <si>
    <t>Reduction for Developed-Golf Course lbs/yr TP</t>
  </si>
  <si>
    <t>Acres Developed-Golf Course</t>
  </si>
  <si>
    <t>Howey in the Hills</t>
  </si>
  <si>
    <t>need to confirm which properties and if they are in the 200 meter buffer.</t>
  </si>
  <si>
    <t>Total Loading Developed-Golf Course lbs/yr TP</t>
  </si>
  <si>
    <t>85 kg/yr TP credit given to Leesburg for funding of Lake Denham muck farm purchase</t>
  </si>
  <si>
    <t>Leesburg provided $500k to buy muck farm on Lake Denham. Purchase covered Lake Denham allocation and part of Lake Harris allocation.</t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</si>
  <si>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Times New Roman"/>
        <family val="1"/>
      </rPr>
      <t>For the Trout, Carlton, Yale, Harris, Denham, Robert, and Marshall urban stormwater groupings were:</t>
    </r>
  </si>
  <si>
    <r>
      <t>o</t>
    </r>
    <r>
      <rPr>
        <sz val="7"/>
        <rFont val="Times New Roman"/>
        <family val="1"/>
      </rPr>
      <t xml:space="preserve">   </t>
    </r>
    <r>
      <rPr>
        <sz val="12"/>
        <rFont val="Times New Roman"/>
        <family val="1"/>
      </rPr>
      <t>High=high density residential+highdensity commercial+industrial</t>
    </r>
  </si>
  <si>
    <r>
      <t>o</t>
    </r>
    <r>
      <rPr>
        <sz val="7"/>
        <rFont val="Times New Roman"/>
        <family val="1"/>
      </rPr>
      <t xml:space="preserve">   </t>
    </r>
    <r>
      <rPr>
        <sz val="12"/>
        <rFont val="Times New Roman"/>
        <family val="1"/>
      </rPr>
      <t>Medium=medium density residential+low density commercial</t>
    </r>
  </si>
  <si>
    <r>
      <t>o</t>
    </r>
    <r>
      <rPr>
        <sz val="7"/>
        <rFont val="Times New Roman"/>
        <family val="1"/>
      </rPr>
      <t xml:space="preserve">   </t>
    </r>
    <r>
      <rPr>
        <sz val="12"/>
        <rFont val="Times New Roman"/>
        <family val="1"/>
      </rPr>
      <t>Low=low density residential+mining+sprayfield+open land/recreation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</si>
  <si>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Times New Roman"/>
        <family val="1"/>
      </rPr>
      <t>For the Palatlakaha WBID 2839 urban stormwater groupings were:</t>
    </r>
  </si>
  <si>
    <r>
      <t>o</t>
    </r>
    <r>
      <rPr>
        <sz val="7"/>
        <rFont val="Times New Roman"/>
        <family val="1"/>
      </rPr>
      <t xml:space="preserve">   </t>
    </r>
    <r>
      <rPr>
        <sz val="12"/>
        <rFont val="Times New Roman"/>
        <family val="1"/>
      </rPr>
      <t>High=High density residential</t>
    </r>
  </si>
  <si>
    <r>
      <t>o</t>
    </r>
    <r>
      <rPr>
        <sz val="7"/>
        <rFont val="Times New Roman"/>
        <family val="1"/>
      </rPr>
      <t xml:space="preserve">   </t>
    </r>
    <r>
      <rPr>
        <sz val="12"/>
        <rFont val="Times New Roman"/>
        <family val="1"/>
      </rPr>
      <t>Mediium=medium density residential+transportation</t>
    </r>
  </si>
  <si>
    <t>Low=Urban open+low density 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</si>
</sst>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#,##0.0"/>
    <numFmt numFmtId="166" formatCode="0.0"/>
    <numFmt numFmtId="167" formatCode="0.0000"/>
    <numFmt numFmtId="168" formatCode="0.000"/>
    <numFmt numFmtId="169" formatCode="#,##0.000"/>
    <numFmt numFmtId="170" formatCode="#,##0.0000"/>
    <numFmt numFmtId="171" formatCode="0.000%"/>
    <numFmt numFmtId="172" formatCode="0.00000000000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i/>
      <sz val="11"/>
      <color theme="3" tint="-0.249977111117893"/>
      <name val="Arial"/>
      <family val="2"/>
    </font>
    <font>
      <b/>
      <i/>
      <sz val="11"/>
      <color theme="3" tint="-0.249977111117893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Times New Roman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2"/>
    </font>
    <font>
      <b/>
      <sz val="12"/>
      <color rgb="FFFF0000"/>
      <name val="Arial"/>
      <family val="2"/>
    </font>
    <font>
      <b/>
      <strike/>
      <sz val="10"/>
      <name val="Arial"/>
      <family val="2"/>
    </font>
    <font>
      <b/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u/>
      <sz val="10"/>
      <color theme="10"/>
      <name val="Arial"/>
      <family val="2"/>
    </font>
    <font>
      <sz val="12"/>
      <name val="Symbol"/>
      <family val="1"/>
      <charset val="2"/>
    </font>
    <font>
      <sz val="7"/>
      <name val="Times New Roman"/>
      <family val="1"/>
    </font>
    <font>
      <sz val="12"/>
      <name val="Times New Roman"/>
      <family val="1"/>
    </font>
    <font>
      <sz val="12"/>
      <name val="Courier New"/>
      <family val="3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CC"/>
      </patternFill>
    </fill>
    <fill>
      <patternFill patternType="solid">
        <fgColor rgb="FFB8CCE4"/>
      </patternFill>
    </fill>
    <fill>
      <patternFill patternType="solid">
        <fgColor rgb="FFBDD6EE"/>
        <bgColor indexed="64"/>
      </patternFill>
    </fill>
    <fill>
      <patternFill patternType="solid">
        <fgColor rgb="FFBDD6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1DBEF"/>
        <bgColor indexed="64"/>
      </patternFill>
    </fill>
    <fill>
      <patternFill patternType="solid">
        <fgColor rgb="FFFFFFFF"/>
        <bgColor indexed="64"/>
      </patternFill>
    </fill>
  </fills>
  <borders count="8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9" fontId="16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119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0" xfId="0" applyNumberFormat="1"/>
    <xf numFmtId="0" fontId="0" fillId="0" borderId="3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Fill="1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Border="1"/>
    <xf numFmtId="3" fontId="2" fillId="0" borderId="14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/>
    <xf numFmtId="0" fontId="0" fillId="0" borderId="28" xfId="0" applyBorder="1"/>
    <xf numFmtId="164" fontId="0" fillId="0" borderId="28" xfId="0" applyNumberFormat="1" applyBorder="1"/>
    <xf numFmtId="0" fontId="2" fillId="0" borderId="2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Fill="1" applyBorder="1"/>
    <xf numFmtId="0" fontId="0" fillId="3" borderId="28" xfId="0" applyFill="1" applyBorder="1"/>
    <xf numFmtId="0" fontId="0" fillId="6" borderId="28" xfId="0" applyFill="1" applyBorder="1"/>
    <xf numFmtId="0" fontId="0" fillId="0" borderId="15" xfId="0" applyBorder="1"/>
    <xf numFmtId="0" fontId="0" fillId="0" borderId="32" xfId="0" applyBorder="1"/>
    <xf numFmtId="2" fontId="0" fillId="0" borderId="28" xfId="0" applyNumberFormat="1" applyBorder="1"/>
    <xf numFmtId="166" fontId="0" fillId="0" borderId="33" xfId="0" applyNumberFormat="1" applyBorder="1"/>
    <xf numFmtId="0" fontId="2" fillId="0" borderId="34" xfId="0" applyFont="1" applyBorder="1"/>
    <xf numFmtId="10" fontId="0" fillId="0" borderId="28" xfId="0" applyNumberFormat="1" applyBorder="1"/>
    <xf numFmtId="166" fontId="0" fillId="0" borderId="28" xfId="0" applyNumberFormat="1" applyBorder="1"/>
    <xf numFmtId="0" fontId="0" fillId="0" borderId="0" xfId="0"/>
    <xf numFmtId="166" fontId="0" fillId="0" borderId="0" xfId="0" applyNumberFormat="1"/>
    <xf numFmtId="0" fontId="0" fillId="0" borderId="0" xfId="0"/>
    <xf numFmtId="0" fontId="0" fillId="0" borderId="0" xfId="0"/>
    <xf numFmtId="0" fontId="2" fillId="0" borderId="32" xfId="0" applyFont="1" applyBorder="1"/>
    <xf numFmtId="0" fontId="0" fillId="0" borderId="33" xfId="0" applyBorder="1"/>
    <xf numFmtId="166" fontId="0" fillId="7" borderId="36" xfId="0" applyNumberFormat="1" applyFill="1" applyBorder="1"/>
    <xf numFmtId="0" fontId="1" fillId="0" borderId="32" xfId="0" applyFont="1" applyBorder="1"/>
    <xf numFmtId="166" fontId="0" fillId="0" borderId="31" xfId="0" applyNumberFormat="1" applyBorder="1"/>
    <xf numFmtId="0" fontId="0" fillId="7" borderId="35" xfId="0" applyFill="1" applyBorder="1"/>
    <xf numFmtId="0" fontId="0" fillId="0" borderId="35" xfId="0" applyBorder="1"/>
    <xf numFmtId="3" fontId="0" fillId="0" borderId="28" xfId="0" applyNumberFormat="1" applyFill="1" applyBorder="1"/>
    <xf numFmtId="0" fontId="0" fillId="2" borderId="28" xfId="0" applyFill="1" applyBorder="1"/>
    <xf numFmtId="0" fontId="1" fillId="7" borderId="34" xfId="0" applyFont="1" applyFill="1" applyBorder="1"/>
    <xf numFmtId="166" fontId="0" fillId="7" borderId="35" xfId="0" applyNumberFormat="1" applyFill="1" applyBorder="1"/>
    <xf numFmtId="1" fontId="0" fillId="3" borderId="28" xfId="0" applyNumberFormat="1" applyFill="1" applyBorder="1"/>
    <xf numFmtId="0" fontId="4" fillId="3" borderId="15" xfId="0" applyFont="1" applyFill="1" applyBorder="1"/>
    <xf numFmtId="0" fontId="4" fillId="3" borderId="32" xfId="0" applyFont="1" applyFill="1" applyBorder="1"/>
    <xf numFmtId="0" fontId="4" fillId="3" borderId="34" xfId="0" applyFont="1" applyFill="1" applyBorder="1"/>
    <xf numFmtId="164" fontId="0" fillId="0" borderId="0" xfId="0" applyNumberFormat="1" applyBorder="1"/>
    <xf numFmtId="166" fontId="0" fillId="0" borderId="0" xfId="0" applyNumberFormat="1" applyBorder="1"/>
    <xf numFmtId="0" fontId="2" fillId="0" borderId="1" xfId="0" applyFont="1" applyBorder="1"/>
    <xf numFmtId="3" fontId="0" fillId="2" borderId="28" xfId="0" applyNumberFormat="1" applyFill="1" applyBorder="1"/>
    <xf numFmtId="3" fontId="0" fillId="6" borderId="28" xfId="0" applyNumberFormat="1" applyFill="1" applyBorder="1"/>
    <xf numFmtId="165" fontId="0" fillId="0" borderId="28" xfId="0" applyNumberFormat="1" applyBorder="1"/>
    <xf numFmtId="165" fontId="0" fillId="6" borderId="28" xfId="0" applyNumberFormat="1" applyFill="1" applyBorder="1"/>
    <xf numFmtId="166" fontId="0" fillId="0" borderId="0" xfId="0" applyNumberFormat="1" applyFill="1" applyBorder="1"/>
    <xf numFmtId="0" fontId="2" fillId="7" borderId="34" xfId="0" applyFont="1" applyFill="1" applyBorder="1"/>
    <xf numFmtId="0" fontId="4" fillId="0" borderId="0" xfId="0" applyFont="1" applyFill="1" applyBorder="1"/>
    <xf numFmtId="166" fontId="4" fillId="3" borderId="32" xfId="0" applyNumberFormat="1" applyFont="1" applyFill="1" applyBorder="1"/>
    <xf numFmtId="166" fontId="4" fillId="3" borderId="34" xfId="0" applyNumberFormat="1" applyFont="1" applyFill="1" applyBorder="1"/>
    <xf numFmtId="0" fontId="0" fillId="0" borderId="34" xfId="0" applyBorder="1"/>
    <xf numFmtId="0" fontId="1" fillId="0" borderId="47" xfId="0" applyFont="1" applyFill="1" applyBorder="1"/>
    <xf numFmtId="0" fontId="0" fillId="0" borderId="28" xfId="0" applyFill="1" applyBorder="1"/>
    <xf numFmtId="0" fontId="0" fillId="6" borderId="35" xfId="0" applyFill="1" applyBorder="1"/>
    <xf numFmtId="0" fontId="0" fillId="5" borderId="33" xfId="0" applyFill="1" applyBorder="1"/>
    <xf numFmtId="0" fontId="1" fillId="0" borderId="32" xfId="0" applyFont="1" applyBorder="1" applyAlignment="1">
      <alignment horizontal="center"/>
    </xf>
    <xf numFmtId="165" fontId="0" fillId="5" borderId="33" xfId="0" applyNumberFormat="1" applyFill="1" applyBorder="1"/>
    <xf numFmtId="0" fontId="0" fillId="0" borderId="0" xfId="0" applyFill="1"/>
    <xf numFmtId="0" fontId="2" fillId="0" borderId="51" xfId="0" applyFont="1" applyBorder="1"/>
    <xf numFmtId="0" fontId="1" fillId="0" borderId="32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3" fillId="0" borderId="28" xfId="0" applyFont="1" applyFill="1" applyBorder="1"/>
    <xf numFmtId="0" fontId="2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7" borderId="21" xfId="0" applyFont="1" applyFill="1" applyBorder="1"/>
    <xf numFmtId="0" fontId="2" fillId="0" borderId="28" xfId="0" applyFont="1" applyBorder="1"/>
    <xf numFmtId="165" fontId="0" fillId="0" borderId="0" xfId="0" applyNumberFormat="1"/>
    <xf numFmtId="166" fontId="0" fillId="0" borderId="32" xfId="0" applyNumberFormat="1" applyBorder="1"/>
    <xf numFmtId="0" fontId="1" fillId="0" borderId="28" xfId="0" applyFont="1" applyBorder="1"/>
    <xf numFmtId="3" fontId="0" fillId="0" borderId="28" xfId="0" applyNumberFormat="1" applyBorder="1"/>
    <xf numFmtId="0" fontId="1" fillId="0" borderId="0" xfId="0" applyFont="1" applyAlignment="1">
      <alignment vertical="center" wrapText="1"/>
    </xf>
    <xf numFmtId="0" fontId="0" fillId="11" borderId="28" xfId="0" applyFill="1" applyBorder="1"/>
    <xf numFmtId="3" fontId="0" fillId="11" borderId="28" xfId="0" applyNumberFormat="1" applyFill="1" applyBorder="1"/>
    <xf numFmtId="0" fontId="2" fillId="7" borderId="15" xfId="0" applyFont="1" applyFill="1" applyBorder="1"/>
    <xf numFmtId="0" fontId="0" fillId="4" borderId="15" xfId="0" applyFill="1" applyBorder="1"/>
    <xf numFmtId="10" fontId="0" fillId="0" borderId="0" xfId="0" applyNumberFormat="1"/>
    <xf numFmtId="0" fontId="1" fillId="0" borderId="51" xfId="0" applyFont="1" applyBorder="1"/>
    <xf numFmtId="0" fontId="4" fillId="3" borderId="32" xfId="0" applyFont="1" applyFill="1" applyBorder="1" applyAlignment="1">
      <alignment vertical="top" wrapText="1"/>
    </xf>
    <xf numFmtId="0" fontId="5" fillId="0" borderId="0" xfId="0" applyFont="1"/>
    <xf numFmtId="0" fontId="5" fillId="0" borderId="28" xfId="0" applyFont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166" fontId="5" fillId="0" borderId="28" xfId="0" applyNumberFormat="1" applyFont="1" applyBorder="1" applyAlignment="1">
      <alignment horizontal="center"/>
    </xf>
    <xf numFmtId="166" fontId="5" fillId="0" borderId="28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66" fontId="5" fillId="0" borderId="35" xfId="0" applyNumberFormat="1" applyFont="1" applyBorder="1" applyAlignment="1">
      <alignment horizontal="center"/>
    </xf>
    <xf numFmtId="166" fontId="0" fillId="0" borderId="28" xfId="0" applyNumberFormat="1" applyBorder="1" applyAlignment="1">
      <alignment horizontal="center"/>
    </xf>
    <xf numFmtId="166" fontId="0" fillId="7" borderId="35" xfId="0" applyNumberFormat="1" applyFill="1" applyBorder="1" applyAlignment="1">
      <alignment horizontal="center"/>
    </xf>
    <xf numFmtId="166" fontId="0" fillId="7" borderId="36" xfId="0" applyNumberFormat="1" applyFill="1" applyBorder="1" applyAlignment="1">
      <alignment horizontal="center"/>
    </xf>
    <xf numFmtId="166" fontId="4" fillId="3" borderId="28" xfId="0" applyNumberFormat="1" applyFont="1" applyFill="1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166" fontId="5" fillId="7" borderId="33" xfId="0" applyNumberFormat="1" applyFont="1" applyFill="1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5" fillId="3" borderId="15" xfId="0" applyFont="1" applyFill="1" applyBorder="1"/>
    <xf numFmtId="0" fontId="4" fillId="0" borderId="32" xfId="0" applyFont="1" applyBorder="1"/>
    <xf numFmtId="166" fontId="5" fillId="0" borderId="33" xfId="0" applyNumberFormat="1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166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Fill="1" applyBorder="1"/>
    <xf numFmtId="166" fontId="5" fillId="0" borderId="3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6" fontId="5" fillId="0" borderId="40" xfId="0" applyNumberFormat="1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166" fontId="5" fillId="0" borderId="28" xfId="0" applyNumberFormat="1" applyFont="1" applyBorder="1" applyAlignment="1">
      <alignment horizontal="center" vertical="top" wrapText="1"/>
    </xf>
    <xf numFmtId="166" fontId="5" fillId="7" borderId="33" xfId="0" applyNumberFormat="1" applyFont="1" applyFill="1" applyBorder="1" applyAlignment="1">
      <alignment horizontal="center" vertical="top" wrapText="1"/>
    </xf>
    <xf numFmtId="0" fontId="4" fillId="3" borderId="53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4" fillId="7" borderId="17" xfId="0" applyFont="1" applyFill="1" applyBorder="1" applyAlignment="1">
      <alignment horizontal="center" wrapText="1"/>
    </xf>
    <xf numFmtId="0" fontId="4" fillId="7" borderId="33" xfId="0" applyFont="1" applyFill="1" applyBorder="1" applyAlignment="1">
      <alignment horizontal="center" vertical="top" wrapText="1"/>
    </xf>
    <xf numFmtId="166" fontId="4" fillId="3" borderId="19" xfId="0" applyNumberFormat="1" applyFont="1" applyFill="1" applyBorder="1" applyAlignment="1">
      <alignment horizontal="center" wrapText="1"/>
    </xf>
    <xf numFmtId="166" fontId="4" fillId="3" borderId="23" xfId="0" applyNumberFormat="1" applyFont="1" applyFill="1" applyBorder="1" applyAlignment="1">
      <alignment horizontal="center" wrapText="1"/>
    </xf>
    <xf numFmtId="0" fontId="4" fillId="7" borderId="16" xfId="0" applyFont="1" applyFill="1" applyBorder="1" applyAlignment="1">
      <alignment horizontal="center" wrapText="1"/>
    </xf>
    <xf numFmtId="0" fontId="4" fillId="3" borderId="53" xfId="0" applyFont="1" applyFill="1" applyBorder="1" applyAlignment="1"/>
    <xf numFmtId="0" fontId="4" fillId="5" borderId="23" xfId="0" applyFont="1" applyFill="1" applyBorder="1" applyAlignment="1">
      <alignment horizontal="center" vertical="top" wrapText="1"/>
    </xf>
    <xf numFmtId="166" fontId="0" fillId="5" borderId="33" xfId="0" applyNumberFormat="1" applyFill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166" fontId="2" fillId="0" borderId="28" xfId="0" applyNumberFormat="1" applyFont="1" applyBorder="1" applyAlignment="1">
      <alignment horizontal="center"/>
    </xf>
    <xf numFmtId="166" fontId="0" fillId="5" borderId="36" xfId="0" applyNumberFormat="1" applyFill="1" applyBorder="1" applyAlignment="1">
      <alignment horizontal="center"/>
    </xf>
    <xf numFmtId="166" fontId="4" fillId="3" borderId="19" xfId="0" applyNumberFormat="1" applyFont="1" applyFill="1" applyBorder="1" applyAlignment="1">
      <alignment horizontal="center"/>
    </xf>
    <xf numFmtId="166" fontId="0" fillId="0" borderId="28" xfId="0" applyNumberFormat="1" applyFill="1" applyBorder="1" applyAlignment="1">
      <alignment horizontal="center"/>
    </xf>
    <xf numFmtId="166" fontId="1" fillId="0" borderId="35" xfId="0" applyNumberFormat="1" applyFont="1" applyFill="1" applyBorder="1" applyAlignment="1">
      <alignment horizontal="center"/>
    </xf>
    <xf numFmtId="166" fontId="0" fillId="0" borderId="42" xfId="0" applyNumberFormat="1" applyBorder="1" applyAlignment="1">
      <alignment horizontal="center"/>
    </xf>
    <xf numFmtId="166" fontId="1" fillId="0" borderId="28" xfId="0" applyNumberFormat="1" applyFont="1" applyBorder="1" applyAlignment="1">
      <alignment horizontal="center"/>
    </xf>
    <xf numFmtId="0" fontId="9" fillId="0" borderId="0" xfId="0" applyFont="1" applyAlignment="1">
      <alignment horizontal="justify"/>
    </xf>
    <xf numFmtId="0" fontId="1" fillId="0" borderId="0" xfId="0" applyFont="1"/>
    <xf numFmtId="0" fontId="8" fillId="6" borderId="15" xfId="0" applyFont="1" applyFill="1" applyBorder="1" applyAlignment="1">
      <alignment wrapText="1"/>
    </xf>
    <xf numFmtId="0" fontId="8" fillId="13" borderId="41" xfId="0" applyFont="1" applyFill="1" applyBorder="1" applyAlignment="1">
      <alignment horizontal="center" wrapText="1"/>
    </xf>
    <xf numFmtId="166" fontId="8" fillId="6" borderId="19" xfId="0" applyNumberFormat="1" applyFont="1" applyFill="1" applyBorder="1" applyAlignment="1">
      <alignment horizontal="center" wrapText="1"/>
    </xf>
    <xf numFmtId="0" fontId="8" fillId="0" borderId="32" xfId="0" applyFont="1" applyBorder="1" applyAlignment="1">
      <alignment wrapText="1"/>
    </xf>
    <xf numFmtId="166" fontId="10" fillId="0" borderId="28" xfId="0" applyNumberFormat="1" applyFont="1" applyBorder="1" applyAlignment="1">
      <alignment horizontal="center" wrapText="1"/>
    </xf>
    <xf numFmtId="0" fontId="8" fillId="0" borderId="32" xfId="0" applyFont="1" applyBorder="1" applyAlignment="1">
      <alignment vertical="top" wrapText="1"/>
    </xf>
    <xf numFmtId="168" fontId="10" fillId="0" borderId="28" xfId="0" applyNumberFormat="1" applyFont="1" applyBorder="1" applyAlignment="1">
      <alignment horizontal="center" wrapText="1"/>
    </xf>
    <xf numFmtId="0" fontId="8" fillId="7" borderId="34" xfId="0" applyFont="1" applyFill="1" applyBorder="1" applyAlignment="1">
      <alignment vertical="top" wrapText="1"/>
    </xf>
    <xf numFmtId="166" fontId="10" fillId="7" borderId="35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vertical="top" wrapText="1"/>
    </xf>
    <xf numFmtId="9" fontId="8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10" fontId="8" fillId="0" borderId="2" xfId="0" applyNumberFormat="1" applyFont="1" applyBorder="1" applyAlignment="1">
      <alignment vertical="top" wrapText="1"/>
    </xf>
    <xf numFmtId="0" fontId="8" fillId="0" borderId="2" xfId="0" applyFont="1" applyBorder="1"/>
    <xf numFmtId="0" fontId="11" fillId="8" borderId="48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top" wrapText="1"/>
    </xf>
    <xf numFmtId="10" fontId="8" fillId="7" borderId="5" xfId="0" applyNumberFormat="1" applyFont="1" applyFill="1" applyBorder="1" applyAlignment="1">
      <alignment vertical="top" wrapText="1"/>
    </xf>
    <xf numFmtId="0" fontId="8" fillId="7" borderId="5" xfId="0" applyFont="1" applyFill="1" applyBorder="1"/>
    <xf numFmtId="2" fontId="1" fillId="0" borderId="28" xfId="0" applyNumberFormat="1" applyFont="1" applyBorder="1"/>
    <xf numFmtId="168" fontId="0" fillId="0" borderId="28" xfId="0" applyNumberFormat="1" applyBorder="1"/>
    <xf numFmtId="0" fontId="2" fillId="4" borderId="32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12" borderId="32" xfId="0" applyFont="1" applyFill="1" applyBorder="1" applyAlignment="1">
      <alignment wrapText="1"/>
    </xf>
    <xf numFmtId="164" fontId="0" fillId="0" borderId="0" xfId="0" applyNumberFormat="1"/>
    <xf numFmtId="164" fontId="1" fillId="0" borderId="28" xfId="0" applyNumberFormat="1" applyFont="1" applyBorder="1"/>
    <xf numFmtId="0" fontId="2" fillId="7" borderId="49" xfId="0" applyFont="1" applyFill="1" applyBorder="1"/>
    <xf numFmtId="0" fontId="2" fillId="0" borderId="55" xfId="0" applyFont="1" applyFill="1" applyBorder="1"/>
    <xf numFmtId="0" fontId="2" fillId="0" borderId="56" xfId="0" applyFont="1" applyBorder="1" applyAlignment="1">
      <alignment vertical="top" wrapText="1"/>
    </xf>
    <xf numFmtId="0" fontId="2" fillId="4" borderId="56" xfId="0" applyFont="1" applyFill="1" applyBorder="1" applyAlignment="1">
      <alignment vertical="top" wrapText="1"/>
    </xf>
    <xf numFmtId="0" fontId="2" fillId="5" borderId="56" xfId="0" applyFont="1" applyFill="1" applyBorder="1" applyAlignment="1">
      <alignment vertical="top" wrapText="1"/>
    </xf>
    <xf numFmtId="3" fontId="0" fillId="5" borderId="33" xfId="0" applyNumberFormat="1" applyFill="1" applyBorder="1"/>
    <xf numFmtId="0" fontId="2" fillId="0" borderId="61" xfId="0" applyFont="1" applyFill="1" applyBorder="1"/>
    <xf numFmtId="0" fontId="2" fillId="0" borderId="45" xfId="0" applyFont="1" applyFill="1" applyBorder="1"/>
    <xf numFmtId="0" fontId="3" fillId="0" borderId="45" xfId="0" applyFont="1" applyFill="1" applyBorder="1"/>
    <xf numFmtId="0" fontId="3" fillId="0" borderId="45" xfId="0" applyFont="1" applyBorder="1"/>
    <xf numFmtId="0" fontId="2" fillId="0" borderId="45" xfId="0" applyFont="1" applyBorder="1"/>
    <xf numFmtId="0" fontId="0" fillId="0" borderId="45" xfId="0" applyBorder="1"/>
    <xf numFmtId="0" fontId="2" fillId="0" borderId="45" xfId="0" applyFont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3" fontId="0" fillId="0" borderId="59" xfId="0" applyNumberFormat="1" applyFill="1" applyBorder="1"/>
    <xf numFmtId="0" fontId="0" fillId="0" borderId="35" xfId="0" applyFill="1" applyBorder="1"/>
    <xf numFmtId="0" fontId="3" fillId="0" borderId="35" xfId="0" applyFont="1" applyFill="1" applyBorder="1"/>
    <xf numFmtId="2" fontId="0" fillId="0" borderId="0" xfId="0" applyNumberFormat="1"/>
    <xf numFmtId="0" fontId="12" fillId="0" borderId="0" xfId="0" applyFont="1"/>
    <xf numFmtId="164" fontId="0" fillId="7" borderId="35" xfId="0" applyNumberFormat="1" applyFill="1" applyBorder="1"/>
    <xf numFmtId="166" fontId="0" fillId="7" borderId="40" xfId="0" applyNumberFormat="1" applyFill="1" applyBorder="1"/>
    <xf numFmtId="166" fontId="0" fillId="0" borderId="51" xfId="0" applyNumberFormat="1" applyBorder="1"/>
    <xf numFmtId="164" fontId="6" fillId="4" borderId="33" xfId="0" applyNumberFormat="1" applyFont="1" applyFill="1" applyBorder="1" applyAlignment="1">
      <alignment wrapText="1"/>
    </xf>
    <xf numFmtId="0" fontId="2" fillId="7" borderId="28" xfId="0" applyFont="1" applyFill="1" applyBorder="1" applyAlignment="1">
      <alignment wrapText="1"/>
    </xf>
    <xf numFmtId="0" fontId="2" fillId="3" borderId="34" xfId="0" applyFont="1" applyFill="1" applyBorder="1"/>
    <xf numFmtId="0" fontId="0" fillId="0" borderId="12" xfId="0" applyFill="1" applyBorder="1"/>
    <xf numFmtId="0" fontId="0" fillId="0" borderId="28" xfId="0" applyBorder="1" applyAlignment="1">
      <alignment vertical="top"/>
    </xf>
    <xf numFmtId="0" fontId="1" fillId="0" borderId="28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8" xfId="0" applyBorder="1" applyAlignment="1">
      <alignment wrapText="1"/>
    </xf>
    <xf numFmtId="0" fontId="2" fillId="7" borderId="64" xfId="0" applyFont="1" applyFill="1" applyBorder="1"/>
    <xf numFmtId="166" fontId="5" fillId="0" borderId="0" xfId="0" applyNumberFormat="1" applyFont="1"/>
    <xf numFmtId="0" fontId="4" fillId="3" borderId="51" xfId="0" applyFont="1" applyFill="1" applyBorder="1"/>
    <xf numFmtId="166" fontId="5" fillId="0" borderId="37" xfId="0" applyNumberFormat="1" applyFont="1" applyBorder="1" applyAlignment="1">
      <alignment horizontal="center"/>
    </xf>
    <xf numFmtId="166" fontId="5" fillId="7" borderId="38" xfId="0" applyNumberFormat="1" applyFont="1" applyFill="1" applyBorder="1" applyAlignment="1">
      <alignment horizontal="center"/>
    </xf>
    <xf numFmtId="0" fontId="2" fillId="0" borderId="63" xfId="0" applyFont="1" applyFill="1" applyBorder="1"/>
    <xf numFmtId="3" fontId="0" fillId="2" borderId="59" xfId="0" applyNumberFormat="1" applyFill="1" applyBorder="1"/>
    <xf numFmtId="165" fontId="0" fillId="0" borderId="59" xfId="0" applyNumberFormat="1" applyBorder="1"/>
    <xf numFmtId="164" fontId="0" fillId="0" borderId="59" xfId="0" applyNumberFormat="1" applyBorder="1"/>
    <xf numFmtId="165" fontId="0" fillId="6" borderId="59" xfId="0" applyNumberFormat="1" applyFill="1" applyBorder="1"/>
    <xf numFmtId="165" fontId="0" fillId="5" borderId="60" xfId="0" applyNumberFormat="1" applyFill="1" applyBorder="1"/>
    <xf numFmtId="0" fontId="2" fillId="0" borderId="32" xfId="0" applyFont="1" applyFill="1" applyBorder="1"/>
    <xf numFmtId="0" fontId="3" fillId="0" borderId="32" xfId="0" applyFont="1" applyFill="1" applyBorder="1"/>
    <xf numFmtId="0" fontId="3" fillId="0" borderId="32" xfId="0" applyFont="1" applyBorder="1"/>
    <xf numFmtId="0" fontId="1" fillId="2" borderId="32" xfId="0" applyFont="1" applyFill="1" applyBorder="1" applyAlignment="1">
      <alignment horizontal="center"/>
    </xf>
    <xf numFmtId="3" fontId="3" fillId="0" borderId="28" xfId="0" applyNumberFormat="1" applyFont="1" applyFill="1" applyBorder="1"/>
    <xf numFmtId="0" fontId="0" fillId="2" borderId="32" xfId="0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9" fontId="0" fillId="2" borderId="28" xfId="0" applyNumberFormat="1" applyFill="1" applyBorder="1"/>
    <xf numFmtId="0" fontId="0" fillId="2" borderId="35" xfId="0" applyFill="1" applyBorder="1"/>
    <xf numFmtId="166" fontId="2" fillId="5" borderId="23" xfId="0" applyNumberFormat="1" applyFont="1" applyFill="1" applyBorder="1" applyAlignment="1">
      <alignment wrapText="1"/>
    </xf>
    <xf numFmtId="0" fontId="1" fillId="0" borderId="34" xfId="0" applyFont="1" applyBorder="1" applyAlignment="1">
      <alignment horizontal="center" wrapText="1"/>
    </xf>
    <xf numFmtId="166" fontId="2" fillId="0" borderId="55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63" xfId="0" applyBorder="1"/>
    <xf numFmtId="0" fontId="2" fillId="0" borderId="32" xfId="0" applyFont="1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2" fillId="0" borderId="19" xfId="0" applyFont="1" applyBorder="1" applyAlignment="1">
      <alignment wrapText="1"/>
    </xf>
    <xf numFmtId="0" fontId="2" fillId="3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10" fontId="0" fillId="0" borderId="33" xfId="0" applyNumberFormat="1" applyBorder="1"/>
    <xf numFmtId="10" fontId="0" fillId="0" borderId="36" xfId="0" applyNumberFormat="1" applyBorder="1"/>
    <xf numFmtId="0" fontId="0" fillId="7" borderId="36" xfId="0" applyFill="1" applyBorder="1"/>
    <xf numFmtId="0" fontId="2" fillId="5" borderId="32" xfId="0" applyFont="1" applyFill="1" applyBorder="1" applyAlignment="1">
      <alignment wrapText="1"/>
    </xf>
    <xf numFmtId="0" fontId="2" fillId="7" borderId="32" xfId="0" applyFont="1" applyFill="1" applyBorder="1" applyAlignment="1">
      <alignment wrapText="1"/>
    </xf>
    <xf numFmtId="164" fontId="6" fillId="7" borderId="33" xfId="0" applyNumberFormat="1" applyFont="1" applyFill="1" applyBorder="1" applyAlignment="1">
      <alignment wrapText="1"/>
    </xf>
    <xf numFmtId="2" fontId="1" fillId="0" borderId="33" xfId="0" applyNumberFormat="1" applyFont="1" applyBorder="1"/>
    <xf numFmtId="2" fontId="13" fillId="5" borderId="28" xfId="0" applyNumberFormat="1" applyFont="1" applyFill="1" applyBorder="1" applyAlignment="1">
      <alignment wrapText="1"/>
    </xf>
    <xf numFmtId="2" fontId="13" fillId="5" borderId="33" xfId="0" applyNumberFormat="1" applyFont="1" applyFill="1" applyBorder="1" applyAlignment="1">
      <alignment wrapText="1"/>
    </xf>
    <xf numFmtId="168" fontId="1" fillId="0" borderId="28" xfId="0" applyNumberFormat="1" applyFont="1" applyBorder="1"/>
    <xf numFmtId="0" fontId="13" fillId="4" borderId="28" xfId="0" applyFont="1" applyFill="1" applyBorder="1" applyAlignment="1">
      <alignment vertical="center" wrapText="1"/>
    </xf>
    <xf numFmtId="0" fontId="0" fillId="7" borderId="34" xfId="0" applyFont="1" applyFill="1" applyBorder="1"/>
    <xf numFmtId="0" fontId="1" fillId="7" borderId="35" xfId="0" applyFont="1" applyFill="1" applyBorder="1"/>
    <xf numFmtId="2" fontId="1" fillId="7" borderId="36" xfId="0" applyNumberFormat="1" applyFont="1" applyFill="1" applyBorder="1"/>
    <xf numFmtId="0" fontId="8" fillId="0" borderId="0" xfId="0" applyFont="1" applyFill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19" xfId="0" applyBorder="1"/>
    <xf numFmtId="0" fontId="0" fillId="0" borderId="32" xfId="0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10" fontId="0" fillId="0" borderId="28" xfId="0" applyNumberForma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5" borderId="23" xfId="0" applyFill="1" applyBorder="1"/>
    <xf numFmtId="0" fontId="0" fillId="5" borderId="33" xfId="0" applyFill="1" applyBorder="1" applyAlignment="1">
      <alignment vertical="top" wrapText="1"/>
    </xf>
    <xf numFmtId="166" fontId="0" fillId="5" borderId="33" xfId="0" applyNumberFormat="1" applyFill="1" applyBorder="1" applyAlignment="1">
      <alignment vertical="top" wrapText="1"/>
    </xf>
    <xf numFmtId="0" fontId="0" fillId="5" borderId="36" xfId="0" applyFill="1" applyBorder="1" applyAlignment="1">
      <alignment vertical="top" wrapText="1"/>
    </xf>
    <xf numFmtId="0" fontId="0" fillId="6" borderId="19" xfId="0" applyFill="1" applyBorder="1"/>
    <xf numFmtId="0" fontId="0" fillId="6" borderId="28" xfId="0" applyFill="1" applyBorder="1" applyAlignment="1">
      <alignment vertical="top" wrapText="1"/>
    </xf>
    <xf numFmtId="166" fontId="0" fillId="6" borderId="28" xfId="0" applyNumberFormat="1" applyFill="1" applyBorder="1" applyAlignment="1">
      <alignment vertical="top" wrapText="1"/>
    </xf>
    <xf numFmtId="0" fontId="0" fillId="6" borderId="35" xfId="0" applyFill="1" applyBorder="1" applyAlignment="1">
      <alignment vertical="top" wrapText="1"/>
    </xf>
    <xf numFmtId="0" fontId="0" fillId="3" borderId="28" xfId="0" applyFill="1" applyBorder="1" applyAlignment="1">
      <alignment vertical="top" wrapText="1"/>
    </xf>
    <xf numFmtId="0" fontId="0" fillId="3" borderId="35" xfId="0" applyFill="1" applyBorder="1" applyAlignment="1">
      <alignment vertical="top" wrapText="1"/>
    </xf>
    <xf numFmtId="0" fontId="1" fillId="0" borderId="45" xfId="0" applyFont="1" applyFill="1" applyBorder="1"/>
    <xf numFmtId="0" fontId="1" fillId="0" borderId="32" xfId="0" applyFont="1" applyFill="1" applyBorder="1"/>
    <xf numFmtId="0" fontId="2" fillId="14" borderId="28" xfId="0" applyFont="1" applyFill="1" applyBorder="1"/>
    <xf numFmtId="0" fontId="2" fillId="14" borderId="33" xfId="0" applyFont="1" applyFill="1" applyBorder="1"/>
    <xf numFmtId="0" fontId="0" fillId="15" borderId="34" xfId="0" applyFill="1" applyBorder="1"/>
    <xf numFmtId="166" fontId="0" fillId="15" borderId="35" xfId="0" applyNumberFormat="1" applyFill="1" applyBorder="1"/>
    <xf numFmtId="166" fontId="0" fillId="15" borderId="36" xfId="0" applyNumberFormat="1" applyFill="1" applyBorder="1"/>
    <xf numFmtId="10" fontId="1" fillId="0" borderId="28" xfId="0" applyNumberFormat="1" applyFont="1" applyBorder="1"/>
    <xf numFmtId="10" fontId="1" fillId="0" borderId="35" xfId="0" applyNumberFormat="1" applyFont="1" applyBorder="1"/>
    <xf numFmtId="10" fontId="0" fillId="0" borderId="35" xfId="0" applyNumberFormat="1" applyBorder="1"/>
    <xf numFmtId="0" fontId="2" fillId="14" borderId="15" xfId="0" applyFont="1" applyFill="1" applyBorder="1" applyAlignment="1">
      <alignment vertical="top" wrapText="1"/>
    </xf>
    <xf numFmtId="0" fontId="2" fillId="14" borderId="19" xfId="0" applyFont="1" applyFill="1" applyBorder="1" applyAlignment="1">
      <alignment vertical="top" wrapText="1"/>
    </xf>
    <xf numFmtId="0" fontId="2" fillId="14" borderId="23" xfId="0" applyFont="1" applyFill="1" applyBorder="1" applyAlignment="1">
      <alignment vertical="top" wrapText="1"/>
    </xf>
    <xf numFmtId="0" fontId="1" fillId="0" borderId="34" xfId="0" applyFont="1" applyBorder="1"/>
    <xf numFmtId="2" fontId="0" fillId="0" borderId="33" xfId="0" applyNumberFormat="1" applyBorder="1"/>
    <xf numFmtId="0" fontId="1" fillId="0" borderId="35" xfId="0" applyFont="1" applyBorder="1"/>
    <xf numFmtId="2" fontId="0" fillId="0" borderId="36" xfId="0" applyNumberFormat="1" applyBorder="1"/>
    <xf numFmtId="0" fontId="6" fillId="15" borderId="15" xfId="0" applyFont="1" applyFill="1" applyBorder="1" applyAlignment="1">
      <alignment vertical="top" wrapText="1"/>
    </xf>
    <xf numFmtId="0" fontId="2" fillId="15" borderId="19" xfId="0" applyFont="1" applyFill="1" applyBorder="1" applyAlignment="1">
      <alignment vertical="top" wrapText="1"/>
    </xf>
    <xf numFmtId="0" fontId="2" fillId="15" borderId="23" xfId="0" applyFont="1" applyFill="1" applyBorder="1" applyAlignment="1">
      <alignment vertical="top" wrapText="1"/>
    </xf>
    <xf numFmtId="0" fontId="2" fillId="3" borderId="28" xfId="0" applyFont="1" applyFill="1" applyBorder="1" applyAlignment="1">
      <alignment vertical="top" wrapText="1"/>
    </xf>
    <xf numFmtId="0" fontId="2" fillId="6" borderId="28" xfId="0" applyFont="1" applyFill="1" applyBorder="1" applyAlignment="1">
      <alignment vertical="top" wrapText="1"/>
    </xf>
    <xf numFmtId="0" fontId="2" fillId="5" borderId="33" xfId="0" applyFont="1" applyFill="1" applyBorder="1" applyAlignment="1">
      <alignment vertical="top" wrapText="1"/>
    </xf>
    <xf numFmtId="0" fontId="2" fillId="15" borderId="15" xfId="0" applyFont="1" applyFill="1" applyBorder="1" applyAlignment="1">
      <alignment vertical="top" wrapText="1"/>
    </xf>
    <xf numFmtId="0" fontId="0" fillId="15" borderId="35" xfId="0" applyFill="1" applyBorder="1"/>
    <xf numFmtId="166" fontId="2" fillId="5" borderId="19" xfId="0" applyNumberFormat="1" applyFont="1" applyFill="1" applyBorder="1" applyAlignment="1">
      <alignment wrapText="1"/>
    </xf>
    <xf numFmtId="10" fontId="10" fillId="13" borderId="42" xfId="0" applyNumberFormat="1" applyFont="1" applyFill="1" applyBorder="1" applyAlignment="1">
      <alignment horizontal="center" wrapText="1"/>
    </xf>
    <xf numFmtId="10" fontId="10" fillId="13" borderId="42" xfId="0" applyNumberFormat="1" applyFont="1" applyFill="1" applyBorder="1" applyAlignment="1">
      <alignment horizontal="center" vertical="top" wrapText="1"/>
    </xf>
    <xf numFmtId="171" fontId="10" fillId="13" borderId="42" xfId="0" applyNumberFormat="1" applyFont="1" applyFill="1" applyBorder="1" applyAlignment="1">
      <alignment horizontal="center" vertical="top" wrapText="1"/>
    </xf>
    <xf numFmtId="166" fontId="10" fillId="7" borderId="36" xfId="0" applyNumberFormat="1" applyFont="1" applyFill="1" applyBorder="1" applyAlignment="1">
      <alignment horizontal="center"/>
    </xf>
    <xf numFmtId="10" fontId="0" fillId="0" borderId="32" xfId="0" applyNumberFormat="1" applyBorder="1"/>
    <xf numFmtId="10" fontId="1" fillId="0" borderId="32" xfId="0" applyNumberFormat="1" applyFont="1" applyFill="1" applyBorder="1"/>
    <xf numFmtId="168" fontId="0" fillId="7" borderId="34" xfId="0" applyNumberFormat="1" applyFill="1" applyBorder="1"/>
    <xf numFmtId="10" fontId="1" fillId="0" borderId="28" xfId="0" applyNumberFormat="1" applyFont="1" applyFill="1" applyBorder="1"/>
    <xf numFmtId="10" fontId="0" fillId="0" borderId="28" xfId="0" applyNumberFormat="1" applyFill="1" applyBorder="1"/>
    <xf numFmtId="166" fontId="2" fillId="4" borderId="19" xfId="0" applyNumberFormat="1" applyFont="1" applyFill="1" applyBorder="1" applyAlignment="1">
      <alignment wrapText="1"/>
    </xf>
    <xf numFmtId="166" fontId="2" fillId="4" borderId="23" xfId="0" applyNumberFormat="1" applyFont="1" applyFill="1" applyBorder="1" applyAlignment="1">
      <alignment wrapText="1"/>
    </xf>
    <xf numFmtId="166" fontId="2" fillId="7" borderId="19" xfId="0" applyNumberFormat="1" applyFont="1" applyFill="1" applyBorder="1" applyAlignment="1">
      <alignment wrapText="1"/>
    </xf>
    <xf numFmtId="166" fontId="2" fillId="7" borderId="23" xfId="0" applyNumberFormat="1" applyFont="1" applyFill="1" applyBorder="1" applyAlignment="1">
      <alignment wrapText="1"/>
    </xf>
    <xf numFmtId="0" fontId="2" fillId="0" borderId="69" xfId="0" applyFont="1" applyFill="1" applyBorder="1"/>
    <xf numFmtId="0" fontId="0" fillId="0" borderId="28" xfId="0" applyBorder="1" applyAlignment="1">
      <alignment horizontal="center"/>
    </xf>
    <xf numFmtId="0" fontId="14" fillId="0" borderId="0" xfId="0" applyFont="1"/>
    <xf numFmtId="0" fontId="2" fillId="18" borderId="28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166" fontId="1" fillId="0" borderId="28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3" fillId="17" borderId="28" xfId="0" applyFont="1" applyFill="1" applyBorder="1" applyAlignment="1">
      <alignment horizontal="center" wrapText="1"/>
    </xf>
    <xf numFmtId="0" fontId="13" fillId="6" borderId="28" xfId="0" applyFont="1" applyFill="1" applyBorder="1" applyAlignment="1">
      <alignment horizontal="center" wrapText="1"/>
    </xf>
    <xf numFmtId="0" fontId="13" fillId="13" borderId="28" xfId="0" applyFont="1" applyFill="1" applyBorder="1" applyAlignment="1">
      <alignment horizontal="center" wrapText="1"/>
    </xf>
    <xf numFmtId="0" fontId="13" fillId="18" borderId="28" xfId="0" applyFont="1" applyFill="1" applyBorder="1" applyAlignment="1">
      <alignment horizontal="center" wrapText="1"/>
    </xf>
    <xf numFmtId="0" fontId="13" fillId="0" borderId="28" xfId="0" applyFont="1" applyBorder="1" applyAlignment="1">
      <alignment vertical="top" wrapText="1"/>
    </xf>
    <xf numFmtId="0" fontId="2" fillId="18" borderId="28" xfId="0" applyFont="1" applyFill="1" applyBorder="1"/>
    <xf numFmtId="0" fontId="13" fillId="0" borderId="0" xfId="0" applyFont="1"/>
    <xf numFmtId="166" fontId="0" fillId="0" borderId="36" xfId="0" applyNumberFormat="1" applyBorder="1"/>
    <xf numFmtId="0" fontId="2" fillId="4" borderId="15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39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166" fontId="0" fillId="15" borderId="35" xfId="0" applyNumberFormat="1" applyFill="1" applyBorder="1" applyAlignment="1">
      <alignment horizontal="center"/>
    </xf>
    <xf numFmtId="166" fontId="0" fillId="0" borderId="28" xfId="0" applyNumberFormat="1" applyBorder="1" applyAlignment="1">
      <alignment horizontal="center" vertical="center"/>
    </xf>
    <xf numFmtId="166" fontId="0" fillId="0" borderId="28" xfId="0" applyNumberFormat="1" applyFill="1" applyBorder="1" applyAlignment="1">
      <alignment horizontal="center" vertical="center"/>
    </xf>
    <xf numFmtId="166" fontId="2" fillId="18" borderId="28" xfId="0" applyNumberFormat="1" applyFont="1" applyFill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166" fontId="1" fillId="0" borderId="0" xfId="0" applyNumberFormat="1" applyFont="1" applyFill="1" applyBorder="1"/>
    <xf numFmtId="0" fontId="0" fillId="0" borderId="32" xfId="0" applyBorder="1" applyAlignment="1">
      <alignment vertical="center"/>
    </xf>
    <xf numFmtId="166" fontId="0" fillId="20" borderId="37" xfId="0" applyNumberFormat="1" applyFill="1" applyBorder="1" applyAlignment="1">
      <alignment horizontal="center" vertical="center"/>
    </xf>
    <xf numFmtId="166" fontId="0" fillId="20" borderId="35" xfId="0" applyNumberFormat="1" applyFill="1" applyBorder="1" applyAlignment="1">
      <alignment horizontal="center" vertical="center"/>
    </xf>
    <xf numFmtId="164" fontId="0" fillId="0" borderId="33" xfId="2" applyNumberFormat="1" applyFont="1" applyBorder="1" applyAlignment="1">
      <alignment horizontal="center"/>
    </xf>
    <xf numFmtId="166" fontId="0" fillId="0" borderId="32" xfId="0" applyNumberFormat="1" applyBorder="1" applyAlignment="1">
      <alignment vertical="center"/>
    </xf>
    <xf numFmtId="166" fontId="0" fillId="0" borderId="19" xfId="0" applyNumberFormat="1" applyBorder="1" applyAlignment="1">
      <alignment horizontal="center" vertical="center"/>
    </xf>
    <xf numFmtId="166" fontId="0" fillId="20" borderId="19" xfId="0" applyNumberFormat="1" applyFill="1" applyBorder="1" applyAlignment="1">
      <alignment horizontal="center" vertical="center"/>
    </xf>
    <xf numFmtId="164" fontId="0" fillId="0" borderId="23" xfId="2" applyNumberFormat="1" applyFont="1" applyBorder="1" applyAlignment="1">
      <alignment horizontal="center"/>
    </xf>
    <xf numFmtId="166" fontId="0" fillId="20" borderId="28" xfId="0" applyNumberFormat="1" applyFill="1" applyBorder="1" applyAlignment="1">
      <alignment horizontal="center" vertical="center"/>
    </xf>
    <xf numFmtId="0" fontId="0" fillId="0" borderId="32" xfId="0" applyFont="1" applyFill="1" applyBorder="1"/>
    <xf numFmtId="166" fontId="0" fillId="0" borderId="28" xfId="0" applyNumberFormat="1" applyBorder="1" applyAlignment="1">
      <alignment vertical="center"/>
    </xf>
    <xf numFmtId="166" fontId="0" fillId="0" borderId="7" xfId="0" applyNumberFormat="1" applyBorder="1" applyAlignment="1">
      <alignment horizontal="center" vertical="center"/>
    </xf>
    <xf numFmtId="166" fontId="0" fillId="20" borderId="7" xfId="0" applyNumberFormat="1" applyFill="1" applyBorder="1" applyAlignment="1">
      <alignment horizontal="center" vertical="center"/>
    </xf>
    <xf numFmtId="0" fontId="0" fillId="0" borderId="34" xfId="0" applyFont="1" applyFill="1" applyBorder="1"/>
    <xf numFmtId="166" fontId="0" fillId="0" borderId="35" xfId="0" applyNumberFormat="1" applyBorder="1" applyAlignment="1">
      <alignment vertical="center"/>
    </xf>
    <xf numFmtId="166" fontId="0" fillId="0" borderId="35" xfId="0" applyNumberFormat="1" applyBorder="1" applyAlignment="1">
      <alignment horizontal="center" vertical="center"/>
    </xf>
    <xf numFmtId="166" fontId="0" fillId="0" borderId="35" xfId="0" applyNumberFormat="1" applyFill="1" applyBorder="1" applyAlignment="1">
      <alignment horizontal="center" vertical="center"/>
    </xf>
    <xf numFmtId="0" fontId="0" fillId="0" borderId="53" xfId="0" applyFont="1" applyFill="1" applyBorder="1"/>
    <xf numFmtId="166" fontId="0" fillId="0" borderId="7" xfId="0" applyNumberFormat="1" applyBorder="1" applyAlignment="1">
      <alignment vertical="center"/>
    </xf>
    <xf numFmtId="0" fontId="0" fillId="0" borderId="28" xfId="0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0" fontId="0" fillId="0" borderId="15" xfId="0" applyFont="1" applyFill="1" applyBorder="1"/>
    <xf numFmtId="166" fontId="0" fillId="0" borderId="19" xfId="0" applyNumberFormat="1" applyBorder="1" applyAlignment="1">
      <alignment vertical="center"/>
    </xf>
    <xf numFmtId="0" fontId="1" fillId="0" borderId="15" xfId="0" applyFont="1" applyFill="1" applyBorder="1"/>
    <xf numFmtId="0" fontId="0" fillId="0" borderId="19" xfId="0" applyFill="1" applyBorder="1" applyAlignment="1">
      <alignment vertical="center"/>
    </xf>
    <xf numFmtId="166" fontId="0" fillId="0" borderId="19" xfId="0" applyNumberFormat="1" applyFill="1" applyBorder="1" applyAlignment="1">
      <alignment horizontal="center" vertical="center"/>
    </xf>
    <xf numFmtId="164" fontId="0" fillId="21" borderId="23" xfId="2" applyNumberFormat="1" applyFont="1" applyFill="1" applyBorder="1" applyAlignment="1">
      <alignment horizontal="center"/>
    </xf>
    <xf numFmtId="0" fontId="1" fillId="0" borderId="34" xfId="0" applyFont="1" applyFill="1" applyBorder="1"/>
    <xf numFmtId="0" fontId="0" fillId="0" borderId="35" xfId="0" applyFill="1" applyBorder="1" applyAlignment="1">
      <alignment vertical="center"/>
    </xf>
    <xf numFmtId="166" fontId="0" fillId="0" borderId="19" xfId="0" applyNumberFormat="1" applyFill="1" applyBorder="1" applyAlignment="1">
      <alignment vertical="center"/>
    </xf>
    <xf numFmtId="0" fontId="2" fillId="0" borderId="56" xfId="0" applyFont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3" fontId="0" fillId="5" borderId="36" xfId="0" applyNumberFormat="1" applyFill="1" applyBorder="1"/>
    <xf numFmtId="166" fontId="2" fillId="3" borderId="15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6" fontId="2" fillId="3" borderId="19" xfId="0" applyNumberFormat="1" applyFont="1" applyFill="1" applyBorder="1" applyAlignment="1">
      <alignment horizontal="center" vertical="center" wrapText="1"/>
    </xf>
    <xf numFmtId="166" fontId="2" fillId="3" borderId="39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Continuous" vertical="center"/>
    </xf>
    <xf numFmtId="0" fontId="6" fillId="3" borderId="19" xfId="0" applyFont="1" applyFill="1" applyBorder="1" applyAlignment="1">
      <alignment horizontal="centerContinuous" vertical="center"/>
    </xf>
    <xf numFmtId="0" fontId="6" fillId="3" borderId="19" xfId="0" applyFont="1" applyFill="1" applyBorder="1" applyAlignment="1">
      <alignment horizontal="centerContinuous" vertical="center" wrapText="1"/>
    </xf>
    <xf numFmtId="0" fontId="2" fillId="3" borderId="23" xfId="0" applyFont="1" applyFill="1" applyBorder="1" applyAlignment="1">
      <alignment horizontal="centerContinuous" vertical="center" wrapText="1"/>
    </xf>
    <xf numFmtId="0" fontId="2" fillId="4" borderId="15" xfId="0" applyFont="1" applyFill="1" applyBorder="1" applyAlignment="1">
      <alignment horizontal="centerContinuous" vertical="center"/>
    </xf>
    <xf numFmtId="0" fontId="2" fillId="4" borderId="19" xfId="0" applyFont="1" applyFill="1" applyBorder="1" applyAlignment="1">
      <alignment horizontal="centerContinuous" vertical="center" wrapText="1"/>
    </xf>
    <xf numFmtId="0" fontId="2" fillId="7" borderId="39" xfId="0" applyFont="1" applyFill="1" applyBorder="1" applyAlignment="1">
      <alignment horizontal="centerContinuous" vertical="center" wrapText="1"/>
    </xf>
    <xf numFmtId="166" fontId="2" fillId="5" borderId="23" xfId="0" applyNumberFormat="1" applyFont="1" applyFill="1" applyBorder="1" applyAlignment="1">
      <alignment horizontal="centerContinuous" vertical="center" wrapText="1"/>
    </xf>
    <xf numFmtId="166" fontId="2" fillId="0" borderId="32" xfId="0" applyNumberFormat="1" applyFont="1" applyBorder="1" applyAlignment="1">
      <alignment wrapText="1"/>
    </xf>
    <xf numFmtId="166" fontId="2" fillId="0" borderId="51" xfId="0" applyNumberFormat="1" applyFont="1" applyBorder="1" applyAlignment="1">
      <alignment wrapText="1"/>
    </xf>
    <xf numFmtId="166" fontId="2" fillId="15" borderId="34" xfId="0" applyNumberFormat="1" applyFont="1" applyFill="1" applyBorder="1" applyAlignment="1">
      <alignment wrapText="1"/>
    </xf>
    <xf numFmtId="4" fontId="2" fillId="4" borderId="19" xfId="0" applyNumberFormat="1" applyFont="1" applyFill="1" applyBorder="1" applyAlignment="1">
      <alignment horizontal="centerContinuous" vertical="center" wrapText="1"/>
    </xf>
    <xf numFmtId="0" fontId="2" fillId="4" borderId="15" xfId="0" applyFont="1" applyFill="1" applyBorder="1" applyAlignment="1">
      <alignment horizontal="centerContinuous" vertical="center" wrapText="1"/>
    </xf>
    <xf numFmtId="0" fontId="2" fillId="9" borderId="19" xfId="0" applyFont="1" applyFill="1" applyBorder="1" applyAlignment="1">
      <alignment horizontal="centerContinuous" vertical="center" wrapText="1"/>
    </xf>
    <xf numFmtId="0" fontId="2" fillId="7" borderId="23" xfId="0" applyFont="1" applyFill="1" applyBorder="1" applyAlignment="1">
      <alignment horizontal="centerContinuous" vertical="center" wrapText="1"/>
    </xf>
    <xf numFmtId="0" fontId="2" fillId="5" borderId="48" xfId="0" applyFont="1" applyFill="1" applyBorder="1" applyAlignment="1">
      <alignment horizontal="centerContinuous" vertical="center" wrapText="1"/>
    </xf>
    <xf numFmtId="0" fontId="4" fillId="3" borderId="0" xfId="0" applyFont="1" applyFill="1"/>
    <xf numFmtId="166" fontId="2" fillId="10" borderId="15" xfId="0" applyNumberFormat="1" applyFont="1" applyFill="1" applyBorder="1" applyAlignment="1">
      <alignment horizontal="centerContinuous" vertical="center" wrapText="1"/>
    </xf>
    <xf numFmtId="166" fontId="2" fillId="10" borderId="19" xfId="0" applyNumberFormat="1" applyFont="1" applyFill="1" applyBorder="1" applyAlignment="1">
      <alignment horizontal="centerContinuous" vertical="center" wrapText="1"/>
    </xf>
    <xf numFmtId="166" fontId="2" fillId="20" borderId="19" xfId="0" applyNumberFormat="1" applyFont="1" applyFill="1" applyBorder="1" applyAlignment="1">
      <alignment horizontal="centerContinuous" vertical="center" wrapText="1"/>
    </xf>
    <xf numFmtId="166" fontId="2" fillId="10" borderId="39" xfId="0" applyNumberFormat="1" applyFont="1" applyFill="1" applyBorder="1" applyAlignment="1">
      <alignment horizontal="centerContinuous" vertical="center" wrapText="1"/>
    </xf>
    <xf numFmtId="166" fontId="2" fillId="10" borderId="23" xfId="0" applyNumberFormat="1" applyFont="1" applyFill="1" applyBorder="1" applyAlignment="1">
      <alignment horizontal="centerContinuous" vertical="center" wrapText="1"/>
    </xf>
    <xf numFmtId="164" fontId="0" fillId="5" borderId="33" xfId="2" applyNumberFormat="1" applyFont="1" applyFill="1" applyBorder="1" applyAlignment="1">
      <alignment horizontal="center"/>
    </xf>
    <xf numFmtId="164" fontId="0" fillId="5" borderId="36" xfId="2" applyNumberFormat="1" applyFont="1" applyFill="1" applyBorder="1" applyAlignment="1">
      <alignment horizontal="center"/>
    </xf>
    <xf numFmtId="164" fontId="0" fillId="22" borderId="33" xfId="2" applyNumberFormat="1" applyFont="1" applyFill="1" applyBorder="1" applyAlignment="1">
      <alignment horizontal="center"/>
    </xf>
    <xf numFmtId="166" fontId="1" fillId="15" borderId="34" xfId="0" applyNumberFormat="1" applyFont="1" applyFill="1" applyBorder="1" applyAlignment="1">
      <alignment vertical="center"/>
    </xf>
    <xf numFmtId="166" fontId="1" fillId="15" borderId="35" xfId="0" applyNumberFormat="1" applyFont="1" applyFill="1" applyBorder="1" applyAlignment="1">
      <alignment horizontal="center" vertical="center"/>
    </xf>
    <xf numFmtId="166" fontId="0" fillId="15" borderId="35" xfId="0" applyNumberFormat="1" applyFill="1" applyBorder="1" applyAlignment="1">
      <alignment horizontal="center" vertical="center"/>
    </xf>
    <xf numFmtId="164" fontId="0" fillId="15" borderId="36" xfId="2" applyNumberFormat="1" applyFont="1" applyFill="1" applyBorder="1" applyAlignment="1">
      <alignment horizontal="center"/>
    </xf>
    <xf numFmtId="166" fontId="2" fillId="22" borderId="23" xfId="0" applyNumberFormat="1" applyFont="1" applyFill="1" applyBorder="1" applyAlignment="1">
      <alignment horizontal="centerContinuous" vertical="center" wrapText="1"/>
    </xf>
    <xf numFmtId="165" fontId="1" fillId="15" borderId="35" xfId="0" applyNumberFormat="1" applyFont="1" applyFill="1" applyBorder="1" applyAlignment="1">
      <alignment horizontal="center" vertical="center"/>
    </xf>
    <xf numFmtId="165" fontId="0" fillId="15" borderId="35" xfId="0" applyNumberFormat="1" applyFill="1" applyBorder="1" applyAlignment="1">
      <alignment horizontal="center" vertical="center"/>
    </xf>
    <xf numFmtId="165" fontId="0" fillId="20" borderId="37" xfId="0" applyNumberFormat="1" applyFill="1" applyBorder="1" applyAlignment="1">
      <alignment horizontal="center" vertical="center"/>
    </xf>
    <xf numFmtId="165" fontId="0" fillId="15" borderId="35" xfId="0" applyNumberFormat="1" applyFill="1" applyBorder="1" applyAlignment="1">
      <alignment horizontal="center"/>
    </xf>
    <xf numFmtId="2" fontId="2" fillId="7" borderId="19" xfId="0" applyNumberFormat="1" applyFont="1" applyFill="1" applyBorder="1" applyAlignment="1">
      <alignment horizontal="centerContinuous" vertical="center" wrapText="1"/>
    </xf>
    <xf numFmtId="2" fontId="2" fillId="18" borderId="19" xfId="0" applyNumberFormat="1" applyFont="1" applyFill="1" applyBorder="1" applyAlignment="1">
      <alignment horizontal="centerContinuous" vertical="center" wrapText="1"/>
    </xf>
    <xf numFmtId="2" fontId="2" fillId="7" borderId="23" xfId="0" applyNumberFormat="1" applyFont="1" applyFill="1" applyBorder="1" applyAlignment="1">
      <alignment horizontal="centerContinuous" vertical="center" wrapText="1"/>
    </xf>
    <xf numFmtId="0" fontId="4" fillId="11" borderId="0" xfId="0" applyFont="1" applyFill="1"/>
    <xf numFmtId="0" fontId="2" fillId="11" borderId="0" xfId="0" applyFont="1" applyFill="1"/>
    <xf numFmtId="0" fontId="4" fillId="11" borderId="0" xfId="0" applyFont="1" applyFill="1" applyBorder="1"/>
    <xf numFmtId="0" fontId="0" fillId="11" borderId="0" xfId="0" applyFill="1"/>
    <xf numFmtId="0" fontId="2" fillId="0" borderId="15" xfId="0" applyFont="1" applyBorder="1" applyAlignment="1">
      <alignment horizontal="centerContinuous" vertical="center"/>
    </xf>
    <xf numFmtId="0" fontId="2" fillId="3" borderId="19" xfId="0" applyFont="1" applyFill="1" applyBorder="1" applyAlignment="1">
      <alignment horizontal="centerContinuous" vertical="center" wrapText="1"/>
    </xf>
    <xf numFmtId="0" fontId="2" fillId="0" borderId="19" xfId="0" applyFont="1" applyBorder="1" applyAlignment="1">
      <alignment horizontal="centerContinuous" vertical="center" wrapText="1"/>
    </xf>
    <xf numFmtId="0" fontId="2" fillId="0" borderId="23" xfId="0" applyFont="1" applyFill="1" applyBorder="1" applyAlignment="1">
      <alignment horizontal="centerContinuous" vertical="center" wrapText="1"/>
    </xf>
    <xf numFmtId="0" fontId="2" fillId="0" borderId="19" xfId="0" applyFont="1" applyFill="1" applyBorder="1" applyAlignment="1">
      <alignment horizontal="centerContinuous" vertical="center" wrapText="1"/>
    </xf>
    <xf numFmtId="0" fontId="2" fillId="6" borderId="19" xfId="0" applyFont="1" applyFill="1" applyBorder="1" applyAlignment="1">
      <alignment horizontal="centerContinuous" vertical="center" wrapText="1"/>
    </xf>
    <xf numFmtId="0" fontId="2" fillId="5" borderId="23" xfId="0" applyFont="1" applyFill="1" applyBorder="1" applyAlignment="1">
      <alignment horizontal="centerContinuous" vertical="center" wrapText="1"/>
    </xf>
    <xf numFmtId="3" fontId="0" fillId="3" borderId="28" xfId="0" applyNumberFormat="1" applyFill="1" applyBorder="1"/>
    <xf numFmtId="0" fontId="2" fillId="7" borderId="19" xfId="0" applyFont="1" applyFill="1" applyBorder="1" applyAlignment="1">
      <alignment horizontal="centerContinuous" vertical="center" wrapText="1"/>
    </xf>
    <xf numFmtId="166" fontId="2" fillId="10" borderId="11" xfId="0" applyNumberFormat="1" applyFont="1" applyFill="1" applyBorder="1" applyAlignment="1">
      <alignment horizontal="centerContinuous" vertical="center" wrapText="1"/>
    </xf>
    <xf numFmtId="166" fontId="2" fillId="10" borderId="16" xfId="0" applyNumberFormat="1" applyFont="1" applyFill="1" applyBorder="1" applyAlignment="1">
      <alignment horizontal="centerContinuous" vertical="center" wrapText="1"/>
    </xf>
    <xf numFmtId="2" fontId="2" fillId="4" borderId="19" xfId="0" applyNumberFormat="1" applyFont="1" applyFill="1" applyBorder="1" applyAlignment="1">
      <alignment horizontal="centerContinuous" vertical="center" wrapText="1"/>
    </xf>
    <xf numFmtId="0" fontId="2" fillId="3" borderId="15" xfId="0" applyFont="1" applyFill="1" applyBorder="1" applyAlignment="1">
      <alignment horizontal="centerContinuous" vertical="center" wrapText="1"/>
    </xf>
    <xf numFmtId="0" fontId="2" fillId="9" borderId="23" xfId="0" applyFont="1" applyFill="1" applyBorder="1" applyAlignment="1">
      <alignment horizontal="centerContinuous" vertical="center" wrapText="1"/>
    </xf>
    <xf numFmtId="166" fontId="2" fillId="5" borderId="48" xfId="0" applyNumberFormat="1" applyFont="1" applyFill="1" applyBorder="1" applyAlignment="1">
      <alignment horizontal="centerContinuous" vertical="center" wrapText="1"/>
    </xf>
    <xf numFmtId="0" fontId="2" fillId="11" borderId="0" xfId="0" applyFont="1" applyFill="1" applyBorder="1" applyAlignment="1">
      <alignment horizontal="left"/>
    </xf>
    <xf numFmtId="165" fontId="2" fillId="18" borderId="28" xfId="0" applyNumberFormat="1" applyFont="1" applyFill="1" applyBorder="1" applyAlignment="1">
      <alignment horizontal="center"/>
    </xf>
    <xf numFmtId="0" fontId="2" fillId="0" borderId="67" xfId="0" applyFont="1" applyBorder="1" applyAlignment="1">
      <alignment horizontal="centerContinuous" vertical="center" wrapText="1"/>
    </xf>
    <xf numFmtId="0" fontId="2" fillId="3" borderId="67" xfId="0" applyFont="1" applyFill="1" applyBorder="1" applyAlignment="1">
      <alignment horizontal="centerContinuous" vertical="center" wrapText="1"/>
    </xf>
    <xf numFmtId="0" fontId="2" fillId="4" borderId="67" xfId="0" applyFont="1" applyFill="1" applyBorder="1" applyAlignment="1">
      <alignment horizontal="centerContinuous" vertical="center" wrapText="1"/>
    </xf>
    <xf numFmtId="0" fontId="2" fillId="5" borderId="67" xfId="0" applyFont="1" applyFill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" vertical="top" wrapText="1"/>
    </xf>
    <xf numFmtId="0" fontId="2" fillId="7" borderId="41" xfId="0" applyFont="1" applyFill="1" applyBorder="1" applyAlignment="1">
      <alignment horizontal="centerContinuous" vertical="center" wrapText="1"/>
    </xf>
    <xf numFmtId="164" fontId="0" fillId="0" borderId="28" xfId="0" applyNumberFormat="1" applyBorder="1" applyAlignment="1">
      <alignment horizontal="center"/>
    </xf>
    <xf numFmtId="166" fontId="0" fillId="20" borderId="28" xfId="0" applyNumberFormat="1" applyFill="1" applyBorder="1" applyAlignment="1">
      <alignment horizontal="center"/>
    </xf>
    <xf numFmtId="10" fontId="0" fillId="0" borderId="28" xfId="0" applyNumberFormat="1" applyBorder="1" applyAlignment="1">
      <alignment horizontal="center"/>
    </xf>
    <xf numFmtId="166" fontId="0" fillId="0" borderId="33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0" fontId="0" fillId="0" borderId="37" xfId="0" applyNumberFormat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15" borderId="35" xfId="0" applyFill="1" applyBorder="1" applyAlignment="1">
      <alignment horizontal="center"/>
    </xf>
    <xf numFmtId="0" fontId="2" fillId="15" borderId="34" xfId="0" applyFont="1" applyFill="1" applyBorder="1"/>
    <xf numFmtId="166" fontId="0" fillId="15" borderId="36" xfId="0" applyNumberFormat="1" applyFill="1" applyBorder="1" applyAlignment="1">
      <alignment horizontal="center"/>
    </xf>
    <xf numFmtId="166" fontId="2" fillId="15" borderId="34" xfId="0" applyNumberFormat="1" applyFont="1" applyFill="1" applyBorder="1" applyAlignment="1">
      <alignment vertical="center"/>
    </xf>
    <xf numFmtId="165" fontId="0" fillId="20" borderId="28" xfId="0" applyNumberFormat="1" applyFill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1" xfId="0" applyNumberFormat="1" applyFill="1" applyBorder="1" applyAlignment="1">
      <alignment horizontal="center"/>
    </xf>
    <xf numFmtId="164" fontId="0" fillId="0" borderId="52" xfId="0" applyNumberFormat="1" applyFill="1" applyBorder="1" applyAlignment="1">
      <alignment horizontal="center"/>
    </xf>
    <xf numFmtId="166" fontId="0" fillId="9" borderId="28" xfId="0" applyNumberFormat="1" applyFill="1" applyBorder="1" applyAlignment="1">
      <alignment horizontal="center" vertical="center"/>
    </xf>
    <xf numFmtId="166" fontId="0" fillId="7" borderId="33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0" fillId="0" borderId="28" xfId="0" applyNumberFormat="1" applyBorder="1" applyAlignment="1">
      <alignment horizontal="center"/>
    </xf>
    <xf numFmtId="167" fontId="0" fillId="0" borderId="28" xfId="0" applyNumberFormat="1" applyBorder="1" applyAlignment="1">
      <alignment horizontal="center"/>
    </xf>
    <xf numFmtId="165" fontId="0" fillId="0" borderId="33" xfId="0" applyNumberFormat="1" applyBorder="1" applyAlignment="1">
      <alignment horizontal="center"/>
    </xf>
    <xf numFmtId="4" fontId="0" fillId="7" borderId="35" xfId="0" applyNumberFormat="1" applyFill="1" applyBorder="1" applyAlignment="1">
      <alignment horizontal="center"/>
    </xf>
    <xf numFmtId="164" fontId="0" fillId="7" borderId="35" xfId="0" applyNumberFormat="1" applyFill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168" fontId="0" fillId="0" borderId="28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 wrapText="1"/>
    </xf>
    <xf numFmtId="164" fontId="0" fillId="0" borderId="37" xfId="0" applyNumberFormat="1" applyBorder="1" applyAlignment="1">
      <alignment horizontal="center" wrapText="1"/>
    </xf>
    <xf numFmtId="3" fontId="0" fillId="15" borderId="35" xfId="0" applyNumberFormat="1" applyFill="1" applyBorder="1" applyAlignment="1">
      <alignment horizontal="center"/>
    </xf>
    <xf numFmtId="168" fontId="0" fillId="19" borderId="35" xfId="0" applyNumberFormat="1" applyFill="1" applyBorder="1" applyAlignment="1">
      <alignment horizontal="center"/>
    </xf>
    <xf numFmtId="164" fontId="0" fillId="15" borderId="35" xfId="0" applyNumberFormat="1" applyFill="1" applyBorder="1" applyAlignment="1">
      <alignment horizontal="center"/>
    </xf>
    <xf numFmtId="166" fontId="0" fillId="15" borderId="40" xfId="0" applyNumberFormat="1" applyFill="1" applyBorder="1" applyAlignment="1">
      <alignment horizontal="center"/>
    </xf>
    <xf numFmtId="165" fontId="0" fillId="15" borderId="36" xfId="0" applyNumberFormat="1" applyFill="1" applyBorder="1" applyAlignment="1">
      <alignment horizontal="center"/>
    </xf>
    <xf numFmtId="4" fontId="0" fillId="7" borderId="31" xfId="0" applyNumberFormat="1" applyFill="1" applyBorder="1" applyAlignment="1">
      <alignment horizontal="center"/>
    </xf>
    <xf numFmtId="4" fontId="1" fillId="0" borderId="28" xfId="0" applyNumberFormat="1" applyFont="1" applyBorder="1" applyAlignment="1">
      <alignment horizontal="center"/>
    </xf>
    <xf numFmtId="167" fontId="0" fillId="7" borderId="35" xfId="0" applyNumberFormat="1" applyFill="1" applyBorder="1" applyAlignment="1">
      <alignment horizontal="center"/>
    </xf>
    <xf numFmtId="166" fontId="0" fillId="9" borderId="33" xfId="0" applyNumberFormat="1" applyFill="1" applyBorder="1" applyAlignment="1">
      <alignment horizontal="center"/>
    </xf>
    <xf numFmtId="166" fontId="0" fillId="5" borderId="2" xfId="0" applyNumberFormat="1" applyFill="1" applyBorder="1" applyAlignment="1">
      <alignment horizontal="center"/>
    </xf>
    <xf numFmtId="166" fontId="0" fillId="7" borderId="5" xfId="0" applyNumberFormat="1" applyFill="1" applyBorder="1" applyAlignment="1">
      <alignment horizontal="center"/>
    </xf>
    <xf numFmtId="166" fontId="1" fillId="0" borderId="37" xfId="0" applyNumberFormat="1" applyFon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8" xfId="0" applyNumberFormat="1" applyBorder="1" applyAlignment="1">
      <alignment horizontal="center" vertical="top" wrapText="1"/>
    </xf>
    <xf numFmtId="166" fontId="0" fillId="7" borderId="28" xfId="0" applyNumberFormat="1" applyFill="1" applyBorder="1" applyAlignment="1">
      <alignment horizontal="center"/>
    </xf>
    <xf numFmtId="166" fontId="1" fillId="5" borderId="33" xfId="0" applyNumberFormat="1" applyFont="1" applyFill="1" applyBorder="1" applyAlignment="1">
      <alignment horizontal="center"/>
    </xf>
    <xf numFmtId="2" fontId="0" fillId="7" borderId="35" xfId="0" applyNumberFormat="1" applyFill="1" applyBorder="1" applyAlignment="1">
      <alignment horizontal="center"/>
    </xf>
    <xf numFmtId="2" fontId="0" fillId="7" borderId="35" xfId="0" applyNumberFormat="1" applyFill="1" applyBorder="1" applyAlignment="1">
      <alignment horizontal="center" vertical="top" wrapText="1"/>
    </xf>
    <xf numFmtId="166" fontId="1" fillId="7" borderId="36" xfId="0" applyNumberFormat="1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165" fontId="0" fillId="3" borderId="28" xfId="0" applyNumberFormat="1" applyFill="1" applyBorder="1" applyAlignment="1">
      <alignment horizontal="center"/>
    </xf>
    <xf numFmtId="166" fontId="0" fillId="6" borderId="28" xfId="0" applyNumberFormat="1" applyFill="1" applyBorder="1" applyAlignment="1">
      <alignment horizontal="center"/>
    </xf>
    <xf numFmtId="3" fontId="0" fillId="3" borderId="28" xfId="0" applyNumberForma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9" fontId="0" fillId="3" borderId="37" xfId="0" applyNumberForma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0" fillId="4" borderId="59" xfId="0" applyFill="1" applyBorder="1" applyAlignment="1">
      <alignment horizontal="center"/>
    </xf>
    <xf numFmtId="0" fontId="0" fillId="5" borderId="60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3" fontId="0" fillId="5" borderId="33" xfId="0" applyNumberFormat="1" applyFill="1" applyBorder="1" applyAlignment="1">
      <alignment horizontal="center"/>
    </xf>
    <xf numFmtId="166" fontId="0" fillId="4" borderId="28" xfId="0" applyNumberFormat="1" applyFill="1" applyBorder="1" applyAlignment="1">
      <alignment horizontal="center"/>
    </xf>
    <xf numFmtId="9" fontId="0" fillId="3" borderId="28" xfId="0" applyNumberFormat="1" applyFill="1" applyBorder="1" applyAlignment="1">
      <alignment horizontal="center"/>
    </xf>
    <xf numFmtId="165" fontId="0" fillId="5" borderId="33" xfId="0" applyNumberForma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66" fontId="0" fillId="3" borderId="33" xfId="0" applyNumberFormat="1" applyFill="1" applyBorder="1" applyAlignment="1">
      <alignment horizontal="center" vertical="top" wrapText="1"/>
    </xf>
    <xf numFmtId="4" fontId="0" fillId="3" borderId="35" xfId="0" applyNumberFormat="1" applyFill="1" applyBorder="1" applyAlignment="1">
      <alignment horizontal="center"/>
    </xf>
    <xf numFmtId="167" fontId="0" fillId="3" borderId="35" xfId="0" applyNumberFormat="1" applyFill="1" applyBorder="1" applyAlignment="1">
      <alignment horizontal="center"/>
    </xf>
    <xf numFmtId="10" fontId="0" fillId="3" borderId="35" xfId="0" applyNumberFormat="1" applyFill="1" applyBorder="1" applyAlignment="1">
      <alignment horizontal="center"/>
    </xf>
    <xf numFmtId="166" fontId="0" fillId="3" borderId="36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6" fontId="0" fillId="9" borderId="31" xfId="0" applyNumberFormat="1" applyFill="1" applyBorder="1" applyAlignment="1">
      <alignment horizontal="center"/>
    </xf>
    <xf numFmtId="166" fontId="0" fillId="7" borderId="37" xfId="0" applyNumberFormat="1" applyFill="1" applyBorder="1" applyAlignment="1">
      <alignment horizontal="center"/>
    </xf>
    <xf numFmtId="166" fontId="1" fillId="9" borderId="52" xfId="0" applyNumberFormat="1" applyFont="1" applyFill="1" applyBorder="1" applyAlignment="1">
      <alignment horizontal="center"/>
    </xf>
    <xf numFmtId="0" fontId="0" fillId="9" borderId="40" xfId="0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66" fontId="0" fillId="20" borderId="39" xfId="0" applyNumberFormat="1" applyFill="1" applyBorder="1" applyAlignment="1">
      <alignment horizontal="center"/>
    </xf>
    <xf numFmtId="164" fontId="0" fillId="0" borderId="28" xfId="0" applyNumberFormat="1" applyFill="1" applyBorder="1" applyAlignment="1">
      <alignment horizontal="center"/>
    </xf>
    <xf numFmtId="166" fontId="0" fillId="10" borderId="33" xfId="0" applyNumberFormat="1" applyFill="1" applyBorder="1" applyAlignment="1">
      <alignment horizontal="center"/>
    </xf>
    <xf numFmtId="166" fontId="0" fillId="20" borderId="31" xfId="0" applyNumberFormat="1" applyFill="1" applyBorder="1" applyAlignment="1">
      <alignment horizontal="center"/>
    </xf>
    <xf numFmtId="166" fontId="0" fillId="20" borderId="40" xfId="0" applyNumberFormat="1" applyFill="1" applyBorder="1" applyAlignment="1">
      <alignment horizontal="center"/>
    </xf>
    <xf numFmtId="3" fontId="0" fillId="2" borderId="63" xfId="0" applyNumberFormat="1" applyFill="1" applyBorder="1" applyAlignment="1">
      <alignment horizontal="center"/>
    </xf>
    <xf numFmtId="3" fontId="0" fillId="0" borderId="59" xfId="0" applyNumberFormat="1" applyFill="1" applyBorder="1" applyAlignment="1">
      <alignment horizontal="center"/>
    </xf>
    <xf numFmtId="3" fontId="0" fillId="2" borderId="46" xfId="0" applyNumberFormat="1" applyFill="1" applyBorder="1" applyAlignment="1">
      <alignment horizontal="center"/>
    </xf>
    <xf numFmtId="0" fontId="0" fillId="8" borderId="59" xfId="0" applyFill="1" applyBorder="1" applyAlignment="1">
      <alignment horizontal="center"/>
    </xf>
    <xf numFmtId="3" fontId="0" fillId="5" borderId="60" xfId="0" applyNumberFormat="1" applyFill="1" applyBorder="1" applyAlignment="1">
      <alignment horizontal="center"/>
    </xf>
    <xf numFmtId="3" fontId="0" fillId="2" borderId="32" xfId="0" applyNumberFormat="1" applyFill="1" applyBorder="1" applyAlignment="1">
      <alignment horizontal="center"/>
    </xf>
    <xf numFmtId="3" fontId="0" fillId="0" borderId="28" xfId="0" applyNumberFormat="1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166" fontId="0" fillId="8" borderId="28" xfId="0" applyNumberFormat="1" applyFill="1" applyBorder="1" applyAlignment="1">
      <alignment horizontal="center"/>
    </xf>
    <xf numFmtId="166" fontId="0" fillId="3" borderId="62" xfId="0" applyNumberFormat="1" applyFill="1" applyBorder="1" applyAlignment="1">
      <alignment horizontal="center"/>
    </xf>
    <xf numFmtId="166" fontId="0" fillId="3" borderId="46" xfId="0" applyNumberFormat="1" applyFill="1" applyBorder="1" applyAlignment="1">
      <alignment horizontal="center"/>
    </xf>
    <xf numFmtId="166" fontId="0" fillId="3" borderId="57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3" fontId="0" fillId="2" borderId="57" xfId="0" applyNumberFormat="1" applyFill="1" applyBorder="1" applyAlignment="1">
      <alignment horizontal="center"/>
    </xf>
    <xf numFmtId="9" fontId="0" fillId="2" borderId="46" xfId="0" applyNumberForma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165" fontId="0" fillId="5" borderId="36" xfId="0" applyNumberFormat="1" applyFill="1" applyBorder="1" applyAlignment="1">
      <alignment horizontal="center"/>
    </xf>
    <xf numFmtId="2" fontId="2" fillId="3" borderId="29" xfId="0" applyNumberFormat="1" applyFont="1" applyFill="1" applyBorder="1" applyAlignment="1">
      <alignment horizontal="centerContinuous" vertical="center" wrapText="1"/>
    </xf>
    <xf numFmtId="167" fontId="2" fillId="3" borderId="29" xfId="0" applyNumberFormat="1" applyFont="1" applyFill="1" applyBorder="1" applyAlignment="1">
      <alignment horizontal="centerContinuous" vertical="center" wrapText="1"/>
    </xf>
    <xf numFmtId="0" fontId="2" fillId="3" borderId="30" xfId="0" applyFont="1" applyFill="1" applyBorder="1" applyAlignment="1">
      <alignment horizontal="centerContinuous" vertical="center" wrapText="1"/>
    </xf>
    <xf numFmtId="4" fontId="0" fillId="0" borderId="19" xfId="0" applyNumberForma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66" fontId="0" fillId="3" borderId="23" xfId="0" applyNumberFormat="1" applyFill="1" applyBorder="1" applyAlignment="1">
      <alignment horizontal="center"/>
    </xf>
    <xf numFmtId="166" fontId="0" fillId="3" borderId="33" xfId="0" applyNumberFormat="1" applyFill="1" applyBorder="1" applyAlignment="1">
      <alignment horizontal="center"/>
    </xf>
    <xf numFmtId="10" fontId="0" fillId="7" borderId="35" xfId="0" applyNumberFormat="1" applyFill="1" applyBorder="1" applyAlignment="1">
      <alignment horizontal="center"/>
    </xf>
    <xf numFmtId="0" fontId="2" fillId="3" borderId="48" xfId="0" applyFont="1" applyFill="1" applyBorder="1" applyAlignment="1">
      <alignment horizontal="centerContinuous" vertical="center" wrapText="1"/>
    </xf>
    <xf numFmtId="168" fontId="1" fillId="0" borderId="28" xfId="0" applyNumberFormat="1" applyFont="1" applyBorder="1" applyAlignment="1">
      <alignment horizontal="center"/>
    </xf>
    <xf numFmtId="166" fontId="0" fillId="0" borderId="38" xfId="0" applyNumberFormat="1" applyBorder="1" applyAlignment="1">
      <alignment horizontal="center"/>
    </xf>
    <xf numFmtId="0" fontId="0" fillId="7" borderId="65" xfId="0" applyFill="1" applyBorder="1" applyAlignment="1">
      <alignment horizontal="center"/>
    </xf>
    <xf numFmtId="168" fontId="0" fillId="7" borderId="35" xfId="0" applyNumberFormat="1" applyFill="1" applyBorder="1" applyAlignment="1">
      <alignment horizontal="center"/>
    </xf>
    <xf numFmtId="164" fontId="0" fillId="7" borderId="65" xfId="0" applyNumberFormat="1" applyFill="1" applyBorder="1" applyAlignment="1">
      <alignment horizontal="center"/>
    </xf>
    <xf numFmtId="166" fontId="0" fillId="7" borderId="33" xfId="0" applyNumberForma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6" fontId="0" fillId="5" borderId="5" xfId="0" applyNumberFormat="1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164" fontId="0" fillId="7" borderId="20" xfId="0" applyNumberFormat="1" applyFill="1" applyBorder="1" applyAlignment="1">
      <alignment horizontal="center"/>
    </xf>
    <xf numFmtId="166" fontId="0" fillId="7" borderId="20" xfId="0" applyNumberFormat="1" applyFill="1" applyBorder="1" applyAlignment="1">
      <alignment horizontal="center"/>
    </xf>
    <xf numFmtId="166" fontId="0" fillId="5" borderId="50" xfId="0" applyNumberFormat="1" applyFill="1" applyBorder="1" applyAlignment="1">
      <alignment horizontal="center"/>
    </xf>
    <xf numFmtId="166" fontId="0" fillId="11" borderId="28" xfId="0" applyNumberFormat="1" applyFill="1" applyBorder="1" applyAlignment="1">
      <alignment horizontal="center"/>
    </xf>
    <xf numFmtId="166" fontId="0" fillId="11" borderId="35" xfId="0" applyNumberFormat="1" applyFill="1" applyBorder="1" applyAlignment="1">
      <alignment horizontal="center"/>
    </xf>
    <xf numFmtId="0" fontId="2" fillId="4" borderId="39" xfId="0" applyFont="1" applyFill="1" applyBorder="1" applyAlignment="1">
      <alignment horizontal="centerContinuous" vertical="center" wrapText="1"/>
    </xf>
    <xf numFmtId="0" fontId="2" fillId="4" borderId="41" xfId="0" applyFont="1" applyFill="1" applyBorder="1" applyAlignment="1">
      <alignment horizontal="centerContinuous" vertical="center" wrapText="1"/>
    </xf>
    <xf numFmtId="166" fontId="0" fillId="9" borderId="28" xfId="0" applyNumberForma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0" fillId="9" borderId="37" xfId="0" applyNumberFormat="1" applyFill="1" applyBorder="1" applyAlignment="1">
      <alignment horizontal="center"/>
    </xf>
    <xf numFmtId="166" fontId="0" fillId="0" borderId="43" xfId="0" applyNumberFormat="1" applyFont="1" applyBorder="1" applyAlignment="1">
      <alignment horizontal="center"/>
    </xf>
    <xf numFmtId="166" fontId="0" fillId="5" borderId="4" xfId="0" applyNumberFormat="1" applyFill="1" applyBorder="1" applyAlignment="1">
      <alignment horizontal="center"/>
    </xf>
    <xf numFmtId="166" fontId="1" fillId="7" borderId="22" xfId="0" applyNumberFormat="1" applyFon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166" fontId="1" fillId="7" borderId="44" xfId="0" applyNumberFormat="1" applyFont="1" applyFill="1" applyBorder="1" applyAlignment="1">
      <alignment horizontal="center"/>
    </xf>
    <xf numFmtId="166" fontId="1" fillId="7" borderId="21" xfId="0" applyNumberFormat="1" applyFont="1" applyFill="1" applyBorder="1" applyAlignment="1">
      <alignment horizontal="center"/>
    </xf>
    <xf numFmtId="166" fontId="0" fillId="5" borderId="21" xfId="0" applyNumberFormat="1" applyFill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2" fontId="0" fillId="10" borderId="33" xfId="0" applyNumberFormat="1" applyFill="1" applyBorder="1" applyAlignment="1">
      <alignment horizontal="center"/>
    </xf>
    <xf numFmtId="0" fontId="5" fillId="11" borderId="0" xfId="0" applyFont="1" applyFill="1"/>
    <xf numFmtId="0" fontId="0" fillId="6" borderId="59" xfId="0" applyFill="1" applyBorder="1" applyAlignment="1">
      <alignment horizontal="center"/>
    </xf>
    <xf numFmtId="1" fontId="0" fillId="3" borderId="28" xfId="0" applyNumberFormat="1" applyFill="1" applyBorder="1" applyAlignment="1">
      <alignment horizontal="center"/>
    </xf>
    <xf numFmtId="1" fontId="0" fillId="5" borderId="33" xfId="0" applyNumberFormat="1" applyFill="1" applyBorder="1" applyAlignment="1">
      <alignment horizontal="center"/>
    </xf>
    <xf numFmtId="166" fontId="0" fillId="15" borderId="5" xfId="0" applyNumberFormat="1" applyFill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2" fillId="4" borderId="11" xfId="0" applyFont="1" applyFill="1" applyBorder="1" applyAlignment="1">
      <alignment horizontal="centerContinuous" vertical="center" wrapText="1"/>
    </xf>
    <xf numFmtId="2" fontId="2" fillId="3" borderId="19" xfId="0" applyNumberFormat="1" applyFont="1" applyFill="1" applyBorder="1" applyAlignment="1">
      <alignment horizontal="centerContinuous" vertical="center" wrapText="1"/>
    </xf>
    <xf numFmtId="167" fontId="2" fillId="3" borderId="19" xfId="0" applyNumberFormat="1" applyFont="1" applyFill="1" applyBorder="1" applyAlignment="1">
      <alignment horizontal="centerContinuous" vertical="center" wrapText="1"/>
    </xf>
    <xf numFmtId="0" fontId="0" fillId="7" borderId="36" xfId="0" applyFill="1" applyBorder="1" applyAlignment="1">
      <alignment horizontal="center"/>
    </xf>
    <xf numFmtId="2" fontId="2" fillId="7" borderId="35" xfId="0" applyNumberFormat="1" applyFont="1" applyFill="1" applyBorder="1" applyAlignment="1">
      <alignment horizontal="center"/>
    </xf>
    <xf numFmtId="167" fontId="2" fillId="7" borderId="35" xfId="0" applyNumberFormat="1" applyFont="1" applyFill="1" applyBorder="1" applyAlignment="1">
      <alignment horizontal="center"/>
    </xf>
    <xf numFmtId="10" fontId="2" fillId="7" borderId="35" xfId="0" applyNumberFormat="1" applyFont="1" applyFill="1" applyBorder="1" applyAlignment="1">
      <alignment horizontal="center"/>
    </xf>
    <xf numFmtId="0" fontId="2" fillId="7" borderId="36" xfId="0" applyFont="1" applyFill="1" applyBorder="1" applyAlignment="1">
      <alignment horizontal="center"/>
    </xf>
    <xf numFmtId="10" fontId="0" fillId="0" borderId="33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68" fontId="0" fillId="0" borderId="35" xfId="0" applyNumberFormat="1" applyBorder="1" applyAlignment="1">
      <alignment horizontal="center"/>
    </xf>
    <xf numFmtId="10" fontId="0" fillId="0" borderId="36" xfId="0" applyNumberFormat="1" applyBorder="1" applyAlignment="1">
      <alignment horizontal="center"/>
    </xf>
    <xf numFmtId="0" fontId="6" fillId="3" borderId="15" xfId="0" applyFont="1" applyFill="1" applyBorder="1" applyAlignment="1">
      <alignment horizontal="centerContinuous" vertical="center" wrapText="1"/>
    </xf>
    <xf numFmtId="0" fontId="6" fillId="3" borderId="23" xfId="0" applyFont="1" applyFill="1" applyBorder="1" applyAlignment="1">
      <alignment horizontal="centerContinuous" vertical="center" wrapText="1"/>
    </xf>
    <xf numFmtId="166" fontId="2" fillId="7" borderId="72" xfId="0" applyNumberFormat="1" applyFont="1" applyFill="1" applyBorder="1" applyAlignment="1">
      <alignment horizontal="centerContinuous" vertical="center" wrapText="1"/>
    </xf>
    <xf numFmtId="166" fontId="2" fillId="7" borderId="11" xfId="0" applyNumberFormat="1" applyFont="1" applyFill="1" applyBorder="1" applyAlignment="1">
      <alignment horizontal="centerContinuous" vertical="center" wrapText="1"/>
    </xf>
    <xf numFmtId="166" fontId="2" fillId="20" borderId="11" xfId="0" applyNumberFormat="1" applyFont="1" applyFill="1" applyBorder="1" applyAlignment="1">
      <alignment horizontal="centerContinuous" vertical="center" wrapText="1"/>
    </xf>
    <xf numFmtId="164" fontId="0" fillId="5" borderId="23" xfId="2" applyNumberFormat="1" applyFont="1" applyFill="1" applyBorder="1" applyAlignment="1">
      <alignment horizontal="center"/>
    </xf>
    <xf numFmtId="164" fontId="0" fillId="5" borderId="17" xfId="2" applyNumberFormat="1" applyFont="1" applyFill="1" applyBorder="1" applyAlignment="1">
      <alignment horizontal="center"/>
    </xf>
    <xf numFmtId="0" fontId="2" fillId="0" borderId="37" xfId="0" applyFont="1" applyBorder="1" applyAlignment="1">
      <alignment horizontal="centerContinuous" vertical="center" wrapText="1"/>
    </xf>
    <xf numFmtId="0" fontId="2" fillId="3" borderId="37" xfId="0" applyFont="1" applyFill="1" applyBorder="1" applyAlignment="1">
      <alignment horizontal="centerContinuous" vertical="center" wrapText="1"/>
    </xf>
    <xf numFmtId="0" fontId="2" fillId="0" borderId="66" xfId="0" applyFont="1" applyBorder="1" applyAlignment="1">
      <alignment horizontal="centerContinuous" vertical="center" wrapText="1"/>
    </xf>
    <xf numFmtId="0" fontId="2" fillId="4" borderId="66" xfId="0" applyFont="1" applyFill="1" applyBorder="1" applyAlignment="1">
      <alignment horizontal="centerContinuous" vertical="center" wrapText="1"/>
    </xf>
    <xf numFmtId="0" fontId="2" fillId="5" borderId="66" xfId="0" applyFont="1" applyFill="1" applyBorder="1" applyAlignment="1">
      <alignment horizontal="centerContinuous" vertical="center" wrapText="1"/>
    </xf>
    <xf numFmtId="166" fontId="2" fillId="15" borderId="34" xfId="0" applyNumberFormat="1" applyFont="1" applyFill="1" applyBorder="1"/>
    <xf numFmtId="0" fontId="0" fillId="15" borderId="40" xfId="0" applyFill="1" applyBorder="1" applyAlignment="1">
      <alignment horizontal="center"/>
    </xf>
    <xf numFmtId="0" fontId="2" fillId="19" borderId="34" xfId="0" applyFont="1" applyFill="1" applyBorder="1"/>
    <xf numFmtId="165" fontId="0" fillId="19" borderId="35" xfId="0" applyNumberFormat="1" applyFill="1" applyBorder="1" applyAlignment="1">
      <alignment horizontal="center" vertical="center"/>
    </xf>
    <xf numFmtId="166" fontId="0" fillId="19" borderId="35" xfId="0" applyNumberFormat="1" applyFill="1" applyBorder="1" applyAlignment="1">
      <alignment horizontal="center" vertical="center"/>
    </xf>
    <xf numFmtId="165" fontId="0" fillId="19" borderId="36" xfId="0" applyNumberFormat="1" applyFill="1" applyBorder="1" applyAlignment="1">
      <alignment horizontal="center" vertical="center"/>
    </xf>
    <xf numFmtId="165" fontId="0" fillId="19" borderId="5" xfId="0" applyNumberFormat="1" applyFill="1" applyBorder="1" applyAlignment="1">
      <alignment horizontal="center" vertical="center"/>
    </xf>
    <xf numFmtId="4" fontId="0" fillId="19" borderId="35" xfId="0" applyNumberFormat="1" applyFill="1" applyBorder="1" applyAlignment="1">
      <alignment horizontal="center"/>
    </xf>
    <xf numFmtId="164" fontId="0" fillId="19" borderId="35" xfId="0" applyNumberFormat="1" applyFill="1" applyBorder="1" applyAlignment="1">
      <alignment horizontal="center"/>
    </xf>
    <xf numFmtId="166" fontId="0" fillId="19" borderId="35" xfId="0" applyNumberFormat="1" applyFill="1" applyBorder="1" applyAlignment="1">
      <alignment horizontal="center"/>
    </xf>
    <xf numFmtId="4" fontId="0" fillId="19" borderId="40" xfId="0" applyNumberFormat="1" applyFill="1" applyBorder="1" applyAlignment="1">
      <alignment horizontal="center"/>
    </xf>
    <xf numFmtId="165" fontId="0" fillId="19" borderId="36" xfId="0" applyNumberFormat="1" applyFill="1" applyBorder="1" applyAlignment="1">
      <alignment horizontal="center"/>
    </xf>
    <xf numFmtId="167" fontId="0" fillId="19" borderId="35" xfId="0" applyNumberFormat="1" applyFill="1" applyBorder="1" applyAlignment="1">
      <alignment horizontal="center"/>
    </xf>
    <xf numFmtId="0" fontId="4" fillId="15" borderId="34" xfId="0" applyFont="1" applyFill="1" applyBorder="1"/>
    <xf numFmtId="166" fontId="4" fillId="15" borderId="35" xfId="0" applyNumberFormat="1" applyFont="1" applyFill="1" applyBorder="1" applyAlignment="1">
      <alignment horizontal="center"/>
    </xf>
    <xf numFmtId="0" fontId="4" fillId="15" borderId="36" xfId="0" applyFont="1" applyFill="1" applyBorder="1" applyAlignment="1">
      <alignment horizontal="center"/>
    </xf>
    <xf numFmtId="0" fontId="4" fillId="15" borderId="34" xfId="0" applyFont="1" applyFill="1" applyBorder="1" applyAlignment="1">
      <alignment horizontal="left" vertical="top" wrapText="1"/>
    </xf>
    <xf numFmtId="166" fontId="5" fillId="15" borderId="35" xfId="0" applyNumberFormat="1" applyFont="1" applyFill="1" applyBorder="1" applyAlignment="1">
      <alignment horizontal="center" wrapText="1"/>
    </xf>
    <xf numFmtId="166" fontId="5" fillId="15" borderId="36" xfId="0" applyNumberFormat="1" applyFont="1" applyFill="1" applyBorder="1" applyAlignment="1">
      <alignment horizontal="center" wrapText="1"/>
    </xf>
    <xf numFmtId="0" fontId="4" fillId="19" borderId="34" xfId="0" applyFont="1" applyFill="1" applyBorder="1" applyAlignment="1">
      <alignment wrapText="1"/>
    </xf>
    <xf numFmtId="166" fontId="5" fillId="19" borderId="35" xfId="0" applyNumberFormat="1" applyFont="1" applyFill="1" applyBorder="1" applyAlignment="1">
      <alignment horizontal="center"/>
    </xf>
    <xf numFmtId="166" fontId="5" fillId="19" borderId="36" xfId="0" applyNumberFormat="1" applyFont="1" applyFill="1" applyBorder="1" applyAlignment="1">
      <alignment horizontal="center"/>
    </xf>
    <xf numFmtId="0" fontId="4" fillId="19" borderId="34" xfId="0" applyFont="1" applyFill="1" applyBorder="1"/>
    <xf numFmtId="0" fontId="2" fillId="19" borderId="34" xfId="0" applyFont="1" applyFill="1" applyBorder="1" applyAlignment="1">
      <alignment wrapText="1"/>
    </xf>
    <xf numFmtId="166" fontId="0" fillId="19" borderId="36" xfId="0" applyNumberFormat="1" applyFill="1" applyBorder="1" applyAlignment="1">
      <alignment horizontal="center"/>
    </xf>
    <xf numFmtId="166" fontId="2" fillId="5" borderId="16" xfId="0" applyNumberFormat="1" applyFont="1" applyFill="1" applyBorder="1" applyAlignment="1">
      <alignment horizontal="centerContinuous" vertical="center" wrapText="1"/>
    </xf>
    <xf numFmtId="0" fontId="2" fillId="12" borderId="19" xfId="0" applyFont="1" applyFill="1" applyBorder="1" applyAlignment="1">
      <alignment horizontal="center" vertical="center" wrapText="1"/>
    </xf>
    <xf numFmtId="166" fontId="0" fillId="12" borderId="28" xfId="0" applyNumberFormat="1" applyFill="1" applyBorder="1" applyAlignment="1">
      <alignment horizontal="center" vertical="center"/>
    </xf>
    <xf numFmtId="0" fontId="0" fillId="12" borderId="28" xfId="0" applyFill="1" applyBorder="1" applyAlignment="1">
      <alignment horizontal="center" vertical="center"/>
    </xf>
    <xf numFmtId="0" fontId="2" fillId="15" borderId="21" xfId="0" applyFont="1" applyFill="1" applyBorder="1"/>
    <xf numFmtId="0" fontId="0" fillId="12" borderId="37" xfId="0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Continuous" vertical="center" wrapText="1"/>
    </xf>
    <xf numFmtId="166" fontId="0" fillId="0" borderId="28" xfId="0" applyNumberFormat="1" applyFill="1" applyBorder="1" applyAlignment="1">
      <alignment horizontal="center" vertical="top" wrapText="1"/>
    </xf>
    <xf numFmtId="2" fontId="2" fillId="15" borderId="23" xfId="0" applyNumberFormat="1" applyFont="1" applyFill="1" applyBorder="1" applyAlignment="1">
      <alignment horizontal="centerContinuous" vertical="center" wrapText="1"/>
    </xf>
    <xf numFmtId="10" fontId="0" fillId="15" borderId="35" xfId="0" applyNumberFormat="1" applyFill="1" applyBorder="1" applyAlignment="1">
      <alignment horizontal="center"/>
    </xf>
    <xf numFmtId="2" fontId="2" fillId="7" borderId="39" xfId="0" applyNumberFormat="1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4" fillId="23" borderId="23" xfId="0" applyFont="1" applyFill="1" applyBorder="1" applyAlignment="1">
      <alignment horizontal="center" wrapText="1"/>
    </xf>
    <xf numFmtId="166" fontId="5" fillId="23" borderId="33" xfId="0" applyNumberFormat="1" applyFont="1" applyFill="1" applyBorder="1" applyAlignment="1">
      <alignment horizontal="center"/>
    </xf>
    <xf numFmtId="166" fontId="5" fillId="23" borderId="36" xfId="0" applyNumberFormat="1" applyFont="1" applyFill="1" applyBorder="1" applyAlignment="1">
      <alignment horizontal="center"/>
    </xf>
    <xf numFmtId="166" fontId="4" fillId="23" borderId="48" xfId="0" applyNumberFormat="1" applyFont="1" applyFill="1" applyBorder="1" applyAlignment="1">
      <alignment horizontal="center" vertical="top" wrapText="1"/>
    </xf>
    <xf numFmtId="166" fontId="5" fillId="23" borderId="2" xfId="0" applyNumberFormat="1" applyFont="1" applyFill="1" applyBorder="1" applyAlignment="1">
      <alignment horizontal="center" vertical="top" wrapText="1"/>
    </xf>
    <xf numFmtId="166" fontId="7" fillId="23" borderId="2" xfId="0" applyNumberFormat="1" applyFont="1" applyFill="1" applyBorder="1" applyAlignment="1">
      <alignment horizontal="center" vertical="top" wrapText="1"/>
    </xf>
    <xf numFmtId="166" fontId="5" fillId="23" borderId="5" xfId="0" applyNumberFormat="1" applyFont="1" applyFill="1" applyBorder="1" applyAlignment="1">
      <alignment horizontal="center" wrapText="1"/>
    </xf>
    <xf numFmtId="0" fontId="4" fillId="19" borderId="48" xfId="0" applyFont="1" applyFill="1" applyBorder="1" applyAlignment="1">
      <alignment horizontal="center" wrapText="1"/>
    </xf>
    <xf numFmtId="166" fontId="0" fillId="19" borderId="2" xfId="0" applyNumberFormat="1" applyFill="1" applyBorder="1" applyAlignment="1">
      <alignment horizontal="center"/>
    </xf>
    <xf numFmtId="166" fontId="0" fillId="19" borderId="5" xfId="0" applyNumberFormat="1" applyFill="1" applyBorder="1" applyAlignment="1">
      <alignment horizontal="center"/>
    </xf>
    <xf numFmtId="166" fontId="2" fillId="15" borderId="0" xfId="0" applyNumberFormat="1" applyFont="1" applyFill="1" applyBorder="1"/>
    <xf numFmtId="10" fontId="0" fillId="15" borderId="0" xfId="0" applyNumberFormat="1" applyFill="1" applyBorder="1" applyAlignment="1">
      <alignment horizontal="center"/>
    </xf>
    <xf numFmtId="165" fontId="0" fillId="15" borderId="0" xfId="0" applyNumberFormat="1" applyFill="1" applyBorder="1" applyAlignment="1">
      <alignment horizontal="center"/>
    </xf>
    <xf numFmtId="164" fontId="0" fillId="15" borderId="0" xfId="0" applyNumberFormat="1" applyFill="1" applyBorder="1" applyAlignment="1">
      <alignment horizontal="center"/>
    </xf>
    <xf numFmtId="166" fontId="0" fillId="15" borderId="0" xfId="0" applyNumberFormat="1" applyFill="1" applyBorder="1" applyAlignment="1">
      <alignment horizontal="center"/>
    </xf>
    <xf numFmtId="166" fontId="2" fillId="0" borderId="0" xfId="0" applyNumberFormat="1" applyFont="1" applyFill="1" applyBorder="1"/>
    <xf numFmtId="10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0" fontId="10" fillId="3" borderId="37" xfId="0" applyNumberFormat="1" applyFont="1" applyFill="1" applyBorder="1" applyAlignment="1">
      <alignment horizontal="center" vertical="center"/>
    </xf>
    <xf numFmtId="166" fontId="10" fillId="3" borderId="37" xfId="0" applyNumberFormat="1" applyFont="1" applyFill="1" applyBorder="1" applyAlignment="1">
      <alignment horizontal="center"/>
    </xf>
    <xf numFmtId="0" fontId="10" fillId="3" borderId="37" xfId="0" applyFont="1" applyFill="1" applyBorder="1" applyAlignment="1">
      <alignment horizontal="center"/>
    </xf>
    <xf numFmtId="166" fontId="8" fillId="3" borderId="74" xfId="0" applyNumberFormat="1" applyFont="1" applyFill="1" applyBorder="1"/>
    <xf numFmtId="0" fontId="15" fillId="0" borderId="0" xfId="0" applyFont="1"/>
    <xf numFmtId="0" fontId="0" fillId="0" borderId="0" xfId="0" applyFill="1" applyBorder="1" applyAlignment="1">
      <alignment horizontal="center"/>
    </xf>
    <xf numFmtId="166" fontId="2" fillId="4" borderId="19" xfId="0" applyNumberFormat="1" applyFont="1" applyFill="1" applyBorder="1"/>
    <xf numFmtId="0" fontId="0" fillId="4" borderId="19" xfId="0" applyFill="1" applyBorder="1"/>
    <xf numFmtId="164" fontId="0" fillId="4" borderId="19" xfId="0" applyNumberFormat="1" applyFill="1" applyBorder="1"/>
    <xf numFmtId="166" fontId="0" fillId="4" borderId="19" xfId="0" applyNumberFormat="1" applyFill="1" applyBorder="1"/>
    <xf numFmtId="10" fontId="0" fillId="4" borderId="19" xfId="0" applyNumberFormat="1" applyFill="1" applyBorder="1"/>
    <xf numFmtId="166" fontId="0" fillId="4" borderId="23" xfId="0" applyNumberFormat="1" applyFill="1" applyBorder="1"/>
    <xf numFmtId="0" fontId="1" fillId="7" borderId="0" xfId="0" applyFont="1" applyFill="1" applyBorder="1"/>
    <xf numFmtId="2" fontId="1" fillId="7" borderId="0" xfId="0" applyNumberFormat="1" applyFont="1" applyFill="1" applyBorder="1"/>
    <xf numFmtId="168" fontId="0" fillId="7" borderId="0" xfId="0" applyNumberFormat="1" applyFill="1" applyBorder="1"/>
    <xf numFmtId="166" fontId="0" fillId="7" borderId="0" xfId="0" applyNumberFormat="1" applyFill="1" applyBorder="1"/>
    <xf numFmtId="166" fontId="2" fillId="5" borderId="20" xfId="0" applyNumberFormat="1" applyFont="1" applyFill="1" applyBorder="1"/>
    <xf numFmtId="0" fontId="1" fillId="5" borderId="20" xfId="0" applyFont="1" applyFill="1" applyBorder="1"/>
    <xf numFmtId="2" fontId="1" fillId="5" borderId="20" xfId="0" applyNumberFormat="1" applyFont="1" applyFill="1" applyBorder="1"/>
    <xf numFmtId="10" fontId="0" fillId="5" borderId="20" xfId="0" applyNumberFormat="1" applyFill="1" applyBorder="1"/>
    <xf numFmtId="166" fontId="0" fillId="5" borderId="50" xfId="0" applyNumberFormat="1" applyFill="1" applyBorder="1"/>
    <xf numFmtId="0" fontId="10" fillId="0" borderId="0" xfId="0" applyFont="1" applyAlignment="1">
      <alignment vertical="top" wrapText="1"/>
    </xf>
    <xf numFmtId="0" fontId="10" fillId="0" borderId="0" xfId="0" applyFont="1"/>
    <xf numFmtId="0" fontId="19" fillId="0" borderId="0" xfId="0" applyFont="1"/>
    <xf numFmtId="166" fontId="10" fillId="3" borderId="28" xfId="0" applyNumberFormat="1" applyFont="1" applyFill="1" applyBorder="1" applyAlignment="1">
      <alignment horizontal="center" wrapText="1"/>
    </xf>
    <xf numFmtId="0" fontId="8" fillId="7" borderId="23" xfId="0" applyFont="1" applyFill="1" applyBorder="1"/>
    <xf numFmtId="166" fontId="10" fillId="7" borderId="33" xfId="0" applyNumberFormat="1" applyFont="1" applyFill="1" applyBorder="1" applyAlignment="1">
      <alignment horizontal="center"/>
    </xf>
    <xf numFmtId="166" fontId="10" fillId="7" borderId="52" xfId="0" applyNumberFormat="1" applyFont="1" applyFill="1" applyBorder="1" applyAlignment="1">
      <alignment horizontal="center"/>
    </xf>
    <xf numFmtId="0" fontId="10" fillId="7" borderId="43" xfId="0" quotePrefix="1" applyFont="1" applyFill="1" applyBorder="1" applyAlignment="1">
      <alignment horizontal="center" vertical="top" wrapText="1"/>
    </xf>
    <xf numFmtId="0" fontId="0" fillId="15" borderId="0" xfId="0" applyFill="1" applyBorder="1"/>
    <xf numFmtId="166" fontId="2" fillId="15" borderId="0" xfId="0" applyNumberFormat="1" applyFont="1" applyFill="1" applyBorder="1" applyAlignment="1">
      <alignment horizontal="center"/>
    </xf>
    <xf numFmtId="165" fontId="2" fillId="15" borderId="0" xfId="0" applyNumberFormat="1" applyFont="1" applyFill="1" applyBorder="1" applyAlignment="1">
      <alignment horizontal="center"/>
    </xf>
    <xf numFmtId="0" fontId="0" fillId="15" borderId="0" xfId="0" applyFill="1" applyBorder="1" applyAlignment="1">
      <alignment horizontal="center"/>
    </xf>
    <xf numFmtId="166" fontId="0" fillId="15" borderId="0" xfId="0" applyNumberFormat="1" applyFill="1" applyBorder="1" applyAlignment="1">
      <alignment horizontal="center" vertical="center"/>
    </xf>
    <xf numFmtId="166" fontId="0" fillId="19" borderId="0" xfId="0" applyNumberFormat="1" applyFill="1" applyBorder="1" applyAlignment="1">
      <alignment horizontal="center"/>
    </xf>
    <xf numFmtId="2" fontId="2" fillId="15" borderId="39" xfId="0" applyNumberFormat="1" applyFont="1" applyFill="1" applyBorder="1" applyAlignment="1">
      <alignment horizontal="centerContinuous" vertical="center" wrapText="1"/>
    </xf>
    <xf numFmtId="2" fontId="2" fillId="15" borderId="16" xfId="0" applyNumberFormat="1" applyFont="1" applyFill="1" applyBorder="1" applyAlignment="1">
      <alignment horizontal="centerContinuous" vertical="center" wrapText="1"/>
    </xf>
    <xf numFmtId="2" fontId="2" fillId="15" borderId="48" xfId="0" applyNumberFormat="1" applyFont="1" applyFill="1" applyBorder="1" applyAlignment="1">
      <alignment horizontal="centerContinuous" vertical="center" wrapText="1"/>
    </xf>
    <xf numFmtId="166" fontId="0" fillId="15" borderId="36" xfId="0" applyNumberFormat="1" applyFill="1" applyBorder="1" applyAlignment="1">
      <alignment horizontal="center" vertical="center"/>
    </xf>
    <xf numFmtId="0" fontId="21" fillId="25" borderId="7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63" xfId="0" applyFont="1" applyBorder="1"/>
    <xf numFmtId="0" fontId="6" fillId="0" borderId="32" xfId="0" applyFont="1" applyBorder="1"/>
    <xf numFmtId="0" fontId="6" fillId="0" borderId="34" xfId="0" applyFont="1" applyBorder="1"/>
    <xf numFmtId="166" fontId="0" fillId="0" borderId="35" xfId="0" applyNumberFormat="1" applyBorder="1"/>
    <xf numFmtId="0" fontId="2" fillId="25" borderId="76" xfId="0" applyFont="1" applyFill="1" applyBorder="1" applyAlignment="1">
      <alignment horizontal="center" vertical="center" wrapText="1"/>
    </xf>
    <xf numFmtId="1" fontId="24" fillId="25" borderId="76" xfId="0" applyNumberFormat="1" applyFont="1" applyFill="1" applyBorder="1" applyAlignment="1">
      <alignment horizontal="center" vertical="center" wrapText="1"/>
    </xf>
    <xf numFmtId="0" fontId="1" fillId="25" borderId="76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166" fontId="25" fillId="0" borderId="75" xfId="0" applyNumberFormat="1" applyFont="1" applyFill="1" applyBorder="1" applyAlignment="1">
      <alignment horizontal="center" vertical="center" wrapText="1"/>
    </xf>
    <xf numFmtId="166" fontId="21" fillId="0" borderId="75" xfId="0" applyNumberFormat="1" applyFont="1" applyFill="1" applyBorder="1" applyAlignment="1">
      <alignment horizontal="center" vertical="center" wrapText="1"/>
    </xf>
    <xf numFmtId="164" fontId="25" fillId="0" borderId="75" xfId="0" applyNumberFormat="1" applyFont="1" applyFill="1" applyBorder="1" applyAlignment="1">
      <alignment horizontal="center" vertical="center" wrapText="1"/>
    </xf>
    <xf numFmtId="0" fontId="1" fillId="24" borderId="77" xfId="0" applyFont="1" applyFill="1" applyBorder="1" applyAlignment="1">
      <alignment horizontal="center" vertical="center" wrapText="1"/>
    </xf>
    <xf numFmtId="1" fontId="24" fillId="24" borderId="77" xfId="0" applyNumberFormat="1" applyFont="1" applyFill="1" applyBorder="1" applyAlignment="1">
      <alignment horizontal="center" vertical="center" wrapText="1"/>
    </xf>
    <xf numFmtId="3" fontId="24" fillId="24" borderId="77" xfId="0" applyNumberFormat="1" applyFont="1" applyFill="1" applyBorder="1" applyAlignment="1">
      <alignment horizontal="center" vertical="center" wrapText="1"/>
    </xf>
    <xf numFmtId="9" fontId="24" fillId="24" borderId="77" xfId="0" applyNumberFormat="1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1" fontId="20" fillId="0" borderId="28" xfId="0" applyNumberFormat="1" applyFont="1" applyFill="1" applyBorder="1" applyAlignment="1">
      <alignment horizontal="center" vertical="center" wrapText="1"/>
    </xf>
    <xf numFmtId="3" fontId="20" fillId="0" borderId="28" xfId="0" applyNumberFormat="1" applyFont="1" applyFill="1" applyBorder="1" applyAlignment="1">
      <alignment horizontal="center" vertical="center" wrapText="1"/>
    </xf>
    <xf numFmtId="9" fontId="20" fillId="0" borderId="28" xfId="0" applyNumberFormat="1" applyFont="1" applyFill="1" applyBorder="1" applyAlignment="1">
      <alignment horizontal="center" vertical="center" wrapText="1"/>
    </xf>
    <xf numFmtId="1" fontId="20" fillId="0" borderId="28" xfId="0" applyNumberFormat="1" applyFont="1" applyFill="1" applyBorder="1" applyAlignment="1">
      <alignment horizontal="center" vertical="top" wrapText="1"/>
    </xf>
    <xf numFmtId="3" fontId="20" fillId="0" borderId="28" xfId="0" applyNumberFormat="1" applyFont="1" applyFill="1" applyBorder="1" applyAlignment="1">
      <alignment horizontal="center" vertical="top" wrapText="1"/>
    </xf>
    <xf numFmtId="3" fontId="20" fillId="0" borderId="28" xfId="0" applyNumberFormat="1" applyFont="1" applyFill="1" applyBorder="1" applyAlignment="1">
      <alignment horizontal="right" vertical="top" wrapText="1" indent="1"/>
    </xf>
    <xf numFmtId="9" fontId="20" fillId="0" borderId="28" xfId="0" applyNumberFormat="1" applyFont="1" applyFill="1" applyBorder="1" applyAlignment="1">
      <alignment horizontal="center" vertical="top" wrapText="1"/>
    </xf>
    <xf numFmtId="0" fontId="2" fillId="0" borderId="78" xfId="0" applyFont="1" applyFill="1" applyBorder="1" applyAlignment="1">
      <alignment horizontal="center" vertical="center" wrapText="1"/>
    </xf>
    <xf numFmtId="2" fontId="2" fillId="0" borderId="68" xfId="0" applyNumberFormat="1" applyFont="1" applyFill="1" applyBorder="1" applyAlignment="1">
      <alignment horizontal="centerContinuous" vertical="center" wrapText="1"/>
    </xf>
    <xf numFmtId="0" fontId="6" fillId="0" borderId="34" xfId="0" applyFont="1" applyFill="1" applyBorder="1"/>
    <xf numFmtId="1" fontId="26" fillId="0" borderId="75" xfId="0" applyNumberFormat="1" applyFont="1" applyBorder="1" applyAlignment="1">
      <alignment horizontal="left" vertical="top" wrapText="1" indent="1"/>
    </xf>
    <xf numFmtId="2" fontId="27" fillId="0" borderId="75" xfId="0" applyNumberFormat="1" applyFont="1" applyBorder="1" applyAlignment="1">
      <alignment horizontal="center" vertical="top" wrapText="1"/>
    </xf>
    <xf numFmtId="166" fontId="27" fillId="0" borderId="75" xfId="0" applyNumberFormat="1" applyFont="1" applyBorder="1" applyAlignment="1">
      <alignment horizontal="right" vertical="top" wrapText="1" indent="3"/>
    </xf>
    <xf numFmtId="2" fontId="27" fillId="0" borderId="75" xfId="0" applyNumberFormat="1" applyFont="1" applyBorder="1" applyAlignment="1">
      <alignment horizontal="left" vertical="top" wrapText="1" indent="3"/>
    </xf>
    <xf numFmtId="166" fontId="27" fillId="0" borderId="75" xfId="0" applyNumberFormat="1" applyFont="1" applyBorder="1" applyAlignment="1">
      <alignment horizontal="center" vertical="top" wrapText="1"/>
    </xf>
    <xf numFmtId="166" fontId="27" fillId="0" borderId="75" xfId="0" applyNumberFormat="1" applyFont="1" applyBorder="1" applyAlignment="1">
      <alignment horizontal="right" vertical="top" wrapText="1" indent="2"/>
    </xf>
    <xf numFmtId="0" fontId="28" fillId="20" borderId="75" xfId="0" applyFont="1" applyFill="1" applyBorder="1" applyAlignment="1">
      <alignment horizontal="left" vertical="top" wrapText="1" indent="1"/>
    </xf>
    <xf numFmtId="2" fontId="26" fillId="20" borderId="75" xfId="0" applyNumberFormat="1" applyFont="1" applyFill="1" applyBorder="1" applyAlignment="1">
      <alignment horizontal="center" vertical="top" wrapText="1"/>
    </xf>
    <xf numFmtId="166" fontId="26" fillId="20" borderId="75" xfId="0" applyNumberFormat="1" applyFont="1" applyFill="1" applyBorder="1" applyAlignment="1">
      <alignment horizontal="right" vertical="top" wrapText="1" indent="2"/>
    </xf>
    <xf numFmtId="2" fontId="26" fillId="20" borderId="75" xfId="0" applyNumberFormat="1" applyFont="1" applyFill="1" applyBorder="1" applyAlignment="1">
      <alignment horizontal="left" vertical="top" wrapText="1" indent="3"/>
    </xf>
    <xf numFmtId="166" fontId="26" fillId="20" borderId="75" xfId="0" applyNumberFormat="1" applyFont="1" applyFill="1" applyBorder="1" applyAlignment="1">
      <alignment horizontal="center" vertical="top" wrapText="1"/>
    </xf>
    <xf numFmtId="0" fontId="28" fillId="26" borderId="75" xfId="0" applyFont="1" applyFill="1" applyBorder="1" applyAlignment="1">
      <alignment horizontal="center" wrapText="1"/>
    </xf>
    <xf numFmtId="164" fontId="0" fillId="0" borderId="28" xfId="0" applyNumberFormat="1" applyBorder="1" applyAlignment="1">
      <alignment vertical="center"/>
    </xf>
    <xf numFmtId="0" fontId="1" fillId="0" borderId="33" xfId="0" applyFont="1" applyBorder="1"/>
    <xf numFmtId="166" fontId="1" fillId="0" borderId="28" xfId="0" applyNumberFormat="1" applyFont="1" applyBorder="1"/>
    <xf numFmtId="0" fontId="0" fillId="0" borderId="36" xfId="0" applyBorder="1"/>
    <xf numFmtId="0" fontId="1" fillId="0" borderId="34" xfId="0" applyFont="1" applyBorder="1" applyAlignment="1">
      <alignment vertical="top" wrapText="1"/>
    </xf>
    <xf numFmtId="0" fontId="0" fillId="0" borderId="37" xfId="0" applyFill="1" applyBorder="1" applyAlignment="1">
      <alignment horizontal="center" vertical="top" wrapText="1"/>
    </xf>
    <xf numFmtId="1" fontId="20" fillId="0" borderId="37" xfId="0" applyNumberFormat="1" applyFont="1" applyFill="1" applyBorder="1" applyAlignment="1">
      <alignment horizontal="center" vertical="top" wrapText="1"/>
    </xf>
    <xf numFmtId="3" fontId="20" fillId="0" borderId="37" xfId="0" applyNumberFormat="1" applyFont="1" applyFill="1" applyBorder="1" applyAlignment="1">
      <alignment horizontal="center" vertical="top" wrapText="1"/>
    </xf>
    <xf numFmtId="3" fontId="20" fillId="0" borderId="37" xfId="0" applyNumberFormat="1" applyFont="1" applyFill="1" applyBorder="1" applyAlignment="1">
      <alignment horizontal="right" vertical="top" wrapText="1" indent="1"/>
    </xf>
    <xf numFmtId="0" fontId="2" fillId="3" borderId="19" xfId="0" applyFont="1" applyFill="1" applyBorder="1" applyAlignment="1">
      <alignment vertical="top" wrapText="1"/>
    </xf>
    <xf numFmtId="3" fontId="2" fillId="3" borderId="19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top" wrapText="1"/>
    </xf>
    <xf numFmtId="0" fontId="2" fillId="0" borderId="32" xfId="0" applyFont="1" applyBorder="1" applyAlignment="1">
      <alignment vertical="center" wrapText="1"/>
    </xf>
    <xf numFmtId="10" fontId="2" fillId="0" borderId="32" xfId="0" applyNumberFormat="1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10" fontId="0" fillId="0" borderId="32" xfId="0" applyNumberForma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10" fontId="22" fillId="0" borderId="32" xfId="0" applyNumberFormat="1" applyFont="1" applyBorder="1" applyAlignment="1">
      <alignment vertical="center" wrapText="1"/>
    </xf>
    <xf numFmtId="1" fontId="0" fillId="0" borderId="28" xfId="0" applyNumberFormat="1" applyBorder="1"/>
    <xf numFmtId="10" fontId="2" fillId="0" borderId="34" xfId="0" applyNumberFormat="1" applyFont="1" applyBorder="1" applyAlignment="1">
      <alignment vertical="center" wrapText="1"/>
    </xf>
    <xf numFmtId="0" fontId="2" fillId="3" borderId="15" xfId="0" applyFont="1" applyFill="1" applyBorder="1"/>
    <xf numFmtId="168" fontId="0" fillId="0" borderId="28" xfId="0" applyNumberFormat="1" applyBorder="1" applyAlignment="1">
      <alignment vertical="center"/>
    </xf>
    <xf numFmtId="164" fontId="1" fillId="0" borderId="28" xfId="0" applyNumberFormat="1" applyFon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8" fontId="0" fillId="0" borderId="28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0" fontId="0" fillId="0" borderId="28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0" fontId="0" fillId="0" borderId="35" xfId="0" applyNumberFormat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168" fontId="0" fillId="0" borderId="35" xfId="0" applyNumberFormat="1" applyBorder="1" applyAlignment="1">
      <alignment horizontal="center" vertical="center"/>
    </xf>
    <xf numFmtId="166" fontId="1" fillId="0" borderId="0" xfId="0" applyNumberFormat="1" applyFont="1"/>
    <xf numFmtId="166" fontId="1" fillId="0" borderId="35" xfId="0" applyNumberFormat="1" applyFont="1" applyBorder="1" applyAlignment="1">
      <alignment horizontal="center" vertical="center"/>
    </xf>
    <xf numFmtId="0" fontId="2" fillId="27" borderId="79" xfId="0" applyFont="1" applyFill="1" applyBorder="1" applyAlignment="1">
      <alignment horizontal="center" vertical="center" wrapText="1"/>
    </xf>
    <xf numFmtId="0" fontId="26" fillId="26" borderId="75" xfId="0" applyFont="1" applyFill="1" applyBorder="1" applyAlignment="1">
      <alignment horizontal="center" wrapText="1"/>
    </xf>
    <xf numFmtId="0" fontId="2" fillId="27" borderId="76" xfId="0" applyFont="1" applyFill="1" applyBorder="1" applyAlignment="1">
      <alignment horizontal="center" vertical="center" wrapText="1"/>
    </xf>
    <xf numFmtId="0" fontId="2" fillId="27" borderId="76" xfId="0" applyFont="1" applyFill="1" applyBorder="1" applyAlignment="1">
      <alignment horizontal="right" vertical="center" wrapText="1" indent="1"/>
    </xf>
    <xf numFmtId="1" fontId="24" fillId="0" borderId="80" xfId="0" applyNumberFormat="1" applyFont="1" applyFill="1" applyBorder="1" applyAlignment="1">
      <alignment horizontal="center" vertical="top" wrapText="1"/>
    </xf>
    <xf numFmtId="2" fontId="25" fillId="0" borderId="75" xfId="0" applyNumberFormat="1" applyFont="1" applyFill="1" applyBorder="1" applyAlignment="1">
      <alignment horizontal="center" vertical="top" wrapText="1"/>
    </xf>
    <xf numFmtId="166" fontId="25" fillId="0" borderId="75" xfId="0" applyNumberFormat="1" applyFont="1" applyFill="1" applyBorder="1" applyAlignment="1">
      <alignment horizontal="center" vertical="top" wrapText="1"/>
    </xf>
    <xf numFmtId="166" fontId="25" fillId="0" borderId="75" xfId="0" applyNumberFormat="1" applyFont="1" applyFill="1" applyBorder="1" applyAlignment="1">
      <alignment horizontal="right" vertical="top" wrapText="1" indent="1"/>
    </xf>
    <xf numFmtId="166" fontId="25" fillId="0" borderId="75" xfId="0" applyNumberFormat="1" applyFont="1" applyFill="1" applyBorder="1" applyAlignment="1">
      <alignment horizontal="left" vertical="top" wrapText="1" indent="1"/>
    </xf>
    <xf numFmtId="2" fontId="25" fillId="0" borderId="75" xfId="0" applyNumberFormat="1" applyFont="1" applyFill="1" applyBorder="1" applyAlignment="1">
      <alignment horizontal="right" vertical="top" wrapText="1" indent="1"/>
    </xf>
    <xf numFmtId="0" fontId="2" fillId="24" borderId="80" xfId="0" applyFont="1" applyFill="1" applyBorder="1" applyAlignment="1">
      <alignment horizontal="center" vertical="top" wrapText="1"/>
    </xf>
    <xf numFmtId="2" fontId="24" fillId="24" borderId="75" xfId="0" applyNumberFormat="1" applyFont="1" applyFill="1" applyBorder="1" applyAlignment="1">
      <alignment horizontal="center" vertical="top" wrapText="1"/>
    </xf>
    <xf numFmtId="166" fontId="24" fillId="24" borderId="75" xfId="0" applyNumberFormat="1" applyFont="1" applyFill="1" applyBorder="1" applyAlignment="1">
      <alignment horizontal="center" vertical="top" wrapText="1"/>
    </xf>
    <xf numFmtId="166" fontId="24" fillId="24" borderId="75" xfId="0" applyNumberFormat="1" applyFont="1" applyFill="1" applyBorder="1" applyAlignment="1">
      <alignment horizontal="right" vertical="top" wrapText="1" indent="1"/>
    </xf>
    <xf numFmtId="2" fontId="24" fillId="24" borderId="75" xfId="0" applyNumberFormat="1" applyFont="1" applyFill="1" applyBorder="1" applyAlignment="1">
      <alignment horizontal="right" vertical="top" wrapText="1" indent="1"/>
    </xf>
    <xf numFmtId="166" fontId="1" fillId="0" borderId="33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8" fontId="1" fillId="0" borderId="28" xfId="0" applyNumberFormat="1" applyFont="1" applyBorder="1" applyAlignment="1">
      <alignment horizontal="center" vertical="center"/>
    </xf>
    <xf numFmtId="0" fontId="15" fillId="0" borderId="0" xfId="0" applyFont="1" applyFill="1" applyBorder="1"/>
    <xf numFmtId="166" fontId="1" fillId="0" borderId="28" xfId="0" applyNumberFormat="1" applyFont="1" applyBorder="1" applyAlignment="1">
      <alignment horizontal="center" vertical="center"/>
    </xf>
    <xf numFmtId="10" fontId="1" fillId="0" borderId="28" xfId="0" applyNumberFormat="1" applyFont="1" applyBorder="1" applyAlignment="1">
      <alignment horizontal="center" vertical="center"/>
    </xf>
    <xf numFmtId="166" fontId="1" fillId="0" borderId="33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166" fontId="2" fillId="5" borderId="23" xfId="0" applyNumberFormat="1" applyFont="1" applyFill="1" applyBorder="1" applyAlignment="1">
      <alignment horizontal="center" vertical="center" wrapText="1"/>
    </xf>
    <xf numFmtId="0" fontId="1" fillId="27" borderId="76" xfId="0" applyFont="1" applyFill="1" applyBorder="1" applyAlignment="1">
      <alignment horizontal="center" vertical="top" wrapText="1"/>
    </xf>
    <xf numFmtId="1" fontId="25" fillId="0" borderId="75" xfId="0" applyNumberFormat="1" applyFont="1" applyFill="1" applyBorder="1" applyAlignment="1">
      <alignment horizontal="center" vertical="top" wrapText="1"/>
    </xf>
    <xf numFmtId="1" fontId="24" fillId="24" borderId="75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Continuous" vertical="center" wrapText="1"/>
    </xf>
    <xf numFmtId="2" fontId="2" fillId="7" borderId="48" xfId="0" applyNumberFormat="1" applyFont="1" applyFill="1" applyBorder="1" applyAlignment="1">
      <alignment horizontal="centerContinuous" vertical="center" wrapText="1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3" fontId="0" fillId="0" borderId="28" xfId="0" applyNumberFormat="1" applyFill="1" applyBorder="1" applyAlignment="1">
      <alignment horizontal="center" vertical="center"/>
    </xf>
    <xf numFmtId="1" fontId="0" fillId="0" borderId="28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3" fontId="0" fillId="0" borderId="35" xfId="0" applyNumberForma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4" xfId="0" applyFill="1" applyBorder="1" applyAlignment="1">
      <alignment horizontal="center" wrapText="1"/>
    </xf>
    <xf numFmtId="0" fontId="2" fillId="7" borderId="68" xfId="0" applyFont="1" applyFill="1" applyBorder="1" applyAlignment="1">
      <alignment horizontal="center" vertical="top" wrapText="1"/>
    </xf>
    <xf numFmtId="3" fontId="2" fillId="7" borderId="15" xfId="0" applyNumberFormat="1" applyFont="1" applyFill="1" applyBorder="1" applyAlignment="1">
      <alignment vertical="top" wrapText="1"/>
    </xf>
    <xf numFmtId="3" fontId="2" fillId="0" borderId="32" xfId="0" applyNumberFormat="1" applyFont="1" applyBorder="1"/>
    <xf numFmtId="3" fontId="1" fillId="0" borderId="28" xfId="0" applyNumberFormat="1" applyFont="1" applyBorder="1"/>
    <xf numFmtId="3" fontId="1" fillId="0" borderId="33" xfId="0" applyNumberFormat="1" applyFont="1" applyBorder="1"/>
    <xf numFmtId="3" fontId="1" fillId="0" borderId="32" xfId="0" applyNumberFormat="1" applyFont="1" applyBorder="1"/>
    <xf numFmtId="3" fontId="2" fillId="0" borderId="32" xfId="0" applyNumberFormat="1" applyFont="1" applyFill="1" applyBorder="1"/>
    <xf numFmtId="3" fontId="2" fillId="0" borderId="3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 wrapText="1"/>
    </xf>
    <xf numFmtId="3" fontId="1" fillId="0" borderId="35" xfId="0" applyNumberFormat="1" applyFont="1" applyBorder="1"/>
    <xf numFmtId="3" fontId="1" fillId="0" borderId="36" xfId="0" applyNumberFormat="1" applyFont="1" applyBorder="1"/>
    <xf numFmtId="166" fontId="1" fillId="0" borderId="32" xfId="0" applyNumberFormat="1" applyFont="1" applyBorder="1" applyAlignment="1">
      <alignment vertical="center"/>
    </xf>
    <xf numFmtId="0" fontId="15" fillId="0" borderId="28" xfId="0" applyFont="1" applyBorder="1"/>
    <xf numFmtId="0" fontId="15" fillId="0" borderId="28" xfId="0" applyFont="1" applyFill="1" applyBorder="1" applyAlignment="1">
      <alignment vertical="top" wrapText="1"/>
    </xf>
    <xf numFmtId="0" fontId="15" fillId="0" borderId="28" xfId="0" applyFont="1" applyBorder="1" applyAlignment="1">
      <alignment vertical="top" wrapText="1"/>
    </xf>
    <xf numFmtId="0" fontId="8" fillId="0" borderId="0" xfId="0" applyFont="1" applyFill="1" applyBorder="1" applyAlignment="1">
      <alignment horizontal="left" vertical="center"/>
    </xf>
    <xf numFmtId="166" fontId="8" fillId="6" borderId="39" xfId="0" applyNumberFormat="1" applyFont="1" applyFill="1" applyBorder="1" applyAlignment="1">
      <alignment horizontal="center" wrapText="1"/>
    </xf>
    <xf numFmtId="166" fontId="10" fillId="0" borderId="31" xfId="0" applyNumberFormat="1" applyFont="1" applyBorder="1" applyAlignment="1">
      <alignment horizontal="center" wrapText="1"/>
    </xf>
    <xf numFmtId="168" fontId="10" fillId="0" borderId="31" xfId="0" applyNumberFormat="1" applyFont="1" applyBorder="1" applyAlignment="1">
      <alignment horizontal="center" wrapText="1"/>
    </xf>
    <xf numFmtId="0" fontId="10" fillId="3" borderId="52" xfId="0" applyFont="1" applyFill="1" applyBorder="1" applyAlignment="1">
      <alignment horizontal="center"/>
    </xf>
    <xf numFmtId="0" fontId="8" fillId="0" borderId="74" xfId="0" applyFont="1" applyBorder="1" applyAlignment="1">
      <alignment vertical="top" wrapText="1"/>
    </xf>
    <xf numFmtId="10" fontId="10" fillId="13" borderId="74" xfId="0" applyNumberFormat="1" applyFont="1" applyFill="1" applyBorder="1" applyAlignment="1">
      <alignment horizontal="center" vertical="top" wrapText="1"/>
    </xf>
    <xf numFmtId="166" fontId="10" fillId="0" borderId="37" xfId="0" applyNumberFormat="1" applyFont="1" applyBorder="1" applyAlignment="1">
      <alignment horizontal="center" wrapText="1"/>
    </xf>
    <xf numFmtId="166" fontId="10" fillId="3" borderId="37" xfId="0" applyNumberFormat="1" applyFont="1" applyFill="1" applyBorder="1" applyAlignment="1">
      <alignment horizontal="center" wrapText="1"/>
    </xf>
    <xf numFmtId="166" fontId="10" fillId="0" borderId="52" xfId="0" applyNumberFormat="1" applyFont="1" applyBorder="1" applyAlignment="1">
      <alignment horizontal="center" wrapText="1"/>
    </xf>
    <xf numFmtId="10" fontId="1" fillId="0" borderId="37" xfId="0" applyNumberFormat="1" applyFont="1" applyBorder="1" applyAlignment="1">
      <alignment horizontal="center"/>
    </xf>
    <xf numFmtId="0" fontId="10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vertical="top" wrapText="1"/>
    </xf>
    <xf numFmtId="0" fontId="2" fillId="12" borderId="28" xfId="0" applyFont="1" applyFill="1" applyBorder="1" applyAlignment="1">
      <alignment horizontal="center" vertical="center" wrapText="1"/>
    </xf>
    <xf numFmtId="164" fontId="6" fillId="12" borderId="31" xfId="0" applyNumberFormat="1" applyFont="1" applyFill="1" applyBorder="1" applyAlignment="1">
      <alignment horizontal="center" vertical="center" wrapText="1"/>
    </xf>
    <xf numFmtId="166" fontId="2" fillId="12" borderId="19" xfId="0" applyNumberFormat="1" applyFont="1" applyFill="1" applyBorder="1" applyAlignment="1">
      <alignment horizontal="center" vertical="center" wrapText="1"/>
    </xf>
    <xf numFmtId="166" fontId="2" fillId="12" borderId="23" xfId="0" applyNumberFormat="1" applyFont="1" applyFill="1" applyBorder="1" applyAlignment="1">
      <alignment horizontal="center" vertical="center" wrapText="1"/>
    </xf>
    <xf numFmtId="2" fontId="0" fillId="0" borderId="28" xfId="0" applyNumberFormat="1" applyBorder="1" applyAlignment="1">
      <alignment horizontal="center" vertical="center"/>
    </xf>
    <xf numFmtId="169" fontId="0" fillId="0" borderId="28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170" fontId="0" fillId="0" borderId="28" xfId="0" applyNumberFormat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166" fontId="0" fillId="7" borderId="40" xfId="0" applyNumberFormat="1" applyFill="1" applyBorder="1" applyAlignment="1">
      <alignment horizontal="center" vertical="center"/>
    </xf>
    <xf numFmtId="166" fontId="0" fillId="7" borderId="36" xfId="0" applyNumberFormat="1" applyFill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wrapText="1"/>
    </xf>
    <xf numFmtId="0" fontId="13" fillId="6" borderId="19" xfId="0" applyFont="1" applyFill="1" applyBorder="1" applyAlignment="1">
      <alignment horizontal="center" wrapText="1"/>
    </xf>
    <xf numFmtId="0" fontId="13" fillId="13" borderId="19" xfId="0" applyFont="1" applyFill="1" applyBorder="1" applyAlignment="1">
      <alignment horizontal="center" wrapText="1"/>
    </xf>
    <xf numFmtId="0" fontId="13" fillId="18" borderId="19" xfId="0" applyFont="1" applyFill="1" applyBorder="1" applyAlignment="1">
      <alignment horizontal="center" wrapText="1"/>
    </xf>
    <xf numFmtId="0" fontId="13" fillId="18" borderId="23" xfId="0" applyFont="1" applyFill="1" applyBorder="1" applyAlignment="1">
      <alignment horizontal="center" wrapText="1"/>
    </xf>
    <xf numFmtId="0" fontId="14" fillId="0" borderId="28" xfId="0" applyFont="1" applyBorder="1"/>
    <xf numFmtId="0" fontId="14" fillId="0" borderId="33" xfId="0" applyFont="1" applyBorder="1"/>
    <xf numFmtId="0" fontId="6" fillId="0" borderId="47" xfId="0" applyFont="1" applyFill="1" applyBorder="1"/>
    <xf numFmtId="166" fontId="0" fillId="0" borderId="0" xfId="0" applyNumberFormat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166" fontId="1" fillId="0" borderId="36" xfId="0" applyNumberFormat="1" applyFont="1" applyBorder="1" applyAlignment="1">
      <alignment horizontal="center" vertical="center"/>
    </xf>
    <xf numFmtId="166" fontId="0" fillId="0" borderId="55" xfId="0" applyNumberFormat="1" applyBorder="1" applyAlignment="1">
      <alignment horizontal="center" vertical="center"/>
    </xf>
    <xf numFmtId="0" fontId="4" fillId="3" borderId="15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4" fillId="19" borderId="23" xfId="0" applyFont="1" applyFill="1" applyBorder="1" applyAlignment="1">
      <alignment horizontal="center" wrapText="1"/>
    </xf>
    <xf numFmtId="0" fontId="0" fillId="0" borderId="32" xfId="0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6" xfId="0" applyFill="1" applyBorder="1"/>
    <xf numFmtId="0" fontId="0" fillId="15" borderId="33" xfId="0" applyFill="1" applyBorder="1"/>
    <xf numFmtId="166" fontId="0" fillId="15" borderId="33" xfId="0" applyNumberFormat="1" applyFill="1" applyBorder="1"/>
    <xf numFmtId="0" fontId="2" fillId="0" borderId="53" xfId="0" applyFont="1" applyFill="1" applyBorder="1"/>
    <xf numFmtId="0" fontId="2" fillId="0" borderId="7" xfId="0" applyFont="1" applyFill="1" applyBorder="1" applyAlignment="1">
      <alignment horizontal="center" wrapText="1"/>
    </xf>
    <xf numFmtId="166" fontId="1" fillId="0" borderId="7" xfId="0" applyNumberFormat="1" applyFont="1" applyFill="1" applyBorder="1" applyAlignment="1">
      <alignment horizontal="center" wrapText="1"/>
    </xf>
    <xf numFmtId="0" fontId="2" fillId="0" borderId="32" xfId="0" applyFont="1" applyFill="1" applyBorder="1" applyAlignment="1">
      <alignment vertical="top" wrapText="1"/>
    </xf>
    <xf numFmtId="0" fontId="1" fillId="15" borderId="36" xfId="0" applyFont="1" applyFill="1" applyBorder="1"/>
    <xf numFmtId="3" fontId="0" fillId="0" borderId="28" xfId="0" applyNumberFormat="1" applyBorder="1" applyAlignment="1">
      <alignment horizontal="center" vertical="center"/>
    </xf>
    <xf numFmtId="0" fontId="2" fillId="5" borderId="23" xfId="0" applyFont="1" applyFill="1" applyBorder="1" applyAlignment="1">
      <alignment horizontal="center" wrapText="1"/>
    </xf>
    <xf numFmtId="166" fontId="2" fillId="5" borderId="17" xfId="0" applyNumberFormat="1" applyFont="1" applyFill="1" applyBorder="1" applyAlignment="1">
      <alignment horizontal="center" wrapText="1"/>
    </xf>
    <xf numFmtId="166" fontId="1" fillId="5" borderId="33" xfId="0" applyNumberFormat="1" applyFont="1" applyFill="1" applyBorder="1"/>
    <xf numFmtId="2" fontId="14" fillId="0" borderId="28" xfId="0" applyNumberFormat="1" applyFont="1" applyBorder="1"/>
    <xf numFmtId="3" fontId="1" fillId="0" borderId="47" xfId="0" applyNumberFormat="1" applyFont="1" applyFill="1" applyBorder="1" applyAlignment="1">
      <alignment horizontal="center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23" xfId="0" applyNumberFormat="1" applyFont="1" applyFill="1" applyBorder="1" applyAlignment="1">
      <alignment horizontal="center" vertical="center" wrapText="1"/>
    </xf>
    <xf numFmtId="166" fontId="2" fillId="10" borderId="48" xfId="0" applyNumberFormat="1" applyFont="1" applyFill="1" applyBorder="1" applyAlignment="1">
      <alignment horizontal="centerContinuous" vertical="center" wrapText="1"/>
    </xf>
    <xf numFmtId="0" fontId="0" fillId="0" borderId="4" xfId="0" applyBorder="1"/>
    <xf numFmtId="0" fontId="0" fillId="0" borderId="48" xfId="0" applyBorder="1"/>
    <xf numFmtId="165" fontId="2" fillId="18" borderId="28" xfId="0" applyNumberFormat="1" applyFont="1" applyFill="1" applyBorder="1" applyAlignment="1">
      <alignment horizontal="center" vertical="center"/>
    </xf>
    <xf numFmtId="3" fontId="1" fillId="0" borderId="81" xfId="0" applyNumberFormat="1" applyFont="1" applyFill="1" applyBorder="1"/>
    <xf numFmtId="1" fontId="14" fillId="0" borderId="28" xfId="0" applyNumberFormat="1" applyFont="1" applyBorder="1"/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14" fillId="0" borderId="31" xfId="0" applyFont="1" applyBorder="1"/>
    <xf numFmtId="1" fontId="2" fillId="0" borderId="28" xfId="0" applyNumberFormat="1" applyFont="1" applyBorder="1"/>
    <xf numFmtId="167" fontId="0" fillId="0" borderId="0" xfId="0" applyNumberFormat="1"/>
    <xf numFmtId="1" fontId="2" fillId="0" borderId="28" xfId="0" applyNumberFormat="1" applyFont="1" applyBorder="1" applyAlignment="1">
      <alignment horizontal="center" vertical="center"/>
    </xf>
    <xf numFmtId="172" fontId="2" fillId="0" borderId="28" xfId="0" applyNumberFormat="1" applyFon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0" fontId="1" fillId="0" borderId="0" xfId="0" applyFont="1" applyFill="1" applyBorder="1"/>
    <xf numFmtId="0" fontId="0" fillId="0" borderId="23" xfId="0" applyBorder="1"/>
    <xf numFmtId="0" fontId="2" fillId="0" borderId="28" xfId="0" applyFont="1" applyBorder="1" applyAlignment="1">
      <alignment horizontal="center" vertical="center"/>
    </xf>
    <xf numFmtId="4" fontId="0" fillId="0" borderId="28" xfId="0" applyNumberFormat="1" applyBorder="1"/>
    <xf numFmtId="0" fontId="2" fillId="5" borderId="15" xfId="0" applyFont="1" applyFill="1" applyBorder="1"/>
    <xf numFmtId="0" fontId="2" fillId="5" borderId="19" xfId="0" applyFont="1" applyFill="1" applyBorder="1"/>
    <xf numFmtId="0" fontId="0" fillId="5" borderId="19" xfId="0" applyFill="1" applyBorder="1"/>
    <xf numFmtId="0" fontId="2" fillId="5" borderId="32" xfId="0" applyFont="1" applyFill="1" applyBorder="1"/>
    <xf numFmtId="0" fontId="2" fillId="5" borderId="28" xfId="0" applyFont="1" applyFill="1" applyBorder="1" applyAlignment="1">
      <alignment horizontal="center" vertical="center"/>
    </xf>
    <xf numFmtId="0" fontId="0" fillId="5" borderId="28" xfId="0" applyFill="1" applyBorder="1"/>
    <xf numFmtId="0" fontId="2" fillId="5" borderId="28" xfId="0" applyFont="1" applyFill="1" applyBorder="1"/>
    <xf numFmtId="0" fontId="2" fillId="5" borderId="33" xfId="0" applyFont="1" applyFill="1" applyBorder="1"/>
    <xf numFmtId="0" fontId="2" fillId="4" borderId="15" xfId="0" applyFont="1" applyFill="1" applyBorder="1" applyAlignment="1">
      <alignment vertical="top" wrapText="1"/>
    </xf>
    <xf numFmtId="0" fontId="2" fillId="4" borderId="19" xfId="0" applyFont="1" applyFill="1" applyBorder="1" applyAlignment="1"/>
    <xf numFmtId="0" fontId="2" fillId="4" borderId="32" xfId="0" applyFont="1" applyFill="1" applyBorder="1" applyAlignment="1">
      <alignment vertical="top" wrapText="1"/>
    </xf>
    <xf numFmtId="0" fontId="2" fillId="4" borderId="28" xfId="0" applyFont="1" applyFill="1" applyBorder="1" applyAlignment="1">
      <alignment vertical="top" wrapText="1"/>
    </xf>
    <xf numFmtId="167" fontId="2" fillId="4" borderId="28" xfId="0" applyNumberFormat="1" applyFont="1" applyFill="1" applyBorder="1" applyAlignment="1">
      <alignment vertical="top" wrapText="1"/>
    </xf>
    <xf numFmtId="167" fontId="0" fillId="0" borderId="28" xfId="0" applyNumberFormat="1" applyBorder="1"/>
    <xf numFmtId="167" fontId="0" fillId="0" borderId="33" xfId="0" applyNumberFormat="1" applyBorder="1"/>
    <xf numFmtId="167" fontId="0" fillId="0" borderId="35" xfId="0" applyNumberFormat="1" applyBorder="1"/>
    <xf numFmtId="0" fontId="1" fillId="4" borderId="28" xfId="0" applyFont="1" applyFill="1" applyBorder="1"/>
    <xf numFmtId="167" fontId="0" fillId="4" borderId="33" xfId="0" applyNumberFormat="1" applyFill="1" applyBorder="1"/>
    <xf numFmtId="0" fontId="1" fillId="16" borderId="28" xfId="0" applyFont="1" applyFill="1" applyBorder="1"/>
    <xf numFmtId="0" fontId="1" fillId="16" borderId="33" xfId="0" applyFont="1" applyFill="1" applyBorder="1"/>
    <xf numFmtId="1" fontId="0" fillId="0" borderId="0" xfId="0" applyNumberFormat="1"/>
    <xf numFmtId="1" fontId="0" fillId="0" borderId="32" xfId="0" applyNumberFormat="1" applyBorder="1"/>
    <xf numFmtId="1" fontId="0" fillId="0" borderId="34" xfId="0" applyNumberFormat="1" applyBorder="1"/>
    <xf numFmtId="1" fontId="0" fillId="0" borderId="35" xfId="0" applyNumberFormat="1" applyBorder="1"/>
    <xf numFmtId="167" fontId="0" fillId="0" borderId="36" xfId="0" applyNumberFormat="1" applyBorder="1"/>
    <xf numFmtId="1" fontId="0" fillId="12" borderId="15" xfId="0" applyNumberFormat="1" applyFont="1" applyFill="1" applyBorder="1"/>
    <xf numFmtId="1" fontId="0" fillId="12" borderId="32" xfId="0" applyNumberFormat="1" applyFont="1" applyFill="1" applyBorder="1"/>
    <xf numFmtId="1" fontId="0" fillId="12" borderId="28" xfId="0" applyNumberFormat="1" applyFont="1" applyFill="1" applyBorder="1"/>
    <xf numFmtId="1" fontId="0" fillId="12" borderId="33" xfId="0" applyNumberFormat="1" applyFont="1" applyFill="1" applyBorder="1"/>
    <xf numFmtId="1" fontId="0" fillId="0" borderId="28" xfId="0" applyNumberFormat="1" applyFont="1" applyFill="1" applyBorder="1"/>
    <xf numFmtId="1" fontId="0" fillId="0" borderId="35" xfId="0" applyNumberFormat="1" applyFont="1" applyFill="1" applyBorder="1"/>
    <xf numFmtId="0" fontId="1" fillId="0" borderId="28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" fontId="0" fillId="0" borderId="33" xfId="0" applyNumberFormat="1" applyBorder="1"/>
    <xf numFmtId="164" fontId="0" fillId="0" borderId="33" xfId="0" applyNumberFormat="1" applyBorder="1"/>
    <xf numFmtId="0" fontId="1" fillId="5" borderId="28" xfId="0" applyFont="1" applyFill="1" applyBorder="1"/>
    <xf numFmtId="1" fontId="1" fillId="0" borderId="0" xfId="0" applyNumberFormat="1" applyFont="1" applyAlignment="1">
      <alignment horizontal="center" vertical="center"/>
    </xf>
    <xf numFmtId="167" fontId="0" fillId="0" borderId="0" xfId="0" applyNumberFormat="1" applyBorder="1"/>
    <xf numFmtId="0" fontId="2" fillId="28" borderId="28" xfId="0" applyFont="1" applyFill="1" applyBorder="1"/>
    <xf numFmtId="2" fontId="0" fillId="28" borderId="28" xfId="0" applyNumberFormat="1" applyFill="1" applyBorder="1"/>
    <xf numFmtId="0" fontId="2" fillId="4" borderId="28" xfId="0" applyFont="1" applyFill="1" applyBorder="1"/>
    <xf numFmtId="0" fontId="2" fillId="15" borderId="28" xfId="0" applyFont="1" applyFill="1" applyBorder="1"/>
    <xf numFmtId="0" fontId="1" fillId="15" borderId="28" xfId="0" applyFont="1" applyFill="1" applyBorder="1"/>
    <xf numFmtId="1" fontId="1" fillId="22" borderId="0" xfId="0" applyNumberFormat="1" applyFont="1" applyFill="1"/>
    <xf numFmtId="1" fontId="0" fillId="22" borderId="0" xfId="0" applyNumberFormat="1" applyFill="1" applyAlignment="1">
      <alignment horizontal="center" vertical="center"/>
    </xf>
    <xf numFmtId="1" fontId="1" fillId="22" borderId="0" xfId="0" applyNumberFormat="1" applyFont="1" applyFill="1" applyAlignment="1">
      <alignment horizontal="center" vertical="center"/>
    </xf>
    <xf numFmtId="172" fontId="1" fillId="22" borderId="0" xfId="0" applyNumberFormat="1" applyFont="1" applyFill="1" applyAlignment="1">
      <alignment horizontal="center" vertical="center"/>
    </xf>
    <xf numFmtId="0" fontId="1" fillId="23" borderId="52" xfId="0" applyFont="1" applyFill="1" applyBorder="1"/>
    <xf numFmtId="0" fontId="1" fillId="23" borderId="57" xfId="0" applyFont="1" applyFill="1" applyBorder="1"/>
    <xf numFmtId="0" fontId="0" fillId="23" borderId="57" xfId="0" applyFill="1" applyBorder="1"/>
    <xf numFmtId="0" fontId="1" fillId="23" borderId="74" xfId="0" applyFont="1" applyFill="1" applyBorder="1"/>
    <xf numFmtId="1" fontId="0" fillId="23" borderId="68" xfId="0" applyNumberFormat="1" applyFill="1" applyBorder="1"/>
    <xf numFmtId="0" fontId="0" fillId="23" borderId="0" xfId="0" applyFill="1" applyBorder="1"/>
    <xf numFmtId="1" fontId="0" fillId="23" borderId="0" xfId="0" applyNumberFormat="1" applyFill="1" applyBorder="1"/>
    <xf numFmtId="1" fontId="0" fillId="23" borderId="78" xfId="0" applyNumberFormat="1" applyFill="1" applyBorder="1"/>
    <xf numFmtId="4" fontId="0" fillId="23" borderId="0" xfId="0" applyNumberFormat="1" applyFill="1" applyBorder="1"/>
    <xf numFmtId="0" fontId="1" fillId="23" borderId="0" xfId="0" applyFont="1" applyFill="1" applyBorder="1"/>
    <xf numFmtId="4" fontId="1" fillId="23" borderId="0" xfId="0" applyNumberFormat="1" applyFont="1" applyFill="1" applyBorder="1"/>
    <xf numFmtId="1" fontId="6" fillId="23" borderId="68" xfId="0" applyNumberFormat="1" applyFont="1" applyFill="1" applyBorder="1"/>
    <xf numFmtId="4" fontId="6" fillId="23" borderId="0" xfId="0" applyNumberFormat="1" applyFont="1" applyFill="1" applyBorder="1"/>
    <xf numFmtId="0" fontId="0" fillId="23" borderId="68" xfId="0" applyFill="1" applyBorder="1"/>
    <xf numFmtId="0" fontId="0" fillId="23" borderId="82" xfId="0" applyFill="1" applyBorder="1"/>
    <xf numFmtId="4" fontId="6" fillId="23" borderId="62" xfId="0" applyNumberFormat="1" applyFont="1" applyFill="1" applyBorder="1"/>
    <xf numFmtId="0" fontId="1" fillId="23" borderId="62" xfId="0" applyFont="1" applyFill="1" applyBorder="1"/>
    <xf numFmtId="0" fontId="0" fillId="23" borderId="83" xfId="0" applyFill="1" applyBorder="1"/>
    <xf numFmtId="0" fontId="1" fillId="4" borderId="81" xfId="0" applyFont="1" applyFill="1" applyBorder="1"/>
    <xf numFmtId="0" fontId="0" fillId="12" borderId="33" xfId="0" applyFill="1" applyBorder="1"/>
    <xf numFmtId="0" fontId="2" fillId="12" borderId="28" xfId="0" applyFont="1" applyFill="1" applyBorder="1"/>
    <xf numFmtId="0" fontId="2" fillId="12" borderId="33" xfId="0" applyFont="1" applyFill="1" applyBorder="1"/>
    <xf numFmtId="167" fontId="0" fillId="12" borderId="33" xfId="0" applyNumberFormat="1" applyFill="1" applyBorder="1"/>
    <xf numFmtId="1" fontId="2" fillId="0" borderId="28" xfId="0" applyNumberFormat="1" applyFont="1" applyBorder="1" applyAlignment="1">
      <alignment vertical="top" wrapText="1"/>
    </xf>
    <xf numFmtId="1" fontId="2" fillId="0" borderId="28" xfId="0" applyNumberFormat="1" applyFont="1" applyBorder="1" applyAlignment="1">
      <alignment horizontal="center" vertical="top" wrapText="1"/>
    </xf>
    <xf numFmtId="172" fontId="2" fillId="0" borderId="28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81" xfId="0" applyFont="1" applyFill="1" applyBorder="1"/>
    <xf numFmtId="0" fontId="0" fillId="0" borderId="81" xfId="0" applyFill="1" applyBorder="1" applyAlignment="1">
      <alignment horizontal="center" vertical="center"/>
    </xf>
    <xf numFmtId="2" fontId="0" fillId="0" borderId="81" xfId="0" applyNumberFormat="1" applyFill="1" applyBorder="1" applyAlignment="1">
      <alignment horizontal="center" vertical="center"/>
    </xf>
    <xf numFmtId="1" fontId="2" fillId="12" borderId="15" xfId="0" applyNumberFormat="1" applyFont="1" applyFill="1" applyBorder="1" applyAlignment="1">
      <alignment vertical="top" wrapText="1"/>
    </xf>
    <xf numFmtId="1" fontId="2" fillId="12" borderId="19" xfId="0" applyNumberFormat="1" applyFont="1" applyFill="1" applyBorder="1" applyAlignment="1">
      <alignment vertical="top" wrapText="1"/>
    </xf>
    <xf numFmtId="172" fontId="2" fillId="12" borderId="23" xfId="0" applyNumberFormat="1" applyFont="1" applyFill="1" applyBorder="1" applyAlignment="1">
      <alignment vertical="top" wrapText="1"/>
    </xf>
    <xf numFmtId="172" fontId="2" fillId="12" borderId="0" xfId="0" applyNumberFormat="1" applyFont="1" applyFill="1" applyBorder="1" applyAlignment="1">
      <alignment vertical="top" wrapText="1"/>
    </xf>
    <xf numFmtId="0" fontId="2" fillId="0" borderId="28" xfId="0" applyFont="1" applyFill="1" applyBorder="1"/>
    <xf numFmtId="0" fontId="2" fillId="15" borderId="7" xfId="0" applyFont="1" applyFill="1" applyBorder="1"/>
    <xf numFmtId="2" fontId="0" fillId="15" borderId="7" xfId="0" applyNumberFormat="1" applyFill="1" applyBorder="1"/>
    <xf numFmtId="0" fontId="0" fillId="15" borderId="7" xfId="0" applyFill="1" applyBorder="1"/>
    <xf numFmtId="0" fontId="2" fillId="6" borderId="28" xfId="0" applyFont="1" applyFill="1" applyBorder="1"/>
    <xf numFmtId="4" fontId="0" fillId="6" borderId="28" xfId="0" applyNumberFormat="1" applyFill="1" applyBorder="1"/>
    <xf numFmtId="164" fontId="0" fillId="6" borderId="28" xfId="0" applyNumberFormat="1" applyFill="1" applyBorder="1"/>
    <xf numFmtId="2" fontId="0" fillId="6" borderId="28" xfId="0" applyNumberFormat="1" applyFill="1" applyBorder="1"/>
    <xf numFmtId="166" fontId="0" fillId="6" borderId="28" xfId="0" applyNumberFormat="1" applyFill="1" applyBorder="1"/>
    <xf numFmtId="172" fontId="0" fillId="0" borderId="0" xfId="0" applyNumberFormat="1"/>
    <xf numFmtId="1" fontId="1" fillId="0" borderId="0" xfId="0" applyNumberFormat="1" applyFont="1"/>
    <xf numFmtId="172" fontId="1" fillId="0" borderId="0" xfId="0" applyNumberFormat="1" applyFont="1"/>
    <xf numFmtId="0" fontId="2" fillId="6" borderId="0" xfId="0" applyFont="1" applyFill="1" applyBorder="1"/>
    <xf numFmtId="0" fontId="2" fillId="6" borderId="28" xfId="0" applyFont="1" applyFill="1" applyBorder="1" applyAlignment="1">
      <alignment horizontal="center" vertical="center"/>
    </xf>
    <xf numFmtId="4" fontId="0" fillId="0" borderId="0" xfId="0" applyNumberFormat="1" applyFill="1" applyBorder="1"/>
    <xf numFmtId="164" fontId="0" fillId="0" borderId="0" xfId="0" applyNumberFormat="1" applyFill="1" applyBorder="1"/>
    <xf numFmtId="0" fontId="2" fillId="6" borderId="28" xfId="0" applyFont="1" applyFill="1" applyBorder="1" applyAlignment="1">
      <alignment horizontal="center" vertical="center" wrapText="1"/>
    </xf>
    <xf numFmtId="166" fontId="2" fillId="6" borderId="28" xfId="0" applyNumberFormat="1" applyFont="1" applyFill="1" applyBorder="1" applyAlignment="1">
      <alignment horizontal="center" vertical="center" wrapText="1"/>
    </xf>
    <xf numFmtId="4" fontId="0" fillId="6" borderId="28" xfId="0" applyNumberFormat="1" applyFill="1" applyBorder="1" applyAlignment="1">
      <alignment horizontal="center" vertical="center"/>
    </xf>
    <xf numFmtId="164" fontId="0" fillId="6" borderId="28" xfId="0" applyNumberFormat="1" applyFill="1" applyBorder="1" applyAlignment="1">
      <alignment horizontal="center" vertical="center"/>
    </xf>
    <xf numFmtId="166" fontId="0" fillId="6" borderId="28" xfId="0" applyNumberFormat="1" applyFill="1" applyBorder="1" applyAlignment="1">
      <alignment horizontal="center" vertical="center"/>
    </xf>
    <xf numFmtId="164" fontId="1" fillId="6" borderId="28" xfId="0" applyNumberFormat="1" applyFont="1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2" fontId="0" fillId="6" borderId="2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/>
    </xf>
    <xf numFmtId="0" fontId="0" fillId="3" borderId="0" xfId="0" applyNumberFormat="1" applyFill="1"/>
    <xf numFmtId="0" fontId="2" fillId="0" borderId="0" xfId="0" applyFont="1" applyAlignment="1">
      <alignment horizontal="left"/>
    </xf>
    <xf numFmtId="168" fontId="0" fillId="0" borderId="0" xfId="0" applyNumberFormat="1"/>
    <xf numFmtId="0" fontId="0" fillId="0" borderId="0" xfId="0" applyFont="1"/>
    <xf numFmtId="2" fontId="2" fillId="0" borderId="0" xfId="0" applyNumberFormat="1" applyFont="1"/>
    <xf numFmtId="4" fontId="0" fillId="0" borderId="0" xfId="0" applyNumberFormat="1"/>
    <xf numFmtId="9" fontId="0" fillId="0" borderId="0" xfId="0" applyNumberFormat="1"/>
    <xf numFmtId="0" fontId="0" fillId="3" borderId="0" xfId="0" applyFill="1" applyAlignment="1">
      <alignment horizontal="left" indent="1"/>
    </xf>
    <xf numFmtId="0" fontId="0" fillId="13" borderId="0" xfId="0" applyFill="1" applyAlignment="1">
      <alignment horizontal="left" indent="1"/>
    </xf>
    <xf numFmtId="0" fontId="0" fillId="13" borderId="0" xfId="0" applyNumberFormat="1" applyFill="1"/>
    <xf numFmtId="2" fontId="0" fillId="3" borderId="35" xfId="0" applyNumberFormat="1" applyFill="1" applyBorder="1"/>
    <xf numFmtId="166" fontId="0" fillId="19" borderId="28" xfId="0" applyNumberFormat="1" applyFill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166" fontId="2" fillId="15" borderId="35" xfId="0" applyNumberFormat="1" applyFont="1" applyFill="1" applyBorder="1" applyAlignment="1">
      <alignment horizontal="center" vertical="center"/>
    </xf>
    <xf numFmtId="165" fontId="0" fillId="15" borderId="40" xfId="0" applyNumberFormat="1" applyFill="1" applyBorder="1" applyAlignment="1">
      <alignment horizontal="center" vertical="center"/>
    </xf>
    <xf numFmtId="166" fontId="0" fillId="19" borderId="36" xfId="0" applyNumberFormat="1" applyFill="1" applyBorder="1" applyAlignment="1">
      <alignment horizontal="center" vertical="center"/>
    </xf>
    <xf numFmtId="166" fontId="0" fillId="15" borderId="31" xfId="0" applyNumberFormat="1" applyFill="1" applyBorder="1" applyAlignment="1">
      <alignment horizontal="center" vertical="center"/>
    </xf>
    <xf numFmtId="166" fontId="0" fillId="19" borderId="37" xfId="0" applyNumberFormat="1" applyFill="1" applyBorder="1" applyAlignment="1">
      <alignment horizontal="center" vertical="center"/>
    </xf>
    <xf numFmtId="166" fontId="0" fillId="0" borderId="37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2" fillId="18" borderId="37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6" fontId="0" fillId="0" borderId="38" xfId="0" applyNumberFormat="1" applyBorder="1" applyAlignment="1">
      <alignment horizontal="center" vertical="center"/>
    </xf>
    <xf numFmtId="166" fontId="0" fillId="15" borderId="52" xfId="0" applyNumberFormat="1" applyFill="1" applyBorder="1" applyAlignment="1">
      <alignment horizontal="center" vertical="center"/>
    </xf>
    <xf numFmtId="165" fontId="2" fillId="15" borderId="35" xfId="0" applyNumberFormat="1" applyFont="1" applyFill="1" applyBorder="1" applyAlignment="1">
      <alignment horizontal="center" vertical="center"/>
    </xf>
    <xf numFmtId="166" fontId="0" fillId="15" borderId="40" xfId="0" applyNumberFormat="1" applyFill="1" applyBorder="1" applyAlignment="1">
      <alignment horizontal="center" vertical="center"/>
    </xf>
    <xf numFmtId="166" fontId="0" fillId="19" borderId="42" xfId="0" applyNumberFormat="1" applyFill="1" applyBorder="1" applyAlignment="1">
      <alignment horizontal="center" vertical="center"/>
    </xf>
    <xf numFmtId="0" fontId="0" fillId="12" borderId="31" xfId="0" applyFill="1" applyBorder="1" applyAlignment="1">
      <alignment horizontal="center" vertical="center"/>
    </xf>
    <xf numFmtId="166" fontId="0" fillId="12" borderId="31" xfId="0" applyNumberFormat="1" applyFill="1" applyBorder="1" applyAlignment="1">
      <alignment horizontal="center" vertical="center"/>
    </xf>
    <xf numFmtId="166" fontId="0" fillId="15" borderId="43" xfId="0" applyNumberForma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1" fontId="0" fillId="15" borderId="36" xfId="0" applyNumberFormat="1" applyFill="1" applyBorder="1" applyAlignment="1">
      <alignment horizontal="center" vertical="center"/>
    </xf>
    <xf numFmtId="165" fontId="0" fillId="15" borderId="31" xfId="0" applyNumberFormat="1" applyFill="1" applyBorder="1" applyAlignment="1">
      <alignment horizontal="center" vertical="center"/>
    </xf>
    <xf numFmtId="165" fontId="0" fillId="15" borderId="36" xfId="0" applyNumberForma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15" borderId="34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1" fillId="29" borderId="84" xfId="0" applyFont="1" applyFill="1" applyBorder="1" applyAlignment="1">
      <alignment horizontal="center" vertical="center" wrapText="1" readingOrder="1"/>
    </xf>
    <xf numFmtId="0" fontId="33" fillId="30" borderId="84" xfId="0" applyFont="1" applyFill="1" applyBorder="1" applyAlignment="1">
      <alignment horizontal="left" vertical="center" wrapText="1" readingOrder="1"/>
    </xf>
    <xf numFmtId="4" fontId="34" fillId="30" borderId="84" xfId="0" applyNumberFormat="1" applyFont="1" applyFill="1" applyBorder="1" applyAlignment="1">
      <alignment horizontal="center" wrapText="1" readingOrder="1"/>
    </xf>
    <xf numFmtId="9" fontId="34" fillId="30" borderId="84" xfId="0" applyNumberFormat="1" applyFont="1" applyFill="1" applyBorder="1" applyAlignment="1">
      <alignment horizontal="center" vertical="center" wrapText="1" readingOrder="1"/>
    </xf>
    <xf numFmtId="9" fontId="34" fillId="30" borderId="84" xfId="0" applyNumberFormat="1" applyFont="1" applyFill="1" applyBorder="1" applyAlignment="1">
      <alignment horizontal="center" wrapText="1" readingOrder="1"/>
    </xf>
    <xf numFmtId="0" fontId="33" fillId="31" borderId="84" xfId="0" applyFont="1" applyFill="1" applyBorder="1" applyAlignment="1">
      <alignment horizontal="left" vertical="center" wrapText="1" readingOrder="1"/>
    </xf>
    <xf numFmtId="4" fontId="34" fillId="31" borderId="84" xfId="0" applyNumberFormat="1" applyFont="1" applyFill="1" applyBorder="1" applyAlignment="1">
      <alignment horizontal="center" wrapText="1" readingOrder="1"/>
    </xf>
    <xf numFmtId="0" fontId="34" fillId="31" borderId="84" xfId="0" applyFont="1" applyFill="1" applyBorder="1" applyAlignment="1">
      <alignment horizontal="center" wrapText="1" readingOrder="1"/>
    </xf>
    <xf numFmtId="9" fontId="34" fillId="31" borderId="84" xfId="0" applyNumberFormat="1" applyFont="1" applyFill="1" applyBorder="1" applyAlignment="1">
      <alignment horizontal="center" vertical="center" wrapText="1" readingOrder="1"/>
    </xf>
    <xf numFmtId="9" fontId="34" fillId="31" borderId="84" xfId="0" applyNumberFormat="1" applyFont="1" applyFill="1" applyBorder="1" applyAlignment="1">
      <alignment horizontal="center" wrapText="1" readingOrder="1"/>
    </xf>
    <xf numFmtId="0" fontId="34" fillId="30" borderId="84" xfId="0" applyFont="1" applyFill="1" applyBorder="1" applyAlignment="1">
      <alignment horizontal="center" wrapText="1" readingOrder="1"/>
    </xf>
    <xf numFmtId="0" fontId="0" fillId="0" borderId="0" xfId="0" applyAlignment="1">
      <alignment horizontal="center"/>
    </xf>
    <xf numFmtId="0" fontId="32" fillId="29" borderId="85" xfId="0" applyFont="1" applyFill="1" applyBorder="1" applyAlignment="1">
      <alignment horizontal="center" vertical="center" wrapText="1" readingOrder="1"/>
    </xf>
    <xf numFmtId="0" fontId="35" fillId="0" borderId="0" xfId="3"/>
    <xf numFmtId="0" fontId="35" fillId="0" borderId="0" xfId="3" applyFill="1" applyBorder="1"/>
    <xf numFmtId="0" fontId="2" fillId="4" borderId="81" xfId="0" applyFont="1" applyFill="1" applyBorder="1"/>
    <xf numFmtId="2" fontId="1" fillId="4" borderId="28" xfId="1" applyNumberFormat="1" applyFont="1" applyFill="1" applyBorder="1"/>
    <xf numFmtId="2" fontId="1" fillId="0" borderId="81" xfId="0" applyNumberFormat="1" applyFont="1" applyFill="1" applyBorder="1"/>
    <xf numFmtId="2" fontId="1" fillId="0" borderId="68" xfId="0" applyNumberFormat="1" applyFont="1" applyFill="1" applyBorder="1"/>
    <xf numFmtId="2" fontId="1" fillId="0" borderId="0" xfId="0" applyNumberFormat="1" applyFont="1" applyFill="1" applyBorder="1"/>
    <xf numFmtId="2" fontId="1" fillId="0" borderId="28" xfId="0" applyNumberFormat="1" applyFont="1" applyFill="1" applyBorder="1"/>
    <xf numFmtId="0" fontId="2" fillId="4" borderId="28" xfId="0" applyFont="1" applyFill="1" applyBorder="1" applyAlignment="1">
      <alignment horizontal="centerContinuous" vertical="center" wrapText="1"/>
    </xf>
    <xf numFmtId="0" fontId="0" fillId="15" borderId="28" xfId="0" applyFill="1" applyBorder="1" applyAlignment="1">
      <alignment horizontal="center" vertical="center"/>
    </xf>
    <xf numFmtId="10" fontId="0" fillId="15" borderId="28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2" fillId="10" borderId="28" xfId="0" applyNumberFormat="1" applyFont="1" applyFill="1" applyBorder="1" applyAlignment="1">
      <alignment horizontal="center" vertical="center" wrapText="1"/>
    </xf>
    <xf numFmtId="164" fontId="0" fillId="15" borderId="28" xfId="0" applyNumberFormat="1" applyFill="1" applyBorder="1" applyAlignment="1">
      <alignment horizontal="center" vertical="center"/>
    </xf>
    <xf numFmtId="166" fontId="0" fillId="15" borderId="28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8" xfId="0" applyBorder="1" applyAlignment="1">
      <alignment wrapText="1"/>
    </xf>
    <xf numFmtId="0" fontId="4" fillId="0" borderId="49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50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50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6" xfId="0" applyFont="1" applyBorder="1" applyAlignment="1">
      <alignment horizontal="center"/>
    </xf>
    <xf numFmtId="3" fontId="2" fillId="3" borderId="10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26" xfId="0" applyFill="1" applyBorder="1" applyAlignment="1">
      <alignment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13" fillId="5" borderId="68" xfId="0" applyFont="1" applyFill="1" applyBorder="1" applyAlignment="1">
      <alignment horizontal="center" vertical="top" wrapText="1"/>
    </xf>
    <xf numFmtId="0" fontId="13" fillId="5" borderId="0" xfId="0" applyFont="1" applyFill="1" applyBorder="1" applyAlignment="1">
      <alignment horizontal="center" vertical="top" wrapText="1"/>
    </xf>
    <xf numFmtId="0" fontId="1" fillId="0" borderId="0" xfId="0" applyFont="1" applyBorder="1" applyAlignment="1"/>
    <xf numFmtId="0" fontId="0" fillId="0" borderId="0" xfId="0" applyAlignment="1"/>
    <xf numFmtId="0" fontId="2" fillId="12" borderId="68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16" borderId="68" xfId="0" applyFont="1" applyFill="1" applyBorder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0" fillId="16" borderId="0" xfId="0" applyFill="1" applyAlignment="1"/>
    <xf numFmtId="0" fontId="2" fillId="7" borderId="68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horizontal="left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70" xfId="0" applyFont="1" applyBorder="1" applyAlignment="1">
      <alignment vertical="top" wrapText="1"/>
    </xf>
    <xf numFmtId="0" fontId="2" fillId="0" borderId="71" xfId="0" applyFont="1" applyBorder="1" applyAlignment="1">
      <alignment wrapText="1"/>
    </xf>
    <xf numFmtId="0" fontId="0" fillId="0" borderId="41" xfId="0" applyBorder="1" applyAlignment="1"/>
    <xf numFmtId="0" fontId="2" fillId="14" borderId="72" xfId="0" applyFont="1" applyFill="1" applyBorder="1" applyAlignment="1"/>
    <xf numFmtId="0" fontId="0" fillId="0" borderId="53" xfId="0" applyBorder="1" applyAlignment="1"/>
    <xf numFmtId="0" fontId="2" fillId="14" borderId="39" xfId="0" applyFont="1" applyFill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3" xfId="0" applyBorder="1" applyAlignment="1">
      <alignment horizontal="center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/>
    <xf numFmtId="0" fontId="2" fillId="6" borderId="2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indent="4"/>
    </xf>
    <xf numFmtId="0" fontId="39" fillId="0" borderId="0" xfId="0" applyFont="1" applyAlignment="1">
      <alignment horizontal="left" vertical="center" indent="8"/>
    </xf>
    <xf numFmtId="0" fontId="38" fillId="0" borderId="0" xfId="0" applyFont="1"/>
  </cellXfs>
  <cellStyles count="4">
    <cellStyle name="Hyperlink" xfId="3" builtinId="8"/>
    <cellStyle name="Normal" xfId="0" builtinId="0"/>
    <cellStyle name="Normal 2" xfId="1" xr:uid="{00000000-0005-0000-0000-000001000000}"/>
    <cellStyle name="Percent" xfId="2" builtinId="5"/>
  </cellStyles>
  <dxfs count="26"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2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30480</xdr:rowOff>
    </xdr:from>
    <xdr:to>
      <xdr:col>3</xdr:col>
      <xdr:colOff>381006</xdr:colOff>
      <xdr:row>38</xdr:row>
      <xdr:rowOff>60966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780B10-0F59-4F8E-B712-E890D6A0A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9240"/>
          <a:ext cx="2209806" cy="220980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28</xdr:row>
      <xdr:rowOff>161925</xdr:rowOff>
    </xdr:from>
    <xdr:to>
      <xdr:col>7</xdr:col>
      <xdr:colOff>447675</xdr:colOff>
      <xdr:row>37</xdr:row>
      <xdr:rowOff>26670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65520" y="6326505"/>
          <a:ext cx="3617595" cy="208216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23</xdr:row>
      <xdr:rowOff>533400</xdr:rowOff>
    </xdr:from>
    <xdr:to>
      <xdr:col>4</xdr:col>
      <xdr:colOff>114300</xdr:colOff>
      <xdr:row>32</xdr:row>
      <xdr:rowOff>619125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81375" y="5495925"/>
          <a:ext cx="3667125" cy="22288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4</xdr:row>
      <xdr:rowOff>171450</xdr:rowOff>
    </xdr:from>
    <xdr:to>
      <xdr:col>6</xdr:col>
      <xdr:colOff>342900</xdr:colOff>
      <xdr:row>10</xdr:row>
      <xdr:rowOff>104775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200525" y="1571625"/>
          <a:ext cx="3486150" cy="18478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1514475</xdr:colOff>
      <xdr:row>37</xdr:row>
      <xdr:rowOff>114300</xdr:rowOff>
    </xdr:from>
    <xdr:to>
      <xdr:col>5</xdr:col>
      <xdr:colOff>495300</xdr:colOff>
      <xdr:row>47</xdr:row>
      <xdr:rowOff>47625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14475" y="7381875"/>
          <a:ext cx="4152900" cy="1552575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</xdr:colOff>
      <xdr:row>6</xdr:row>
      <xdr:rowOff>43815</xdr:rowOff>
    </xdr:from>
    <xdr:to>
      <xdr:col>5</xdr:col>
      <xdr:colOff>834390</xdr:colOff>
      <xdr:row>15</xdr:row>
      <xdr:rowOff>89535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722370" y="1270635"/>
          <a:ext cx="4312920" cy="162306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4</xdr:row>
      <xdr:rowOff>123825</xdr:rowOff>
    </xdr:from>
    <xdr:to>
      <xdr:col>4</xdr:col>
      <xdr:colOff>914400</xdr:colOff>
      <xdr:row>14</xdr:row>
      <xdr:rowOff>66675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38325" y="1114425"/>
          <a:ext cx="4152900" cy="15811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2063115</xdr:colOff>
      <xdr:row>32</xdr:row>
      <xdr:rowOff>224790</xdr:rowOff>
    </xdr:from>
    <xdr:to>
      <xdr:col>4</xdr:col>
      <xdr:colOff>331470</xdr:colOff>
      <xdr:row>38</xdr:row>
      <xdr:rowOff>521970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63115" y="5977890"/>
          <a:ext cx="4257675" cy="163830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542961</xdr:colOff>
      <xdr:row>36</xdr:row>
      <xdr:rowOff>160906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03A08D-91B2-4E0E-8ED2-709DC8E0D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4810161" cy="58282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</xdr:colOff>
      <xdr:row>41</xdr:row>
      <xdr:rowOff>255270</xdr:rowOff>
    </xdr:from>
    <xdr:to>
      <xdr:col>9</xdr:col>
      <xdr:colOff>824865</xdr:colOff>
      <xdr:row>54</xdr:row>
      <xdr:rowOff>146685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606790" y="8322945"/>
          <a:ext cx="3609975" cy="3091815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857250</xdr:colOff>
      <xdr:row>22</xdr:row>
      <xdr:rowOff>133350</xdr:rowOff>
    </xdr:from>
    <xdr:to>
      <xdr:col>8</xdr:col>
      <xdr:colOff>394335</xdr:colOff>
      <xdr:row>30</xdr:row>
      <xdr:rowOff>154305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806690" y="4301490"/>
          <a:ext cx="3964305" cy="187261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1598295</xdr:colOff>
      <xdr:row>20</xdr:row>
      <xdr:rowOff>85725</xdr:rowOff>
    </xdr:from>
    <xdr:to>
      <xdr:col>3</xdr:col>
      <xdr:colOff>1030605</xdr:colOff>
      <xdr:row>34</xdr:row>
      <xdr:rowOff>57150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98295" y="4291965"/>
          <a:ext cx="4621530" cy="3575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ic, Mary" refreshedDate="43124.575223726853" createdVersion="6" refreshedVersion="6" minRefreshableVersion="3" recordCount="195" xr:uid="{7300AF7C-7103-41A4-B067-6F47D6483FBE}">
  <cacheSource type="worksheet">
    <worksheetSource ref="M1:Q196" sheet="Harris Chain Ag BMPs_032017"/>
  </cacheSource>
  <cacheFields count="6">
    <cacheField name="Lake Name" numFmtId="1">
      <sharedItems count="9">
        <s v="Beauclair"/>
        <s v="Carlton"/>
        <s v="Dora"/>
        <s v="Eustis"/>
        <s v="Griffin"/>
        <s v="Harris"/>
        <s v="L Harris"/>
        <s v="Trout"/>
        <s v="Yale"/>
      </sharedItems>
    </cacheField>
    <cacheField name="Commodity" numFmtId="1">
      <sharedItems count="6">
        <s v="Citrus"/>
        <s v="Nursery"/>
        <s v="Row/Field Crop"/>
        <s v="Sod"/>
        <s v="Fruit/Nut"/>
        <s v="Cow/Calf"/>
      </sharedItems>
    </cacheField>
    <cacheField name="SOURCE2009" numFmtId="1">
      <sharedItems count="17">
        <s v="Cropland"/>
        <s v="Other agriculture"/>
        <s v="Pasture"/>
        <s v="Tree crops"/>
        <s v="Industrial"/>
        <s v="High density commercial"/>
        <s v="High density residential"/>
        <s v="Low density residential"/>
        <s v="Open land/recreation"/>
        <s v="Mining"/>
        <s v="Sprayfield"/>
        <s v="Low density commercial/Institutional"/>
        <s v="Medium density residential"/>
        <s v="Forest/Rangeland"/>
        <s v="Muck Farm"/>
        <s v="Water"/>
        <s v="Wetlands"/>
      </sharedItems>
    </cacheField>
    <cacheField name="MODEL_2015" numFmtId="1">
      <sharedItems count="7">
        <s v="Agriculture activities"/>
        <s v="Developed Land Use- High"/>
        <s v="Developed Land Use- Low"/>
        <s v="Developed Land Use- Medium"/>
        <s v="Forest, range, or open land"/>
        <s v="Muck farm or restoration area"/>
        <s v="Open water or wetlands"/>
      </sharedItems>
    </cacheField>
    <cacheField name="FREQUENCY" numFmtId="1">
      <sharedItems containsSemiMixedTypes="0" containsString="0" containsNumber="1" containsInteger="1" minValue="1" maxValue="112"/>
    </cacheField>
    <cacheField name="SUM_ACREAG" numFmtId="167">
      <sharedItems containsSemiMixedTypes="0" containsString="0" containsNumber="1" minValue="4.18911772871E-4" maxValue="1473.30008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ic, Mary" refreshedDate="43188.579652893517" createdVersion="6" refreshedVersion="6" minRefreshableVersion="3" recordCount="202" xr:uid="{AA5EBDCD-D95A-4FFF-92C2-E60DF105AD58}">
  <cacheSource type="worksheet">
    <worksheetSource ref="A2:E204" sheet="Basin_acreages_122017"/>
  </cacheSource>
  <cacheFields count="5">
    <cacheField name="LAKE_TWO" numFmtId="1">
      <sharedItems count="9">
        <s v="Beauclair"/>
        <s v="Carlton"/>
        <s v="Dora"/>
        <s v="Eustis"/>
        <s v="Griffin"/>
        <s v="Harris"/>
        <s v="L Harris"/>
        <s v="Trout"/>
        <s v="Yale"/>
      </sharedItems>
    </cacheField>
    <cacheField name="SOURCE2009 Modeled" numFmtId="1">
      <sharedItems count="17">
        <s v="Cropland"/>
        <s v="Forest/Rangeland"/>
        <s v="Industrial"/>
        <s v="Low density commercial/Institutional"/>
        <s v="Low density residential"/>
        <s v="Medium density residential"/>
        <s v="Muck Farm"/>
        <s v="Other agriculture"/>
        <s v="Pasture"/>
        <s v="Tree crops"/>
        <s v="Water"/>
        <s v="Wetlands"/>
        <s v="High density commercial"/>
        <s v="Open land/recreation"/>
        <s v="Mining"/>
        <s v="High density residential"/>
        <s v="Sprayfield"/>
      </sharedItems>
    </cacheField>
    <cacheField name="COMMODITY NOI" numFmtId="1">
      <sharedItems/>
    </cacheField>
    <cacheField name="FREQUENCY" numFmtId="1">
      <sharedItems containsSemiMixedTypes="0" containsString="0" containsNumber="1" containsInteger="1" minValue="1" maxValue="111"/>
    </cacheField>
    <cacheField name="SUM_ACREAG" numFmtId="172">
      <sharedItems containsSemiMixedTypes="0" containsString="0" containsNumber="1" minValue="4.4127211943E-4" maxValue="1473.30731207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ic, Mary" refreshedDate="43188.744825925925" createdVersion="6" refreshedVersion="6" minRefreshableVersion="3" recordCount="366" xr:uid="{0C5BEB7C-842B-4E09-85CF-CC9A82CD44BA}">
  <cacheSource type="worksheet">
    <worksheetSource ref="A1:E367" sheet="122017 ag asummary"/>
  </cacheSource>
  <cacheFields count="5">
    <cacheField name="CONT_LAKE" numFmtId="1">
      <sharedItems count="10">
        <s v="Apopka"/>
        <s v="Beauclair"/>
        <s v="Dora"/>
        <s v="Eustis"/>
        <s v="Griffin"/>
        <s v="Harris"/>
        <s v="L Harris"/>
        <s v="Nolake"/>
        <s v="Palatlakaha Riv*"/>
        <s v="Yale"/>
      </sharedItems>
    </cacheField>
    <cacheField name="COMMODITY" numFmtId="1">
      <sharedItems count="14">
        <s v="CITRUS"/>
        <s v="CITRUS; FRUIT/NUT"/>
        <s v="COW/CALF"/>
        <s v="FRUIT/NUT"/>
        <s v="FRUIT/NUT; NURSERY"/>
        <s v="NURSERY"/>
        <s v="ROW/FIELD CROPS"/>
        <s v="SOD"/>
        <s v="CITRUS; ROW/FIELD CROPS"/>
        <s v="CITRUS; NURSERY"/>
        <s v="EQUINE"/>
        <s v="COW/CALF; FRUIT/NUT"/>
        <s v="COW/CALF; NURSERY"/>
        <s v="CITRUS; COW/CALF"/>
      </sharedItems>
    </cacheField>
    <cacheField name="SOURCE2009" numFmtId="1">
      <sharedItems containsBlank="1" count="19">
        <s v="Cropland"/>
        <s v="Forest/Rangeland"/>
        <s v="High density commercial"/>
        <s v="Industrial"/>
        <s v="Low density commercial/Institutional"/>
        <s v="Low density residential"/>
        <s v="Medium density residential"/>
        <s v="Other agriculture"/>
        <s v="Pasture"/>
        <s v="Tree crops"/>
        <s v="Water"/>
        <s v="Wetlands"/>
        <m/>
        <s v="Feeding operations"/>
        <s v="High density residential"/>
        <s v="Muck Farm"/>
        <s v="Open land/recreation"/>
        <s v="Mining"/>
        <s v="Sprayfield"/>
      </sharedItems>
    </cacheField>
    <cacheField name="FREQUENCY" numFmtId="1">
      <sharedItems containsSemiMixedTypes="0" containsString="0" containsNumber="1" containsInteger="1" minValue="1" maxValue="1294"/>
    </cacheField>
    <cacheField name="SUM_ACRES" numFmtId="168">
      <sharedItems containsSemiMixedTypes="0" containsString="0" containsNumber="1" minValue="9.4714900537100001E-9" maxValue="2469.12539023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x v="0"/>
    <x v="0"/>
    <x v="0"/>
    <n v="2"/>
    <n v="0.31301437130300003"/>
  </r>
  <r>
    <x v="0"/>
    <x v="0"/>
    <x v="1"/>
    <x v="0"/>
    <n v="1"/>
    <n v="6.3331479115599998E-2"/>
  </r>
  <r>
    <x v="0"/>
    <x v="0"/>
    <x v="2"/>
    <x v="0"/>
    <n v="4"/>
    <n v="1.7885541516700001"/>
  </r>
  <r>
    <x v="0"/>
    <x v="0"/>
    <x v="3"/>
    <x v="0"/>
    <n v="8"/>
    <n v="91.276001157099998"/>
  </r>
  <r>
    <x v="0"/>
    <x v="1"/>
    <x v="0"/>
    <x v="0"/>
    <n v="2"/>
    <n v="25.887937773400001"/>
  </r>
  <r>
    <x v="0"/>
    <x v="1"/>
    <x v="1"/>
    <x v="0"/>
    <n v="16"/>
    <n v="1.27057461868"/>
  </r>
  <r>
    <x v="0"/>
    <x v="1"/>
    <x v="2"/>
    <x v="0"/>
    <n v="1"/>
    <n v="3.9344717267999997E-3"/>
  </r>
  <r>
    <x v="0"/>
    <x v="2"/>
    <x v="0"/>
    <x v="0"/>
    <n v="19"/>
    <n v="204.472433024"/>
  </r>
  <r>
    <x v="0"/>
    <x v="2"/>
    <x v="1"/>
    <x v="0"/>
    <n v="5"/>
    <n v="0.13141225865299999"/>
  </r>
  <r>
    <x v="0"/>
    <x v="2"/>
    <x v="2"/>
    <x v="0"/>
    <n v="27"/>
    <n v="17.325977731199998"/>
  </r>
  <r>
    <x v="0"/>
    <x v="3"/>
    <x v="0"/>
    <x v="0"/>
    <n v="12"/>
    <n v="98.9157876501"/>
  </r>
  <r>
    <x v="0"/>
    <x v="3"/>
    <x v="1"/>
    <x v="0"/>
    <n v="11"/>
    <n v="11.424158712800001"/>
  </r>
  <r>
    <x v="0"/>
    <x v="3"/>
    <x v="2"/>
    <x v="0"/>
    <n v="8"/>
    <n v="2.3111829348100001"/>
  </r>
  <r>
    <x v="1"/>
    <x v="0"/>
    <x v="0"/>
    <x v="0"/>
    <n v="26"/>
    <n v="108.190185872"/>
  </r>
  <r>
    <x v="1"/>
    <x v="0"/>
    <x v="1"/>
    <x v="0"/>
    <n v="9"/>
    <n v="5.0590937153600004"/>
  </r>
  <r>
    <x v="1"/>
    <x v="0"/>
    <x v="2"/>
    <x v="0"/>
    <n v="10"/>
    <n v="19.559328540900001"/>
  </r>
  <r>
    <x v="1"/>
    <x v="0"/>
    <x v="3"/>
    <x v="0"/>
    <n v="14"/>
    <n v="140.09232569400001"/>
  </r>
  <r>
    <x v="1"/>
    <x v="1"/>
    <x v="0"/>
    <x v="0"/>
    <n v="16"/>
    <n v="9.5636737501900004"/>
  </r>
  <r>
    <x v="1"/>
    <x v="1"/>
    <x v="1"/>
    <x v="0"/>
    <n v="40"/>
    <n v="64.426263867299994"/>
  </r>
  <r>
    <x v="1"/>
    <x v="1"/>
    <x v="2"/>
    <x v="0"/>
    <n v="11"/>
    <n v="0.65842821353500003"/>
  </r>
  <r>
    <x v="1"/>
    <x v="1"/>
    <x v="3"/>
    <x v="0"/>
    <n v="21"/>
    <n v="22.112899974699999"/>
  </r>
  <r>
    <x v="2"/>
    <x v="0"/>
    <x v="2"/>
    <x v="0"/>
    <n v="2"/>
    <n v="0.69440190192200002"/>
  </r>
  <r>
    <x v="2"/>
    <x v="0"/>
    <x v="3"/>
    <x v="0"/>
    <n v="3"/>
    <n v="26.622331862199999"/>
  </r>
  <r>
    <x v="2"/>
    <x v="4"/>
    <x v="0"/>
    <x v="0"/>
    <n v="12"/>
    <n v="80.732850969699996"/>
  </r>
  <r>
    <x v="2"/>
    <x v="4"/>
    <x v="1"/>
    <x v="0"/>
    <n v="3"/>
    <n v="5.6420824782799999"/>
  </r>
  <r>
    <x v="3"/>
    <x v="0"/>
    <x v="0"/>
    <x v="0"/>
    <n v="2"/>
    <n v="1.4335276498499999E-2"/>
  </r>
  <r>
    <x v="3"/>
    <x v="0"/>
    <x v="2"/>
    <x v="0"/>
    <n v="2"/>
    <n v="5.4770158884900004"/>
  </r>
  <r>
    <x v="3"/>
    <x v="0"/>
    <x v="3"/>
    <x v="0"/>
    <n v="4"/>
    <n v="22.894305567499998"/>
  </r>
  <r>
    <x v="3"/>
    <x v="1"/>
    <x v="1"/>
    <x v="0"/>
    <n v="3"/>
    <n v="3.2255728447699998"/>
  </r>
  <r>
    <x v="3"/>
    <x v="2"/>
    <x v="0"/>
    <x v="0"/>
    <n v="2"/>
    <n v="8.8416185369400005E-2"/>
  </r>
  <r>
    <x v="3"/>
    <x v="2"/>
    <x v="2"/>
    <x v="0"/>
    <n v="3"/>
    <n v="20.612120800700001"/>
  </r>
  <r>
    <x v="3"/>
    <x v="2"/>
    <x v="3"/>
    <x v="0"/>
    <n v="3"/>
    <n v="9.6953236485400005"/>
  </r>
  <r>
    <x v="4"/>
    <x v="0"/>
    <x v="0"/>
    <x v="0"/>
    <n v="1"/>
    <n v="10.2905842734"/>
  </r>
  <r>
    <x v="4"/>
    <x v="0"/>
    <x v="1"/>
    <x v="0"/>
    <n v="8"/>
    <n v="53.337276847600002"/>
  </r>
  <r>
    <x v="4"/>
    <x v="0"/>
    <x v="2"/>
    <x v="0"/>
    <n v="1"/>
    <n v="0.29618941725499998"/>
  </r>
  <r>
    <x v="4"/>
    <x v="0"/>
    <x v="3"/>
    <x v="0"/>
    <n v="9"/>
    <n v="11.0810499867"/>
  </r>
  <r>
    <x v="4"/>
    <x v="5"/>
    <x v="0"/>
    <x v="0"/>
    <n v="7"/>
    <n v="35.3853025716"/>
  </r>
  <r>
    <x v="4"/>
    <x v="5"/>
    <x v="2"/>
    <x v="0"/>
    <n v="20"/>
    <n v="254.40159224499999"/>
  </r>
  <r>
    <x v="4"/>
    <x v="4"/>
    <x v="0"/>
    <x v="0"/>
    <n v="3"/>
    <n v="45.748230393999997"/>
  </r>
  <r>
    <x v="4"/>
    <x v="4"/>
    <x v="2"/>
    <x v="0"/>
    <n v="20"/>
    <n v="155.34141772500001"/>
  </r>
  <r>
    <x v="5"/>
    <x v="0"/>
    <x v="0"/>
    <x v="0"/>
    <n v="21"/>
    <n v="18.533200493300001"/>
  </r>
  <r>
    <x v="5"/>
    <x v="0"/>
    <x v="1"/>
    <x v="0"/>
    <n v="5"/>
    <n v="0.26089490478400001"/>
  </r>
  <r>
    <x v="5"/>
    <x v="0"/>
    <x v="2"/>
    <x v="0"/>
    <n v="7"/>
    <n v="65.404546392100002"/>
  </r>
  <r>
    <x v="5"/>
    <x v="0"/>
    <x v="3"/>
    <x v="0"/>
    <n v="40"/>
    <n v="601.90271756200002"/>
  </r>
  <r>
    <x v="5"/>
    <x v="5"/>
    <x v="0"/>
    <x v="0"/>
    <n v="5"/>
    <n v="2.7340888053599999"/>
  </r>
  <r>
    <x v="5"/>
    <x v="5"/>
    <x v="2"/>
    <x v="0"/>
    <n v="2"/>
    <n v="5.4377879822999997"/>
  </r>
  <r>
    <x v="5"/>
    <x v="5"/>
    <x v="3"/>
    <x v="0"/>
    <n v="1"/>
    <n v="0.40390478193899998"/>
  </r>
  <r>
    <x v="6"/>
    <x v="0"/>
    <x v="1"/>
    <x v="0"/>
    <n v="3"/>
    <n v="0.14884580494300001"/>
  </r>
  <r>
    <x v="6"/>
    <x v="0"/>
    <x v="2"/>
    <x v="0"/>
    <n v="14"/>
    <n v="3.6018873035699999"/>
  </r>
  <r>
    <x v="6"/>
    <x v="0"/>
    <x v="3"/>
    <x v="0"/>
    <n v="21"/>
    <n v="256.58837348899999"/>
  </r>
  <r>
    <x v="6"/>
    <x v="1"/>
    <x v="1"/>
    <x v="0"/>
    <n v="17"/>
    <n v="74.798975136699994"/>
  </r>
  <r>
    <x v="6"/>
    <x v="1"/>
    <x v="2"/>
    <x v="0"/>
    <n v="8"/>
    <n v="5.1006676646500004"/>
  </r>
  <r>
    <x v="6"/>
    <x v="1"/>
    <x v="3"/>
    <x v="0"/>
    <n v="5"/>
    <n v="1.0305516368200001"/>
  </r>
  <r>
    <x v="7"/>
    <x v="0"/>
    <x v="2"/>
    <x v="0"/>
    <n v="4"/>
    <n v="0.50631428130599998"/>
  </r>
  <r>
    <x v="7"/>
    <x v="0"/>
    <x v="3"/>
    <x v="0"/>
    <n v="29"/>
    <n v="89.788554385400005"/>
  </r>
  <r>
    <x v="7"/>
    <x v="5"/>
    <x v="0"/>
    <x v="0"/>
    <n v="6"/>
    <n v="21.918633996099999"/>
  </r>
  <r>
    <x v="7"/>
    <x v="5"/>
    <x v="2"/>
    <x v="0"/>
    <n v="19"/>
    <n v="53.9253527917"/>
  </r>
  <r>
    <x v="7"/>
    <x v="5"/>
    <x v="3"/>
    <x v="0"/>
    <n v="7"/>
    <n v="25.673212359699999"/>
  </r>
  <r>
    <x v="7"/>
    <x v="4"/>
    <x v="3"/>
    <x v="0"/>
    <n v="6"/>
    <n v="5.2525070835300003"/>
  </r>
  <r>
    <x v="7"/>
    <x v="1"/>
    <x v="1"/>
    <x v="0"/>
    <n v="1"/>
    <n v="3.5996354038899998"/>
  </r>
  <r>
    <x v="7"/>
    <x v="3"/>
    <x v="2"/>
    <x v="0"/>
    <n v="8"/>
    <n v="6.8118055528900001"/>
  </r>
  <r>
    <x v="8"/>
    <x v="0"/>
    <x v="0"/>
    <x v="0"/>
    <n v="1"/>
    <n v="17.0105680084"/>
  </r>
  <r>
    <x v="8"/>
    <x v="0"/>
    <x v="1"/>
    <x v="0"/>
    <n v="3"/>
    <n v="0.13547536554199999"/>
  </r>
  <r>
    <x v="8"/>
    <x v="0"/>
    <x v="2"/>
    <x v="0"/>
    <n v="19"/>
    <n v="30.911021936400001"/>
  </r>
  <r>
    <x v="8"/>
    <x v="0"/>
    <x v="3"/>
    <x v="0"/>
    <n v="62"/>
    <n v="374.433412008"/>
  </r>
  <r>
    <x v="8"/>
    <x v="5"/>
    <x v="2"/>
    <x v="0"/>
    <n v="21"/>
    <n v="77.274747833399999"/>
  </r>
  <r>
    <x v="8"/>
    <x v="5"/>
    <x v="3"/>
    <x v="0"/>
    <n v="10"/>
    <n v="40.857649300200002"/>
  </r>
  <r>
    <x v="8"/>
    <x v="4"/>
    <x v="1"/>
    <x v="0"/>
    <n v="9"/>
    <n v="47.316782160099997"/>
  </r>
  <r>
    <x v="8"/>
    <x v="4"/>
    <x v="2"/>
    <x v="0"/>
    <n v="4"/>
    <n v="21.0243767314"/>
  </r>
  <r>
    <x v="8"/>
    <x v="4"/>
    <x v="3"/>
    <x v="0"/>
    <n v="8"/>
    <n v="0.59165811157199999"/>
  </r>
  <r>
    <x v="8"/>
    <x v="2"/>
    <x v="2"/>
    <x v="0"/>
    <n v="5"/>
    <n v="53.183809558999997"/>
  </r>
  <r>
    <x v="8"/>
    <x v="2"/>
    <x v="3"/>
    <x v="0"/>
    <n v="7"/>
    <n v="25.405489635599999"/>
  </r>
  <r>
    <x v="0"/>
    <x v="2"/>
    <x v="4"/>
    <x v="1"/>
    <n v="5"/>
    <n v="8.8319452862199999"/>
  </r>
  <r>
    <x v="2"/>
    <x v="0"/>
    <x v="5"/>
    <x v="1"/>
    <n v="3"/>
    <n v="0.491306062534"/>
  </r>
  <r>
    <x v="2"/>
    <x v="4"/>
    <x v="4"/>
    <x v="1"/>
    <n v="1"/>
    <n v="3.1613318925600001E-2"/>
  </r>
  <r>
    <x v="2"/>
    <x v="1"/>
    <x v="5"/>
    <x v="1"/>
    <n v="1"/>
    <n v="0.15495914851500001"/>
  </r>
  <r>
    <x v="5"/>
    <x v="0"/>
    <x v="5"/>
    <x v="1"/>
    <n v="1"/>
    <n v="2.4370507408300001E-2"/>
  </r>
  <r>
    <x v="5"/>
    <x v="0"/>
    <x v="6"/>
    <x v="1"/>
    <n v="4"/>
    <n v="1.17028849167"/>
  </r>
  <r>
    <x v="7"/>
    <x v="0"/>
    <x v="5"/>
    <x v="1"/>
    <n v="6"/>
    <n v="0.18785477590499999"/>
  </r>
  <r>
    <x v="7"/>
    <x v="0"/>
    <x v="6"/>
    <x v="1"/>
    <n v="2"/>
    <n v="1.10047609591E-2"/>
  </r>
  <r>
    <x v="8"/>
    <x v="0"/>
    <x v="5"/>
    <x v="1"/>
    <n v="3"/>
    <n v="0.26937567510100002"/>
  </r>
  <r>
    <x v="8"/>
    <x v="0"/>
    <x v="6"/>
    <x v="1"/>
    <n v="1"/>
    <n v="9.1268484152300003E-2"/>
  </r>
  <r>
    <x v="8"/>
    <x v="5"/>
    <x v="6"/>
    <x v="1"/>
    <n v="4"/>
    <n v="0.71876800619900005"/>
  </r>
  <r>
    <x v="0"/>
    <x v="0"/>
    <x v="7"/>
    <x v="2"/>
    <n v="3"/>
    <n v="0.54125666277899998"/>
  </r>
  <r>
    <x v="0"/>
    <x v="4"/>
    <x v="7"/>
    <x v="2"/>
    <n v="2"/>
    <n v="0.30044777033699999"/>
  </r>
  <r>
    <x v="0"/>
    <x v="1"/>
    <x v="7"/>
    <x v="2"/>
    <n v="2"/>
    <n v="2.1388166207700001E-3"/>
  </r>
  <r>
    <x v="0"/>
    <x v="2"/>
    <x v="7"/>
    <x v="2"/>
    <n v="6"/>
    <n v="2.0379300413300001"/>
  </r>
  <r>
    <x v="0"/>
    <x v="3"/>
    <x v="7"/>
    <x v="2"/>
    <n v="5"/>
    <n v="6.1687329583099998E-2"/>
  </r>
  <r>
    <x v="1"/>
    <x v="0"/>
    <x v="7"/>
    <x v="2"/>
    <n v="21"/>
    <n v="3.2370504314300002"/>
  </r>
  <r>
    <x v="1"/>
    <x v="1"/>
    <x v="7"/>
    <x v="2"/>
    <n v="5"/>
    <n v="8.4851958808099995E-2"/>
  </r>
  <r>
    <x v="2"/>
    <x v="0"/>
    <x v="7"/>
    <x v="2"/>
    <n v="6"/>
    <n v="2.7316301381699999"/>
  </r>
  <r>
    <x v="2"/>
    <x v="4"/>
    <x v="7"/>
    <x v="2"/>
    <n v="9"/>
    <n v="1.49005127385"/>
  </r>
  <r>
    <x v="2"/>
    <x v="4"/>
    <x v="8"/>
    <x v="2"/>
    <n v="3"/>
    <n v="2.2926837940399998"/>
  </r>
  <r>
    <x v="3"/>
    <x v="0"/>
    <x v="8"/>
    <x v="2"/>
    <n v="2"/>
    <n v="4.7858185392800001"/>
  </r>
  <r>
    <x v="4"/>
    <x v="0"/>
    <x v="7"/>
    <x v="2"/>
    <n v="19"/>
    <n v="6.2880631458499998"/>
  </r>
  <r>
    <x v="4"/>
    <x v="0"/>
    <x v="8"/>
    <x v="2"/>
    <n v="7"/>
    <n v="77.165210749799996"/>
  </r>
  <r>
    <x v="4"/>
    <x v="5"/>
    <x v="7"/>
    <x v="2"/>
    <n v="5"/>
    <n v="4.1109200038899996"/>
  </r>
  <r>
    <x v="4"/>
    <x v="4"/>
    <x v="7"/>
    <x v="2"/>
    <n v="7"/>
    <n v="3.42636351716"/>
  </r>
  <r>
    <x v="4"/>
    <x v="4"/>
    <x v="9"/>
    <x v="2"/>
    <n v="3"/>
    <n v="4.18911772871E-4"/>
  </r>
  <r>
    <x v="5"/>
    <x v="0"/>
    <x v="7"/>
    <x v="2"/>
    <n v="7"/>
    <n v="5.1084742186499996"/>
  </r>
  <r>
    <x v="5"/>
    <x v="5"/>
    <x v="10"/>
    <x v="2"/>
    <n v="10"/>
    <n v="30.332161647100001"/>
  </r>
  <r>
    <x v="5"/>
    <x v="4"/>
    <x v="7"/>
    <x v="2"/>
    <n v="2"/>
    <n v="7.50186041429E-2"/>
  </r>
  <r>
    <x v="6"/>
    <x v="0"/>
    <x v="7"/>
    <x v="2"/>
    <n v="5"/>
    <n v="2.4502288655000002"/>
  </r>
  <r>
    <x v="6"/>
    <x v="0"/>
    <x v="8"/>
    <x v="2"/>
    <n v="2"/>
    <n v="7.7539354754300002E-2"/>
  </r>
  <r>
    <x v="6"/>
    <x v="1"/>
    <x v="7"/>
    <x v="2"/>
    <n v="5"/>
    <n v="5.14189478613"/>
  </r>
  <r>
    <x v="7"/>
    <x v="0"/>
    <x v="7"/>
    <x v="2"/>
    <n v="30"/>
    <n v="4.5837068653699999"/>
  </r>
  <r>
    <x v="7"/>
    <x v="0"/>
    <x v="8"/>
    <x v="2"/>
    <n v="2"/>
    <n v="4.1144395129999997E-2"/>
  </r>
  <r>
    <x v="7"/>
    <x v="5"/>
    <x v="7"/>
    <x v="2"/>
    <n v="4"/>
    <n v="0.26310418181599998"/>
  </r>
  <r>
    <x v="7"/>
    <x v="4"/>
    <x v="7"/>
    <x v="2"/>
    <n v="1"/>
    <n v="1.1173721749700001"/>
  </r>
  <r>
    <x v="7"/>
    <x v="3"/>
    <x v="7"/>
    <x v="2"/>
    <n v="2"/>
    <n v="0.16300666862099999"/>
  </r>
  <r>
    <x v="7"/>
    <x v="3"/>
    <x v="8"/>
    <x v="2"/>
    <n v="14"/>
    <n v="145.47542724300001"/>
  </r>
  <r>
    <x v="8"/>
    <x v="0"/>
    <x v="7"/>
    <x v="2"/>
    <n v="12"/>
    <n v="0.47361709694100002"/>
  </r>
  <r>
    <x v="8"/>
    <x v="0"/>
    <x v="8"/>
    <x v="2"/>
    <n v="6"/>
    <n v="10.884784829000001"/>
  </r>
  <r>
    <x v="8"/>
    <x v="5"/>
    <x v="7"/>
    <x v="2"/>
    <n v="2"/>
    <n v="4.0123258927899998"/>
  </r>
  <r>
    <x v="8"/>
    <x v="4"/>
    <x v="7"/>
    <x v="2"/>
    <n v="6"/>
    <n v="3.6296941618299998"/>
  </r>
  <r>
    <x v="0"/>
    <x v="0"/>
    <x v="11"/>
    <x v="3"/>
    <n v="1"/>
    <n v="6.2622346344099994E-2"/>
  </r>
  <r>
    <x v="1"/>
    <x v="1"/>
    <x v="12"/>
    <x v="3"/>
    <n v="3"/>
    <n v="0.19472820911899999"/>
  </r>
  <r>
    <x v="2"/>
    <x v="4"/>
    <x v="12"/>
    <x v="3"/>
    <n v="3"/>
    <n v="0.211659626711"/>
  </r>
  <r>
    <x v="3"/>
    <x v="0"/>
    <x v="12"/>
    <x v="3"/>
    <n v="1"/>
    <n v="9.3020521017499996E-2"/>
  </r>
  <r>
    <x v="3"/>
    <x v="1"/>
    <x v="11"/>
    <x v="3"/>
    <n v="2"/>
    <n v="1.8384414069400001E-2"/>
  </r>
  <r>
    <x v="5"/>
    <x v="0"/>
    <x v="11"/>
    <x v="3"/>
    <n v="3"/>
    <n v="0.14845799041900001"/>
  </r>
  <r>
    <x v="6"/>
    <x v="0"/>
    <x v="12"/>
    <x v="3"/>
    <n v="3"/>
    <n v="1.1793411473099999"/>
  </r>
  <r>
    <x v="7"/>
    <x v="0"/>
    <x v="11"/>
    <x v="3"/>
    <n v="2"/>
    <n v="5.4313574755400003E-2"/>
  </r>
  <r>
    <x v="7"/>
    <x v="0"/>
    <x v="12"/>
    <x v="3"/>
    <n v="2"/>
    <n v="0.72602886855799997"/>
  </r>
  <r>
    <x v="7"/>
    <x v="3"/>
    <x v="12"/>
    <x v="3"/>
    <n v="1"/>
    <n v="1.55446557707E-2"/>
  </r>
  <r>
    <x v="8"/>
    <x v="0"/>
    <x v="12"/>
    <x v="3"/>
    <n v="1"/>
    <n v="1.9513582554E-2"/>
  </r>
  <r>
    <x v="0"/>
    <x v="0"/>
    <x v="13"/>
    <x v="4"/>
    <n v="3"/>
    <n v="0.84293337233800003"/>
  </r>
  <r>
    <x v="0"/>
    <x v="4"/>
    <x v="13"/>
    <x v="4"/>
    <n v="17"/>
    <n v="11.306869280200001"/>
  </r>
  <r>
    <x v="0"/>
    <x v="1"/>
    <x v="13"/>
    <x v="4"/>
    <n v="9"/>
    <n v="39.5444414388"/>
  </r>
  <r>
    <x v="0"/>
    <x v="2"/>
    <x v="13"/>
    <x v="4"/>
    <n v="3"/>
    <n v="0.28188639531300003"/>
  </r>
  <r>
    <x v="0"/>
    <x v="3"/>
    <x v="13"/>
    <x v="4"/>
    <n v="14"/>
    <n v="60.5155283191"/>
  </r>
  <r>
    <x v="1"/>
    <x v="0"/>
    <x v="13"/>
    <x v="4"/>
    <n v="1"/>
    <n v="9.9829870743599995E-3"/>
  </r>
  <r>
    <x v="1"/>
    <x v="1"/>
    <x v="13"/>
    <x v="4"/>
    <n v="15"/>
    <n v="2.1922856088299998"/>
  </r>
  <r>
    <x v="2"/>
    <x v="0"/>
    <x v="13"/>
    <x v="4"/>
    <n v="2"/>
    <n v="1.1471453624300001"/>
  </r>
  <r>
    <x v="2"/>
    <x v="4"/>
    <x v="13"/>
    <x v="4"/>
    <n v="55"/>
    <n v="420.51684609199998"/>
  </r>
  <r>
    <x v="3"/>
    <x v="0"/>
    <x v="13"/>
    <x v="4"/>
    <n v="2"/>
    <n v="3.1646774987500001E-2"/>
  </r>
  <r>
    <x v="3"/>
    <x v="1"/>
    <x v="13"/>
    <x v="4"/>
    <n v="3"/>
    <n v="2.8053647222600002"/>
  </r>
  <r>
    <x v="4"/>
    <x v="0"/>
    <x v="13"/>
    <x v="4"/>
    <n v="87"/>
    <n v="1473.3000875"/>
  </r>
  <r>
    <x v="4"/>
    <x v="5"/>
    <x v="13"/>
    <x v="4"/>
    <n v="49"/>
    <n v="249.051449867"/>
  </r>
  <r>
    <x v="4"/>
    <x v="4"/>
    <x v="13"/>
    <x v="4"/>
    <n v="13"/>
    <n v="80.9526701355"/>
  </r>
  <r>
    <x v="5"/>
    <x v="0"/>
    <x v="13"/>
    <x v="4"/>
    <n v="20"/>
    <n v="5.3908935624399996"/>
  </r>
  <r>
    <x v="5"/>
    <x v="5"/>
    <x v="13"/>
    <x v="4"/>
    <n v="7"/>
    <n v="3.3193452997600001"/>
  </r>
  <r>
    <x v="5"/>
    <x v="4"/>
    <x v="13"/>
    <x v="4"/>
    <n v="1"/>
    <n v="3.4313954606400001"/>
  </r>
  <r>
    <x v="6"/>
    <x v="0"/>
    <x v="13"/>
    <x v="4"/>
    <n v="10"/>
    <n v="6.4830635815699997"/>
  </r>
  <r>
    <x v="6"/>
    <x v="1"/>
    <x v="13"/>
    <x v="4"/>
    <n v="7"/>
    <n v="53.281132100800001"/>
  </r>
  <r>
    <x v="7"/>
    <x v="0"/>
    <x v="13"/>
    <x v="4"/>
    <n v="2"/>
    <n v="0.57128898940200001"/>
  </r>
  <r>
    <x v="7"/>
    <x v="5"/>
    <x v="13"/>
    <x v="4"/>
    <n v="8"/>
    <n v="1.6436622518499999"/>
  </r>
  <r>
    <x v="7"/>
    <x v="4"/>
    <x v="13"/>
    <x v="4"/>
    <n v="15"/>
    <n v="51.110931740300003"/>
  </r>
  <r>
    <x v="7"/>
    <x v="1"/>
    <x v="13"/>
    <x v="4"/>
    <n v="7"/>
    <n v="3.62409747869"/>
  </r>
  <r>
    <x v="7"/>
    <x v="3"/>
    <x v="13"/>
    <x v="4"/>
    <n v="30"/>
    <n v="22.408470621199999"/>
  </r>
  <r>
    <x v="8"/>
    <x v="0"/>
    <x v="13"/>
    <x v="4"/>
    <n v="60"/>
    <n v="40.460535841400002"/>
  </r>
  <r>
    <x v="8"/>
    <x v="5"/>
    <x v="13"/>
    <x v="4"/>
    <n v="41"/>
    <n v="76.247673649299998"/>
  </r>
  <r>
    <x v="8"/>
    <x v="4"/>
    <x v="13"/>
    <x v="4"/>
    <n v="1"/>
    <n v="0.30000262331100003"/>
  </r>
  <r>
    <x v="8"/>
    <x v="2"/>
    <x v="13"/>
    <x v="4"/>
    <n v="1"/>
    <n v="1.14313360719E-2"/>
  </r>
  <r>
    <x v="0"/>
    <x v="1"/>
    <x v="14"/>
    <x v="5"/>
    <n v="92"/>
    <n v="356.82666214599999"/>
  </r>
  <r>
    <x v="0"/>
    <x v="3"/>
    <x v="14"/>
    <x v="5"/>
    <n v="112"/>
    <n v="403.94202039700002"/>
  </r>
  <r>
    <x v="0"/>
    <x v="0"/>
    <x v="15"/>
    <x v="6"/>
    <n v="2"/>
    <n v="2.2527471626900002E-3"/>
  </r>
  <r>
    <x v="0"/>
    <x v="0"/>
    <x v="16"/>
    <x v="6"/>
    <n v="4"/>
    <n v="8.4507066103199993"/>
  </r>
  <r>
    <x v="0"/>
    <x v="1"/>
    <x v="16"/>
    <x v="6"/>
    <n v="4"/>
    <n v="3.2052403425599998"/>
  </r>
  <r>
    <x v="0"/>
    <x v="2"/>
    <x v="15"/>
    <x v="6"/>
    <n v="8"/>
    <n v="4.5092679677599996"/>
  </r>
  <r>
    <x v="0"/>
    <x v="2"/>
    <x v="16"/>
    <x v="6"/>
    <n v="7"/>
    <n v="13.2886042895"/>
  </r>
  <r>
    <x v="0"/>
    <x v="3"/>
    <x v="15"/>
    <x v="6"/>
    <n v="1"/>
    <n v="7.55316525859"/>
  </r>
  <r>
    <x v="0"/>
    <x v="3"/>
    <x v="16"/>
    <x v="6"/>
    <n v="15"/>
    <n v="27.890113448099999"/>
  </r>
  <r>
    <x v="1"/>
    <x v="0"/>
    <x v="15"/>
    <x v="6"/>
    <n v="3"/>
    <n v="2.8580873678399999E-2"/>
  </r>
  <r>
    <x v="1"/>
    <x v="0"/>
    <x v="16"/>
    <x v="6"/>
    <n v="36"/>
    <n v="57.546505642200003"/>
  </r>
  <r>
    <x v="1"/>
    <x v="1"/>
    <x v="16"/>
    <x v="6"/>
    <n v="3"/>
    <n v="8.8989191745399996"/>
  </r>
  <r>
    <x v="2"/>
    <x v="0"/>
    <x v="15"/>
    <x v="6"/>
    <n v="1"/>
    <n v="1.8370661084600001E-2"/>
  </r>
  <r>
    <x v="2"/>
    <x v="0"/>
    <x v="16"/>
    <x v="6"/>
    <n v="2"/>
    <n v="2.6468811182900001"/>
  </r>
  <r>
    <x v="2"/>
    <x v="4"/>
    <x v="15"/>
    <x v="6"/>
    <n v="13"/>
    <n v="60.512099202500004"/>
  </r>
  <r>
    <x v="2"/>
    <x v="4"/>
    <x v="16"/>
    <x v="6"/>
    <n v="90"/>
    <n v="758.114710941"/>
  </r>
  <r>
    <x v="4"/>
    <x v="0"/>
    <x v="15"/>
    <x v="6"/>
    <n v="4"/>
    <n v="18.896861184399999"/>
  </r>
  <r>
    <x v="4"/>
    <x v="0"/>
    <x v="16"/>
    <x v="6"/>
    <n v="108"/>
    <n v="799.02063325899996"/>
  </r>
  <r>
    <x v="4"/>
    <x v="5"/>
    <x v="15"/>
    <x v="6"/>
    <n v="1"/>
    <n v="5.0167318510800003"/>
  </r>
  <r>
    <x v="4"/>
    <x v="5"/>
    <x v="16"/>
    <x v="6"/>
    <n v="25"/>
    <n v="34.453769588599997"/>
  </r>
  <r>
    <x v="4"/>
    <x v="4"/>
    <x v="16"/>
    <x v="6"/>
    <n v="1"/>
    <n v="3.2844038712399999"/>
  </r>
  <r>
    <x v="5"/>
    <x v="0"/>
    <x v="15"/>
    <x v="6"/>
    <n v="8"/>
    <n v="3.31174890602"/>
  </r>
  <r>
    <x v="5"/>
    <x v="0"/>
    <x v="16"/>
    <x v="6"/>
    <n v="30"/>
    <n v="85.4031809831"/>
  </r>
  <r>
    <x v="5"/>
    <x v="5"/>
    <x v="16"/>
    <x v="6"/>
    <n v="13"/>
    <n v="15.840399313400001"/>
  </r>
  <r>
    <x v="5"/>
    <x v="4"/>
    <x v="16"/>
    <x v="6"/>
    <n v="1"/>
    <n v="0.33000672882999998"/>
  </r>
  <r>
    <x v="6"/>
    <x v="0"/>
    <x v="15"/>
    <x v="6"/>
    <n v="1"/>
    <n v="1.5159431709500001E-3"/>
  </r>
  <r>
    <x v="6"/>
    <x v="0"/>
    <x v="16"/>
    <x v="6"/>
    <n v="27"/>
    <n v="83.994522113200006"/>
  </r>
  <r>
    <x v="6"/>
    <x v="1"/>
    <x v="15"/>
    <x v="6"/>
    <n v="5"/>
    <n v="3.5055631736400001"/>
  </r>
  <r>
    <x v="6"/>
    <x v="1"/>
    <x v="16"/>
    <x v="6"/>
    <n v="15"/>
    <n v="32.234231678100002"/>
  </r>
  <r>
    <x v="7"/>
    <x v="0"/>
    <x v="15"/>
    <x v="6"/>
    <n v="6"/>
    <n v="0.19825017375699999"/>
  </r>
  <r>
    <x v="7"/>
    <x v="0"/>
    <x v="16"/>
    <x v="6"/>
    <n v="2"/>
    <n v="0.603455875265"/>
  </r>
  <r>
    <x v="7"/>
    <x v="5"/>
    <x v="15"/>
    <x v="6"/>
    <n v="3"/>
    <n v="18.0659631469"/>
  </r>
  <r>
    <x v="7"/>
    <x v="5"/>
    <x v="16"/>
    <x v="6"/>
    <n v="30"/>
    <n v="25.626755998"/>
  </r>
  <r>
    <x v="7"/>
    <x v="4"/>
    <x v="16"/>
    <x v="6"/>
    <n v="23"/>
    <n v="28.366971083999999"/>
  </r>
  <r>
    <x v="7"/>
    <x v="1"/>
    <x v="16"/>
    <x v="6"/>
    <n v="2"/>
    <n v="2.0991475998400002"/>
  </r>
  <r>
    <x v="7"/>
    <x v="3"/>
    <x v="15"/>
    <x v="6"/>
    <n v="2"/>
    <n v="0.80550256822900002"/>
  </r>
  <r>
    <x v="7"/>
    <x v="3"/>
    <x v="16"/>
    <x v="6"/>
    <n v="35"/>
    <n v="55.660334709200001"/>
  </r>
  <r>
    <x v="8"/>
    <x v="0"/>
    <x v="15"/>
    <x v="6"/>
    <n v="25"/>
    <n v="23.354749535900002"/>
  </r>
  <r>
    <x v="8"/>
    <x v="0"/>
    <x v="16"/>
    <x v="6"/>
    <n v="53"/>
    <n v="41.036567506399997"/>
  </r>
  <r>
    <x v="8"/>
    <x v="5"/>
    <x v="15"/>
    <x v="6"/>
    <n v="11"/>
    <n v="55.376257047300001"/>
  </r>
  <r>
    <x v="8"/>
    <x v="5"/>
    <x v="16"/>
    <x v="6"/>
    <n v="48"/>
    <n v="180.2919178059999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2">
  <r>
    <x v="0"/>
    <x v="0"/>
    <s v="CITRUS"/>
    <n v="3"/>
    <n v="0.31296844191500001"/>
  </r>
  <r>
    <x v="0"/>
    <x v="0"/>
    <s v="NURSERY"/>
    <n v="4"/>
    <n v="31.905603674799998"/>
  </r>
  <r>
    <x v="0"/>
    <x v="0"/>
    <s v="ROW/FIELD CROPS"/>
    <n v="12"/>
    <n v="105.68448331099999"/>
  </r>
  <r>
    <x v="0"/>
    <x v="0"/>
    <s v="SOD"/>
    <n v="13"/>
    <n v="49.498614875500003"/>
  </r>
  <r>
    <x v="0"/>
    <x v="1"/>
    <s v="CITRUS"/>
    <n v="3"/>
    <n v="0.84869241632799997"/>
  </r>
  <r>
    <x v="0"/>
    <x v="1"/>
    <s v="FRUIT/NUT"/>
    <n v="12"/>
    <n v="11.02445294"/>
  </r>
  <r>
    <x v="0"/>
    <x v="1"/>
    <s v="NURSERY"/>
    <n v="11"/>
    <n v="27.372982745600002"/>
  </r>
  <r>
    <x v="0"/>
    <x v="1"/>
    <s v="ROW/FIELD CROPS"/>
    <n v="1"/>
    <n v="0.14094307612099999"/>
  </r>
  <r>
    <x v="0"/>
    <x v="1"/>
    <s v="SOD"/>
    <n v="13"/>
    <n v="55.0959771307"/>
  </r>
  <r>
    <x v="0"/>
    <x v="2"/>
    <s v="ROW/FIELD CROPS"/>
    <n v="3"/>
    <n v="8.6200190507100007"/>
  </r>
  <r>
    <x v="0"/>
    <x v="3"/>
    <s v="CITRUS"/>
    <n v="1"/>
    <n v="6.8680090629199997E-2"/>
  </r>
  <r>
    <x v="0"/>
    <x v="4"/>
    <s v="CITRUS"/>
    <n v="5"/>
    <n v="0.54433391838900003"/>
  </r>
  <r>
    <x v="0"/>
    <x v="4"/>
    <s v="FRUIT/NUT"/>
    <n v="1"/>
    <n v="0.29997301418799999"/>
  </r>
  <r>
    <x v="0"/>
    <x v="4"/>
    <s v="NURSERY"/>
    <n v="9"/>
    <n v="15.567179018199999"/>
  </r>
  <r>
    <x v="0"/>
    <x v="4"/>
    <s v="ROW/FIELD CROPS"/>
    <n v="2"/>
    <n v="1.01896587851"/>
  </r>
  <r>
    <x v="0"/>
    <x v="4"/>
    <s v="SOD"/>
    <n v="1"/>
    <n v="2.6175789578400002E-3"/>
  </r>
  <r>
    <x v="0"/>
    <x v="5"/>
    <s v="NURSERY"/>
    <n v="2"/>
    <n v="4.4321567367400002E-3"/>
  </r>
  <r>
    <x v="0"/>
    <x v="6"/>
    <s v="NURSERY"/>
    <n v="15"/>
    <n v="4.8862614504400002"/>
  </r>
  <r>
    <x v="0"/>
    <x v="6"/>
    <s v="SOD"/>
    <n v="80"/>
    <n v="403.95277621000002"/>
  </r>
  <r>
    <x v="0"/>
    <x v="7"/>
    <s v="CITRUS"/>
    <n v="1"/>
    <n v="6.31423277457E-2"/>
  </r>
  <r>
    <x v="0"/>
    <x v="7"/>
    <s v="NURSERY"/>
    <n v="6"/>
    <n v="7.1754917537300003"/>
  </r>
  <r>
    <x v="0"/>
    <x v="7"/>
    <s v="ROW/FIELD CROPS"/>
    <n v="2"/>
    <n v="6.5705551990500002E-2"/>
  </r>
  <r>
    <x v="0"/>
    <x v="7"/>
    <s v="SOD"/>
    <n v="1"/>
    <n v="0.14114452950699999"/>
  </r>
  <r>
    <x v="0"/>
    <x v="8"/>
    <s v="CITRUS"/>
    <n v="4"/>
    <n v="1.79515467504"/>
  </r>
  <r>
    <x v="0"/>
    <x v="8"/>
    <s v="NURSERY"/>
    <n v="6"/>
    <n v="1.11495453138"/>
  </r>
  <r>
    <x v="0"/>
    <x v="8"/>
    <s v="ROW/FIELD CROPS"/>
    <n v="11"/>
    <n v="8.6651711906200006"/>
  </r>
  <r>
    <x v="0"/>
    <x v="8"/>
    <s v="SOD"/>
    <n v="7"/>
    <n v="2.1035975305300001"/>
  </r>
  <r>
    <x v="0"/>
    <x v="9"/>
    <s v="CITRUS"/>
    <n v="13"/>
    <n v="91.302075982800005"/>
  </r>
  <r>
    <x v="0"/>
    <x v="9"/>
    <s v="NURSERY"/>
    <n v="3"/>
    <n v="34.386834157099997"/>
  </r>
  <r>
    <x v="0"/>
    <x v="10"/>
    <s v="CITRUS"/>
    <n v="2"/>
    <n v="2.9149205805599999E-3"/>
  </r>
  <r>
    <x v="0"/>
    <x v="10"/>
    <s v="NURSERY"/>
    <n v="3"/>
    <n v="1.10114732339"/>
  </r>
  <r>
    <x v="0"/>
    <x v="10"/>
    <s v="ROW/FIELD CROPS"/>
    <n v="4"/>
    <n v="2.2546339838799998"/>
  </r>
  <r>
    <x v="0"/>
    <x v="11"/>
    <s v="CITRUS"/>
    <n v="4"/>
    <n v="8.4703647505100008"/>
  </r>
  <r>
    <x v="0"/>
    <x v="11"/>
    <s v="NURSERY"/>
    <n v="12"/>
    <n v="6.4277629732500001"/>
  </r>
  <r>
    <x v="0"/>
    <x v="11"/>
    <s v="ROW/FIELD CROPS"/>
    <n v="3"/>
    <n v="6.64430622255"/>
  </r>
  <r>
    <x v="0"/>
    <x v="11"/>
    <s v="SOD"/>
    <n v="13"/>
    <n v="8.7079556130900002"/>
  </r>
  <r>
    <x v="1"/>
    <x v="0"/>
    <s v="CITRUS"/>
    <n v="16"/>
    <n v="56.282217672199998"/>
  </r>
  <r>
    <x v="1"/>
    <x v="0"/>
    <s v="NURSERY"/>
    <n v="6"/>
    <n v="3.8382818210199998"/>
  </r>
  <r>
    <x v="1"/>
    <x v="1"/>
    <s v="CITRUS"/>
    <n v="1"/>
    <n v="1.2686968683800001E-2"/>
  </r>
  <r>
    <x v="1"/>
    <x v="1"/>
    <s v="NURSERY"/>
    <n v="6"/>
    <n v="1.3153152864"/>
  </r>
  <r>
    <x v="1"/>
    <x v="4"/>
    <s v="CITRUS"/>
    <n v="21"/>
    <n v="3.19846738201"/>
  </r>
  <r>
    <x v="1"/>
    <x v="4"/>
    <s v="NURSERY"/>
    <n v="2"/>
    <n v="4.2741170279900001E-2"/>
  </r>
  <r>
    <x v="1"/>
    <x v="5"/>
    <s v="NURSERY"/>
    <n v="2"/>
    <n v="0.19411009367400001"/>
  </r>
  <r>
    <x v="1"/>
    <x v="7"/>
    <s v="CITRUS"/>
    <n v="10"/>
    <n v="4.9472810918399999"/>
  </r>
  <r>
    <x v="1"/>
    <x v="7"/>
    <s v="NURSERY"/>
    <n v="20"/>
    <n v="38.136689663200002"/>
  </r>
  <r>
    <x v="1"/>
    <x v="8"/>
    <s v="CITRUS"/>
    <n v="7"/>
    <n v="10.0322642246"/>
  </r>
  <r>
    <x v="1"/>
    <x v="8"/>
    <s v="NURSERY"/>
    <n v="3"/>
    <n v="0.23223863300299999"/>
  </r>
  <r>
    <x v="1"/>
    <x v="9"/>
    <s v="CITRUS"/>
    <n v="20"/>
    <n v="144.598481384"/>
  </r>
  <r>
    <x v="1"/>
    <x v="9"/>
    <s v="NURSERY"/>
    <n v="7"/>
    <n v="11.401015544"/>
  </r>
  <r>
    <x v="1"/>
    <x v="10"/>
    <s v="CITRUS"/>
    <n v="5"/>
    <n v="7.8059627587200003E-2"/>
  </r>
  <r>
    <x v="1"/>
    <x v="11"/>
    <s v="CITRUS"/>
    <n v="20"/>
    <n v="29.654427596600001"/>
  </r>
  <r>
    <x v="1"/>
    <x v="11"/>
    <s v="NURSERY"/>
    <n v="1"/>
    <n v="4.4691548913799997"/>
  </r>
  <r>
    <x v="2"/>
    <x v="0"/>
    <s v="FRUIT/NUT"/>
    <n v="11"/>
    <n v="80.732246206300005"/>
  </r>
  <r>
    <x v="2"/>
    <x v="1"/>
    <s v="CITRUS"/>
    <n v="1"/>
    <n v="1.13786457126"/>
  </r>
  <r>
    <x v="2"/>
    <x v="1"/>
    <s v="FRUIT/NUT"/>
    <n v="59"/>
    <n v="416.999231377"/>
  </r>
  <r>
    <x v="2"/>
    <x v="12"/>
    <s v="CITRUS"/>
    <n v="2"/>
    <n v="0.349794963141"/>
  </r>
  <r>
    <x v="2"/>
    <x v="12"/>
    <s v="NURSERY"/>
    <n v="1"/>
    <n v="0.15495837772000001"/>
  </r>
  <r>
    <x v="2"/>
    <x v="2"/>
    <s v="FRUIT/NUT"/>
    <n v="1"/>
    <n v="3.1455311896699999E-2"/>
  </r>
  <r>
    <x v="2"/>
    <x v="4"/>
    <s v="CITRUS"/>
    <n v="7"/>
    <n v="2.7320723549100001"/>
  </r>
  <r>
    <x v="2"/>
    <x v="4"/>
    <s v="FRUIT/NUT"/>
    <n v="6"/>
    <n v="1.2674960736800001"/>
  </r>
  <r>
    <x v="2"/>
    <x v="5"/>
    <s v="FRUIT/NUT"/>
    <n v="2"/>
    <n v="8.7207700062699997E-2"/>
  </r>
  <r>
    <x v="2"/>
    <x v="13"/>
    <s v="FRUIT/NUT"/>
    <n v="3"/>
    <n v="2.2926837940399998"/>
  </r>
  <r>
    <x v="2"/>
    <x v="7"/>
    <s v="FRUIT/NUT"/>
    <n v="2"/>
    <n v="5.36947779669"/>
  </r>
  <r>
    <x v="2"/>
    <x v="8"/>
    <s v="CITRUS"/>
    <n v="2"/>
    <n v="0.692962492368"/>
  </r>
  <r>
    <x v="2"/>
    <x v="9"/>
    <s v="CITRUS"/>
    <n v="3"/>
    <n v="26.558618252999999"/>
  </r>
  <r>
    <x v="2"/>
    <x v="10"/>
    <s v="CITRUS"/>
    <n v="1"/>
    <n v="1.8434948329799999E-2"/>
  </r>
  <r>
    <x v="2"/>
    <x v="10"/>
    <s v="FRUIT/NUT"/>
    <n v="14"/>
    <n v="60.514800607799998"/>
  </r>
  <r>
    <x v="2"/>
    <x v="11"/>
    <s v="CITRUS"/>
    <n v="2"/>
    <n v="2.6483708291700001"/>
  </r>
  <r>
    <x v="2"/>
    <x v="11"/>
    <s v="FRUIT/NUT"/>
    <n v="79"/>
    <n v="757.61324487700006"/>
  </r>
  <r>
    <x v="3"/>
    <x v="0"/>
    <s v="CITRUS"/>
    <n v="3"/>
    <n v="1.4753328634500001E-2"/>
  </r>
  <r>
    <x v="3"/>
    <x v="0"/>
    <s v="CITRUS; ROW/FIELD CROPS"/>
    <n v="2"/>
    <n v="8.8007871861600001E-2"/>
  </r>
  <r>
    <x v="3"/>
    <x v="1"/>
    <s v="CITRUS"/>
    <n v="2"/>
    <n v="3.1983934353899998E-2"/>
  </r>
  <r>
    <x v="3"/>
    <x v="1"/>
    <s v="NURSERY"/>
    <n v="3"/>
    <n v="2.8066021188399999"/>
  </r>
  <r>
    <x v="3"/>
    <x v="3"/>
    <s v="NURSERY"/>
    <n v="2"/>
    <n v="1.7989967780500001E-2"/>
  </r>
  <r>
    <x v="3"/>
    <x v="5"/>
    <s v="CITRUS"/>
    <n v="1"/>
    <n v="9.2372737569700006E-2"/>
  </r>
  <r>
    <x v="3"/>
    <x v="13"/>
    <s v="CITRUS"/>
    <n v="3"/>
    <n v="4.78636902602"/>
  </r>
  <r>
    <x v="3"/>
    <x v="7"/>
    <s v="NURSERY"/>
    <n v="3"/>
    <n v="3.2245466876200002"/>
  </r>
  <r>
    <x v="3"/>
    <x v="8"/>
    <s v="CITRUS"/>
    <n v="3"/>
    <n v="5.4756223191800002"/>
  </r>
  <r>
    <x v="3"/>
    <x v="8"/>
    <s v="CITRUS; ROW/FIELD CROPS"/>
    <n v="4"/>
    <n v="20.615270637999998"/>
  </r>
  <r>
    <x v="3"/>
    <x v="9"/>
    <s v="CITRUS"/>
    <n v="5"/>
    <n v="22.7787232646"/>
  </r>
  <r>
    <x v="3"/>
    <x v="9"/>
    <s v="CITRUS; ROW/FIELD CROPS"/>
    <n v="3"/>
    <n v="9.6939909371299997"/>
  </r>
  <r>
    <x v="4"/>
    <x v="0"/>
    <s v="CITRUS"/>
    <n v="1"/>
    <n v="10.289250559399999"/>
  </r>
  <r>
    <x v="4"/>
    <x v="0"/>
    <s v="COW/CALF"/>
    <n v="7"/>
    <n v="22.288104615599998"/>
  </r>
  <r>
    <x v="4"/>
    <x v="0"/>
    <s v="FRUIT/NUT"/>
    <n v="3"/>
    <n v="45.748230394399997"/>
  </r>
  <r>
    <x v="4"/>
    <x v="1"/>
    <s v="CITRUS"/>
    <n v="84"/>
    <n v="1473.3073120700001"/>
  </r>
  <r>
    <x v="4"/>
    <x v="1"/>
    <s v="COW/CALF"/>
    <n v="74"/>
    <n v="237.16372854599999"/>
  </r>
  <r>
    <x v="4"/>
    <x v="1"/>
    <s v="FRUIT/NUT"/>
    <n v="14"/>
    <n v="80.956604075900003"/>
  </r>
  <r>
    <x v="4"/>
    <x v="4"/>
    <s v="CITRUS"/>
    <n v="20"/>
    <n v="4.9607675097000001"/>
  </r>
  <r>
    <x v="4"/>
    <x v="4"/>
    <s v="COW/CALF"/>
    <n v="4"/>
    <n v="3.9658440705500002"/>
  </r>
  <r>
    <x v="4"/>
    <x v="4"/>
    <s v="FRUIT/NUT"/>
    <n v="7"/>
    <n v="3.42648814491"/>
  </r>
  <r>
    <x v="4"/>
    <x v="14"/>
    <s v="FRUIT/NUT"/>
    <n v="3"/>
    <n v="4.4127211943E-4"/>
  </r>
  <r>
    <x v="4"/>
    <x v="13"/>
    <s v="CITRUS"/>
    <n v="7"/>
    <n v="77.172314698299999"/>
  </r>
  <r>
    <x v="4"/>
    <x v="7"/>
    <s v="CITRUS"/>
    <n v="14"/>
    <n v="45.602683684799999"/>
  </r>
  <r>
    <x v="4"/>
    <x v="8"/>
    <s v="CITRUS"/>
    <n v="1"/>
    <n v="0.29648520600799999"/>
  </r>
  <r>
    <x v="4"/>
    <x v="8"/>
    <s v="COW/CALF"/>
    <n v="31"/>
    <n v="229.75414144600001"/>
  </r>
  <r>
    <x v="4"/>
    <x v="8"/>
    <s v="FRUIT/NUT"/>
    <n v="22"/>
    <n v="155.56077950599999"/>
  </r>
  <r>
    <x v="4"/>
    <x v="9"/>
    <s v="CITRUS"/>
    <n v="7"/>
    <n v="11.079938826099999"/>
  </r>
  <r>
    <x v="4"/>
    <x v="10"/>
    <s v="CITRUS"/>
    <n v="5"/>
    <n v="18.883063482899999"/>
  </r>
  <r>
    <x v="4"/>
    <x v="10"/>
    <s v="COW/CALF"/>
    <n v="6"/>
    <n v="6.5043069131799998"/>
  </r>
  <r>
    <x v="4"/>
    <x v="11"/>
    <s v="CITRUS"/>
    <n v="111"/>
    <n v="798.60326690399995"/>
  </r>
  <r>
    <x v="4"/>
    <x v="11"/>
    <s v="COW/CALF"/>
    <n v="40"/>
    <n v="35.607606263000001"/>
  </r>
  <r>
    <x v="4"/>
    <x v="11"/>
    <s v="FRUIT/NUT"/>
    <n v="1"/>
    <n v="3.2844038712399999"/>
  </r>
  <r>
    <x v="5"/>
    <x v="0"/>
    <s v="CITRUS"/>
    <n v="23"/>
    <n v="18.471033557399998"/>
  </r>
  <r>
    <x v="5"/>
    <x v="0"/>
    <s v="COW/CALF"/>
    <n v="5"/>
    <n v="2.7334278594999999"/>
  </r>
  <r>
    <x v="5"/>
    <x v="1"/>
    <s v="CITRUS"/>
    <n v="15"/>
    <n v="3.3242555344000002"/>
  </r>
  <r>
    <x v="5"/>
    <x v="1"/>
    <s v="COW/CALF"/>
    <n v="7"/>
    <n v="3.31779126126"/>
  </r>
  <r>
    <x v="5"/>
    <x v="1"/>
    <s v="FRUIT/NUT"/>
    <n v="1"/>
    <n v="3.4310144677499999"/>
  </r>
  <r>
    <x v="5"/>
    <x v="12"/>
    <s v="CITRUS"/>
    <n v="1"/>
    <n v="2.4931498719100002E-2"/>
  </r>
  <r>
    <x v="5"/>
    <x v="15"/>
    <s v="CITRUS"/>
    <n v="3"/>
    <n v="0.80261430608600004"/>
  </r>
  <r>
    <x v="5"/>
    <x v="3"/>
    <s v="CITRUS"/>
    <n v="2"/>
    <n v="0.14858295491599999"/>
  </r>
  <r>
    <x v="5"/>
    <x v="4"/>
    <s v="CITRUS"/>
    <n v="7"/>
    <n v="5.1066033653999998"/>
  </r>
  <r>
    <x v="5"/>
    <x v="4"/>
    <s v="FRUIT/NUT"/>
    <n v="2"/>
    <n v="7.4836713782099995E-2"/>
  </r>
  <r>
    <x v="5"/>
    <x v="7"/>
    <s v="CITRUS"/>
    <n v="3"/>
    <n v="0.25920820389900001"/>
  </r>
  <r>
    <x v="5"/>
    <x v="8"/>
    <s v="CITRUS"/>
    <n v="8"/>
    <n v="65.402483180000004"/>
  </r>
  <r>
    <x v="5"/>
    <x v="8"/>
    <s v="COW/CALF"/>
    <n v="2"/>
    <n v="5.4379298222800001"/>
  </r>
  <r>
    <x v="5"/>
    <x v="16"/>
    <s v="COW/CALF"/>
    <n v="10"/>
    <n v="30.330357020200001"/>
  </r>
  <r>
    <x v="5"/>
    <x v="9"/>
    <s v="CITRUS"/>
    <n v="47"/>
    <n v="507.82665766700001"/>
  </r>
  <r>
    <x v="5"/>
    <x v="9"/>
    <s v="COW/CALF"/>
    <n v="1"/>
    <n v="0.40391760629500001"/>
  </r>
  <r>
    <x v="5"/>
    <x v="10"/>
    <s v="CITRUS"/>
    <n v="9"/>
    <n v="3.3121718172999999"/>
  </r>
  <r>
    <x v="5"/>
    <x v="11"/>
    <s v="CITRUS"/>
    <n v="36"/>
    <n v="79.231770670700001"/>
  </r>
  <r>
    <x v="5"/>
    <x v="11"/>
    <s v="COW/CALF"/>
    <n v="13"/>
    <n v="15.8401741816"/>
  </r>
  <r>
    <x v="5"/>
    <x v="11"/>
    <s v="FRUIT/NUT"/>
    <n v="1"/>
    <n v="0.33054512179099999"/>
  </r>
  <r>
    <x v="6"/>
    <x v="1"/>
    <s v="CITRUS"/>
    <n v="10"/>
    <n v="6.4816490237900002"/>
  </r>
  <r>
    <x v="6"/>
    <x v="1"/>
    <s v="NURSERY"/>
    <n v="7"/>
    <n v="53.2849478869"/>
  </r>
  <r>
    <x v="6"/>
    <x v="4"/>
    <s v="CITRUS"/>
    <n v="5"/>
    <n v="2.44985176458"/>
  </r>
  <r>
    <x v="6"/>
    <x v="4"/>
    <s v="NURSERY"/>
    <n v="5"/>
    <n v="5.1428561248899998"/>
  </r>
  <r>
    <x v="6"/>
    <x v="5"/>
    <s v="CITRUS"/>
    <n v="4"/>
    <n v="1.1419781494300001"/>
  </r>
  <r>
    <x v="6"/>
    <x v="13"/>
    <s v="CITRUS"/>
    <n v="1"/>
    <n v="7.6949713041699994E-2"/>
  </r>
  <r>
    <x v="6"/>
    <x v="7"/>
    <s v="CITRUS"/>
    <n v="3"/>
    <n v="0.150294365027"/>
  </r>
  <r>
    <x v="6"/>
    <x v="7"/>
    <s v="NURSERY"/>
    <n v="17"/>
    <n v="74.795139606399999"/>
  </r>
  <r>
    <x v="6"/>
    <x v="8"/>
    <s v="CITRUS"/>
    <n v="15"/>
    <n v="3.5999962859900001"/>
  </r>
  <r>
    <x v="6"/>
    <x v="8"/>
    <s v="NURSERY"/>
    <n v="6"/>
    <n v="5.1046277709499996"/>
  </r>
  <r>
    <x v="6"/>
    <x v="9"/>
    <s v="CITRUS"/>
    <n v="25"/>
    <n v="256.57843145599998"/>
  </r>
  <r>
    <x v="6"/>
    <x v="9"/>
    <s v="NURSERY"/>
    <n v="5"/>
    <n v="1.02867695149"/>
  </r>
  <r>
    <x v="6"/>
    <x v="10"/>
    <s v="CITRUS"/>
    <n v="1"/>
    <n v="1.55719925691E-3"/>
  </r>
  <r>
    <x v="6"/>
    <x v="10"/>
    <s v="NURSERY"/>
    <n v="5"/>
    <n v="3.5055631736400001"/>
  </r>
  <r>
    <x v="6"/>
    <x v="11"/>
    <s v="CITRUS"/>
    <n v="28"/>
    <n v="83.991190139599993"/>
  </r>
  <r>
    <x v="6"/>
    <x v="11"/>
    <s v="NURSERY"/>
    <n v="16"/>
    <n v="32.233668292899999"/>
  </r>
  <r>
    <x v="7"/>
    <x v="0"/>
    <s v="COW/CALF"/>
    <n v="6"/>
    <n v="21.9189002034"/>
  </r>
  <r>
    <x v="7"/>
    <x v="1"/>
    <s v="CITRUS"/>
    <n v="2"/>
    <n v="0.64620440483499997"/>
  </r>
  <r>
    <x v="7"/>
    <x v="1"/>
    <s v="COW/CALF"/>
    <n v="7"/>
    <n v="1.64390414497"/>
  </r>
  <r>
    <x v="7"/>
    <x v="1"/>
    <s v="FRUIT/NUT"/>
    <n v="17"/>
    <n v="51.114795189100001"/>
  </r>
  <r>
    <x v="7"/>
    <x v="1"/>
    <s v="NURSERY"/>
    <n v="8"/>
    <n v="7.9182777741599999"/>
  </r>
  <r>
    <x v="7"/>
    <x v="1"/>
    <s v="SOD"/>
    <n v="30"/>
    <n v="22.411858727399999"/>
  </r>
  <r>
    <x v="7"/>
    <x v="12"/>
    <s v="CITRUS"/>
    <n v="4"/>
    <n v="0.18737834734799999"/>
  </r>
  <r>
    <x v="7"/>
    <x v="15"/>
    <s v="CITRUS"/>
    <n v="2"/>
    <n v="1.11989992029E-2"/>
  </r>
  <r>
    <x v="7"/>
    <x v="3"/>
    <s v="CITRUS"/>
    <n v="2"/>
    <n v="5.3935241539700002E-2"/>
  </r>
  <r>
    <x v="7"/>
    <x v="4"/>
    <s v="CITRUS"/>
    <n v="30"/>
    <n v="5.2566829828100001"/>
  </r>
  <r>
    <x v="7"/>
    <x v="4"/>
    <s v="COW/CALF"/>
    <n v="3"/>
    <n v="0.262958202521"/>
  </r>
  <r>
    <x v="7"/>
    <x v="4"/>
    <s v="FRUIT/NUT"/>
    <n v="1"/>
    <n v="1.11747512612"/>
  </r>
  <r>
    <x v="7"/>
    <x v="4"/>
    <s v="SOD"/>
    <n v="2"/>
    <n v="0.16324424102400001"/>
  </r>
  <r>
    <x v="7"/>
    <x v="5"/>
    <s v="CITRUS"/>
    <n v="2"/>
    <n v="0.72646131970000005"/>
  </r>
  <r>
    <x v="7"/>
    <x v="5"/>
    <s v="SOD"/>
    <n v="1"/>
    <n v="1.56143618494E-2"/>
  </r>
  <r>
    <x v="7"/>
    <x v="13"/>
    <s v="CITRUS"/>
    <n v="3"/>
    <n v="4.1840044274400003E-2"/>
  </r>
  <r>
    <x v="7"/>
    <x v="13"/>
    <s v="SOD"/>
    <n v="20"/>
    <n v="141.26725941199999"/>
  </r>
  <r>
    <x v="7"/>
    <x v="7"/>
    <s v="NURSERY"/>
    <n v="1"/>
    <n v="3.59897928029"/>
  </r>
  <r>
    <x v="7"/>
    <x v="8"/>
    <s v="CITRUS"/>
    <n v="4"/>
    <n v="0.50719177327700005"/>
  </r>
  <r>
    <x v="7"/>
    <x v="8"/>
    <s v="COW/CALF"/>
    <n v="19"/>
    <n v="53.927793947600001"/>
  </r>
  <r>
    <x v="7"/>
    <x v="8"/>
    <s v="SOD"/>
    <n v="5"/>
    <n v="6.8123606136900001"/>
  </r>
  <r>
    <x v="7"/>
    <x v="9"/>
    <s v="CITRUS"/>
    <n v="35"/>
    <n v="90.314204537699993"/>
  </r>
  <r>
    <x v="7"/>
    <x v="9"/>
    <s v="COW/CALF"/>
    <n v="7"/>
    <n v="25.674282398700001"/>
  </r>
  <r>
    <x v="7"/>
    <x v="9"/>
    <s v="FRUIT/NUT"/>
    <n v="6"/>
    <n v="5.2536279757299997"/>
  </r>
  <r>
    <x v="7"/>
    <x v="10"/>
    <s v="CITRUS"/>
    <n v="6"/>
    <n v="0.32865744229799998"/>
  </r>
  <r>
    <x v="7"/>
    <x v="10"/>
    <s v="COW/CALF"/>
    <n v="3"/>
    <n v="18.066203917799999"/>
  </r>
  <r>
    <x v="7"/>
    <x v="10"/>
    <s v="SOD"/>
    <n v="2"/>
    <n v="0.80550256822900002"/>
  </r>
  <r>
    <x v="7"/>
    <x v="11"/>
    <s v="CITRUS"/>
    <n v="2"/>
    <n v="0.60339408798299998"/>
  </r>
  <r>
    <x v="7"/>
    <x v="11"/>
    <s v="COW/CALF"/>
    <n v="28"/>
    <n v="25.622640309499999"/>
  </r>
  <r>
    <x v="7"/>
    <x v="11"/>
    <s v="FRUIT/NUT"/>
    <n v="23"/>
    <n v="28.366846553399998"/>
  </r>
  <r>
    <x v="7"/>
    <x v="11"/>
    <s v="NURSERY"/>
    <n v="2"/>
    <n v="2.0993047110499998"/>
  </r>
  <r>
    <x v="7"/>
    <x v="11"/>
    <s v="SOD"/>
    <n v="30"/>
    <n v="55.6088476336"/>
  </r>
  <r>
    <x v="8"/>
    <x v="0"/>
    <s v="CITRUS"/>
    <n v="2"/>
    <n v="17.287393803400001"/>
  </r>
  <r>
    <x v="8"/>
    <x v="1"/>
    <s v="CITRUS"/>
    <n v="52"/>
    <n v="40.154411003200003"/>
  </r>
  <r>
    <x v="8"/>
    <x v="1"/>
    <s v="CITRUS; COW/CALF"/>
    <n v="12"/>
    <n v="10.874182662200001"/>
  </r>
  <r>
    <x v="8"/>
    <x v="1"/>
    <s v="CITRUS; ROW/FIELD CROPS"/>
    <n v="1"/>
    <n v="1.10239386328E-2"/>
  </r>
  <r>
    <x v="8"/>
    <x v="1"/>
    <s v="COW/CALF"/>
    <n v="55"/>
    <n v="63.251868738299997"/>
  </r>
  <r>
    <x v="8"/>
    <x v="1"/>
    <s v="FRUIT/NUT"/>
    <n v="1"/>
    <n v="0.30119560207099999"/>
  </r>
  <r>
    <x v="8"/>
    <x v="12"/>
    <s v="CITRUS"/>
    <n v="3"/>
    <n v="0.26951348923399998"/>
  </r>
  <r>
    <x v="8"/>
    <x v="15"/>
    <s v="CITRUS; COW/CALF"/>
    <n v="1"/>
    <n v="9.1886705545999994E-2"/>
  </r>
  <r>
    <x v="8"/>
    <x v="15"/>
    <s v="COW/CALF"/>
    <n v="6"/>
    <n v="0.62898238436800002"/>
  </r>
  <r>
    <x v="8"/>
    <x v="4"/>
    <s v="CITRUS"/>
    <n v="10"/>
    <n v="0.47168624245899998"/>
  </r>
  <r>
    <x v="8"/>
    <x v="4"/>
    <s v="COW/CALF"/>
    <n v="7"/>
    <n v="4.0157713821099996"/>
  </r>
  <r>
    <x v="8"/>
    <x v="4"/>
    <s v="FRUIT/NUT"/>
    <n v="4"/>
    <n v="3.6309203917500001"/>
  </r>
  <r>
    <x v="8"/>
    <x v="5"/>
    <s v="CITRUS"/>
    <n v="1"/>
    <n v="2.04226028601E-2"/>
  </r>
  <r>
    <x v="8"/>
    <x v="13"/>
    <s v="CITRUS"/>
    <n v="4"/>
    <n v="10.884421441500001"/>
  </r>
  <r>
    <x v="8"/>
    <x v="7"/>
    <s v="CITRUS"/>
    <n v="2"/>
    <n v="0.13665979605799999"/>
  </r>
  <r>
    <x v="8"/>
    <x v="7"/>
    <s v="FRUIT/NUT"/>
    <n v="9"/>
    <n v="47.312254518800003"/>
  </r>
  <r>
    <x v="8"/>
    <x v="8"/>
    <s v="CITRUS"/>
    <n v="25"/>
    <n v="26.944043342400001"/>
  </r>
  <r>
    <x v="8"/>
    <x v="8"/>
    <s v="CITRUS; COW/CALF"/>
    <n v="4"/>
    <n v="3.9526524791700002"/>
  </r>
  <r>
    <x v="8"/>
    <x v="8"/>
    <s v="CITRUS; ROW/FIELD CROPS"/>
    <n v="7"/>
    <n v="49.648608520800003"/>
  </r>
  <r>
    <x v="8"/>
    <x v="8"/>
    <s v="COW/CALF"/>
    <n v="32"/>
    <n v="74.716438550800007"/>
  </r>
  <r>
    <x v="8"/>
    <x v="8"/>
    <s v="FRUIT/NUT"/>
    <n v="5"/>
    <n v="21.025535699199999"/>
  </r>
  <r>
    <x v="8"/>
    <x v="9"/>
    <s v="CITRUS"/>
    <n v="77"/>
    <n v="390.87145767700002"/>
  </r>
  <r>
    <x v="8"/>
    <x v="9"/>
    <s v="CITRUS; COW/CALF"/>
    <n v="11"/>
    <n v="42.8620784716"/>
  </r>
  <r>
    <x v="8"/>
    <x v="9"/>
    <s v="CITRUS; ROW/FIELD CROPS"/>
    <n v="7"/>
    <n v="25.4039417726"/>
  </r>
  <r>
    <x v="8"/>
    <x v="9"/>
    <s v="COW/CALF"/>
    <n v="9"/>
    <n v="3.1641426840400002"/>
  </r>
  <r>
    <x v="8"/>
    <x v="9"/>
    <s v="FRUIT/NUT"/>
    <n v="8"/>
    <n v="0.59285711822800002"/>
  </r>
  <r>
    <x v="8"/>
    <x v="10"/>
    <s v="CITRUS"/>
    <n v="26"/>
    <n v="22.756206209999998"/>
  </r>
  <r>
    <x v="8"/>
    <x v="10"/>
    <s v="CITRUS; COW/CALF"/>
    <n v="5"/>
    <n v="2.3132088287900001"/>
  </r>
  <r>
    <x v="8"/>
    <x v="10"/>
    <s v="COW/CALF"/>
    <n v="17"/>
    <n v="53.668059155100003"/>
  </r>
  <r>
    <x v="8"/>
    <x v="11"/>
    <s v="CITRUS"/>
    <n v="63"/>
    <n v="51.8925882319"/>
  </r>
  <r>
    <x v="8"/>
    <x v="11"/>
    <s v="CITRUS; COW/CALF"/>
    <n v="8"/>
    <n v="10.7211094709"/>
  </r>
  <r>
    <x v="8"/>
    <x v="11"/>
    <s v="COW/CALF"/>
    <n v="69"/>
    <n v="171.287411859999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6">
  <r>
    <x v="0"/>
    <x v="0"/>
    <x v="0"/>
    <n v="5"/>
    <n v="3.3683246152200002"/>
  </r>
  <r>
    <x v="0"/>
    <x v="0"/>
    <x v="1"/>
    <n v="76"/>
    <n v="216.02869087400001"/>
  </r>
  <r>
    <x v="0"/>
    <x v="0"/>
    <x v="2"/>
    <n v="3"/>
    <n v="7.6737985685200003E-2"/>
  </r>
  <r>
    <x v="0"/>
    <x v="0"/>
    <x v="3"/>
    <n v="6"/>
    <n v="4.0503882023199997"/>
  </r>
  <r>
    <x v="0"/>
    <x v="0"/>
    <x v="4"/>
    <n v="9"/>
    <n v="8.8822890340599994"/>
  </r>
  <r>
    <x v="0"/>
    <x v="0"/>
    <x v="5"/>
    <n v="23"/>
    <n v="4.9722708833200002"/>
  </r>
  <r>
    <x v="0"/>
    <x v="0"/>
    <x v="6"/>
    <n v="10"/>
    <n v="1.55415164104"/>
  </r>
  <r>
    <x v="0"/>
    <x v="0"/>
    <x v="7"/>
    <n v="11"/>
    <n v="21.050071677599998"/>
  </r>
  <r>
    <x v="0"/>
    <x v="0"/>
    <x v="8"/>
    <n v="22"/>
    <n v="35.481843861100003"/>
  </r>
  <r>
    <x v="0"/>
    <x v="0"/>
    <x v="9"/>
    <n v="80"/>
    <n v="755.96290691700005"/>
  </r>
  <r>
    <x v="0"/>
    <x v="0"/>
    <x v="10"/>
    <n v="21"/>
    <n v="72.453500000999995"/>
  </r>
  <r>
    <x v="0"/>
    <x v="0"/>
    <x v="11"/>
    <n v="77"/>
    <n v="96.559736515899999"/>
  </r>
  <r>
    <x v="0"/>
    <x v="1"/>
    <x v="12"/>
    <n v="1"/>
    <n v="4.2488491025200002E-4"/>
  </r>
  <r>
    <x v="0"/>
    <x v="1"/>
    <x v="9"/>
    <n v="1"/>
    <n v="17.422464822399998"/>
  </r>
  <r>
    <x v="0"/>
    <x v="2"/>
    <x v="0"/>
    <n v="5"/>
    <n v="49.463815732400001"/>
  </r>
  <r>
    <x v="0"/>
    <x v="2"/>
    <x v="13"/>
    <n v="5"/>
    <n v="28.698301010200002"/>
  </r>
  <r>
    <x v="0"/>
    <x v="2"/>
    <x v="1"/>
    <n v="5"/>
    <n v="3.4460297024000002"/>
  </r>
  <r>
    <x v="0"/>
    <x v="2"/>
    <x v="5"/>
    <n v="5"/>
    <n v="5.2377834082900003"/>
  </r>
  <r>
    <x v="0"/>
    <x v="2"/>
    <x v="8"/>
    <n v="15"/>
    <n v="100.24623889999999"/>
  </r>
  <r>
    <x v="0"/>
    <x v="2"/>
    <x v="11"/>
    <n v="4"/>
    <n v="5.1843959119100003"/>
  </r>
  <r>
    <x v="0"/>
    <x v="3"/>
    <x v="0"/>
    <n v="17"/>
    <n v="165.597429022"/>
  </r>
  <r>
    <x v="0"/>
    <x v="3"/>
    <x v="1"/>
    <n v="12"/>
    <n v="8.8166748844199994"/>
  </r>
  <r>
    <x v="0"/>
    <x v="3"/>
    <x v="2"/>
    <n v="5"/>
    <n v="0.152316413264"/>
  </r>
  <r>
    <x v="0"/>
    <x v="3"/>
    <x v="5"/>
    <n v="12"/>
    <n v="7.3705871924600004"/>
  </r>
  <r>
    <x v="0"/>
    <x v="3"/>
    <x v="7"/>
    <n v="3"/>
    <n v="1.7723820694900001"/>
  </r>
  <r>
    <x v="0"/>
    <x v="3"/>
    <x v="8"/>
    <n v="9"/>
    <n v="3.7950774214899998"/>
  </r>
  <r>
    <x v="0"/>
    <x v="3"/>
    <x v="9"/>
    <n v="7"/>
    <n v="32.697814263700003"/>
  </r>
  <r>
    <x v="0"/>
    <x v="3"/>
    <x v="10"/>
    <n v="2"/>
    <n v="0.70350287729200001"/>
  </r>
  <r>
    <x v="0"/>
    <x v="3"/>
    <x v="11"/>
    <n v="16"/>
    <n v="14.903939301499999"/>
  </r>
  <r>
    <x v="0"/>
    <x v="4"/>
    <x v="4"/>
    <n v="2"/>
    <n v="2.72778950078E-2"/>
  </r>
  <r>
    <x v="0"/>
    <x v="4"/>
    <x v="5"/>
    <n v="1"/>
    <n v="3.5212082780999999E-2"/>
  </r>
  <r>
    <x v="0"/>
    <x v="4"/>
    <x v="7"/>
    <n v="2"/>
    <n v="4.2835815284700001"/>
  </r>
  <r>
    <x v="0"/>
    <x v="4"/>
    <x v="8"/>
    <n v="5"/>
    <n v="5.8224202810700003"/>
  </r>
  <r>
    <x v="0"/>
    <x v="5"/>
    <x v="12"/>
    <n v="5"/>
    <n v="6.3341147361700004E-2"/>
  </r>
  <r>
    <x v="0"/>
    <x v="5"/>
    <x v="0"/>
    <n v="7"/>
    <n v="6.9613249232600003"/>
  </r>
  <r>
    <x v="0"/>
    <x v="5"/>
    <x v="1"/>
    <n v="62"/>
    <n v="70.632247360400001"/>
  </r>
  <r>
    <x v="0"/>
    <x v="5"/>
    <x v="2"/>
    <n v="18"/>
    <n v="9.2046508385500001"/>
  </r>
  <r>
    <x v="0"/>
    <x v="5"/>
    <x v="14"/>
    <n v="3"/>
    <n v="0.30067095629500001"/>
  </r>
  <r>
    <x v="0"/>
    <x v="5"/>
    <x v="4"/>
    <n v="7"/>
    <n v="7.1917618498599998"/>
  </r>
  <r>
    <x v="0"/>
    <x v="5"/>
    <x v="5"/>
    <n v="60"/>
    <n v="24.9420265065"/>
  </r>
  <r>
    <x v="0"/>
    <x v="5"/>
    <x v="6"/>
    <n v="14"/>
    <n v="1.25399676129"/>
  </r>
  <r>
    <x v="0"/>
    <x v="5"/>
    <x v="15"/>
    <n v="13"/>
    <n v="1.19577964716"/>
  </r>
  <r>
    <x v="0"/>
    <x v="5"/>
    <x v="16"/>
    <n v="9"/>
    <n v="14.541304869899999"/>
  </r>
  <r>
    <x v="0"/>
    <x v="5"/>
    <x v="7"/>
    <n v="191"/>
    <n v="676.42295538899998"/>
  </r>
  <r>
    <x v="0"/>
    <x v="5"/>
    <x v="8"/>
    <n v="66"/>
    <n v="47.8342670635"/>
  </r>
  <r>
    <x v="0"/>
    <x v="5"/>
    <x v="9"/>
    <n v="8"/>
    <n v="5.08862189236"/>
  </r>
  <r>
    <x v="0"/>
    <x v="5"/>
    <x v="10"/>
    <n v="7"/>
    <n v="13.09344488"/>
  </r>
  <r>
    <x v="0"/>
    <x v="5"/>
    <x v="11"/>
    <n v="93"/>
    <n v="110.004770298"/>
  </r>
  <r>
    <x v="0"/>
    <x v="6"/>
    <x v="0"/>
    <n v="37"/>
    <n v="625.27745652700003"/>
  </r>
  <r>
    <x v="0"/>
    <x v="6"/>
    <x v="13"/>
    <n v="3"/>
    <n v="0.84841636956499999"/>
  </r>
  <r>
    <x v="0"/>
    <x v="6"/>
    <x v="1"/>
    <n v="22"/>
    <n v="43.160170394200001"/>
  </r>
  <r>
    <x v="0"/>
    <x v="6"/>
    <x v="2"/>
    <n v="4"/>
    <n v="3.62831366196"/>
  </r>
  <r>
    <x v="0"/>
    <x v="6"/>
    <x v="3"/>
    <n v="1"/>
    <n v="4.3586632704399997E-2"/>
  </r>
  <r>
    <x v="0"/>
    <x v="6"/>
    <x v="4"/>
    <n v="1"/>
    <n v="1.1616058570400001"/>
  </r>
  <r>
    <x v="0"/>
    <x v="6"/>
    <x v="5"/>
    <n v="8"/>
    <n v="6.0346430472400003"/>
  </r>
  <r>
    <x v="0"/>
    <x v="6"/>
    <x v="15"/>
    <n v="25"/>
    <n v="4.5035026258200004"/>
  </r>
  <r>
    <x v="0"/>
    <x v="6"/>
    <x v="7"/>
    <n v="4"/>
    <n v="1.3803560154200001"/>
  </r>
  <r>
    <x v="0"/>
    <x v="6"/>
    <x v="8"/>
    <n v="5"/>
    <n v="1.51028712445"/>
  </r>
  <r>
    <x v="0"/>
    <x v="6"/>
    <x v="10"/>
    <n v="11"/>
    <n v="7.1805345866400003"/>
  </r>
  <r>
    <x v="0"/>
    <x v="6"/>
    <x v="11"/>
    <n v="47"/>
    <n v="119.574355955"/>
  </r>
  <r>
    <x v="1"/>
    <x v="0"/>
    <x v="0"/>
    <n v="17"/>
    <n v="56.595186114299999"/>
  </r>
  <r>
    <x v="1"/>
    <x v="0"/>
    <x v="1"/>
    <n v="4"/>
    <n v="0.86137938510099998"/>
  </r>
  <r>
    <x v="1"/>
    <x v="0"/>
    <x v="4"/>
    <n v="1"/>
    <n v="6.8680090533999996E-2"/>
  </r>
  <r>
    <x v="1"/>
    <x v="0"/>
    <x v="5"/>
    <n v="25"/>
    <n v="3.74280129968"/>
  </r>
  <r>
    <x v="1"/>
    <x v="0"/>
    <x v="7"/>
    <n v="11"/>
    <n v="5.0104234194500004"/>
  </r>
  <r>
    <x v="1"/>
    <x v="0"/>
    <x v="8"/>
    <n v="11"/>
    <n v="11.8274188993"/>
  </r>
  <r>
    <x v="1"/>
    <x v="0"/>
    <x v="9"/>
    <n v="33"/>
    <n v="235.90055736799999"/>
  </r>
  <r>
    <x v="1"/>
    <x v="0"/>
    <x v="10"/>
    <n v="7"/>
    <n v="8.0974548367599999E-2"/>
  </r>
  <r>
    <x v="1"/>
    <x v="0"/>
    <x v="11"/>
    <n v="20"/>
    <n v="38.1247923468"/>
  </r>
  <r>
    <x v="1"/>
    <x v="3"/>
    <x v="1"/>
    <n v="12"/>
    <n v="11.0244529684"/>
  </r>
  <r>
    <x v="1"/>
    <x v="3"/>
    <x v="5"/>
    <n v="1"/>
    <n v="0.29997298676599998"/>
  </r>
  <r>
    <x v="1"/>
    <x v="5"/>
    <x v="0"/>
    <n v="9"/>
    <n v="35.743885495999997"/>
  </r>
  <r>
    <x v="1"/>
    <x v="5"/>
    <x v="1"/>
    <n v="17"/>
    <n v="28.6882980309"/>
  </r>
  <r>
    <x v="1"/>
    <x v="5"/>
    <x v="5"/>
    <n v="11"/>
    <n v="15.6099201891"/>
  </r>
  <r>
    <x v="1"/>
    <x v="5"/>
    <x v="6"/>
    <n v="4"/>
    <n v="0.198542250373"/>
  </r>
  <r>
    <x v="1"/>
    <x v="5"/>
    <x v="15"/>
    <n v="15"/>
    <n v="4.8862614505900002"/>
  </r>
  <r>
    <x v="1"/>
    <x v="5"/>
    <x v="7"/>
    <n v="24"/>
    <n v="45.312181416400001"/>
  </r>
  <r>
    <x v="1"/>
    <x v="5"/>
    <x v="8"/>
    <n v="9"/>
    <n v="1.3471931641499999"/>
  </r>
  <r>
    <x v="1"/>
    <x v="5"/>
    <x v="9"/>
    <n v="10"/>
    <n v="45.787849700999999"/>
  </r>
  <r>
    <x v="1"/>
    <x v="5"/>
    <x v="10"/>
    <n v="3"/>
    <n v="1.10114732369"/>
  </r>
  <r>
    <x v="1"/>
    <x v="5"/>
    <x v="11"/>
    <n v="13"/>
    <n v="10.896917864400001"/>
  </r>
  <r>
    <x v="1"/>
    <x v="6"/>
    <x v="0"/>
    <n v="10"/>
    <n v="105.6844815"/>
  </r>
  <r>
    <x v="1"/>
    <x v="6"/>
    <x v="1"/>
    <n v="1"/>
    <n v="0.14094307603799999"/>
  </r>
  <r>
    <x v="1"/>
    <x v="6"/>
    <x v="3"/>
    <n v="3"/>
    <n v="8.6200190503399998"/>
  </r>
  <r>
    <x v="1"/>
    <x v="6"/>
    <x v="5"/>
    <n v="3"/>
    <n v="1.0189981343600001"/>
  </r>
  <r>
    <x v="1"/>
    <x v="6"/>
    <x v="7"/>
    <n v="2"/>
    <n v="6.5705551804499995E-2"/>
  </r>
  <r>
    <x v="1"/>
    <x v="6"/>
    <x v="8"/>
    <n v="11"/>
    <n v="8.6651711903800006"/>
  </r>
  <r>
    <x v="1"/>
    <x v="6"/>
    <x v="10"/>
    <n v="4"/>
    <n v="2.2546357919800002"/>
  </r>
  <r>
    <x v="1"/>
    <x v="6"/>
    <x v="11"/>
    <n v="3"/>
    <n v="6.64430622266"/>
  </r>
  <r>
    <x v="1"/>
    <x v="7"/>
    <x v="0"/>
    <n v="13"/>
    <n v="49.498619638599997"/>
  </r>
  <r>
    <x v="1"/>
    <x v="7"/>
    <x v="1"/>
    <n v="13"/>
    <n v="55.095972366300003"/>
  </r>
  <r>
    <x v="1"/>
    <x v="7"/>
    <x v="5"/>
    <n v="1"/>
    <n v="2.61757896106E-3"/>
  </r>
  <r>
    <x v="1"/>
    <x v="7"/>
    <x v="15"/>
    <n v="82"/>
    <n v="403.95278347599998"/>
  </r>
  <r>
    <x v="1"/>
    <x v="7"/>
    <x v="7"/>
    <n v="1"/>
    <n v="0.141144529538"/>
  </r>
  <r>
    <x v="1"/>
    <x v="7"/>
    <x v="8"/>
    <n v="7"/>
    <n v="2.1035975311100001"/>
  </r>
  <r>
    <x v="1"/>
    <x v="7"/>
    <x v="11"/>
    <n v="13"/>
    <n v="8.7079556133199993"/>
  </r>
  <r>
    <x v="2"/>
    <x v="0"/>
    <x v="1"/>
    <n v="1"/>
    <n v="1.13786457124"/>
  </r>
  <r>
    <x v="2"/>
    <x v="0"/>
    <x v="2"/>
    <n v="2"/>
    <n v="0.34979496324499998"/>
  </r>
  <r>
    <x v="2"/>
    <x v="0"/>
    <x v="5"/>
    <n v="7"/>
    <n v="2.7320723549800001"/>
  </r>
  <r>
    <x v="2"/>
    <x v="0"/>
    <x v="8"/>
    <n v="2"/>
    <n v="0.69296249221200001"/>
  </r>
  <r>
    <x v="2"/>
    <x v="0"/>
    <x v="9"/>
    <n v="3"/>
    <n v="26.558618253100001"/>
  </r>
  <r>
    <x v="2"/>
    <x v="0"/>
    <x v="10"/>
    <n v="1"/>
    <n v="1.84349483028E-2"/>
  </r>
  <r>
    <x v="2"/>
    <x v="0"/>
    <x v="11"/>
    <n v="2"/>
    <n v="2.6483708292700001"/>
  </r>
  <r>
    <x v="2"/>
    <x v="3"/>
    <x v="0"/>
    <n v="10"/>
    <n v="80.732249407099999"/>
  </r>
  <r>
    <x v="2"/>
    <x v="3"/>
    <x v="1"/>
    <n v="52"/>
    <n v="416.99923116799999"/>
  </r>
  <r>
    <x v="2"/>
    <x v="3"/>
    <x v="3"/>
    <n v="1"/>
    <n v="3.1455311818499997E-2"/>
  </r>
  <r>
    <x v="2"/>
    <x v="3"/>
    <x v="5"/>
    <n v="6"/>
    <n v="1.26749612355"/>
  </r>
  <r>
    <x v="2"/>
    <x v="3"/>
    <x v="6"/>
    <n v="2"/>
    <n v="8.7208045287800004E-2"/>
  </r>
  <r>
    <x v="2"/>
    <x v="3"/>
    <x v="16"/>
    <n v="3"/>
    <n v="2.2926837941299998"/>
  </r>
  <r>
    <x v="2"/>
    <x v="3"/>
    <x v="7"/>
    <n v="2"/>
    <n v="5.36947779666"/>
  </r>
  <r>
    <x v="2"/>
    <x v="3"/>
    <x v="10"/>
    <n v="10"/>
    <n v="60.514803367100001"/>
  </r>
  <r>
    <x v="2"/>
    <x v="3"/>
    <x v="11"/>
    <n v="73"/>
    <n v="757.61323873000003"/>
  </r>
  <r>
    <x v="2"/>
    <x v="5"/>
    <x v="2"/>
    <n v="1"/>
    <n v="0.15495837772000001"/>
  </r>
  <r>
    <x v="3"/>
    <x v="0"/>
    <x v="12"/>
    <n v="2"/>
    <n v="2.5855996722000001E-3"/>
  </r>
  <r>
    <x v="3"/>
    <x v="0"/>
    <x v="0"/>
    <n v="3"/>
    <n v="1.4753328558499999E-2"/>
  </r>
  <r>
    <x v="3"/>
    <x v="0"/>
    <x v="1"/>
    <n v="4"/>
    <n v="0.67818832760199999"/>
  </r>
  <r>
    <x v="3"/>
    <x v="0"/>
    <x v="2"/>
    <n v="4"/>
    <n v="0.18737845338199999"/>
  </r>
  <r>
    <x v="3"/>
    <x v="0"/>
    <x v="14"/>
    <n v="2"/>
    <n v="1.11989992518E-2"/>
  </r>
  <r>
    <x v="3"/>
    <x v="0"/>
    <x v="4"/>
    <n v="2"/>
    <n v="5.3935241451400003E-2"/>
  </r>
  <r>
    <x v="3"/>
    <x v="0"/>
    <x v="5"/>
    <n v="30"/>
    <n v="5.2566825456900004"/>
  </r>
  <r>
    <x v="3"/>
    <x v="0"/>
    <x v="6"/>
    <n v="3"/>
    <n v="0.81883608103899996"/>
  </r>
  <r>
    <x v="3"/>
    <x v="0"/>
    <x v="16"/>
    <n v="6"/>
    <n v="4.8282090701999998"/>
  </r>
  <r>
    <x v="3"/>
    <x v="0"/>
    <x v="8"/>
    <n v="6"/>
    <n v="5.9820901419199997"/>
  </r>
  <r>
    <x v="3"/>
    <x v="0"/>
    <x v="9"/>
    <n v="35"/>
    <n v="112.56952031900001"/>
  </r>
  <r>
    <x v="3"/>
    <x v="0"/>
    <x v="10"/>
    <n v="6"/>
    <n v="0.32865744218199999"/>
  </r>
  <r>
    <x v="3"/>
    <x v="0"/>
    <x v="11"/>
    <n v="2"/>
    <n v="0.60339408782500004"/>
  </r>
  <r>
    <x v="3"/>
    <x v="8"/>
    <x v="0"/>
    <n v="2"/>
    <n v="8.8007871670900004E-2"/>
  </r>
  <r>
    <x v="3"/>
    <x v="8"/>
    <x v="8"/>
    <n v="4"/>
    <n v="20.6152706367"/>
  </r>
  <r>
    <x v="3"/>
    <x v="8"/>
    <x v="9"/>
    <n v="3"/>
    <n v="9.6939909373600006"/>
  </r>
  <r>
    <x v="3"/>
    <x v="2"/>
    <x v="0"/>
    <n v="5"/>
    <n v="21.918900203300002"/>
  </r>
  <r>
    <x v="3"/>
    <x v="2"/>
    <x v="1"/>
    <n v="4"/>
    <n v="1.64390416016"/>
  </r>
  <r>
    <x v="3"/>
    <x v="2"/>
    <x v="5"/>
    <n v="3"/>
    <n v="0.26295851147100002"/>
  </r>
  <r>
    <x v="3"/>
    <x v="2"/>
    <x v="8"/>
    <n v="17"/>
    <n v="53.927793952999998"/>
  </r>
  <r>
    <x v="3"/>
    <x v="2"/>
    <x v="9"/>
    <n v="7"/>
    <n v="25.6742810362"/>
  </r>
  <r>
    <x v="3"/>
    <x v="2"/>
    <x v="10"/>
    <n v="1"/>
    <n v="18.066203960399999"/>
  </r>
  <r>
    <x v="3"/>
    <x v="2"/>
    <x v="11"/>
    <n v="25"/>
    <n v="25.6226415559"/>
  </r>
  <r>
    <x v="3"/>
    <x v="3"/>
    <x v="1"/>
    <n v="17"/>
    <n v="51.114794923600002"/>
  </r>
  <r>
    <x v="3"/>
    <x v="3"/>
    <x v="5"/>
    <n v="1"/>
    <n v="1.11747512598"/>
  </r>
  <r>
    <x v="3"/>
    <x v="3"/>
    <x v="9"/>
    <n v="6"/>
    <n v="5.2536279756299997"/>
  </r>
  <r>
    <x v="3"/>
    <x v="3"/>
    <x v="11"/>
    <n v="23"/>
    <n v="28.366846401099998"/>
  </r>
  <r>
    <x v="3"/>
    <x v="5"/>
    <x v="12"/>
    <n v="1"/>
    <n v="4.3215442834699998E-4"/>
  </r>
  <r>
    <x v="3"/>
    <x v="5"/>
    <x v="1"/>
    <n v="9"/>
    <n v="6.4308631885300001"/>
  </r>
  <r>
    <x v="3"/>
    <x v="5"/>
    <x v="4"/>
    <n v="2"/>
    <n v="1.7989967817200001E-2"/>
  </r>
  <r>
    <x v="3"/>
    <x v="5"/>
    <x v="7"/>
    <n v="4"/>
    <n v="6.8235259680400002"/>
  </r>
  <r>
    <x v="3"/>
    <x v="5"/>
    <x v="11"/>
    <n v="2"/>
    <n v="2.0993047110599998"/>
  </r>
  <r>
    <x v="3"/>
    <x v="7"/>
    <x v="1"/>
    <n v="27"/>
    <n v="22.411859260300002"/>
  </r>
  <r>
    <x v="3"/>
    <x v="7"/>
    <x v="5"/>
    <n v="2"/>
    <n v="0.16324424106400001"/>
  </r>
  <r>
    <x v="3"/>
    <x v="7"/>
    <x v="6"/>
    <n v="1"/>
    <n v="1.5614361838099999E-2"/>
  </r>
  <r>
    <x v="3"/>
    <x v="7"/>
    <x v="16"/>
    <n v="16"/>
    <n v="141.26725979899999"/>
  </r>
  <r>
    <x v="3"/>
    <x v="7"/>
    <x v="8"/>
    <n v="5"/>
    <n v="6.8123609794300002"/>
  </r>
  <r>
    <x v="3"/>
    <x v="7"/>
    <x v="10"/>
    <n v="2"/>
    <n v="0.80550256822999999"/>
  </r>
  <r>
    <x v="3"/>
    <x v="7"/>
    <x v="11"/>
    <n v="25"/>
    <n v="55.608849104199997"/>
  </r>
  <r>
    <x v="4"/>
    <x v="0"/>
    <x v="0"/>
    <n v="1"/>
    <n v="10.289250559199999"/>
  </r>
  <r>
    <x v="4"/>
    <x v="0"/>
    <x v="1"/>
    <n v="84"/>
    <n v="1473.30728821"/>
  </r>
  <r>
    <x v="4"/>
    <x v="0"/>
    <x v="5"/>
    <n v="20"/>
    <n v="4.9607714462899999"/>
  </r>
  <r>
    <x v="4"/>
    <x v="0"/>
    <x v="16"/>
    <n v="7"/>
    <n v="77.172314695500006"/>
  </r>
  <r>
    <x v="4"/>
    <x v="0"/>
    <x v="7"/>
    <n v="14"/>
    <n v="45.602679751300002"/>
  </r>
  <r>
    <x v="4"/>
    <x v="0"/>
    <x v="8"/>
    <n v="1"/>
    <n v="0.29648520609399998"/>
  </r>
  <r>
    <x v="4"/>
    <x v="0"/>
    <x v="9"/>
    <n v="7"/>
    <n v="11.0799635498"/>
  </r>
  <r>
    <x v="4"/>
    <x v="0"/>
    <x v="10"/>
    <n v="5"/>
    <n v="18.883063484800001"/>
  </r>
  <r>
    <x v="4"/>
    <x v="0"/>
    <x v="11"/>
    <n v="111"/>
    <n v="798.60326603800002"/>
  </r>
  <r>
    <x v="4"/>
    <x v="2"/>
    <x v="0"/>
    <n v="7"/>
    <n v="22.288104644200001"/>
  </r>
  <r>
    <x v="4"/>
    <x v="2"/>
    <x v="1"/>
    <n v="74"/>
    <n v="237.16372918600001"/>
  </r>
  <r>
    <x v="4"/>
    <x v="2"/>
    <x v="5"/>
    <n v="4"/>
    <n v="3.9658441409299998"/>
  </r>
  <r>
    <x v="4"/>
    <x v="2"/>
    <x v="8"/>
    <n v="31"/>
    <n v="229.75413556300001"/>
  </r>
  <r>
    <x v="4"/>
    <x v="2"/>
    <x v="10"/>
    <n v="6"/>
    <n v="6.5043069133699998"/>
  </r>
  <r>
    <x v="4"/>
    <x v="2"/>
    <x v="11"/>
    <n v="40"/>
    <n v="35.607611411500002"/>
  </r>
  <r>
    <x v="4"/>
    <x v="3"/>
    <x v="0"/>
    <n v="3"/>
    <n v="45.7482303934"/>
  </r>
  <r>
    <x v="4"/>
    <x v="3"/>
    <x v="1"/>
    <n v="13"/>
    <n v="80.956604075100003"/>
  </r>
  <r>
    <x v="4"/>
    <x v="3"/>
    <x v="5"/>
    <n v="5"/>
    <n v="3.42648814474"/>
  </r>
  <r>
    <x v="4"/>
    <x v="3"/>
    <x v="17"/>
    <n v="2"/>
    <n v="4.4127211529399997E-4"/>
  </r>
  <r>
    <x v="4"/>
    <x v="3"/>
    <x v="8"/>
    <n v="19"/>
    <n v="155.56077950299999"/>
  </r>
  <r>
    <x v="4"/>
    <x v="3"/>
    <x v="11"/>
    <n v="1"/>
    <n v="3.2844038712299999"/>
  </r>
  <r>
    <x v="5"/>
    <x v="0"/>
    <x v="0"/>
    <n v="15"/>
    <n v="18.469700120799999"/>
  </r>
  <r>
    <x v="5"/>
    <x v="0"/>
    <x v="1"/>
    <n v="14"/>
    <n v="3.3242561997400002"/>
  </r>
  <r>
    <x v="5"/>
    <x v="0"/>
    <x v="2"/>
    <n v="1"/>
    <n v="2.4931498662499999E-2"/>
  </r>
  <r>
    <x v="5"/>
    <x v="0"/>
    <x v="14"/>
    <n v="3"/>
    <n v="0.80261430573299997"/>
  </r>
  <r>
    <x v="5"/>
    <x v="0"/>
    <x v="4"/>
    <n v="2"/>
    <n v="0.14858295510700001"/>
  </r>
  <r>
    <x v="5"/>
    <x v="0"/>
    <x v="5"/>
    <n v="7"/>
    <n v="5.1066033656199998"/>
  </r>
  <r>
    <x v="5"/>
    <x v="0"/>
    <x v="7"/>
    <n v="3"/>
    <n v="0.25920822775000002"/>
  </r>
  <r>
    <x v="5"/>
    <x v="0"/>
    <x v="8"/>
    <n v="8"/>
    <n v="65.402483179399994"/>
  </r>
  <r>
    <x v="5"/>
    <x v="0"/>
    <x v="9"/>
    <n v="41"/>
    <n v="507.81807278600002"/>
  </r>
  <r>
    <x v="5"/>
    <x v="0"/>
    <x v="10"/>
    <n v="8"/>
    <n v="3.3121718916199998"/>
  </r>
  <r>
    <x v="5"/>
    <x v="0"/>
    <x v="11"/>
    <n v="31"/>
    <n v="79.231770620899994"/>
  </r>
  <r>
    <x v="5"/>
    <x v="2"/>
    <x v="0"/>
    <n v="5"/>
    <n v="2.7334278595999999"/>
  </r>
  <r>
    <x v="5"/>
    <x v="2"/>
    <x v="1"/>
    <n v="7"/>
    <n v="3.3177912605"/>
  </r>
  <r>
    <x v="5"/>
    <x v="2"/>
    <x v="8"/>
    <n v="2"/>
    <n v="5.43792982144"/>
  </r>
  <r>
    <x v="5"/>
    <x v="2"/>
    <x v="18"/>
    <n v="12"/>
    <n v="30.4298786781"/>
  </r>
  <r>
    <x v="5"/>
    <x v="2"/>
    <x v="9"/>
    <n v="1"/>
    <n v="0.40391760623700002"/>
  </r>
  <r>
    <x v="5"/>
    <x v="2"/>
    <x v="11"/>
    <n v="13"/>
    <n v="15.8401741817"/>
  </r>
  <r>
    <x v="5"/>
    <x v="3"/>
    <x v="1"/>
    <n v="1"/>
    <n v="3.4310144678299999"/>
  </r>
  <r>
    <x v="5"/>
    <x v="3"/>
    <x v="5"/>
    <n v="2"/>
    <n v="7.48367137652E-2"/>
  </r>
  <r>
    <x v="5"/>
    <x v="3"/>
    <x v="11"/>
    <n v="1"/>
    <n v="0.33054512172299999"/>
  </r>
  <r>
    <x v="6"/>
    <x v="0"/>
    <x v="1"/>
    <n v="9"/>
    <n v="6.4816490514199998"/>
  </r>
  <r>
    <x v="6"/>
    <x v="0"/>
    <x v="5"/>
    <n v="5"/>
    <n v="2.4498517419499999"/>
  </r>
  <r>
    <x v="6"/>
    <x v="0"/>
    <x v="6"/>
    <n v="4"/>
    <n v="1.14197814878"/>
  </r>
  <r>
    <x v="6"/>
    <x v="0"/>
    <x v="16"/>
    <n v="1"/>
    <n v="7.6949711894599995E-2"/>
  </r>
  <r>
    <x v="6"/>
    <x v="0"/>
    <x v="7"/>
    <n v="3"/>
    <n v="0.1502943649"/>
  </r>
  <r>
    <x v="6"/>
    <x v="0"/>
    <x v="8"/>
    <n v="13"/>
    <n v="3.5999970192899999"/>
  </r>
  <r>
    <x v="6"/>
    <x v="0"/>
    <x v="9"/>
    <n v="24"/>
    <n v="256.57843070799998"/>
  </r>
  <r>
    <x v="6"/>
    <x v="0"/>
    <x v="10"/>
    <n v="1"/>
    <n v="1.5572220225599999E-3"/>
  </r>
  <r>
    <x v="6"/>
    <x v="0"/>
    <x v="11"/>
    <n v="28"/>
    <n v="83.991190133499998"/>
  </r>
  <r>
    <x v="6"/>
    <x v="5"/>
    <x v="1"/>
    <n v="7"/>
    <n v="53.284947886700003"/>
  </r>
  <r>
    <x v="6"/>
    <x v="5"/>
    <x v="5"/>
    <n v="5"/>
    <n v="5.1428561250999998"/>
  </r>
  <r>
    <x v="6"/>
    <x v="5"/>
    <x v="7"/>
    <n v="17"/>
    <n v="74.795139605399996"/>
  </r>
  <r>
    <x v="6"/>
    <x v="5"/>
    <x v="8"/>
    <n v="6"/>
    <n v="5.1046277708799996"/>
  </r>
  <r>
    <x v="6"/>
    <x v="5"/>
    <x v="9"/>
    <n v="5"/>
    <n v="1.0286769525699999"/>
  </r>
  <r>
    <x v="6"/>
    <x v="5"/>
    <x v="10"/>
    <n v="5"/>
    <n v="3.5055631736000001"/>
  </r>
  <r>
    <x v="6"/>
    <x v="5"/>
    <x v="11"/>
    <n v="16"/>
    <n v="32.233668292899999"/>
  </r>
  <r>
    <x v="7"/>
    <x v="0"/>
    <x v="0"/>
    <n v="40"/>
    <n v="85.298983523900006"/>
  </r>
  <r>
    <x v="7"/>
    <x v="0"/>
    <x v="1"/>
    <n v="155"/>
    <n v="295.75535249199999"/>
  </r>
  <r>
    <x v="7"/>
    <x v="0"/>
    <x v="2"/>
    <n v="13"/>
    <n v="8.7569276787299994"/>
  </r>
  <r>
    <x v="7"/>
    <x v="0"/>
    <x v="14"/>
    <n v="1"/>
    <n v="0.16828364258199999"/>
  </r>
  <r>
    <x v="7"/>
    <x v="0"/>
    <x v="3"/>
    <n v="2"/>
    <n v="3.6914341028100002"/>
  </r>
  <r>
    <x v="7"/>
    <x v="0"/>
    <x v="4"/>
    <n v="11"/>
    <n v="0.93562575460499997"/>
  </r>
  <r>
    <x v="7"/>
    <x v="0"/>
    <x v="5"/>
    <n v="107"/>
    <n v="41.2159972989"/>
  </r>
  <r>
    <x v="7"/>
    <x v="0"/>
    <x v="6"/>
    <n v="24"/>
    <n v="5.2882620817600001"/>
  </r>
  <r>
    <x v="7"/>
    <x v="0"/>
    <x v="17"/>
    <n v="8"/>
    <n v="16.7576244985"/>
  </r>
  <r>
    <x v="7"/>
    <x v="0"/>
    <x v="16"/>
    <n v="25"/>
    <n v="49.046325019199998"/>
  </r>
  <r>
    <x v="7"/>
    <x v="0"/>
    <x v="7"/>
    <n v="8"/>
    <n v="0.93214517314199996"/>
  </r>
  <r>
    <x v="7"/>
    <x v="0"/>
    <x v="8"/>
    <n v="80"/>
    <n v="83.680043600000005"/>
  </r>
  <r>
    <x v="7"/>
    <x v="0"/>
    <x v="9"/>
    <n v="233"/>
    <n v="1417.91758336"/>
  </r>
  <r>
    <x v="7"/>
    <x v="0"/>
    <x v="10"/>
    <n v="66"/>
    <n v="168.11748428999999"/>
  </r>
  <r>
    <x v="7"/>
    <x v="0"/>
    <x v="11"/>
    <n v="124"/>
    <n v="96.645678792400005"/>
  </r>
  <r>
    <x v="7"/>
    <x v="9"/>
    <x v="1"/>
    <n v="1"/>
    <n v="4.5459815324900003E-2"/>
  </r>
  <r>
    <x v="7"/>
    <x v="9"/>
    <x v="9"/>
    <n v="1"/>
    <n v="4.1314898824600004"/>
  </r>
  <r>
    <x v="7"/>
    <x v="2"/>
    <x v="0"/>
    <n v="21"/>
    <n v="128.15511992"/>
  </r>
  <r>
    <x v="7"/>
    <x v="2"/>
    <x v="13"/>
    <n v="1"/>
    <n v="4.2994983893100001"/>
  </r>
  <r>
    <x v="7"/>
    <x v="2"/>
    <x v="1"/>
    <n v="89"/>
    <n v="143.86199971299999"/>
  </r>
  <r>
    <x v="7"/>
    <x v="2"/>
    <x v="2"/>
    <n v="2"/>
    <n v="1.4018671642599999E-2"/>
  </r>
  <r>
    <x v="7"/>
    <x v="2"/>
    <x v="4"/>
    <n v="1"/>
    <n v="0.16542022306199999"/>
  </r>
  <r>
    <x v="7"/>
    <x v="2"/>
    <x v="5"/>
    <n v="31"/>
    <n v="20.645760202200002"/>
  </r>
  <r>
    <x v="7"/>
    <x v="2"/>
    <x v="17"/>
    <n v="11"/>
    <n v="17.9043075869"/>
  </r>
  <r>
    <x v="7"/>
    <x v="2"/>
    <x v="16"/>
    <n v="4"/>
    <n v="1.0494346409099999"/>
  </r>
  <r>
    <x v="7"/>
    <x v="2"/>
    <x v="7"/>
    <n v="7"/>
    <n v="1.0017813290499999"/>
  </r>
  <r>
    <x v="7"/>
    <x v="2"/>
    <x v="8"/>
    <n v="190"/>
    <n v="751.47488102299997"/>
  </r>
  <r>
    <x v="7"/>
    <x v="2"/>
    <x v="9"/>
    <n v="23"/>
    <n v="391.04929107100003"/>
  </r>
  <r>
    <x v="7"/>
    <x v="2"/>
    <x v="10"/>
    <n v="40"/>
    <n v="42.903660347600002"/>
  </r>
  <r>
    <x v="7"/>
    <x v="2"/>
    <x v="11"/>
    <n v="200"/>
    <n v="303.45683074099998"/>
  </r>
  <r>
    <x v="7"/>
    <x v="10"/>
    <x v="1"/>
    <n v="3"/>
    <n v="0.60660520713599997"/>
  </r>
  <r>
    <x v="7"/>
    <x v="10"/>
    <x v="5"/>
    <n v="1"/>
    <n v="2.3345641347000002E-3"/>
  </r>
  <r>
    <x v="7"/>
    <x v="10"/>
    <x v="8"/>
    <n v="4"/>
    <n v="23.267453640199999"/>
  </r>
  <r>
    <x v="7"/>
    <x v="3"/>
    <x v="0"/>
    <n v="3"/>
    <n v="56.112367299399999"/>
  </r>
  <r>
    <x v="7"/>
    <x v="3"/>
    <x v="1"/>
    <n v="47"/>
    <n v="118.87804549099999"/>
  </r>
  <r>
    <x v="7"/>
    <x v="3"/>
    <x v="2"/>
    <n v="1"/>
    <n v="4.7922135492100004E-3"/>
  </r>
  <r>
    <x v="7"/>
    <x v="3"/>
    <x v="4"/>
    <n v="3"/>
    <n v="9.87952815469"/>
  </r>
  <r>
    <x v="7"/>
    <x v="3"/>
    <x v="5"/>
    <n v="12"/>
    <n v="12.9083634171"/>
  </r>
  <r>
    <x v="7"/>
    <x v="3"/>
    <x v="17"/>
    <n v="2"/>
    <n v="0.66030595204999998"/>
  </r>
  <r>
    <x v="7"/>
    <x v="3"/>
    <x v="16"/>
    <n v="2"/>
    <n v="1.0195313289300001"/>
  </r>
  <r>
    <x v="7"/>
    <x v="3"/>
    <x v="7"/>
    <n v="7"/>
    <n v="94.495654286700002"/>
  </r>
  <r>
    <x v="7"/>
    <x v="3"/>
    <x v="8"/>
    <n v="47"/>
    <n v="127.75013409"/>
  </r>
  <r>
    <x v="7"/>
    <x v="3"/>
    <x v="9"/>
    <n v="16"/>
    <n v="104.248148343"/>
  </r>
  <r>
    <x v="7"/>
    <x v="3"/>
    <x v="10"/>
    <n v="5"/>
    <n v="2.0053204475499999"/>
  </r>
  <r>
    <x v="7"/>
    <x v="3"/>
    <x v="11"/>
    <n v="65"/>
    <n v="74.810266022700006"/>
  </r>
  <r>
    <x v="7"/>
    <x v="5"/>
    <x v="0"/>
    <n v="5"/>
    <n v="0.43323458216600003"/>
  </r>
  <r>
    <x v="7"/>
    <x v="5"/>
    <x v="1"/>
    <n v="67"/>
    <n v="34.419989902600001"/>
  </r>
  <r>
    <x v="7"/>
    <x v="5"/>
    <x v="14"/>
    <n v="5"/>
    <n v="0.86827133676299995"/>
  </r>
  <r>
    <x v="7"/>
    <x v="5"/>
    <x v="3"/>
    <n v="2"/>
    <n v="8.9999571478899991"/>
  </r>
  <r>
    <x v="7"/>
    <x v="5"/>
    <x v="4"/>
    <n v="6"/>
    <n v="0.92202777306700001"/>
  </r>
  <r>
    <x v="7"/>
    <x v="5"/>
    <x v="5"/>
    <n v="32"/>
    <n v="11.0636586662"/>
  </r>
  <r>
    <x v="7"/>
    <x v="5"/>
    <x v="6"/>
    <n v="9"/>
    <n v="1.32502765278"/>
  </r>
  <r>
    <x v="7"/>
    <x v="5"/>
    <x v="16"/>
    <n v="5"/>
    <n v="3.9375550004800002"/>
  </r>
  <r>
    <x v="7"/>
    <x v="5"/>
    <x v="7"/>
    <n v="114"/>
    <n v="466.58094627999998"/>
  </r>
  <r>
    <x v="7"/>
    <x v="5"/>
    <x v="8"/>
    <n v="43"/>
    <n v="43.373030336200003"/>
  </r>
  <r>
    <x v="7"/>
    <x v="5"/>
    <x v="9"/>
    <n v="12"/>
    <n v="88.468515750600005"/>
  </r>
  <r>
    <x v="7"/>
    <x v="5"/>
    <x v="10"/>
    <n v="11"/>
    <n v="25.8467824566"/>
  </r>
  <r>
    <x v="7"/>
    <x v="5"/>
    <x v="11"/>
    <n v="25"/>
    <n v="8.7270895939699997"/>
  </r>
  <r>
    <x v="8"/>
    <x v="0"/>
    <x v="0"/>
    <n v="35"/>
    <n v="63.655887809500001"/>
  </r>
  <r>
    <x v="8"/>
    <x v="0"/>
    <x v="1"/>
    <n v="77"/>
    <n v="166.076962826"/>
  </r>
  <r>
    <x v="8"/>
    <x v="0"/>
    <x v="2"/>
    <n v="19"/>
    <n v="1.2355289415299999"/>
  </r>
  <r>
    <x v="8"/>
    <x v="0"/>
    <x v="14"/>
    <n v="6"/>
    <n v="0.74150241372799996"/>
  </r>
  <r>
    <x v="8"/>
    <x v="0"/>
    <x v="3"/>
    <n v="2"/>
    <n v="4.22390797583E-3"/>
  </r>
  <r>
    <x v="8"/>
    <x v="0"/>
    <x v="4"/>
    <n v="12"/>
    <n v="0.64210577224499998"/>
  </r>
  <r>
    <x v="8"/>
    <x v="0"/>
    <x v="5"/>
    <n v="39"/>
    <n v="13.6217902064"/>
  </r>
  <r>
    <x v="8"/>
    <x v="0"/>
    <x v="6"/>
    <n v="3"/>
    <n v="0.106006280918"/>
  </r>
  <r>
    <x v="8"/>
    <x v="0"/>
    <x v="17"/>
    <n v="1"/>
    <n v="8.1635945081299996E-2"/>
  </r>
  <r>
    <x v="8"/>
    <x v="0"/>
    <x v="16"/>
    <n v="5"/>
    <n v="1.31174187378"/>
  </r>
  <r>
    <x v="8"/>
    <x v="0"/>
    <x v="7"/>
    <n v="9"/>
    <n v="17.6051495691"/>
  </r>
  <r>
    <x v="8"/>
    <x v="0"/>
    <x v="8"/>
    <n v="73"/>
    <n v="85.643781097399994"/>
  </r>
  <r>
    <x v="8"/>
    <x v="0"/>
    <x v="9"/>
    <n v="232"/>
    <n v="2469.1253902399999"/>
  </r>
  <r>
    <x v="8"/>
    <x v="0"/>
    <x v="10"/>
    <n v="29"/>
    <n v="64.467314998299997"/>
  </r>
  <r>
    <x v="8"/>
    <x v="0"/>
    <x v="11"/>
    <n v="277"/>
    <n v="504.18080466399999"/>
  </r>
  <r>
    <x v="8"/>
    <x v="9"/>
    <x v="1"/>
    <n v="5"/>
    <n v="0.52232036658199998"/>
  </r>
  <r>
    <x v="8"/>
    <x v="9"/>
    <x v="5"/>
    <n v="2"/>
    <n v="0.14768726469599999"/>
  </r>
  <r>
    <x v="8"/>
    <x v="9"/>
    <x v="7"/>
    <n v="3"/>
    <n v="49.815948792599997"/>
  </r>
  <r>
    <x v="8"/>
    <x v="9"/>
    <x v="8"/>
    <n v="2"/>
    <n v="5.2013331753500003"/>
  </r>
  <r>
    <x v="8"/>
    <x v="9"/>
    <x v="9"/>
    <n v="5"/>
    <n v="52.669745655200003"/>
  </r>
  <r>
    <x v="8"/>
    <x v="9"/>
    <x v="10"/>
    <n v="5"/>
    <n v="1.8503608002900001"/>
  </r>
  <r>
    <x v="8"/>
    <x v="9"/>
    <x v="11"/>
    <n v="9"/>
    <n v="6.0452497278399999"/>
  </r>
  <r>
    <x v="8"/>
    <x v="2"/>
    <x v="0"/>
    <n v="13"/>
    <n v="97.997746742100006"/>
  </r>
  <r>
    <x v="8"/>
    <x v="2"/>
    <x v="1"/>
    <n v="99"/>
    <n v="248.04351970299999"/>
  </r>
  <r>
    <x v="8"/>
    <x v="2"/>
    <x v="2"/>
    <n v="3"/>
    <n v="0.76918981140499998"/>
  </r>
  <r>
    <x v="8"/>
    <x v="2"/>
    <x v="4"/>
    <n v="1"/>
    <n v="1.7742240173099999"/>
  </r>
  <r>
    <x v="8"/>
    <x v="2"/>
    <x v="5"/>
    <n v="6"/>
    <n v="4.8752870596499998"/>
  </r>
  <r>
    <x v="8"/>
    <x v="2"/>
    <x v="17"/>
    <n v="23"/>
    <n v="110.40388218"/>
  </r>
  <r>
    <x v="8"/>
    <x v="2"/>
    <x v="16"/>
    <n v="2"/>
    <n v="28.092439428399999"/>
  </r>
  <r>
    <x v="8"/>
    <x v="2"/>
    <x v="7"/>
    <n v="7"/>
    <n v="9.5613009971299991"/>
  </r>
  <r>
    <x v="8"/>
    <x v="2"/>
    <x v="8"/>
    <n v="1122"/>
    <n v="1497.1360132100001"/>
  </r>
  <r>
    <x v="8"/>
    <x v="2"/>
    <x v="9"/>
    <n v="3"/>
    <n v="3.9504955280799998"/>
  </r>
  <r>
    <x v="8"/>
    <x v="2"/>
    <x v="10"/>
    <n v="18"/>
    <n v="61.5611831346"/>
  </r>
  <r>
    <x v="8"/>
    <x v="2"/>
    <x v="11"/>
    <n v="1294"/>
    <n v="1396.4118721"/>
  </r>
  <r>
    <x v="8"/>
    <x v="11"/>
    <x v="0"/>
    <n v="4"/>
    <n v="73.920120106599995"/>
  </r>
  <r>
    <x v="8"/>
    <x v="11"/>
    <x v="1"/>
    <n v="8"/>
    <n v="8.4260569737599997"/>
  </r>
  <r>
    <x v="8"/>
    <x v="11"/>
    <x v="8"/>
    <n v="9"/>
    <n v="137.39965845500001"/>
  </r>
  <r>
    <x v="8"/>
    <x v="11"/>
    <x v="9"/>
    <n v="2"/>
    <n v="9.6626612097599998E-2"/>
  </r>
  <r>
    <x v="8"/>
    <x v="11"/>
    <x v="10"/>
    <n v="1"/>
    <n v="0.59138518454599998"/>
  </r>
  <r>
    <x v="8"/>
    <x v="11"/>
    <x v="11"/>
    <n v="29"/>
    <n v="100.855470997"/>
  </r>
  <r>
    <x v="8"/>
    <x v="12"/>
    <x v="1"/>
    <n v="9"/>
    <n v="11.6096032769"/>
  </r>
  <r>
    <x v="8"/>
    <x v="12"/>
    <x v="7"/>
    <n v="9"/>
    <n v="27.311347729000001"/>
  </r>
  <r>
    <x v="8"/>
    <x v="12"/>
    <x v="8"/>
    <n v="6"/>
    <n v="1.43545873946"/>
  </r>
  <r>
    <x v="8"/>
    <x v="12"/>
    <x v="10"/>
    <n v="4"/>
    <n v="3.6187856644399998"/>
  </r>
  <r>
    <x v="8"/>
    <x v="12"/>
    <x v="11"/>
    <n v="17"/>
    <n v="12.682159131300001"/>
  </r>
  <r>
    <x v="8"/>
    <x v="10"/>
    <x v="5"/>
    <n v="3"/>
    <n v="5.1043572717899997"/>
  </r>
  <r>
    <x v="8"/>
    <x v="10"/>
    <x v="7"/>
    <n v="1"/>
    <n v="1.5265110326"/>
  </r>
  <r>
    <x v="8"/>
    <x v="10"/>
    <x v="8"/>
    <n v="2"/>
    <n v="1.8785429737299999"/>
  </r>
  <r>
    <x v="8"/>
    <x v="10"/>
    <x v="11"/>
    <n v="2"/>
    <n v="1.39481813223"/>
  </r>
  <r>
    <x v="8"/>
    <x v="3"/>
    <x v="5"/>
    <n v="1"/>
    <n v="0.19349721531399999"/>
  </r>
  <r>
    <x v="8"/>
    <x v="3"/>
    <x v="7"/>
    <n v="3"/>
    <n v="8.1864703126199991"/>
  </r>
  <r>
    <x v="8"/>
    <x v="3"/>
    <x v="8"/>
    <n v="1"/>
    <n v="3.5625825956999998E-5"/>
  </r>
  <r>
    <x v="8"/>
    <x v="4"/>
    <x v="8"/>
    <n v="3"/>
    <n v="0.95963288502800004"/>
  </r>
  <r>
    <x v="8"/>
    <x v="5"/>
    <x v="0"/>
    <n v="5"/>
    <n v="3.9334721202199998"/>
  </r>
  <r>
    <x v="8"/>
    <x v="5"/>
    <x v="13"/>
    <n v="1"/>
    <n v="2.4285081068599998E-3"/>
  </r>
  <r>
    <x v="8"/>
    <x v="5"/>
    <x v="1"/>
    <n v="44"/>
    <n v="36.349583083799999"/>
  </r>
  <r>
    <x v="8"/>
    <x v="5"/>
    <x v="4"/>
    <n v="1"/>
    <n v="0.16018198760300001"/>
  </r>
  <r>
    <x v="8"/>
    <x v="5"/>
    <x v="5"/>
    <n v="27"/>
    <n v="3.7587051275999999"/>
  </r>
  <r>
    <x v="8"/>
    <x v="5"/>
    <x v="16"/>
    <n v="3"/>
    <n v="10.1350513407"/>
  </r>
  <r>
    <x v="8"/>
    <x v="5"/>
    <x v="7"/>
    <n v="89"/>
    <n v="643.80052912300005"/>
  </r>
  <r>
    <x v="8"/>
    <x v="5"/>
    <x v="8"/>
    <n v="60"/>
    <n v="116.77369492299999"/>
  </r>
  <r>
    <x v="8"/>
    <x v="5"/>
    <x v="9"/>
    <n v="38"/>
    <n v="180.06853151300001"/>
  </r>
  <r>
    <x v="8"/>
    <x v="5"/>
    <x v="10"/>
    <n v="33"/>
    <n v="111.25174580700001"/>
  </r>
  <r>
    <x v="8"/>
    <x v="5"/>
    <x v="11"/>
    <n v="122"/>
    <n v="211.20192387099999"/>
  </r>
  <r>
    <x v="8"/>
    <x v="7"/>
    <x v="0"/>
    <n v="1"/>
    <n v="18.214222873400001"/>
  </r>
  <r>
    <x v="8"/>
    <x v="7"/>
    <x v="11"/>
    <n v="1"/>
    <n v="5.3336494672999999"/>
  </r>
  <r>
    <x v="9"/>
    <x v="0"/>
    <x v="0"/>
    <n v="2"/>
    <n v="17.287393802899999"/>
  </r>
  <r>
    <x v="9"/>
    <x v="0"/>
    <x v="1"/>
    <n v="52"/>
    <n v="40.154408570999998"/>
  </r>
  <r>
    <x v="9"/>
    <x v="0"/>
    <x v="2"/>
    <n v="3"/>
    <n v="0.26951348898799998"/>
  </r>
  <r>
    <x v="9"/>
    <x v="0"/>
    <x v="5"/>
    <n v="10"/>
    <n v="0.47168624246899998"/>
  </r>
  <r>
    <x v="9"/>
    <x v="0"/>
    <x v="6"/>
    <n v="1"/>
    <n v="2.04226027856E-2"/>
  </r>
  <r>
    <x v="9"/>
    <x v="0"/>
    <x v="16"/>
    <n v="4"/>
    <n v="10.8844221844"/>
  </r>
  <r>
    <x v="9"/>
    <x v="0"/>
    <x v="7"/>
    <n v="2"/>
    <n v="0.13665979576100001"/>
  </r>
  <r>
    <x v="9"/>
    <x v="0"/>
    <x v="8"/>
    <n v="24"/>
    <n v="26.9440577831"/>
  </r>
  <r>
    <x v="9"/>
    <x v="0"/>
    <x v="9"/>
    <n v="76"/>
    <n v="390.87144125899999"/>
  </r>
  <r>
    <x v="9"/>
    <x v="0"/>
    <x v="10"/>
    <n v="26"/>
    <n v="22.7562101547"/>
  </r>
  <r>
    <x v="9"/>
    <x v="0"/>
    <x v="11"/>
    <n v="64"/>
    <n v="51.892591160800002"/>
  </r>
  <r>
    <x v="9"/>
    <x v="13"/>
    <x v="1"/>
    <n v="13"/>
    <n v="10.874183263000001"/>
  </r>
  <r>
    <x v="9"/>
    <x v="13"/>
    <x v="14"/>
    <n v="1"/>
    <n v="9.1886705510500002E-2"/>
  </r>
  <r>
    <x v="9"/>
    <x v="13"/>
    <x v="8"/>
    <n v="4"/>
    <n v="3.9526524794200002"/>
  </r>
  <r>
    <x v="9"/>
    <x v="13"/>
    <x v="9"/>
    <n v="11"/>
    <n v="42.8620778648"/>
  </r>
  <r>
    <x v="9"/>
    <x v="13"/>
    <x v="10"/>
    <n v="5"/>
    <n v="2.3132088290500001"/>
  </r>
  <r>
    <x v="9"/>
    <x v="13"/>
    <x v="11"/>
    <n v="8"/>
    <n v="10.721109476300001"/>
  </r>
  <r>
    <x v="9"/>
    <x v="8"/>
    <x v="1"/>
    <n v="1"/>
    <n v="1.1023938633599999E-2"/>
  </r>
  <r>
    <x v="9"/>
    <x v="8"/>
    <x v="8"/>
    <n v="7"/>
    <n v="49.648604090200003"/>
  </r>
  <r>
    <x v="9"/>
    <x v="8"/>
    <x v="9"/>
    <n v="7"/>
    <n v="25.4039462046"/>
  </r>
  <r>
    <x v="9"/>
    <x v="2"/>
    <x v="12"/>
    <n v="1"/>
    <n v="9.4714900537100001E-9"/>
  </r>
  <r>
    <x v="9"/>
    <x v="2"/>
    <x v="1"/>
    <n v="55"/>
    <n v="63.251867364900001"/>
  </r>
  <r>
    <x v="9"/>
    <x v="2"/>
    <x v="14"/>
    <n v="5"/>
    <n v="0.62898237438000004"/>
  </r>
  <r>
    <x v="9"/>
    <x v="2"/>
    <x v="5"/>
    <n v="7"/>
    <n v="4.0157713827999997"/>
  </r>
  <r>
    <x v="9"/>
    <x v="2"/>
    <x v="8"/>
    <n v="32"/>
    <n v="74.716438371199999"/>
  </r>
  <r>
    <x v="9"/>
    <x v="2"/>
    <x v="9"/>
    <n v="9"/>
    <n v="3.1641426838900002"/>
  </r>
  <r>
    <x v="9"/>
    <x v="2"/>
    <x v="10"/>
    <n v="17"/>
    <n v="53.668059155500003"/>
  </r>
  <r>
    <x v="9"/>
    <x v="2"/>
    <x v="11"/>
    <n v="69"/>
    <n v="171.28741341400001"/>
  </r>
  <r>
    <x v="9"/>
    <x v="3"/>
    <x v="1"/>
    <n v="1"/>
    <n v="0.30119560226699998"/>
  </r>
  <r>
    <x v="9"/>
    <x v="3"/>
    <x v="5"/>
    <n v="4"/>
    <n v="3.6309203918100001"/>
  </r>
  <r>
    <x v="9"/>
    <x v="3"/>
    <x v="7"/>
    <n v="9"/>
    <n v="47.312254512400003"/>
  </r>
  <r>
    <x v="9"/>
    <x v="3"/>
    <x v="8"/>
    <n v="6"/>
    <n v="21.025535705799999"/>
  </r>
  <r>
    <x v="9"/>
    <x v="3"/>
    <x v="9"/>
    <n v="8"/>
    <n v="0.592857117883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B6FA44-9A89-422E-A2B7-99E1680070F2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A1:BO35" firstHeaderRow="1" firstDataRow="3" firstDataCol="1"/>
  <pivotFields count="6">
    <pivotField axis="axisCol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Col" subtotalTop="0" showAll="0">
      <items count="7">
        <item x="0"/>
        <item x="5"/>
        <item x="4"/>
        <item x="1"/>
        <item x="2"/>
        <item x="3"/>
        <item t="default"/>
      </items>
    </pivotField>
    <pivotField axis="axisRow" subtotalTop="0" showAll="0">
      <items count="18">
        <item x="0"/>
        <item x="13"/>
        <item x="5"/>
        <item x="6"/>
        <item x="4"/>
        <item x="11"/>
        <item x="7"/>
        <item x="12"/>
        <item x="9"/>
        <item x="14"/>
        <item x="8"/>
        <item x="1"/>
        <item x="2"/>
        <item x="10"/>
        <item x="3"/>
        <item x="15"/>
        <item x="16"/>
        <item t="default"/>
      </items>
    </pivotField>
    <pivotField axis="axisRow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numFmtId="1" subtotalTop="0" showAll="0"/>
    <pivotField dataField="1" numFmtId="167" subtotalTop="0" showAll="0"/>
  </pivotFields>
  <rowFields count="2">
    <field x="3"/>
    <field x="2"/>
  </rowFields>
  <rowItems count="32">
    <i>
      <x/>
    </i>
    <i r="1">
      <x/>
    </i>
    <i r="1">
      <x v="11"/>
    </i>
    <i r="1">
      <x v="12"/>
    </i>
    <i r="1">
      <x v="14"/>
    </i>
    <i t="default">
      <x/>
    </i>
    <i>
      <x v="1"/>
    </i>
    <i r="1">
      <x v="2"/>
    </i>
    <i r="1">
      <x v="3"/>
    </i>
    <i r="1">
      <x v="4"/>
    </i>
    <i t="default">
      <x v="1"/>
    </i>
    <i>
      <x v="2"/>
    </i>
    <i r="1">
      <x v="6"/>
    </i>
    <i r="1">
      <x v="8"/>
    </i>
    <i r="1">
      <x v="10"/>
    </i>
    <i r="1">
      <x v="13"/>
    </i>
    <i t="default">
      <x v="2"/>
    </i>
    <i>
      <x v="3"/>
    </i>
    <i r="1">
      <x v="5"/>
    </i>
    <i r="1">
      <x v="7"/>
    </i>
    <i t="default">
      <x v="3"/>
    </i>
    <i>
      <x v="4"/>
    </i>
    <i r="1">
      <x v="1"/>
    </i>
    <i t="default">
      <x v="4"/>
    </i>
    <i>
      <x v="5"/>
    </i>
    <i r="1">
      <x v="9"/>
    </i>
    <i t="default">
      <x v="5"/>
    </i>
    <i>
      <x v="6"/>
    </i>
    <i r="1">
      <x v="15"/>
    </i>
    <i r="1">
      <x v="16"/>
    </i>
    <i t="default">
      <x v="6"/>
    </i>
    <i t="grand">
      <x/>
    </i>
  </rowItems>
  <colFields count="2">
    <field x="0"/>
    <field x="1"/>
  </colFields>
  <colItems count="40">
    <i>
      <x/>
      <x/>
    </i>
    <i r="1">
      <x v="2"/>
    </i>
    <i r="1">
      <x v="3"/>
    </i>
    <i r="1">
      <x v="4"/>
    </i>
    <i r="1">
      <x v="5"/>
    </i>
    <i t="default">
      <x/>
    </i>
    <i>
      <x v="1"/>
      <x/>
    </i>
    <i r="1">
      <x v="3"/>
    </i>
    <i t="default">
      <x v="1"/>
    </i>
    <i>
      <x v="2"/>
      <x/>
    </i>
    <i r="1">
      <x v="2"/>
    </i>
    <i r="1">
      <x v="3"/>
    </i>
    <i t="default">
      <x v="2"/>
    </i>
    <i>
      <x v="3"/>
      <x/>
    </i>
    <i r="1">
      <x v="3"/>
    </i>
    <i r="1">
      <x v="4"/>
    </i>
    <i t="default">
      <x v="3"/>
    </i>
    <i>
      <x v="4"/>
      <x/>
    </i>
    <i r="1">
      <x v="1"/>
    </i>
    <i r="1">
      <x v="2"/>
    </i>
    <i t="default">
      <x v="4"/>
    </i>
    <i>
      <x v="5"/>
      <x/>
    </i>
    <i r="1">
      <x v="1"/>
    </i>
    <i r="1">
      <x v="2"/>
    </i>
    <i t="default">
      <x v="5"/>
    </i>
    <i>
      <x v="6"/>
      <x/>
    </i>
    <i r="1">
      <x v="3"/>
    </i>
    <i t="default">
      <x v="6"/>
    </i>
    <i>
      <x v="7"/>
      <x/>
    </i>
    <i r="1">
      <x v="1"/>
    </i>
    <i r="1">
      <x v="2"/>
    </i>
    <i r="1">
      <x v="3"/>
    </i>
    <i r="1">
      <x v="5"/>
    </i>
    <i t="default">
      <x v="7"/>
    </i>
    <i>
      <x v="8"/>
      <x/>
    </i>
    <i r="1">
      <x v="1"/>
    </i>
    <i r="1">
      <x v="2"/>
    </i>
    <i r="1">
      <x v="4"/>
    </i>
    <i t="default">
      <x v="8"/>
    </i>
    <i t="grand">
      <x/>
    </i>
  </colItems>
  <dataFields count="1">
    <dataField name="Sum of SUM_ACREAG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593713-FA6F-4ECE-92C4-97F9ED770619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S14" firstHeaderRow="1" firstDataRow="2" firstDataCol="1"/>
  <pivotFields count="5">
    <pivotField axis="axisRow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Col" subtotalTop="0" showAll="0">
      <items count="18">
        <item x="0"/>
        <item x="1"/>
        <item x="12"/>
        <item x="15"/>
        <item x="2"/>
        <item x="3"/>
        <item x="4"/>
        <item x="5"/>
        <item x="14"/>
        <item x="6"/>
        <item x="13"/>
        <item x="7"/>
        <item x="8"/>
        <item x="16"/>
        <item x="9"/>
        <item x="10"/>
        <item x="11"/>
        <item t="default"/>
      </items>
    </pivotField>
    <pivotField subtotalTop="0" showAll="0"/>
    <pivotField numFmtId="1" subtotalTop="0" showAll="0"/>
    <pivotField dataField="1" numFmtId="172" subtotalTop="0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Sum of SUM_ACREAG" fld="4" baseField="0" baseItem="0"/>
  </dataFields>
  <formats count="6">
    <format dxfId="24">
      <pivotArea collapsedLevelsAreSubtotals="1" fieldPosition="0">
        <references count="2">
          <reference field="0" count="1">
            <x v="4"/>
          </reference>
          <reference field="1" count="1" selected="0">
            <x v="1"/>
          </reference>
        </references>
      </pivotArea>
    </format>
    <format dxfId="23">
      <pivotArea collapsedLevelsAreSubtotals="1" fieldPosition="0">
        <references count="2">
          <reference field="0" count="1">
            <x v="2"/>
          </reference>
          <reference field="1" count="1" selected="0">
            <x v="16"/>
          </reference>
        </references>
      </pivotArea>
    </format>
    <format dxfId="22">
      <pivotArea collapsedLevelsAreSubtotals="1" fieldPosition="0">
        <references count="2">
          <reference field="0" count="1">
            <x v="4"/>
          </reference>
          <reference field="1" count="1" selected="0">
            <x v="16"/>
          </reference>
        </references>
      </pivotArea>
    </format>
    <format dxfId="21">
      <pivotArea collapsedLevelsAreSubtotals="1" fieldPosition="0">
        <references count="2">
          <reference field="0" count="1">
            <x v="8"/>
          </reference>
          <reference field="1" count="1" selected="0">
            <x v="16"/>
          </reference>
        </references>
      </pivotArea>
    </format>
    <format dxfId="20">
      <pivotArea collapsedLevelsAreSubtotals="1" fieldPosition="0">
        <references count="2">
          <reference field="0" count="1">
            <x v="2"/>
          </reference>
          <reference field="1" count="1" selected="0">
            <x v="1"/>
          </reference>
        </references>
      </pivotArea>
    </format>
    <format dxfId="19">
      <pivotArea collapsedLevelsAreSubtotals="1" fieldPosition="0">
        <references count="2">
          <reference field="0" count="1">
            <x v="8"/>
          </reference>
          <reference field="1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6B0DA0-BA6A-4177-AFC3-2DB49B8F2D87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X154" firstHeaderRow="1" firstDataRow="2" firstDataCol="1"/>
  <pivotFields count="5">
    <pivotField axis="axisRow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ubtotalTop="0" showAll="0">
      <items count="15">
        <item x="0"/>
        <item x="13"/>
        <item x="1"/>
        <item x="9"/>
        <item x="8"/>
        <item x="2"/>
        <item x="11"/>
        <item x="12"/>
        <item x="10"/>
        <item x="3"/>
        <item x="4"/>
        <item x="5"/>
        <item x="6"/>
        <item x="7"/>
        <item t="default"/>
      </items>
    </pivotField>
    <pivotField axis="axisRow" subtotalTop="0" showAll="0">
      <items count="20">
        <item x="0"/>
        <item x="13"/>
        <item x="1"/>
        <item x="2"/>
        <item x="14"/>
        <item x="3"/>
        <item x="4"/>
        <item x="5"/>
        <item x="6"/>
        <item x="17"/>
        <item x="15"/>
        <item x="16"/>
        <item x="7"/>
        <item x="8"/>
        <item x="18"/>
        <item x="9"/>
        <item x="10"/>
        <item x="11"/>
        <item x="12"/>
        <item t="default"/>
      </items>
    </pivotField>
    <pivotField numFmtId="1" subtotalTop="0" showAll="0"/>
    <pivotField dataField="1" numFmtId="168" subtotalTop="0" showAll="0"/>
  </pivotFields>
  <rowFields count="2">
    <field x="0"/>
    <field x="2"/>
  </rowFields>
  <rowItems count="15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t="default">
      <x/>
    </i>
    <i>
      <x v="1"/>
    </i>
    <i r="1">
      <x/>
    </i>
    <i r="1">
      <x v="2"/>
    </i>
    <i r="1">
      <x v="5"/>
    </i>
    <i r="1">
      <x v="6"/>
    </i>
    <i r="1">
      <x v="7"/>
    </i>
    <i r="1">
      <x v="8"/>
    </i>
    <i r="1">
      <x v="10"/>
    </i>
    <i r="1">
      <x v="12"/>
    </i>
    <i r="1">
      <x v="13"/>
    </i>
    <i r="1">
      <x v="15"/>
    </i>
    <i r="1">
      <x v="16"/>
    </i>
    <i r="1">
      <x v="17"/>
    </i>
    <i t="default">
      <x v="1"/>
    </i>
    <i>
      <x v="2"/>
    </i>
    <i r="1">
      <x/>
    </i>
    <i r="1">
      <x v="2"/>
    </i>
    <i r="1">
      <x v="3"/>
    </i>
    <i r="1">
      <x v="5"/>
    </i>
    <i r="1">
      <x v="7"/>
    </i>
    <i r="1">
      <x v="8"/>
    </i>
    <i r="1">
      <x v="11"/>
    </i>
    <i r="1">
      <x v="12"/>
    </i>
    <i r="1">
      <x v="13"/>
    </i>
    <i r="1">
      <x v="15"/>
    </i>
    <i r="1">
      <x v="16"/>
    </i>
    <i r="1">
      <x v="17"/>
    </i>
    <i t="default">
      <x v="2"/>
    </i>
    <i>
      <x v="3"/>
    </i>
    <i r="1">
      <x/>
    </i>
    <i r="1">
      <x v="2"/>
    </i>
    <i r="1">
      <x v="3"/>
    </i>
    <i r="1">
      <x v="4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t="default">
      <x v="3"/>
    </i>
    <i>
      <x v="4"/>
    </i>
    <i r="1">
      <x/>
    </i>
    <i r="1">
      <x v="2"/>
    </i>
    <i r="1">
      <x v="7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17"/>
    </i>
    <i t="default">
      <x v="4"/>
    </i>
    <i>
      <x v="5"/>
    </i>
    <i r="1">
      <x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5"/>
    </i>
    <i>
      <x v="6"/>
    </i>
    <i r="1">
      <x v="2"/>
    </i>
    <i r="1">
      <x v="7"/>
    </i>
    <i r="1">
      <x v="8"/>
    </i>
    <i r="1">
      <x v="11"/>
    </i>
    <i r="1">
      <x v="12"/>
    </i>
    <i r="1">
      <x v="13"/>
    </i>
    <i r="1">
      <x v="15"/>
    </i>
    <i r="1">
      <x v="16"/>
    </i>
    <i r="1">
      <x v="17"/>
    </i>
    <i t="default">
      <x v="6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17"/>
    </i>
    <i t="default">
      <x v="7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17"/>
    </i>
    <i t="default">
      <x v="8"/>
    </i>
    <i>
      <x v="9"/>
    </i>
    <i r="1">
      <x/>
    </i>
    <i r="1">
      <x v="2"/>
    </i>
    <i r="1">
      <x v="3"/>
    </i>
    <i r="1">
      <x v="4"/>
    </i>
    <i r="1">
      <x v="7"/>
    </i>
    <i r="1">
      <x v="8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t="default">
      <x v="9"/>
    </i>
    <i t="grand">
      <x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Sum of SUM_ACRES" fld="4" baseField="0" baseItem="0"/>
  </dataFields>
  <formats count="8">
    <format dxfId="18">
      <pivotArea collapsedLevelsAreSubtotals="1" fieldPosition="0">
        <references count="2">
          <reference field="0" count="0" selected="0"/>
          <reference field="2" count="2">
            <x v="0"/>
            <x v="1"/>
          </reference>
        </references>
      </pivotArea>
    </format>
    <format dxfId="17">
      <pivotArea dataOnly="0" labelOnly="1" fieldPosition="0">
        <references count="2">
          <reference field="0" count="0" selected="0"/>
          <reference field="2" count="2">
            <x v="0"/>
            <x v="1"/>
          </reference>
        </references>
      </pivotArea>
    </format>
    <format dxfId="16">
      <pivotArea collapsedLevelsAreSubtotals="1" fieldPosition="0">
        <references count="2">
          <reference field="0" count="0" selected="0"/>
          <reference field="2" count="3">
            <x v="12"/>
            <x v="13"/>
            <x v="15"/>
          </reference>
        </references>
      </pivotArea>
    </format>
    <format dxfId="15">
      <pivotArea dataOnly="0" labelOnly="1" fieldPosition="0">
        <references count="2">
          <reference field="0" count="0" selected="0"/>
          <reference field="2" count="3">
            <x v="12"/>
            <x v="13"/>
            <x v="15"/>
          </reference>
        </references>
      </pivotArea>
    </format>
    <format dxfId="14">
      <pivotArea collapsedLevelsAreSubtotals="1" fieldPosition="0">
        <references count="2">
          <reference field="0" count="1" selected="0">
            <x v="0"/>
          </reference>
          <reference field="2" count="1">
            <x v="10"/>
          </reference>
        </references>
      </pivotArea>
    </format>
    <format dxfId="13">
      <pivotArea dataOnly="0" labelOnly="1" fieldPosition="0">
        <references count="2">
          <reference field="0" count="1" selected="0">
            <x v="0"/>
          </reference>
          <reference field="2" count="1">
            <x v="10"/>
          </reference>
        </references>
      </pivotArea>
    </format>
    <format dxfId="12">
      <pivotArea collapsedLevelsAreSubtotals="1" fieldPosition="0">
        <references count="2">
          <reference field="0" count="1" selected="0">
            <x v="1"/>
          </reference>
          <reference field="2" count="1">
            <x v="10"/>
          </reference>
        </references>
      </pivotArea>
    </format>
    <format dxfId="11">
      <pivotArea dataOnly="0" labelOnly="1" fieldPosition="0">
        <references count="2">
          <reference field="0" count="1" selected="0">
            <x v="1"/>
          </reference>
          <reference field="2" count="1"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ivotTable" Target="../pivotTables/pivotTable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ivotTable" Target="../pivotTables/pivotTable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I31" sqref="I31:I32"/>
    </sheetView>
  </sheetViews>
  <sheetFormatPr defaultRowHeight="12.75" x14ac:dyDescent="0.2"/>
  <sheetData>
    <row r="1" spans="1:7" ht="25.5" x14ac:dyDescent="0.2">
      <c r="A1" s="20" t="s">
        <v>208</v>
      </c>
      <c r="B1" s="79" t="s">
        <v>89</v>
      </c>
      <c r="C1" s="18"/>
      <c r="D1" s="18"/>
      <c r="E1" s="18"/>
      <c r="F1" s="18"/>
      <c r="G1" s="18"/>
    </row>
    <row r="2" spans="1:7" ht="45.75" customHeight="1" x14ac:dyDescent="0.2">
      <c r="A2" s="197">
        <v>1</v>
      </c>
      <c r="B2" s="1117" t="s">
        <v>209</v>
      </c>
      <c r="C2" s="1118"/>
      <c r="D2" s="1118"/>
      <c r="E2" s="1118"/>
      <c r="F2" s="1118"/>
      <c r="G2" s="1119"/>
    </row>
    <row r="3" spans="1:7" s="35" customFormat="1" ht="9" customHeight="1" x14ac:dyDescent="0.2">
      <c r="A3" s="197"/>
      <c r="B3" s="198"/>
      <c r="C3" s="199"/>
      <c r="D3" s="199"/>
      <c r="E3" s="199"/>
      <c r="F3" s="199"/>
      <c r="G3" s="200"/>
    </row>
    <row r="4" spans="1:7" ht="52.5" customHeight="1" x14ac:dyDescent="0.2">
      <c r="A4" s="197">
        <v>2</v>
      </c>
      <c r="B4" s="1117" t="s">
        <v>221</v>
      </c>
      <c r="C4" s="1118"/>
      <c r="D4" s="1118"/>
      <c r="E4" s="1118"/>
      <c r="F4" s="1118"/>
      <c r="G4" s="1118"/>
    </row>
    <row r="5" spans="1:7" s="35" customFormat="1" ht="8.25" customHeight="1" x14ac:dyDescent="0.2">
      <c r="A5" s="197"/>
      <c r="B5" s="198"/>
      <c r="C5" s="199"/>
      <c r="D5" s="199"/>
      <c r="E5" s="199"/>
      <c r="F5" s="199"/>
      <c r="G5" s="199"/>
    </row>
    <row r="6" spans="1:7" x14ac:dyDescent="0.2">
      <c r="A6" s="197">
        <v>3</v>
      </c>
      <c r="B6" s="1117" t="s">
        <v>201</v>
      </c>
      <c r="C6" s="1118"/>
      <c r="D6" s="1118"/>
      <c r="E6" s="1118"/>
      <c r="F6" s="1118"/>
      <c r="G6" s="1118"/>
    </row>
    <row r="7" spans="1:7" s="35" customFormat="1" ht="7.5" customHeight="1" x14ac:dyDescent="0.2">
      <c r="A7" s="197"/>
      <c r="B7" s="198"/>
      <c r="C7" s="199"/>
      <c r="D7" s="199"/>
      <c r="E7" s="199"/>
      <c r="F7" s="199"/>
      <c r="G7" s="199"/>
    </row>
    <row r="8" spans="1:7" ht="79.5" customHeight="1" x14ac:dyDescent="0.2">
      <c r="A8" s="197">
        <v>4</v>
      </c>
      <c r="B8" s="1117" t="s">
        <v>374</v>
      </c>
      <c r="C8" s="1118"/>
      <c r="D8" s="1118"/>
      <c r="E8" s="1118"/>
      <c r="F8" s="1118"/>
      <c r="G8" s="1118"/>
    </row>
    <row r="9" spans="1:7" s="35" customFormat="1" ht="8.25" customHeight="1" x14ac:dyDescent="0.2">
      <c r="A9" s="197"/>
      <c r="B9" s="198"/>
      <c r="C9" s="199"/>
      <c r="D9" s="199"/>
      <c r="E9" s="199"/>
      <c r="F9" s="199"/>
      <c r="G9" s="199"/>
    </row>
    <row r="10" spans="1:7" ht="43.5" customHeight="1" x14ac:dyDescent="0.2">
      <c r="A10" s="197">
        <v>5</v>
      </c>
      <c r="B10" s="1117" t="s">
        <v>220</v>
      </c>
      <c r="C10" s="1118"/>
      <c r="D10" s="1118"/>
      <c r="E10" s="1118"/>
      <c r="F10" s="1118"/>
      <c r="G10" s="1118"/>
    </row>
    <row r="12" spans="1:7" ht="16.5" customHeight="1" x14ac:dyDescent="0.2">
      <c r="A12" s="197">
        <v>6</v>
      </c>
      <c r="B12" s="1117" t="s">
        <v>210</v>
      </c>
      <c r="C12" s="1118"/>
      <c r="D12" s="1118"/>
      <c r="E12" s="1118"/>
      <c r="F12" s="1118"/>
      <c r="G12" s="1118"/>
    </row>
    <row r="14" spans="1:7" ht="32.25" customHeight="1" x14ac:dyDescent="0.2">
      <c r="A14" s="197">
        <v>7</v>
      </c>
      <c r="B14" s="1117" t="s">
        <v>375</v>
      </c>
      <c r="C14" s="1118"/>
      <c r="D14" s="1118"/>
      <c r="E14" s="1118"/>
      <c r="F14" s="1118"/>
      <c r="G14" s="1118"/>
    </row>
    <row r="15" spans="1:7" x14ac:dyDescent="0.2">
      <c r="A15">
        <v>8</v>
      </c>
      <c r="B15" s="141" t="s">
        <v>850</v>
      </c>
    </row>
    <row r="16" spans="1:7" s="35" customFormat="1" x14ac:dyDescent="0.2">
      <c r="B16" s="141"/>
    </row>
    <row r="17" spans="1:2" s="35" customFormat="1" ht="15.75" x14ac:dyDescent="0.2">
      <c r="A17" s="1187" t="s">
        <v>914</v>
      </c>
      <c r="B17" s="141"/>
    </row>
    <row r="18" spans="1:2" s="35" customFormat="1" ht="15.75" x14ac:dyDescent="0.2">
      <c r="A18" s="1188" t="s">
        <v>915</v>
      </c>
      <c r="B18" s="141"/>
    </row>
    <row r="19" spans="1:2" s="35" customFormat="1" ht="15.75" x14ac:dyDescent="0.2">
      <c r="A19" s="1188" t="s">
        <v>916</v>
      </c>
      <c r="B19" s="141"/>
    </row>
    <row r="20" spans="1:2" s="35" customFormat="1" ht="15.75" x14ac:dyDescent="0.2">
      <c r="A20" s="1188" t="s">
        <v>917</v>
      </c>
      <c r="B20" s="141"/>
    </row>
    <row r="21" spans="1:2" ht="15.75" x14ac:dyDescent="0.2">
      <c r="A21" s="1187" t="s">
        <v>918</v>
      </c>
    </row>
    <row r="22" spans="1:2" s="35" customFormat="1" ht="15.75" x14ac:dyDescent="0.2">
      <c r="A22" s="1188" t="s">
        <v>919</v>
      </c>
    </row>
    <row r="23" spans="1:2" s="35" customFormat="1" ht="15.75" x14ac:dyDescent="0.2">
      <c r="A23" s="1188" t="s">
        <v>920</v>
      </c>
    </row>
    <row r="24" spans="1:2" ht="15.75" x14ac:dyDescent="0.25">
      <c r="A24" s="1189" t="s">
        <v>921</v>
      </c>
      <c r="B24" s="141"/>
    </row>
  </sheetData>
  <mergeCells count="7">
    <mergeCell ref="B14:G14"/>
    <mergeCell ref="B12:G12"/>
    <mergeCell ref="B4:G4"/>
    <mergeCell ref="B2:G2"/>
    <mergeCell ref="B6:G6"/>
    <mergeCell ref="B8:G8"/>
    <mergeCell ref="B10:G1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0"/>
  <sheetViews>
    <sheetView topLeftCell="B67" workbookViewId="0">
      <selection activeCell="H92" sqref="H92"/>
    </sheetView>
  </sheetViews>
  <sheetFormatPr defaultRowHeight="12.75" x14ac:dyDescent="0.2"/>
  <cols>
    <col min="1" max="1" width="54.7109375" customWidth="1"/>
    <col min="2" max="2" width="15" customWidth="1"/>
    <col min="3" max="3" width="16.28515625" customWidth="1"/>
    <col min="4" max="4" width="15.28515625" customWidth="1"/>
    <col min="5" max="5" width="16.42578125" customWidth="1"/>
    <col min="6" max="6" width="17.42578125" customWidth="1"/>
    <col min="7" max="7" width="15.5703125" customWidth="1"/>
    <col min="8" max="8" width="15.140625" customWidth="1"/>
    <col min="9" max="9" width="16.5703125" customWidth="1"/>
    <col min="10" max="10" width="17" customWidth="1"/>
    <col min="11" max="11" width="16.5703125" customWidth="1"/>
    <col min="12" max="12" width="13.28515625" customWidth="1"/>
  </cols>
  <sheetData>
    <row r="1" spans="1:11" ht="15.75" thickBot="1" x14ac:dyDescent="0.3">
      <c r="A1" s="13" t="s">
        <v>83</v>
      </c>
    </row>
    <row r="2" spans="1:11" s="35" customFormat="1" ht="15" x14ac:dyDescent="0.25">
      <c r="A2" s="13"/>
      <c r="B2" s="1139" t="s">
        <v>360</v>
      </c>
      <c r="C2" s="1140"/>
      <c r="D2" s="1140"/>
      <c r="E2" s="1140"/>
      <c r="F2" s="1141"/>
    </row>
    <row r="3" spans="1:11" s="35" customFormat="1" ht="15.75" thickBot="1" x14ac:dyDescent="0.3">
      <c r="A3" s="13"/>
      <c r="B3" s="1150"/>
      <c r="C3" s="1151"/>
      <c r="D3" s="1151"/>
      <c r="E3" s="1151"/>
      <c r="F3" s="1152"/>
    </row>
    <row r="4" spans="1:11" ht="52.5" thickTop="1" thickBot="1" x14ac:dyDescent="0.25">
      <c r="A4" s="429" t="s">
        <v>1</v>
      </c>
      <c r="B4" s="429" t="s">
        <v>4</v>
      </c>
      <c r="C4" s="429" t="s">
        <v>0</v>
      </c>
      <c r="D4" s="429" t="s">
        <v>9</v>
      </c>
      <c r="E4" s="429" t="s">
        <v>31</v>
      </c>
      <c r="F4" s="430" t="s">
        <v>16</v>
      </c>
      <c r="G4" s="429" t="s">
        <v>99</v>
      </c>
      <c r="H4" s="429" t="s">
        <v>100</v>
      </c>
      <c r="I4" s="431" t="s">
        <v>54</v>
      </c>
      <c r="J4" s="432" t="s">
        <v>53</v>
      </c>
    </row>
    <row r="5" spans="1:11" ht="13.5" thickTop="1" x14ac:dyDescent="0.2">
      <c r="A5" s="225" t="s">
        <v>26</v>
      </c>
      <c r="B5" s="499" t="s">
        <v>45</v>
      </c>
      <c r="C5" s="499" t="s">
        <v>45</v>
      </c>
      <c r="D5" s="499" t="s">
        <v>45</v>
      </c>
      <c r="E5" s="499" t="s">
        <v>45</v>
      </c>
      <c r="F5" s="500"/>
      <c r="G5" s="499"/>
      <c r="H5" s="499"/>
      <c r="I5" s="501"/>
      <c r="J5" s="502"/>
    </row>
    <row r="6" spans="1:11" x14ac:dyDescent="0.2">
      <c r="A6" s="26" t="s">
        <v>27</v>
      </c>
      <c r="B6" s="304" t="s">
        <v>45</v>
      </c>
      <c r="C6" s="304" t="s">
        <v>45</v>
      </c>
      <c r="D6" s="304" t="s">
        <v>45</v>
      </c>
      <c r="E6" s="304" t="s">
        <v>45</v>
      </c>
      <c r="F6" s="482"/>
      <c r="G6" s="304"/>
      <c r="H6" s="304"/>
      <c r="I6" s="503"/>
      <c r="J6" s="486"/>
    </row>
    <row r="7" spans="1:11" x14ac:dyDescent="0.2">
      <c r="A7" s="26" t="s">
        <v>19</v>
      </c>
      <c r="B7" s="459">
        <f>SUM(B8:B11)</f>
        <v>2350</v>
      </c>
      <c r="C7" s="304" t="s">
        <v>45</v>
      </c>
      <c r="D7" s="304" t="s">
        <v>45</v>
      </c>
      <c r="E7" s="304">
        <f>SUM(E8:E11)</f>
        <v>419</v>
      </c>
      <c r="F7" s="489">
        <f>SUM(B7:E7)</f>
        <v>2769</v>
      </c>
      <c r="G7" s="304"/>
      <c r="H7" s="304"/>
      <c r="I7" s="505">
        <f>I9+I11</f>
        <v>588.86302325581391</v>
      </c>
      <c r="J7" s="504">
        <f>SUM(J8:J11)</f>
        <v>2180.1369767441861</v>
      </c>
    </row>
    <row r="8" spans="1:11" x14ac:dyDescent="0.2">
      <c r="A8" s="26" t="s">
        <v>20</v>
      </c>
      <c r="B8" s="459">
        <v>1293</v>
      </c>
      <c r="C8" s="304" t="s">
        <v>45</v>
      </c>
      <c r="D8" s="304" t="s">
        <v>45</v>
      </c>
      <c r="E8" s="304">
        <v>-244</v>
      </c>
      <c r="F8" s="489">
        <f>SUM(B8:E8)</f>
        <v>1049</v>
      </c>
      <c r="G8" s="304"/>
      <c r="H8" s="304"/>
      <c r="I8" s="503"/>
      <c r="J8" s="504">
        <v>1049</v>
      </c>
    </row>
    <row r="9" spans="1:11" x14ac:dyDescent="0.2">
      <c r="A9" s="26" t="s">
        <v>32</v>
      </c>
      <c r="B9" s="304">
        <v>370</v>
      </c>
      <c r="C9" s="304" t="s">
        <v>45</v>
      </c>
      <c r="D9" s="304">
        <f>D10</f>
        <v>0</v>
      </c>
      <c r="E9" s="304">
        <v>44</v>
      </c>
      <c r="F9" s="489">
        <f>SUM(B9:E9)</f>
        <v>414</v>
      </c>
      <c r="G9" s="304">
        <f>F9</f>
        <v>414</v>
      </c>
      <c r="H9" s="435">
        <f>G9/(F$19-F$8-F$15)</f>
        <v>0.24069767441860465</v>
      </c>
      <c r="I9" s="505">
        <f>H9*F$21</f>
        <v>141.77093023255813</v>
      </c>
      <c r="J9" s="131">
        <f>F9-I9</f>
        <v>272.22906976744184</v>
      </c>
    </row>
    <row r="10" spans="1:11" s="35" customFormat="1" x14ac:dyDescent="0.2">
      <c r="A10" s="26" t="s">
        <v>848</v>
      </c>
      <c r="B10" s="304"/>
      <c r="C10" s="304"/>
      <c r="D10" s="304"/>
      <c r="E10" s="304"/>
      <c r="F10" s="482"/>
      <c r="G10" s="304"/>
      <c r="H10" s="435"/>
      <c r="I10" s="505"/>
      <c r="J10" s="131"/>
    </row>
    <row r="11" spans="1:11" x14ac:dyDescent="0.2">
      <c r="A11" s="26" t="s">
        <v>21</v>
      </c>
      <c r="B11" s="304">
        <v>687</v>
      </c>
      <c r="C11" s="304" t="s">
        <v>45</v>
      </c>
      <c r="D11" s="304" t="s">
        <v>45</v>
      </c>
      <c r="E11" s="304">
        <v>619</v>
      </c>
      <c r="F11" s="482">
        <v>1306</v>
      </c>
      <c r="G11" s="304">
        <v>1306</v>
      </c>
      <c r="H11" s="435">
        <f>G11/(F$19-F$8-F$15)</f>
        <v>0.75930232558139532</v>
      </c>
      <c r="I11" s="505">
        <f>SUM(I12:I14)</f>
        <v>447.09209302325581</v>
      </c>
      <c r="J11" s="131">
        <f t="shared" ref="J11:J14" si="0">F11-I11</f>
        <v>858.90790697674424</v>
      </c>
    </row>
    <row r="12" spans="1:11" s="32" customFormat="1" x14ac:dyDescent="0.2">
      <c r="A12" s="26" t="s">
        <v>56</v>
      </c>
      <c r="B12" s="304"/>
      <c r="C12" s="304"/>
      <c r="D12" s="304"/>
      <c r="E12" s="304"/>
      <c r="F12" s="482">
        <v>696.6</v>
      </c>
      <c r="G12" s="304">
        <f>F12</f>
        <v>696.6</v>
      </c>
      <c r="H12" s="435">
        <f>G12/(F$19-F$8-F$15)</f>
        <v>0.40500000000000003</v>
      </c>
      <c r="I12" s="505">
        <f>H12*F$21</f>
        <v>238.54500000000002</v>
      </c>
      <c r="J12" s="131">
        <f t="shared" si="0"/>
        <v>458.05500000000001</v>
      </c>
      <c r="K12" s="35"/>
    </row>
    <row r="13" spans="1:11" s="32" customFormat="1" x14ac:dyDescent="0.2">
      <c r="A13" s="26" t="s">
        <v>57</v>
      </c>
      <c r="B13" s="304"/>
      <c r="C13" s="304"/>
      <c r="D13" s="304"/>
      <c r="E13" s="304"/>
      <c r="F13" s="482">
        <v>469.6</v>
      </c>
      <c r="G13" s="304">
        <f>F13</f>
        <v>469.6</v>
      </c>
      <c r="H13" s="435">
        <f>G13/(F$19-F$8-F$15)</f>
        <v>0.27302325581395348</v>
      </c>
      <c r="I13" s="505">
        <f>H13*F$21</f>
        <v>160.81069767441861</v>
      </c>
      <c r="J13" s="131">
        <f t="shared" si="0"/>
        <v>308.78930232558139</v>
      </c>
      <c r="K13" s="35"/>
    </row>
    <row r="14" spans="1:11" s="32" customFormat="1" x14ac:dyDescent="0.2">
      <c r="A14" s="26" t="s">
        <v>58</v>
      </c>
      <c r="B14" s="304"/>
      <c r="C14" s="304"/>
      <c r="D14" s="304"/>
      <c r="E14" s="304"/>
      <c r="F14" s="482">
        <v>139.4</v>
      </c>
      <c r="G14" s="304">
        <f>F14</f>
        <v>139.4</v>
      </c>
      <c r="H14" s="435">
        <f>G14/(F$19-F$8-F$15)</f>
        <v>8.1046511627906978E-2</v>
      </c>
      <c r="I14" s="505">
        <f>H14*F$21</f>
        <v>47.736395348837213</v>
      </c>
      <c r="J14" s="131">
        <f t="shared" si="0"/>
        <v>91.663604651162785</v>
      </c>
      <c r="K14" s="35"/>
    </row>
    <row r="15" spans="1:11" x14ac:dyDescent="0.2">
      <c r="A15" s="26" t="s">
        <v>28</v>
      </c>
      <c r="B15" s="304">
        <v>27</v>
      </c>
      <c r="C15" s="304" t="s">
        <v>45</v>
      </c>
      <c r="D15" s="304" t="s">
        <v>45</v>
      </c>
      <c r="E15" s="304" t="s">
        <v>45</v>
      </c>
      <c r="F15" s="482">
        <v>27</v>
      </c>
      <c r="G15" s="304"/>
      <c r="H15" s="304"/>
      <c r="I15" s="503"/>
      <c r="J15" s="486">
        <v>27</v>
      </c>
    </row>
    <row r="16" spans="1:11" x14ac:dyDescent="0.2">
      <c r="A16" s="26" t="s">
        <v>29</v>
      </c>
      <c r="B16" s="304"/>
      <c r="C16" s="304" t="s">
        <v>45</v>
      </c>
      <c r="D16" s="304" t="s">
        <v>45</v>
      </c>
      <c r="E16" s="304" t="s">
        <v>45</v>
      </c>
      <c r="F16" s="482"/>
      <c r="G16" s="304"/>
      <c r="H16" s="304"/>
      <c r="I16" s="503"/>
      <c r="J16" s="486"/>
    </row>
    <row r="17" spans="1:10" x14ac:dyDescent="0.2">
      <c r="A17" s="26"/>
      <c r="B17" s="304"/>
      <c r="C17" s="304"/>
      <c r="D17" s="304"/>
      <c r="E17" s="304"/>
      <c r="F17" s="482"/>
      <c r="G17" s="304"/>
      <c r="H17" s="304"/>
      <c r="I17" s="503"/>
      <c r="J17" s="486"/>
    </row>
    <row r="18" spans="1:10" x14ac:dyDescent="0.2">
      <c r="A18" s="226" t="s">
        <v>30</v>
      </c>
      <c r="B18" s="304"/>
      <c r="C18" s="304"/>
      <c r="D18" s="304"/>
      <c r="E18" s="304"/>
      <c r="F18" s="482"/>
      <c r="G18" s="304"/>
      <c r="H18" s="304"/>
      <c r="I18" s="503"/>
      <c r="J18" s="486"/>
    </row>
    <row r="19" spans="1:10" x14ac:dyDescent="0.2">
      <c r="A19" s="227" t="s">
        <v>3</v>
      </c>
      <c r="B19" s="459">
        <f>SUM(B8:B15)</f>
        <v>2377</v>
      </c>
      <c r="C19" s="304">
        <v>0</v>
      </c>
      <c r="D19" s="304">
        <v>0</v>
      </c>
      <c r="E19" s="304">
        <v>419</v>
      </c>
      <c r="F19" s="487">
        <f>F8+F9+F11+F15</f>
        <v>2796</v>
      </c>
      <c r="G19" s="304"/>
      <c r="H19" s="435">
        <f>SUM(H9:H14)-H11</f>
        <v>0.99976744186046518</v>
      </c>
      <c r="I19" s="503"/>
      <c r="J19" s="486"/>
    </row>
    <row r="20" spans="1:10" x14ac:dyDescent="0.2">
      <c r="A20" s="227" t="s">
        <v>17</v>
      </c>
      <c r="B20" s="459">
        <v>2207</v>
      </c>
      <c r="C20" s="304"/>
      <c r="D20" s="304"/>
      <c r="E20" s="304"/>
      <c r="F20" s="487">
        <v>2207</v>
      </c>
      <c r="G20" s="304"/>
      <c r="H20" s="304"/>
      <c r="I20" s="503"/>
      <c r="J20" s="486"/>
    </row>
    <row r="21" spans="1:10" ht="16.5" customHeight="1" x14ac:dyDescent="0.2">
      <c r="A21" s="227" t="s">
        <v>2</v>
      </c>
      <c r="B21" s="304">
        <f>B19-B20</f>
        <v>170</v>
      </c>
      <c r="C21" s="304"/>
      <c r="D21" s="304"/>
      <c r="E21" s="304"/>
      <c r="F21" s="487">
        <f>F19-F20</f>
        <v>589</v>
      </c>
      <c r="G21" s="304"/>
      <c r="H21" s="304"/>
      <c r="I21" s="505">
        <f>SUM(I9:I14)-I11</f>
        <v>588.86302325581414</v>
      </c>
      <c r="J21" s="486"/>
    </row>
    <row r="22" spans="1:10" ht="17.25" customHeight="1" x14ac:dyDescent="0.2">
      <c r="A22" s="227" t="s">
        <v>7</v>
      </c>
      <c r="B22" s="304"/>
      <c r="C22" s="304"/>
      <c r="D22" s="304"/>
      <c r="E22" s="304"/>
      <c r="F22" s="506">
        <f>F21/F20</f>
        <v>0.26687811508835524</v>
      </c>
      <c r="G22" s="304"/>
      <c r="H22" s="304"/>
      <c r="I22" s="503"/>
      <c r="J22" s="486"/>
    </row>
    <row r="23" spans="1:10" x14ac:dyDescent="0.2">
      <c r="A23" s="72" t="s">
        <v>115</v>
      </c>
      <c r="B23" s="304"/>
      <c r="C23" s="304"/>
      <c r="D23" s="304"/>
      <c r="E23" s="304"/>
      <c r="F23" s="482"/>
      <c r="G23" s="304"/>
      <c r="H23" s="304"/>
      <c r="I23" s="503"/>
      <c r="J23" s="507">
        <f>SUM(J8:J15)-J11</f>
        <v>2206.736976744186</v>
      </c>
    </row>
    <row r="24" spans="1:10" ht="13.5" thickBot="1" x14ac:dyDescent="0.25">
      <c r="A24" s="73" t="s">
        <v>116</v>
      </c>
      <c r="B24" s="327"/>
      <c r="C24" s="327"/>
      <c r="D24" s="327"/>
      <c r="E24" s="327"/>
      <c r="F24" s="496"/>
      <c r="G24" s="327"/>
      <c r="H24" s="327"/>
      <c r="I24" s="508"/>
      <c r="J24" s="134">
        <f>J11</f>
        <v>858.90790697674424</v>
      </c>
    </row>
    <row r="25" spans="1:10" s="35" customFormat="1" x14ac:dyDescent="0.2">
      <c r="A25" s="433"/>
      <c r="B25" s="5"/>
      <c r="C25" s="5"/>
      <c r="D25" s="5"/>
      <c r="E25" s="5"/>
      <c r="F25" s="15"/>
      <c r="G25" s="5"/>
      <c r="H25" s="5"/>
      <c r="I25" s="15"/>
      <c r="J25" s="58"/>
    </row>
    <row r="26" spans="1:10" x14ac:dyDescent="0.2">
      <c r="A26" s="22"/>
    </row>
    <row r="27" spans="1:10" ht="15.75" thickBot="1" x14ac:dyDescent="0.3">
      <c r="A27" s="408" t="s">
        <v>354</v>
      </c>
      <c r="B27" s="411"/>
      <c r="C27" s="411"/>
      <c r="D27" s="411"/>
    </row>
    <row r="28" spans="1:10" ht="51.75" customHeight="1" x14ac:dyDescent="0.2">
      <c r="A28" s="383" t="s">
        <v>361</v>
      </c>
      <c r="B28" s="373" t="s">
        <v>122</v>
      </c>
      <c r="C28" s="373" t="s">
        <v>121</v>
      </c>
      <c r="D28" s="373" t="s">
        <v>224</v>
      </c>
      <c r="E28" s="374" t="s">
        <v>203</v>
      </c>
    </row>
    <row r="29" spans="1:10" x14ac:dyDescent="0.2">
      <c r="A29" s="26" t="s">
        <v>34</v>
      </c>
      <c r="B29" s="454">
        <v>258.24114083137999</v>
      </c>
      <c r="C29" s="455">
        <v>3.7111224191930262E-2</v>
      </c>
      <c r="D29" s="437">
        <v>3.7111224191930262E-2</v>
      </c>
      <c r="E29" s="509">
        <f t="shared" ref="E29:E34" si="1">D29*I$11</f>
        <v>16.592134898625385</v>
      </c>
    </row>
    <row r="30" spans="1:10" x14ac:dyDescent="0.2">
      <c r="A30" s="26" t="s">
        <v>35</v>
      </c>
      <c r="B30" s="454">
        <v>1462.5512048017999</v>
      </c>
      <c r="C30" s="455">
        <v>0.21017977801227969</v>
      </c>
      <c r="D30" s="437">
        <v>0.21017977801227969</v>
      </c>
      <c r="E30" s="509">
        <f t="shared" si="1"/>
        <v>93.969716862673408</v>
      </c>
    </row>
    <row r="31" spans="1:10" x14ac:dyDescent="0.2">
      <c r="A31" s="26" t="s">
        <v>36</v>
      </c>
      <c r="B31" s="454">
        <v>4703.6524992172244</v>
      </c>
      <c r="C31" s="455">
        <v>0.67595078714960566</v>
      </c>
      <c r="D31" s="437">
        <v>0.67595078714960566</v>
      </c>
      <c r="E31" s="509">
        <f t="shared" si="1"/>
        <v>302.21225220743446</v>
      </c>
    </row>
    <row r="32" spans="1:10" x14ac:dyDescent="0.2">
      <c r="A32" s="26" t="s">
        <v>37</v>
      </c>
      <c r="B32" s="454">
        <v>414.161376583226</v>
      </c>
      <c r="C32" s="455">
        <v>5.9518152872684631E-2</v>
      </c>
      <c r="D32" s="437">
        <v>5.9518152872684631E-2</v>
      </c>
      <c r="E32" s="509">
        <f t="shared" si="1"/>
        <v>26.610095540726679</v>
      </c>
    </row>
    <row r="33" spans="1:12" x14ac:dyDescent="0.2">
      <c r="A33" s="26" t="s">
        <v>38</v>
      </c>
      <c r="B33" s="454">
        <v>39.724230971152004</v>
      </c>
      <c r="C33" s="455">
        <v>5.7086753747925796E-3</v>
      </c>
      <c r="D33" s="437">
        <v>5.7086753747925796E-3</v>
      </c>
      <c r="E33" s="509">
        <f t="shared" si="1"/>
        <v>2.5523036217063337</v>
      </c>
    </row>
    <row r="34" spans="1:12" x14ac:dyDescent="0.2">
      <c r="A34" s="26" t="s">
        <v>39</v>
      </c>
      <c r="B34" s="454">
        <v>80.241959429959991</v>
      </c>
      <c r="C34" s="455">
        <v>1.1531382398707104E-2</v>
      </c>
      <c r="D34" s="437">
        <v>1.1531382398707104E-2</v>
      </c>
      <c r="E34" s="509">
        <f t="shared" si="1"/>
        <v>5.1555898920894911</v>
      </c>
    </row>
    <row r="35" spans="1:12" ht="13.5" thickBot="1" x14ac:dyDescent="0.25">
      <c r="A35" s="195" t="s">
        <v>15</v>
      </c>
      <c r="B35" s="510">
        <v>6958.5724118347425</v>
      </c>
      <c r="C35" s="511">
        <v>1</v>
      </c>
      <c r="D35" s="512">
        <f>SUM(D29:D34)</f>
        <v>0.99999999999999989</v>
      </c>
      <c r="E35" s="513">
        <f>SUM(E29:E34)</f>
        <v>447.09209302325576</v>
      </c>
    </row>
    <row r="37" spans="1:12" ht="15" customHeight="1" thickBot="1" x14ac:dyDescent="0.3">
      <c r="A37" s="410" t="s">
        <v>80</v>
      </c>
      <c r="B37" s="411"/>
    </row>
    <row r="38" spans="1:12" ht="57" customHeight="1" x14ac:dyDescent="0.2">
      <c r="A38" s="383" t="s">
        <v>361</v>
      </c>
      <c r="B38" s="376" t="s">
        <v>194</v>
      </c>
      <c r="C38" s="376" t="s">
        <v>71</v>
      </c>
      <c r="D38" s="376" t="s">
        <v>75</v>
      </c>
      <c r="E38" s="376" t="s">
        <v>196</v>
      </c>
      <c r="F38" s="376" t="s">
        <v>70</v>
      </c>
      <c r="G38" s="376" t="s">
        <v>76</v>
      </c>
      <c r="H38" s="423" t="s">
        <v>198</v>
      </c>
      <c r="I38" s="376" t="s">
        <v>72</v>
      </c>
      <c r="J38" s="376" t="s">
        <v>77</v>
      </c>
      <c r="K38" s="420" t="s">
        <v>74</v>
      </c>
      <c r="L38" s="378" t="s">
        <v>117</v>
      </c>
    </row>
    <row r="39" spans="1:12" x14ac:dyDescent="0.2">
      <c r="A39" s="26" t="s">
        <v>34</v>
      </c>
      <c r="B39" s="454">
        <v>35.770269732599999</v>
      </c>
      <c r="C39" s="435">
        <v>2.3081078241515299E-2</v>
      </c>
      <c r="D39" s="99">
        <f t="shared" ref="D39:D46" si="2">C39*I$12</f>
        <v>5.5058758091222675</v>
      </c>
      <c r="E39" s="454">
        <v>121.070919815</v>
      </c>
      <c r="F39" s="435">
        <v>5.0926177530725994E-2</v>
      </c>
      <c r="G39" s="99">
        <f t="shared" ref="G39:G46" si="3">F39*I$13</f>
        <v>8.1894741386073484</v>
      </c>
      <c r="H39" s="454">
        <v>101.399537665</v>
      </c>
      <c r="I39" s="435">
        <v>3.0305538202145231E-2</v>
      </c>
      <c r="J39" s="99">
        <f t="shared" ref="J39:J46" si="4">I39*I$14</f>
        <v>1.446677152876894</v>
      </c>
      <c r="K39" s="477">
        <f t="shared" ref="K39:K47" si="5">D39+G39+J39</f>
        <v>15.14202710060651</v>
      </c>
      <c r="L39" s="131">
        <f t="shared" ref="L39:L46" si="6">J$12*C39+J$13*F39+J$14*I39</f>
        <v>29.075776996241018</v>
      </c>
    </row>
    <row r="40" spans="1:12" x14ac:dyDescent="0.2">
      <c r="A40" s="26" t="s">
        <v>35</v>
      </c>
      <c r="B40" s="454">
        <v>531.81565030100001</v>
      </c>
      <c r="C40" s="435">
        <v>0.34315868251540554</v>
      </c>
      <c r="D40" s="99">
        <f t="shared" si="2"/>
        <v>81.858787920637425</v>
      </c>
      <c r="E40" s="454">
        <v>465.74381235800001</v>
      </c>
      <c r="F40" s="435">
        <v>0.19590559878574657</v>
      </c>
      <c r="G40" s="99">
        <f t="shared" si="3"/>
        <v>31.50371601906064</v>
      </c>
      <c r="H40" s="454">
        <v>384.76655647699999</v>
      </c>
      <c r="I40" s="435">
        <v>0.11499616117329162</v>
      </c>
      <c r="J40" s="99">
        <f t="shared" si="4"/>
        <v>5.4895022133668521</v>
      </c>
      <c r="K40" s="477">
        <f t="shared" si="5"/>
        <v>118.85200615306491</v>
      </c>
      <c r="L40" s="131">
        <f t="shared" si="6"/>
        <v>228.22006614451001</v>
      </c>
    </row>
    <row r="41" spans="1:12" x14ac:dyDescent="0.2">
      <c r="A41" s="26" t="s">
        <v>36</v>
      </c>
      <c r="B41" s="454">
        <v>812.15343546199995</v>
      </c>
      <c r="C41" s="435">
        <v>0.52409912994362096</v>
      </c>
      <c r="D41" s="99">
        <f t="shared" si="2"/>
        <v>125.02122695240107</v>
      </c>
      <c r="E41" s="454">
        <v>1238.5836850000001</v>
      </c>
      <c r="F41" s="435">
        <v>0.52098486736095884</v>
      </c>
      <c r="G41" s="99">
        <f t="shared" si="3"/>
        <v>83.779939998130232</v>
      </c>
      <c r="H41" s="454">
        <v>2530.2283245499998</v>
      </c>
      <c r="I41" s="435">
        <v>0.75621578673398127</v>
      </c>
      <c r="J41" s="99">
        <f t="shared" si="4"/>
        <v>36.099015764565294</v>
      </c>
      <c r="K41" s="477">
        <f t="shared" si="5"/>
        <v>244.90018271509661</v>
      </c>
      <c r="L41" s="131">
        <f t="shared" si="6"/>
        <v>470.25824558705301</v>
      </c>
    </row>
    <row r="42" spans="1:12" x14ac:dyDescent="0.2">
      <c r="A42" s="26" t="s">
        <v>37</v>
      </c>
      <c r="B42" s="454">
        <v>160.15072552999999</v>
      </c>
      <c r="C42" s="435">
        <v>0.10333865117669287</v>
      </c>
      <c r="D42" s="99">
        <f t="shared" si="2"/>
        <v>24.650918544944204</v>
      </c>
      <c r="E42" s="454">
        <v>40.8989068554</v>
      </c>
      <c r="F42" s="435">
        <v>1.7393633833715026E-2</v>
      </c>
      <c r="G42" s="99">
        <f t="shared" si="3"/>
        <v>2.7970823918930856</v>
      </c>
      <c r="H42" s="454">
        <v>212.41418890599999</v>
      </c>
      <c r="I42" s="435">
        <v>6.3484728790075051E-2</v>
      </c>
      <c r="J42" s="99">
        <f t="shared" si="4"/>
        <v>3.0305321121367306</v>
      </c>
      <c r="K42" s="477">
        <f t="shared" si="5"/>
        <v>30.478533048974018</v>
      </c>
      <c r="L42" s="131">
        <f t="shared" si="6"/>
        <v>58.524993002359281</v>
      </c>
    </row>
    <row r="43" spans="1:12" x14ac:dyDescent="0.2">
      <c r="A43" s="26" t="s">
        <v>38</v>
      </c>
      <c r="B43" s="454">
        <v>0.30083012669199999</v>
      </c>
      <c r="C43" s="435">
        <v>1.9411326063484811E-4</v>
      </c>
      <c r="D43" s="99">
        <f t="shared" si="2"/>
        <v>4.6304747758139843E-2</v>
      </c>
      <c r="E43" s="454">
        <v>5.9883700896500001</v>
      </c>
      <c r="F43" s="435">
        <v>2.5188852691869516E-3</v>
      </c>
      <c r="G43" s="99">
        <f t="shared" si="3"/>
        <v>0.40506369749976939</v>
      </c>
      <c r="H43" s="454">
        <v>33.435030754800003</v>
      </c>
      <c r="I43" s="435">
        <v>9.9928128388226435E-3</v>
      </c>
      <c r="J43" s="99">
        <f t="shared" si="4"/>
        <v>0.47702086432097401</v>
      </c>
      <c r="K43" s="477">
        <f t="shared" si="5"/>
        <v>0.92838930957888333</v>
      </c>
      <c r="L43" s="131">
        <f t="shared" si="6"/>
        <v>1.7826966199214209</v>
      </c>
    </row>
    <row r="44" spans="1:12" x14ac:dyDescent="0.2">
      <c r="A44" s="26" t="s">
        <v>39</v>
      </c>
      <c r="B44" s="454">
        <v>8.1527202054100005</v>
      </c>
      <c r="C44" s="435">
        <v>5.2606137540739499E-3</v>
      </c>
      <c r="D44" s="99">
        <f t="shared" si="2"/>
        <v>1.2548931079655705</v>
      </c>
      <c r="E44" s="454">
        <v>322.540019169</v>
      </c>
      <c r="F44" s="435">
        <v>0.13566985521022726</v>
      </c>
      <c r="G44" s="99">
        <f t="shared" si="3"/>
        <v>21.817164069744003</v>
      </c>
      <c r="H44" s="454">
        <v>64.039600423500005</v>
      </c>
      <c r="I44" s="435">
        <v>1.9139678560431781E-2</v>
      </c>
      <c r="J44" s="99">
        <f t="shared" si="4"/>
        <v>0.91365926261043495</v>
      </c>
      <c r="K44" s="477">
        <f t="shared" si="5"/>
        <v>23.985716440320008</v>
      </c>
      <c r="L44" s="131">
        <f t="shared" si="6"/>
        <v>46.057462298814819</v>
      </c>
    </row>
    <row r="45" spans="1:12" s="35" customFormat="1" x14ac:dyDescent="0.2">
      <c r="A45" s="39" t="s">
        <v>601</v>
      </c>
      <c r="B45" s="469">
        <v>3.4740000000000001E-3</v>
      </c>
      <c r="C45" s="435">
        <v>0</v>
      </c>
      <c r="D45" s="99">
        <f t="shared" si="2"/>
        <v>0</v>
      </c>
      <c r="E45" s="454">
        <v>62.368248999999999</v>
      </c>
      <c r="F45" s="514">
        <v>2.6233926965379215E-2</v>
      </c>
      <c r="G45" s="99">
        <f t="shared" si="3"/>
        <v>4.2186960980423747</v>
      </c>
      <c r="H45" s="469" t="s">
        <v>188</v>
      </c>
      <c r="I45" s="435"/>
      <c r="J45" s="99"/>
      <c r="K45" s="477">
        <f t="shared" si="5"/>
        <v>4.2186960980423747</v>
      </c>
      <c r="L45" s="131">
        <f t="shared" si="6"/>
        <v>8.1007560048997043</v>
      </c>
    </row>
    <row r="46" spans="1:12" s="35" customFormat="1" x14ac:dyDescent="0.2">
      <c r="A46" s="90" t="s">
        <v>41</v>
      </c>
      <c r="B46" s="454">
        <v>1.4223439707600001</v>
      </c>
      <c r="C46" s="435">
        <v>9.1777984121655764E-4</v>
      </c>
      <c r="D46" s="99">
        <f t="shared" si="2"/>
        <v>0.21893179222300377</v>
      </c>
      <c r="E46" s="454">
        <v>120.19502300000001</v>
      </c>
      <c r="F46" s="514">
        <v>5.0557575457731305E-2</v>
      </c>
      <c r="G46" s="99">
        <f t="shared" si="3"/>
        <v>8.1301989820848348</v>
      </c>
      <c r="H46" s="454">
        <v>19.624594185500001</v>
      </c>
      <c r="I46" s="435">
        <v>5.8652524704316412E-3</v>
      </c>
      <c r="J46" s="99">
        <f t="shared" si="4"/>
        <v>0.27998601074926899</v>
      </c>
      <c r="K46" s="477">
        <f t="shared" si="5"/>
        <v>8.6291167850571071</v>
      </c>
      <c r="L46" s="131">
        <f t="shared" si="6"/>
        <v>16.569662281663138</v>
      </c>
    </row>
    <row r="47" spans="1:12" ht="13.5" thickBot="1" x14ac:dyDescent="0.25">
      <c r="A47" s="59" t="s">
        <v>15</v>
      </c>
      <c r="B47" s="457">
        <f t="shared" ref="B47:J47" si="7">SUM(B39:B46)</f>
        <v>1549.7694493284623</v>
      </c>
      <c r="C47" s="458">
        <f t="shared" si="7"/>
        <v>1.0000500487331601</v>
      </c>
      <c r="D47" s="100">
        <f t="shared" si="7"/>
        <v>238.55693887505169</v>
      </c>
      <c r="E47" s="457">
        <f t="shared" si="7"/>
        <v>2377.3889852870502</v>
      </c>
      <c r="F47" s="458">
        <f t="shared" si="7"/>
        <v>1.0001905204136712</v>
      </c>
      <c r="G47" s="100">
        <f t="shared" si="7"/>
        <v>160.84133539506229</v>
      </c>
      <c r="H47" s="457">
        <f t="shared" si="7"/>
        <v>3345.9078329618001</v>
      </c>
      <c r="I47" s="458">
        <f t="shared" si="7"/>
        <v>0.99999995876917935</v>
      </c>
      <c r="J47" s="100">
        <f t="shared" si="7"/>
        <v>47.73639338062646</v>
      </c>
      <c r="K47" s="100">
        <f t="shared" si="5"/>
        <v>447.13466765074043</v>
      </c>
      <c r="L47" s="134">
        <f>SUM(L39:L46)</f>
        <v>858.58965893546247</v>
      </c>
    </row>
    <row r="48" spans="1:12" s="70" customFormat="1" x14ac:dyDescent="0.2">
      <c r="A48" s="7"/>
      <c r="B48" s="196"/>
      <c r="C48" s="58"/>
      <c r="D48" s="15"/>
      <c r="E48" s="58"/>
      <c r="F48" s="15"/>
      <c r="G48" s="58"/>
      <c r="H48" s="58"/>
    </row>
    <row r="49" spans="1:10" x14ac:dyDescent="0.2">
      <c r="A49" s="5"/>
      <c r="D49" s="21"/>
    </row>
    <row r="50" spans="1:10" ht="15.75" thickBot="1" x14ac:dyDescent="0.3">
      <c r="A50" s="408" t="s">
        <v>97</v>
      </c>
    </row>
    <row r="51" spans="1:10" ht="63.75" x14ac:dyDescent="0.2">
      <c r="A51" s="383" t="s">
        <v>362</v>
      </c>
      <c r="B51" s="434" t="s">
        <v>378</v>
      </c>
      <c r="C51" s="384" t="s">
        <v>353</v>
      </c>
      <c r="D51" s="378" t="s">
        <v>204</v>
      </c>
      <c r="F51" s="89"/>
    </row>
    <row r="52" spans="1:10" x14ac:dyDescent="0.2">
      <c r="A52" s="26" t="s">
        <v>34</v>
      </c>
      <c r="B52" s="477">
        <f t="shared" ref="B52:B59" si="8">K39</f>
        <v>15.14202710060651</v>
      </c>
      <c r="C52" s="515">
        <f t="shared" ref="C52:C57" si="9">B52-E29</f>
        <v>-1.450107798018875</v>
      </c>
      <c r="D52" s="478">
        <f t="shared" ref="D52:D59" si="10">L39</f>
        <v>29.075776996241018</v>
      </c>
      <c r="F52" s="89"/>
    </row>
    <row r="53" spans="1:10" x14ac:dyDescent="0.2">
      <c r="A53" s="26" t="s">
        <v>35</v>
      </c>
      <c r="B53" s="477">
        <f t="shared" si="8"/>
        <v>118.85200615306491</v>
      </c>
      <c r="C53" s="515">
        <f t="shared" si="9"/>
        <v>24.882289290391498</v>
      </c>
      <c r="D53" s="478">
        <f t="shared" si="10"/>
        <v>228.22006614451001</v>
      </c>
      <c r="F53" s="89"/>
    </row>
    <row r="54" spans="1:10" x14ac:dyDescent="0.2">
      <c r="A54" s="26" t="s">
        <v>36</v>
      </c>
      <c r="B54" s="477">
        <f t="shared" si="8"/>
        <v>244.90018271509661</v>
      </c>
      <c r="C54" s="515">
        <f t="shared" si="9"/>
        <v>-57.312069492337855</v>
      </c>
      <c r="D54" s="478">
        <f t="shared" si="10"/>
        <v>470.25824558705301</v>
      </c>
    </row>
    <row r="55" spans="1:10" x14ac:dyDescent="0.2">
      <c r="A55" s="26" t="s">
        <v>37</v>
      </c>
      <c r="B55" s="477">
        <f t="shared" si="8"/>
        <v>30.478533048974018</v>
      </c>
      <c r="C55" s="515">
        <f t="shared" si="9"/>
        <v>3.8684375082473395</v>
      </c>
      <c r="D55" s="478">
        <f t="shared" si="10"/>
        <v>58.524993002359281</v>
      </c>
    </row>
    <row r="56" spans="1:10" x14ac:dyDescent="0.2">
      <c r="A56" s="26" t="s">
        <v>38</v>
      </c>
      <c r="B56" s="477">
        <f t="shared" si="8"/>
        <v>0.92838930957888333</v>
      </c>
      <c r="C56" s="515">
        <f t="shared" si="9"/>
        <v>-1.6239143121274504</v>
      </c>
      <c r="D56" s="478">
        <f t="shared" si="10"/>
        <v>1.7826966199214209</v>
      </c>
      <c r="E56" s="33"/>
    </row>
    <row r="57" spans="1:10" x14ac:dyDescent="0.2">
      <c r="A57" s="26" t="s">
        <v>39</v>
      </c>
      <c r="B57" s="477">
        <f t="shared" si="8"/>
        <v>23.985716440320008</v>
      </c>
      <c r="C57" s="515">
        <f t="shared" si="9"/>
        <v>18.830126548230517</v>
      </c>
      <c r="D57" s="478">
        <f t="shared" si="10"/>
        <v>46.057462298814819</v>
      </c>
      <c r="E57" s="33"/>
    </row>
    <row r="58" spans="1:10" s="35" customFormat="1" x14ac:dyDescent="0.2">
      <c r="A58" s="90" t="s">
        <v>601</v>
      </c>
      <c r="B58" s="516">
        <f t="shared" si="8"/>
        <v>4.2186960980423747</v>
      </c>
      <c r="C58" s="517" t="s">
        <v>188</v>
      </c>
      <c r="D58" s="478">
        <f t="shared" si="10"/>
        <v>8.1007560048997043</v>
      </c>
    </row>
    <row r="59" spans="1:10" s="35" customFormat="1" x14ac:dyDescent="0.2">
      <c r="A59" s="90" t="s">
        <v>41</v>
      </c>
      <c r="B59" s="516">
        <f t="shared" si="8"/>
        <v>8.6291167850571071</v>
      </c>
      <c r="C59" s="517" t="s">
        <v>188</v>
      </c>
      <c r="D59" s="478">
        <f t="shared" si="10"/>
        <v>16.569662281663138</v>
      </c>
    </row>
    <row r="60" spans="1:10" ht="13.5" thickBot="1" x14ac:dyDescent="0.25">
      <c r="A60" s="59" t="s">
        <v>98</v>
      </c>
      <c r="B60" s="100">
        <f t="shared" ref="B60" si="11">K47</f>
        <v>447.13466765074043</v>
      </c>
      <c r="C60" s="518"/>
      <c r="D60" s="134">
        <f t="shared" ref="D60" si="12">L47</f>
        <v>858.58965893546247</v>
      </c>
    </row>
    <row r="61" spans="1:10" x14ac:dyDescent="0.2">
      <c r="A61" s="168" t="s">
        <v>352</v>
      </c>
    </row>
    <row r="62" spans="1:10" s="35" customFormat="1" x14ac:dyDescent="0.2">
      <c r="A62" s="7"/>
    </row>
    <row r="63" spans="1:10" ht="15.75" thickBot="1" x14ac:dyDescent="0.3">
      <c r="A63" s="387" t="s">
        <v>131</v>
      </c>
    </row>
    <row r="64" spans="1:10" ht="63.75" x14ac:dyDescent="0.2">
      <c r="A64" s="388" t="s">
        <v>387</v>
      </c>
      <c r="B64" s="389" t="s">
        <v>127</v>
      </c>
      <c r="C64" s="389" t="s">
        <v>126</v>
      </c>
      <c r="D64" s="389" t="s">
        <v>70</v>
      </c>
      <c r="E64" s="389" t="s">
        <v>128</v>
      </c>
      <c r="F64" s="389" t="s">
        <v>72</v>
      </c>
      <c r="G64" s="389" t="s">
        <v>129</v>
      </c>
      <c r="H64" s="390" t="s">
        <v>383</v>
      </c>
      <c r="I64" s="389" t="s">
        <v>190</v>
      </c>
      <c r="J64" s="392" t="s">
        <v>358</v>
      </c>
    </row>
    <row r="65" spans="1:12" x14ac:dyDescent="0.2">
      <c r="A65" s="26" t="s">
        <v>34</v>
      </c>
      <c r="B65" s="435">
        <f t="shared" ref="B65:B72" si="13">C39</f>
        <v>2.3081078241515299E-2</v>
      </c>
      <c r="C65" s="99">
        <f>B65*G$12</f>
        <v>16.078279103039559</v>
      </c>
      <c r="D65" s="435">
        <f t="shared" ref="D65:D72" si="14">F39</f>
        <v>5.0926177530725994E-2</v>
      </c>
      <c r="E65" s="99">
        <f>D65*G$13</f>
        <v>23.914932968428928</v>
      </c>
      <c r="F65" s="435">
        <f t="shared" ref="F65:F70" si="15">I39</f>
        <v>3.0305538202145231E-2</v>
      </c>
      <c r="G65" s="99">
        <f>F65*G$14</f>
        <v>4.224592025379045</v>
      </c>
      <c r="H65" s="436">
        <f>C65+E65+G65</f>
        <v>44.217804096847537</v>
      </c>
      <c r="I65" s="437">
        <v>2.2499999999999999E-2</v>
      </c>
      <c r="J65" s="438">
        <f>I65*H65</f>
        <v>0.99490059217906957</v>
      </c>
    </row>
    <row r="66" spans="1:12" x14ac:dyDescent="0.2">
      <c r="A66" s="26" t="s">
        <v>35</v>
      </c>
      <c r="B66" s="435">
        <f t="shared" si="13"/>
        <v>0.34315868251540554</v>
      </c>
      <c r="C66" s="99">
        <f t="shared" ref="C66:C72" si="16">B66*G$12</f>
        <v>239.0443382402315</v>
      </c>
      <c r="D66" s="435">
        <f t="shared" si="14"/>
        <v>0.19590559878574657</v>
      </c>
      <c r="E66" s="99">
        <f t="shared" ref="E66:E72" si="17">D66*G$13</f>
        <v>91.997269189786593</v>
      </c>
      <c r="F66" s="435">
        <f t="shared" si="15"/>
        <v>0.11499616117329162</v>
      </c>
      <c r="G66" s="99">
        <f t="shared" ref="G66:G71" si="18">F66*G$14</f>
        <v>16.030464867556852</v>
      </c>
      <c r="H66" s="436">
        <f t="shared" ref="H66:H73" si="19">C66+E66+G66</f>
        <v>347.07207229757495</v>
      </c>
      <c r="I66" s="437">
        <v>2.2499999999999999E-2</v>
      </c>
      <c r="J66" s="438">
        <f t="shared" ref="J66:J72" si="20">I66*H66</f>
        <v>7.8091216266954362</v>
      </c>
    </row>
    <row r="67" spans="1:12" x14ac:dyDescent="0.2">
      <c r="A67" s="26" t="s">
        <v>36</v>
      </c>
      <c r="B67" s="435">
        <f t="shared" si="13"/>
        <v>0.52409912994362096</v>
      </c>
      <c r="C67" s="99">
        <f t="shared" si="16"/>
        <v>365.0874539187264</v>
      </c>
      <c r="D67" s="435">
        <f t="shared" si="14"/>
        <v>0.52098486736095884</v>
      </c>
      <c r="E67" s="99">
        <f t="shared" si="17"/>
        <v>244.65449371270628</v>
      </c>
      <c r="F67" s="435">
        <f t="shared" si="15"/>
        <v>0.75621578673398127</v>
      </c>
      <c r="G67" s="99">
        <f t="shared" si="18"/>
        <v>105.41648067071699</v>
      </c>
      <c r="H67" s="436">
        <f t="shared" si="19"/>
        <v>715.15842830214967</v>
      </c>
      <c r="I67" s="437">
        <v>5.5E-2</v>
      </c>
      <c r="J67" s="438">
        <f t="shared" si="20"/>
        <v>39.333713556618235</v>
      </c>
    </row>
    <row r="68" spans="1:12" x14ac:dyDescent="0.2">
      <c r="A68" s="26" t="s">
        <v>37</v>
      </c>
      <c r="B68" s="435">
        <f t="shared" si="13"/>
        <v>0.10333865117669287</v>
      </c>
      <c r="C68" s="99">
        <f t="shared" si="16"/>
        <v>71.98570440968426</v>
      </c>
      <c r="D68" s="435">
        <f t="shared" si="14"/>
        <v>1.7393633833715026E-2</v>
      </c>
      <c r="E68" s="99">
        <f t="shared" si="17"/>
        <v>8.1680504483125773</v>
      </c>
      <c r="F68" s="435">
        <f t="shared" si="15"/>
        <v>6.3484728790075051E-2</v>
      </c>
      <c r="G68" s="99">
        <f t="shared" si="18"/>
        <v>8.849771193336462</v>
      </c>
      <c r="H68" s="436">
        <f t="shared" si="19"/>
        <v>89.003526051333296</v>
      </c>
      <c r="I68" s="437">
        <v>0.06</v>
      </c>
      <c r="J68" s="438">
        <f t="shared" si="20"/>
        <v>5.3402115630799978</v>
      </c>
    </row>
    <row r="69" spans="1:12" x14ac:dyDescent="0.2">
      <c r="A69" s="26" t="s">
        <v>38</v>
      </c>
      <c r="B69" s="435">
        <f t="shared" si="13"/>
        <v>1.9411326063484811E-4</v>
      </c>
      <c r="C69" s="99">
        <f t="shared" si="16"/>
        <v>0.13521929735823521</v>
      </c>
      <c r="D69" s="435">
        <f t="shared" si="14"/>
        <v>2.5188852691869516E-3</v>
      </c>
      <c r="E69" s="99">
        <f t="shared" si="17"/>
        <v>1.1828685224101925</v>
      </c>
      <c r="F69" s="435">
        <f t="shared" si="15"/>
        <v>9.9928128388226435E-3</v>
      </c>
      <c r="G69" s="99">
        <f t="shared" si="18"/>
        <v>1.3929981097318767</v>
      </c>
      <c r="H69" s="436">
        <f t="shared" si="19"/>
        <v>2.711085929500304</v>
      </c>
      <c r="I69" s="437">
        <v>0.01</v>
      </c>
      <c r="J69" s="438">
        <f t="shared" si="20"/>
        <v>2.711085929500304E-2</v>
      </c>
    </row>
    <row r="70" spans="1:12" x14ac:dyDescent="0.2">
      <c r="A70" s="26" t="s">
        <v>39</v>
      </c>
      <c r="B70" s="435">
        <f t="shared" si="13"/>
        <v>5.2606137540739499E-3</v>
      </c>
      <c r="C70" s="99">
        <f t="shared" si="16"/>
        <v>3.6645435410879137</v>
      </c>
      <c r="D70" s="435">
        <f t="shared" si="14"/>
        <v>0.13566985521022726</v>
      </c>
      <c r="E70" s="99">
        <f t="shared" si="17"/>
        <v>63.710564006722727</v>
      </c>
      <c r="F70" s="435">
        <f t="shared" si="15"/>
        <v>1.9139678560431781E-2</v>
      </c>
      <c r="G70" s="99">
        <f t="shared" si="18"/>
        <v>2.6680711913241906</v>
      </c>
      <c r="H70" s="436">
        <f t="shared" si="19"/>
        <v>70.043178739134831</v>
      </c>
      <c r="I70" s="437">
        <v>0.01</v>
      </c>
      <c r="J70" s="438">
        <f t="shared" si="20"/>
        <v>0.70043178739134837</v>
      </c>
    </row>
    <row r="71" spans="1:12" s="35" customFormat="1" x14ac:dyDescent="0.2">
      <c r="A71" s="39" t="s">
        <v>601</v>
      </c>
      <c r="B71" s="435">
        <f t="shared" si="13"/>
        <v>0</v>
      </c>
      <c r="C71" s="99">
        <f t="shared" si="16"/>
        <v>0</v>
      </c>
      <c r="D71" s="435">
        <f t="shared" si="14"/>
        <v>2.6233926965379215E-2</v>
      </c>
      <c r="E71" s="99">
        <f t="shared" si="17"/>
        <v>12.31945210294208</v>
      </c>
      <c r="F71" s="435"/>
      <c r="G71" s="99">
        <f t="shared" si="18"/>
        <v>0</v>
      </c>
      <c r="H71" s="436">
        <f t="shared" si="19"/>
        <v>12.31945210294208</v>
      </c>
      <c r="I71" s="437">
        <v>5.0000000000000001E-3</v>
      </c>
      <c r="J71" s="438">
        <f t="shared" si="20"/>
        <v>6.15972605147104E-2</v>
      </c>
    </row>
    <row r="72" spans="1:12" s="35" customFormat="1" x14ac:dyDescent="0.2">
      <c r="A72" s="90" t="s">
        <v>41</v>
      </c>
      <c r="B72" s="439">
        <f t="shared" si="13"/>
        <v>9.1777984121655764E-4</v>
      </c>
      <c r="C72" s="99">
        <f t="shared" si="16"/>
        <v>0.63932543739145409</v>
      </c>
      <c r="D72" s="439">
        <f t="shared" si="14"/>
        <v>5.0557575457731305E-2</v>
      </c>
      <c r="E72" s="99">
        <f t="shared" si="17"/>
        <v>23.741837434950622</v>
      </c>
      <c r="F72" s="439">
        <f>I46</f>
        <v>5.8652524704316412E-3</v>
      </c>
      <c r="G72" s="132"/>
      <c r="H72" s="436">
        <f t="shared" si="19"/>
        <v>24.381162872342074</v>
      </c>
      <c r="I72" s="440">
        <v>5.0000000000000001E-3</v>
      </c>
      <c r="J72" s="438">
        <f t="shared" si="20"/>
        <v>0.12190581436171037</v>
      </c>
    </row>
    <row r="73" spans="1:12" ht="13.5" thickBot="1" x14ac:dyDescent="0.25">
      <c r="A73" s="443" t="s">
        <v>98</v>
      </c>
      <c r="B73" s="465">
        <f t="shared" ref="B73:G73" si="21">SUM(B65:B72)</f>
        <v>1.0000500487331601</v>
      </c>
      <c r="C73" s="322">
        <f t="shared" si="21"/>
        <v>696.63486394751931</v>
      </c>
      <c r="D73" s="465">
        <f t="shared" si="21"/>
        <v>1.0001905204136712</v>
      </c>
      <c r="E73" s="322">
        <f t="shared" si="21"/>
        <v>469.68946838626005</v>
      </c>
      <c r="F73" s="465">
        <f t="shared" si="21"/>
        <v>0.99999995876917935</v>
      </c>
      <c r="G73" s="322">
        <f t="shared" si="21"/>
        <v>138.58237805804544</v>
      </c>
      <c r="H73" s="404">
        <f t="shared" si="19"/>
        <v>1304.9067103918246</v>
      </c>
      <c r="I73" s="442"/>
      <c r="J73" s="444">
        <f>SUM(J65:J72)</f>
        <v>54.388993060135505</v>
      </c>
    </row>
    <row r="74" spans="1:12" s="35" customFormat="1" x14ac:dyDescent="0.2">
      <c r="A74" s="667" t="s">
        <v>402</v>
      </c>
      <c r="B74" s="670"/>
      <c r="C74" s="671"/>
      <c r="D74" s="670"/>
      <c r="E74" s="671"/>
      <c r="F74" s="670"/>
      <c r="G74" s="671"/>
      <c r="H74" s="669">
        <f>H65+H66+H69+H70</f>
        <v>464.04414106305762</v>
      </c>
      <c r="I74" s="668">
        <v>0.03</v>
      </c>
      <c r="J74" s="671">
        <f>H74*I74</f>
        <v>13.921324231891727</v>
      </c>
    </row>
    <row r="75" spans="1:12" s="70" customFormat="1" x14ac:dyDescent="0.2">
      <c r="A75" s="672" t="s">
        <v>411</v>
      </c>
      <c r="B75" s="675"/>
      <c r="C75" s="676"/>
      <c r="D75" s="675"/>
      <c r="E75" s="676"/>
      <c r="F75" s="675"/>
      <c r="G75" s="676"/>
      <c r="H75" s="674"/>
      <c r="I75" s="682"/>
      <c r="J75" s="676"/>
    </row>
    <row r="76" spans="1:12" s="35" customFormat="1" x14ac:dyDescent="0.2">
      <c r="A76" s="7"/>
      <c r="B76" s="58"/>
      <c r="C76" s="58"/>
      <c r="D76" s="58"/>
      <c r="E76" s="58"/>
      <c r="F76" s="58"/>
      <c r="G76" s="58"/>
      <c r="H76" s="58"/>
      <c r="I76" s="15"/>
      <c r="J76" s="58"/>
    </row>
    <row r="77" spans="1:12" ht="13.5" thickBot="1" x14ac:dyDescent="0.25">
      <c r="A77" s="1153" t="s">
        <v>410</v>
      </c>
      <c r="B77" s="1154"/>
      <c r="C77" s="1154"/>
      <c r="D77" s="1154"/>
      <c r="E77" s="1154"/>
      <c r="F77" s="1154"/>
      <c r="G77" s="1154"/>
      <c r="H77" s="1154"/>
      <c r="I77" s="1154"/>
      <c r="J77" s="1154"/>
      <c r="K77" s="1154"/>
      <c r="L77" s="1155"/>
    </row>
    <row r="78" spans="1:12" ht="78" customHeight="1" x14ac:dyDescent="0.2">
      <c r="A78" s="420" t="s">
        <v>363</v>
      </c>
      <c r="B78" s="405" t="s">
        <v>382</v>
      </c>
      <c r="C78" s="405" t="s">
        <v>391</v>
      </c>
      <c r="D78" s="405" t="s">
        <v>343</v>
      </c>
      <c r="E78" s="405" t="s">
        <v>344</v>
      </c>
      <c r="F78" s="406" t="s">
        <v>873</v>
      </c>
      <c r="G78" s="405" t="s">
        <v>394</v>
      </c>
      <c r="H78" s="405" t="s">
        <v>345</v>
      </c>
      <c r="I78" s="405" t="s">
        <v>413</v>
      </c>
      <c r="J78" s="654" t="s">
        <v>586</v>
      </c>
      <c r="K78" s="652" t="s">
        <v>415</v>
      </c>
      <c r="L78" s="890"/>
    </row>
    <row r="79" spans="1:12" ht="13.5" thickBot="1" x14ac:dyDescent="0.25">
      <c r="A79" s="894" t="s">
        <v>34</v>
      </c>
      <c r="B79" s="1054">
        <f t="shared" ref="B79:B87" si="22">B52</f>
        <v>15.14202710060651</v>
      </c>
      <c r="C79" s="323">
        <f>ROUNDUP(B79*0.5,0)</f>
        <v>8</v>
      </c>
      <c r="D79" s="323">
        <f>J65</f>
        <v>0.99490059217906957</v>
      </c>
      <c r="E79" s="453">
        <v>406</v>
      </c>
      <c r="F79" s="325">
        <f>C79-D79-E79</f>
        <v>-398.99490059217908</v>
      </c>
      <c r="G79" s="323">
        <f>B79-C79</f>
        <v>7.1420271006065104</v>
      </c>
      <c r="H79" s="453"/>
      <c r="I79" s="323">
        <v>0</v>
      </c>
      <c r="J79" s="871">
        <f>F79+G79-I79</f>
        <v>-391.85287349157255</v>
      </c>
      <c r="K79" s="715">
        <f>IF((F79+G79-H79-I79)&lt;0,0,(F79+G79-H79-I79))</f>
        <v>0</v>
      </c>
    </row>
    <row r="80" spans="1:12" ht="13.5" thickBot="1" x14ac:dyDescent="0.25">
      <c r="A80" s="894" t="s">
        <v>35</v>
      </c>
      <c r="B80" s="1054">
        <f>ROUND(B53,0)</f>
        <v>119</v>
      </c>
      <c r="C80" s="323">
        <f>ROUNDUP(B80*0.5,0)</f>
        <v>60</v>
      </c>
      <c r="D80" s="323">
        <f>J66</f>
        <v>7.8091216266954362</v>
      </c>
      <c r="E80" s="453">
        <f>'Project Summary'!B9</f>
        <v>15</v>
      </c>
      <c r="F80" s="325">
        <f t="shared" ref="F80:F86" si="23">C80-D80-E80</f>
        <v>37.190878373304564</v>
      </c>
      <c r="G80" s="323">
        <f t="shared" ref="G80:G86" si="24">B80-C80</f>
        <v>59</v>
      </c>
      <c r="H80" s="453"/>
      <c r="I80" s="323">
        <v>0</v>
      </c>
      <c r="J80" s="871">
        <f t="shared" ref="J80:J86" si="25">F80+G80-I80</f>
        <v>96.190878373304571</v>
      </c>
      <c r="K80" s="715">
        <f t="shared" ref="K80:K86" si="26">IF((F80+G80-H80-I80)&lt;0,0,(F80+G80-H80-I80))</f>
        <v>96.190878373304571</v>
      </c>
    </row>
    <row r="81" spans="1:11" ht="13.5" thickBot="1" x14ac:dyDescent="0.25">
      <c r="A81" s="894" t="s">
        <v>36</v>
      </c>
      <c r="B81" s="1054">
        <f>ROUND(B54,0)</f>
        <v>245</v>
      </c>
      <c r="C81" s="323">
        <f>ROUNDUP(B81*0.5,0)</f>
        <v>123</v>
      </c>
      <c r="D81" s="323">
        <f>J67+J74</f>
        <v>53.255037788509966</v>
      </c>
      <c r="E81" s="453">
        <v>17</v>
      </c>
      <c r="F81" s="325">
        <f t="shared" si="23"/>
        <v>52.744962211490034</v>
      </c>
      <c r="G81" s="323">
        <f t="shared" si="24"/>
        <v>122</v>
      </c>
      <c r="H81" s="453"/>
      <c r="I81" s="323">
        <v>0</v>
      </c>
      <c r="J81" s="871">
        <f t="shared" si="25"/>
        <v>174.74496221149002</v>
      </c>
      <c r="K81" s="715">
        <f t="shared" si="26"/>
        <v>174.74496221149002</v>
      </c>
    </row>
    <row r="82" spans="1:11" ht="13.5" thickBot="1" x14ac:dyDescent="0.25">
      <c r="A82" s="894" t="s">
        <v>37</v>
      </c>
      <c r="B82" s="1054">
        <f>ROUND(B55,0)</f>
        <v>30</v>
      </c>
      <c r="C82" s="323">
        <f>ROUND(B82*0.5,0)</f>
        <v>15</v>
      </c>
      <c r="D82" s="323">
        <f>J68</f>
        <v>5.3402115630799978</v>
      </c>
      <c r="E82" s="453">
        <f>'Project Summary'!B14</f>
        <v>0</v>
      </c>
      <c r="F82" s="325">
        <f t="shared" si="23"/>
        <v>9.6597884369200031</v>
      </c>
      <c r="G82" s="323">
        <f t="shared" si="24"/>
        <v>15</v>
      </c>
      <c r="H82" s="453"/>
      <c r="I82" s="323">
        <v>0</v>
      </c>
      <c r="J82" s="871">
        <f t="shared" si="25"/>
        <v>24.659788436920003</v>
      </c>
      <c r="K82" s="715">
        <f t="shared" si="26"/>
        <v>24.659788436920003</v>
      </c>
    </row>
    <row r="83" spans="1:11" ht="13.5" thickBot="1" x14ac:dyDescent="0.25">
      <c r="A83" s="894" t="s">
        <v>38</v>
      </c>
      <c r="B83" s="1054">
        <f>ROUND(B56,0)</f>
        <v>1</v>
      </c>
      <c r="C83" s="323">
        <f>ROUNDUP(B83*0.5,0)</f>
        <v>1</v>
      </c>
      <c r="D83" s="323">
        <f>J69</f>
        <v>2.711085929500304E-2</v>
      </c>
      <c r="E83" s="453">
        <f>'Project Summary'!B16</f>
        <v>0</v>
      </c>
      <c r="F83" s="325">
        <f t="shared" si="23"/>
        <v>0.97288914070499699</v>
      </c>
      <c r="G83" s="323">
        <f t="shared" si="24"/>
        <v>0</v>
      </c>
      <c r="H83" s="453"/>
      <c r="I83" s="323">
        <f t="shared" ref="I83:I85" si="27">D83</f>
        <v>2.711085929500304E-2</v>
      </c>
      <c r="J83" s="871">
        <f t="shared" si="25"/>
        <v>0.94577828140999398</v>
      </c>
      <c r="K83" s="715">
        <f t="shared" si="26"/>
        <v>0.94577828140999398</v>
      </c>
    </row>
    <row r="84" spans="1:11" ht="13.5" thickBot="1" x14ac:dyDescent="0.25">
      <c r="A84" s="894" t="s">
        <v>39</v>
      </c>
      <c r="B84" s="1054">
        <f t="shared" si="22"/>
        <v>23.985716440320008</v>
      </c>
      <c r="C84" s="323">
        <f t="shared" ref="C84" si="28">ROUNDUP(B84*0.5,1)</f>
        <v>12</v>
      </c>
      <c r="D84" s="323">
        <f>J70</f>
        <v>0.70043178739134837</v>
      </c>
      <c r="E84" s="453">
        <v>2</v>
      </c>
      <c r="F84" s="325">
        <f t="shared" si="23"/>
        <v>9.2995682126086514</v>
      </c>
      <c r="G84" s="323">
        <f t="shared" si="24"/>
        <v>11.985716440320008</v>
      </c>
      <c r="H84" s="453"/>
      <c r="I84" s="323">
        <v>0</v>
      </c>
      <c r="J84" s="871">
        <f t="shared" si="25"/>
        <v>21.285284652928659</v>
      </c>
      <c r="K84" s="715">
        <f t="shared" si="26"/>
        <v>21.285284652928659</v>
      </c>
    </row>
    <row r="85" spans="1:11" ht="13.5" thickBot="1" x14ac:dyDescent="0.25">
      <c r="A85" s="1078" t="s">
        <v>600</v>
      </c>
      <c r="B85" s="1054">
        <f>ROUND(B58,0)</f>
        <v>4</v>
      </c>
      <c r="C85" s="323">
        <f>ROUND(B85*0.5,0)</f>
        <v>2</v>
      </c>
      <c r="D85" s="323">
        <f>J71</f>
        <v>6.15972605147104E-2</v>
      </c>
      <c r="E85" s="453">
        <f>'Project Summary'!B22</f>
        <v>0</v>
      </c>
      <c r="F85" s="325">
        <f t="shared" si="23"/>
        <v>1.9384027394852896</v>
      </c>
      <c r="G85" s="323">
        <f t="shared" si="24"/>
        <v>2</v>
      </c>
      <c r="H85" s="453"/>
      <c r="I85" s="323">
        <f t="shared" si="27"/>
        <v>6.15972605147104E-2</v>
      </c>
      <c r="J85" s="871">
        <f t="shared" si="25"/>
        <v>3.8768054789705793</v>
      </c>
      <c r="K85" s="715">
        <f t="shared" si="26"/>
        <v>3.8768054789705793</v>
      </c>
    </row>
    <row r="86" spans="1:11" ht="13.5" thickBot="1" x14ac:dyDescent="0.25">
      <c r="A86" s="894" t="s">
        <v>41</v>
      </c>
      <c r="B86" s="1054">
        <f>ROUND(B59,0)</f>
        <v>9</v>
      </c>
      <c r="C86" s="323">
        <f>(ROUND(B86*0.5,0))</f>
        <v>5</v>
      </c>
      <c r="D86" s="323">
        <f>J72</f>
        <v>0.12190581436171037</v>
      </c>
      <c r="E86" s="887">
        <f>'Project Summary'!B7</f>
        <v>1487.3</v>
      </c>
      <c r="F86" s="916">
        <f t="shared" si="23"/>
        <v>-1482.4219058143617</v>
      </c>
      <c r="G86" s="323">
        <f t="shared" si="24"/>
        <v>4</v>
      </c>
      <c r="H86" s="453"/>
      <c r="I86" s="323">
        <v>0</v>
      </c>
      <c r="J86" s="1055">
        <f t="shared" si="25"/>
        <v>-1478.4219058143617</v>
      </c>
      <c r="K86" s="715">
        <f t="shared" si="26"/>
        <v>0</v>
      </c>
    </row>
    <row r="87" spans="1:11" ht="13.5" thickBot="1" x14ac:dyDescent="0.25">
      <c r="A87" s="1079" t="s">
        <v>98</v>
      </c>
      <c r="B87" s="398">
        <f t="shared" si="22"/>
        <v>447.13466765074043</v>
      </c>
      <c r="C87" s="398">
        <f>SUM(C79:C86)</f>
        <v>226</v>
      </c>
      <c r="D87" s="398">
        <f>SUM(D79:D86)</f>
        <v>68.310317292027264</v>
      </c>
      <c r="E87" s="1056">
        <f>SUM(E79:E86)</f>
        <v>1927.3</v>
      </c>
      <c r="F87" s="1057">
        <f>SUM(F79:F86)</f>
        <v>-1769.6103172920273</v>
      </c>
      <c r="G87" s="398">
        <f>SUM(G79:G86)</f>
        <v>221.12774354092653</v>
      </c>
      <c r="H87" s="1056"/>
      <c r="I87" s="398">
        <f>SUM(I79:I86)</f>
        <v>8.8708119809713437E-2</v>
      </c>
      <c r="J87" s="1058">
        <f>F87+G87-I87</f>
        <v>-1548.5712818709105</v>
      </c>
      <c r="K87" s="1059">
        <f>SUM(K79:K86)</f>
        <v>321.70349743502391</v>
      </c>
    </row>
    <row r="88" spans="1:11" s="35" customFormat="1" x14ac:dyDescent="0.2">
      <c r="A88" s="706" t="s">
        <v>414</v>
      </c>
      <c r="B88" s="671"/>
      <c r="C88" s="710"/>
      <c r="D88" s="671"/>
      <c r="E88" s="709"/>
      <c r="F88" s="707"/>
      <c r="G88" s="671"/>
      <c r="H88" s="709"/>
      <c r="I88" s="671"/>
      <c r="J88" s="671"/>
      <c r="K88" s="711"/>
    </row>
    <row r="89" spans="1:11" x14ac:dyDescent="0.2">
      <c r="J89" s="141" t="s">
        <v>602</v>
      </c>
      <c r="K89" s="33">
        <f>I21-K87</f>
        <v>267.15952582079024</v>
      </c>
    </row>
    <row r="90" spans="1:11" s="35" customFormat="1" ht="13.5" thickBot="1" x14ac:dyDescent="0.25">
      <c r="A90" s="6" t="s">
        <v>333</v>
      </c>
    </row>
    <row r="91" spans="1:11" ht="63.75" x14ac:dyDescent="0.2">
      <c r="A91" s="388" t="str">
        <f t="shared" ref="A91:A100" si="29">A64</f>
        <v>2009 Developed Land Uses Stormwater Loading by Jurisdiction for Palatlakaha River</v>
      </c>
      <c r="B91" s="389" t="str">
        <f t="shared" ref="B91:B100" si="30">C64</f>
        <v>Total Loading Developed-High lbs/yr TP</v>
      </c>
      <c r="C91" s="389" t="str">
        <f t="shared" ref="C91:C100" si="31">E64</f>
        <v>Total Loading Developed-Medium lbs/yr TP</v>
      </c>
      <c r="D91" s="389" t="str">
        <f t="shared" ref="D91:D100" si="32">G64</f>
        <v>Total Loading Developed-Low lbs/yr TP</v>
      </c>
      <c r="E91" s="390" t="str">
        <f t="shared" ref="E91:E100" si="33">H64</f>
        <v>Developed Land Uses (Stormwater) Total Loading lbs/yr TP</v>
      </c>
      <c r="F91" s="400" t="s">
        <v>332</v>
      </c>
    </row>
    <row r="92" spans="1:11" x14ac:dyDescent="0.2">
      <c r="A92" s="336" t="str">
        <f t="shared" si="29"/>
        <v>Clermont</v>
      </c>
      <c r="B92" s="323">
        <f t="shared" si="30"/>
        <v>16.078279103039559</v>
      </c>
      <c r="C92" s="323">
        <f t="shared" si="31"/>
        <v>23.914932968428928</v>
      </c>
      <c r="D92" s="323">
        <f t="shared" si="32"/>
        <v>4.224592025379045</v>
      </c>
      <c r="E92" s="333">
        <f t="shared" si="33"/>
        <v>44.217804096847537</v>
      </c>
      <c r="F92" s="395">
        <f>E92/$E$100</f>
        <v>3.3885797156771646E-2</v>
      </c>
    </row>
    <row r="93" spans="1:11" s="35" customFormat="1" x14ac:dyDescent="0.2">
      <c r="A93" s="336" t="str">
        <f t="shared" si="29"/>
        <v>Groveland</v>
      </c>
      <c r="B93" s="323">
        <f t="shared" si="30"/>
        <v>239.0443382402315</v>
      </c>
      <c r="C93" s="323">
        <f t="shared" si="31"/>
        <v>91.997269189786593</v>
      </c>
      <c r="D93" s="323">
        <f t="shared" si="32"/>
        <v>16.030464867556852</v>
      </c>
      <c r="E93" s="333">
        <f t="shared" si="33"/>
        <v>347.07207229757495</v>
      </c>
      <c r="F93" s="395">
        <f t="shared" ref="F93:F99" si="34">E93/$E$100</f>
        <v>0.26597462449507947</v>
      </c>
    </row>
    <row r="94" spans="1:11" x14ac:dyDescent="0.2">
      <c r="A94" s="336" t="str">
        <f t="shared" si="29"/>
        <v>Lake County</v>
      </c>
      <c r="B94" s="323">
        <f t="shared" si="30"/>
        <v>365.0874539187264</v>
      </c>
      <c r="C94" s="323">
        <f t="shared" si="31"/>
        <v>244.65449371270628</v>
      </c>
      <c r="D94" s="323">
        <f t="shared" si="32"/>
        <v>105.41648067071699</v>
      </c>
      <c r="E94" s="333">
        <f t="shared" si="33"/>
        <v>715.15842830214967</v>
      </c>
      <c r="F94" s="395">
        <f t="shared" si="34"/>
        <v>0.54805329960132465</v>
      </c>
    </row>
    <row r="95" spans="1:11" x14ac:dyDescent="0.2">
      <c r="A95" s="336" t="str">
        <f t="shared" si="29"/>
        <v>Leesburg</v>
      </c>
      <c r="B95" s="323">
        <f t="shared" si="30"/>
        <v>71.98570440968426</v>
      </c>
      <c r="C95" s="323">
        <f t="shared" si="31"/>
        <v>8.1680504483125773</v>
      </c>
      <c r="D95" s="323">
        <f t="shared" si="32"/>
        <v>8.849771193336462</v>
      </c>
      <c r="E95" s="333">
        <f t="shared" si="33"/>
        <v>89.003526051333296</v>
      </c>
      <c r="F95" s="395">
        <f t="shared" si="34"/>
        <v>6.8206811523413957E-2</v>
      </c>
    </row>
    <row r="96" spans="1:11" x14ac:dyDescent="0.2">
      <c r="A96" s="336" t="str">
        <f t="shared" si="29"/>
        <v>Mascotte</v>
      </c>
      <c r="B96" s="323">
        <f t="shared" si="30"/>
        <v>0.13521929735823521</v>
      </c>
      <c r="C96" s="323">
        <f t="shared" si="31"/>
        <v>1.1828685224101925</v>
      </c>
      <c r="D96" s="323">
        <f t="shared" si="32"/>
        <v>1.3929981097318767</v>
      </c>
      <c r="E96" s="333">
        <f t="shared" si="33"/>
        <v>2.711085929500304</v>
      </c>
      <c r="F96" s="335">
        <f t="shared" si="34"/>
        <v>2.077609002934965E-3</v>
      </c>
    </row>
    <row r="97" spans="1:6" x14ac:dyDescent="0.2">
      <c r="A97" s="336" t="str">
        <f t="shared" si="29"/>
        <v>Minneola</v>
      </c>
      <c r="B97" s="323">
        <f t="shared" si="30"/>
        <v>3.6645435410879137</v>
      </c>
      <c r="C97" s="323">
        <f t="shared" si="31"/>
        <v>63.710564006722727</v>
      </c>
      <c r="D97" s="323">
        <f t="shared" si="32"/>
        <v>2.6680711913241906</v>
      </c>
      <c r="E97" s="333">
        <f t="shared" si="33"/>
        <v>70.043178739134831</v>
      </c>
      <c r="F97" s="395">
        <f t="shared" si="34"/>
        <v>5.3676771052930637E-2</v>
      </c>
    </row>
    <row r="98" spans="1:6" x14ac:dyDescent="0.2">
      <c r="A98" s="336" t="str">
        <f t="shared" si="29"/>
        <v>Florida Turnpike Enterprise</v>
      </c>
      <c r="B98" s="323">
        <f t="shared" si="30"/>
        <v>0</v>
      </c>
      <c r="C98" s="323">
        <f t="shared" si="31"/>
        <v>12.31945210294208</v>
      </c>
      <c r="D98" s="323">
        <f t="shared" si="32"/>
        <v>0</v>
      </c>
      <c r="E98" s="333">
        <f t="shared" si="33"/>
        <v>12.31945210294208</v>
      </c>
      <c r="F98" s="335">
        <f t="shared" si="34"/>
        <v>9.4408680749621682E-3</v>
      </c>
    </row>
    <row r="99" spans="1:6" x14ac:dyDescent="0.2">
      <c r="A99" s="336" t="str">
        <f t="shared" si="29"/>
        <v>FDOT</v>
      </c>
      <c r="B99" s="323">
        <f t="shared" si="30"/>
        <v>0.63932543739145409</v>
      </c>
      <c r="C99" s="323">
        <f t="shared" si="31"/>
        <v>23.741837434950622</v>
      </c>
      <c r="D99" s="323">
        <f t="shared" si="32"/>
        <v>0</v>
      </c>
      <c r="E99" s="333">
        <f t="shared" si="33"/>
        <v>24.381162872342074</v>
      </c>
      <c r="F99" s="395">
        <f t="shared" si="34"/>
        <v>1.8684219092582593E-2</v>
      </c>
    </row>
    <row r="100" spans="1:6" ht="13.5" thickBot="1" x14ac:dyDescent="0.25">
      <c r="A100" s="445" t="str">
        <f t="shared" si="29"/>
        <v>Total lbs/yr TP</v>
      </c>
      <c r="B100" s="397">
        <f t="shared" si="30"/>
        <v>696.63486394751931</v>
      </c>
      <c r="C100" s="397">
        <f t="shared" si="31"/>
        <v>469.68946838626005</v>
      </c>
      <c r="D100" s="397">
        <f t="shared" si="32"/>
        <v>138.58237805804544</v>
      </c>
      <c r="E100" s="398">
        <f t="shared" si="33"/>
        <v>1304.9067103918246</v>
      </c>
      <c r="F100" s="399">
        <f>E100/$E$100</f>
        <v>1</v>
      </c>
    </row>
  </sheetData>
  <mergeCells count="2">
    <mergeCell ref="B2:F3"/>
    <mergeCell ref="A77:L77"/>
  </mergeCells>
  <conditionalFormatting sqref="F92:F100">
    <cfRule type="cellIs" dxfId="3" priority="1" operator="between">
      <formula>0</formula>
      <formula>0.01</formula>
    </cfRule>
  </conditionalFormatting>
  <printOptions gridLines="1"/>
  <pageMargins left="0.7" right="0.7" top="0.75" bottom="0.75" header="0.3" footer="0.3"/>
  <pageSetup paperSize="5" scale="75" pageOrder="overThenDown" orientation="landscape" r:id="rId1"/>
  <headerFooter>
    <oddHeader>&amp;L&amp;"Arial,Bold"&amp;11&amp;KC00000DRAFT&amp;CPalatlakaha River Allocation Calculations&amp;RFDEP, August 16
, 2016</oddHeader>
    <oddFooter>&amp;RPage &amp;P of &amp;N</oddFooter>
  </headerFooter>
  <rowBreaks count="2" manualBreakCount="2">
    <brk id="35" max="16383" man="1"/>
    <brk id="75" max="16383" man="1"/>
  </rowBreaks>
  <ignoredErrors>
    <ignoredError sqref="D81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2"/>
  <sheetViews>
    <sheetView topLeftCell="A51" workbookViewId="0">
      <selection activeCell="E71" sqref="E71"/>
    </sheetView>
  </sheetViews>
  <sheetFormatPr defaultRowHeight="12.75" x14ac:dyDescent="0.2"/>
  <cols>
    <col min="1" max="1" width="42.7109375" customWidth="1"/>
    <col min="2" max="2" width="17.140625" customWidth="1"/>
    <col min="3" max="3" width="15.85546875" customWidth="1"/>
    <col min="4" max="4" width="15.28515625" customWidth="1"/>
    <col min="5" max="5" width="15.42578125" customWidth="1"/>
    <col min="6" max="6" width="16.85546875" customWidth="1"/>
    <col min="7" max="7" width="15.85546875" customWidth="1"/>
    <col min="8" max="8" width="14.7109375" customWidth="1"/>
    <col min="9" max="9" width="15.28515625" customWidth="1"/>
    <col min="10" max="10" width="16.5703125" customWidth="1"/>
    <col min="11" max="11" width="16" customWidth="1"/>
    <col min="12" max="12" width="15.42578125" customWidth="1"/>
    <col min="13" max="13" width="15.28515625" customWidth="1"/>
  </cols>
  <sheetData>
    <row r="1" spans="1:11" ht="15.75" thickBot="1" x14ac:dyDescent="0.3">
      <c r="A1" s="13" t="s">
        <v>81</v>
      </c>
      <c r="B1" s="17"/>
      <c r="C1" s="17"/>
      <c r="D1" s="17"/>
      <c r="E1" s="17"/>
      <c r="F1" s="17"/>
    </row>
    <row r="2" spans="1:11" x14ac:dyDescent="0.2">
      <c r="A2" s="1"/>
      <c r="B2" s="1139" t="s">
        <v>368</v>
      </c>
      <c r="C2" s="1140"/>
      <c r="D2" s="1140"/>
      <c r="E2" s="1140"/>
      <c r="F2" s="1141"/>
    </row>
    <row r="3" spans="1:11" ht="13.5" thickBot="1" x14ac:dyDescent="0.25">
      <c r="A3" s="2"/>
      <c r="B3" s="1150"/>
      <c r="C3" s="1151"/>
      <c r="D3" s="1151"/>
      <c r="E3" s="1151"/>
      <c r="F3" s="1152"/>
    </row>
    <row r="4" spans="1:11" ht="91.15" customHeight="1" thickBot="1" x14ac:dyDescent="0.25">
      <c r="A4" s="4" t="s">
        <v>1</v>
      </c>
      <c r="B4" s="12" t="s">
        <v>4</v>
      </c>
      <c r="C4" s="11" t="s">
        <v>0</v>
      </c>
      <c r="D4" s="8" t="s">
        <v>9</v>
      </c>
      <c r="E4" s="9" t="s">
        <v>31</v>
      </c>
      <c r="F4" s="14" t="s">
        <v>16</v>
      </c>
      <c r="G4" s="169" t="s">
        <v>99</v>
      </c>
      <c r="H4" s="169" t="s">
        <v>100</v>
      </c>
      <c r="I4" s="170" t="s">
        <v>54</v>
      </c>
      <c r="J4" s="171" t="s">
        <v>53</v>
      </c>
    </row>
    <row r="5" spans="1:11" ht="13.5" thickTop="1" x14ac:dyDescent="0.2">
      <c r="A5" s="173" t="s">
        <v>26</v>
      </c>
      <c r="B5" s="526">
        <v>1443</v>
      </c>
      <c r="C5" s="527"/>
      <c r="D5" s="527"/>
      <c r="E5" s="527"/>
      <c r="F5" s="528">
        <f>IF(SUM(B5:E5)&lt;&gt;0,SUM(B5:E5),"")</f>
        <v>1443</v>
      </c>
      <c r="G5" s="499"/>
      <c r="H5" s="499"/>
      <c r="I5" s="529"/>
      <c r="J5" s="530">
        <f>F5</f>
        <v>1443</v>
      </c>
    </row>
    <row r="6" spans="1:11" x14ac:dyDescent="0.2">
      <c r="A6" s="174" t="s">
        <v>27</v>
      </c>
      <c r="B6" s="531">
        <v>141</v>
      </c>
      <c r="C6" s="532">
        <v>-141</v>
      </c>
      <c r="D6" s="532"/>
      <c r="E6" s="532"/>
      <c r="F6" s="528">
        <v>0</v>
      </c>
      <c r="G6" s="459">
        <v>0</v>
      </c>
      <c r="H6" s="304"/>
      <c r="I6" s="533"/>
      <c r="J6" s="486"/>
    </row>
    <row r="7" spans="1:11" x14ac:dyDescent="0.2">
      <c r="A7" s="174" t="s">
        <v>19</v>
      </c>
      <c r="B7" s="531"/>
      <c r="C7" s="304"/>
      <c r="D7" s="532"/>
      <c r="E7" s="532"/>
      <c r="F7" s="528" t="str">
        <f t="shared" ref="F7:F18" si="0">IF(SUM(B7:E7)&lt;&gt;0,SUM(B7:E7),"")</f>
        <v/>
      </c>
      <c r="G7" s="304"/>
      <c r="H7" s="304"/>
      <c r="I7" s="533"/>
      <c r="J7" s="486"/>
    </row>
    <row r="8" spans="1:11" x14ac:dyDescent="0.2">
      <c r="A8" s="175" t="s">
        <v>20</v>
      </c>
      <c r="B8" s="531">
        <v>557</v>
      </c>
      <c r="C8" s="532"/>
      <c r="D8" s="532"/>
      <c r="E8" s="532">
        <v>53</v>
      </c>
      <c r="F8" s="528">
        <f>IF(SUM(B8:E8)&lt;&gt;0,SUM(B8:E8),"")</f>
        <v>610</v>
      </c>
      <c r="G8" s="304"/>
      <c r="H8" s="304"/>
      <c r="I8" s="534"/>
      <c r="J8" s="504">
        <f>F8-I8</f>
        <v>610</v>
      </c>
    </row>
    <row r="9" spans="1:11" x14ac:dyDescent="0.2">
      <c r="A9" s="175" t="s">
        <v>32</v>
      </c>
      <c r="B9" s="531">
        <v>197</v>
      </c>
      <c r="C9" s="532"/>
      <c r="D9" s="532"/>
      <c r="E9" s="532">
        <v>164</v>
      </c>
      <c r="F9" s="528">
        <f t="shared" si="0"/>
        <v>361</v>
      </c>
      <c r="G9" s="459">
        <f>F9</f>
        <v>361</v>
      </c>
      <c r="H9" s="435">
        <f>G9/(F$20-F$5-F$8)</f>
        <v>0.22025625381330091</v>
      </c>
      <c r="I9" s="534">
        <f>F$22*H9</f>
        <v>186.77730323367896</v>
      </c>
      <c r="J9" s="507">
        <f>F9-I9</f>
        <v>174.22269676632104</v>
      </c>
      <c r="K9" s="3"/>
    </row>
    <row r="10" spans="1:11" s="35" customFormat="1" x14ac:dyDescent="0.2">
      <c r="A10" s="264" t="s">
        <v>849</v>
      </c>
      <c r="B10" s="531"/>
      <c r="C10" s="532"/>
      <c r="D10" s="532"/>
      <c r="E10" s="532"/>
      <c r="F10" s="528"/>
      <c r="G10" s="459"/>
      <c r="H10" s="435"/>
      <c r="I10" s="534"/>
      <c r="J10" s="507"/>
      <c r="K10" s="3"/>
    </row>
    <row r="11" spans="1:11" x14ac:dyDescent="0.2">
      <c r="A11" s="176" t="s">
        <v>21</v>
      </c>
      <c r="B11" s="531">
        <v>598</v>
      </c>
      <c r="C11" s="532"/>
      <c r="D11" s="532"/>
      <c r="E11" s="304">
        <v>95</v>
      </c>
      <c r="F11" s="528">
        <f t="shared" si="0"/>
        <v>693</v>
      </c>
      <c r="G11" s="459">
        <f>F11</f>
        <v>693</v>
      </c>
      <c r="H11" s="435"/>
      <c r="I11" s="534">
        <f>SUM(I12:I14)</f>
        <v>358.54931037599482</v>
      </c>
      <c r="J11" s="507">
        <f>F11-I11</f>
        <v>334.45068962400518</v>
      </c>
    </row>
    <row r="12" spans="1:11" s="34" customFormat="1" x14ac:dyDescent="0.2">
      <c r="A12" s="34" t="s">
        <v>62</v>
      </c>
      <c r="B12" s="531"/>
      <c r="C12" s="532"/>
      <c r="D12" s="532"/>
      <c r="E12" s="304"/>
      <c r="F12" s="535">
        <v>459.75849138151312</v>
      </c>
      <c r="G12" s="99">
        <f>F12</f>
        <v>459.75849138151312</v>
      </c>
      <c r="H12" s="435">
        <f>G12/(F$20-F$5-F$8)</f>
        <v>0.28051158717603014</v>
      </c>
      <c r="I12" s="534">
        <f>F$22*H12</f>
        <v>237.87382592527331</v>
      </c>
      <c r="J12" s="507">
        <f t="shared" ref="J12:J14" si="1">F12-I12</f>
        <v>221.88466545623982</v>
      </c>
    </row>
    <row r="13" spans="1:11" s="34" customFormat="1" x14ac:dyDescent="0.2">
      <c r="A13" s="34" t="s">
        <v>63</v>
      </c>
      <c r="B13" s="531"/>
      <c r="C13" s="532"/>
      <c r="D13" s="532"/>
      <c r="E13" s="304"/>
      <c r="F13" s="536">
        <v>185.29632659962397</v>
      </c>
      <c r="G13" s="99">
        <f>F13</f>
        <v>185.29632659962397</v>
      </c>
      <c r="H13" s="435">
        <f>G13/(F$20-F$5-F$8)</f>
        <v>0.11305450067091158</v>
      </c>
      <c r="I13" s="534">
        <f>F$22*H13</f>
        <v>95.870216568932918</v>
      </c>
      <c r="J13" s="507">
        <f t="shared" si="1"/>
        <v>89.426110030691049</v>
      </c>
    </row>
    <row r="14" spans="1:11" s="34" customFormat="1" x14ac:dyDescent="0.2">
      <c r="A14" s="34" t="s">
        <v>64</v>
      </c>
      <c r="B14" s="531"/>
      <c r="C14" s="532"/>
      <c r="D14" s="532"/>
      <c r="E14" s="304"/>
      <c r="F14" s="537">
        <v>47.943200540391011</v>
      </c>
      <c r="G14" s="99">
        <f>F14</f>
        <v>47.943200540391011</v>
      </c>
      <c r="H14" s="435">
        <f>G14/(F$20-F$5-F$8)</f>
        <v>2.9251495143618692E-2</v>
      </c>
      <c r="I14" s="534">
        <f>F$22*H14</f>
        <v>24.805267881788623</v>
      </c>
      <c r="J14" s="507">
        <f t="shared" si="1"/>
        <v>23.137932658602388</v>
      </c>
    </row>
    <row r="15" spans="1:11" x14ac:dyDescent="0.2">
      <c r="A15" s="177" t="s">
        <v>28</v>
      </c>
      <c r="B15" s="531"/>
      <c r="C15" s="532"/>
      <c r="D15" s="532"/>
      <c r="E15" s="532"/>
      <c r="F15" s="528" t="str">
        <f t="shared" si="0"/>
        <v/>
      </c>
      <c r="G15" s="304"/>
      <c r="H15" s="435"/>
      <c r="I15" s="534"/>
      <c r="J15" s="507"/>
    </row>
    <row r="16" spans="1:11" x14ac:dyDescent="0.2">
      <c r="A16" s="174" t="s">
        <v>266</v>
      </c>
      <c r="B16" s="76">
        <v>292</v>
      </c>
      <c r="C16" s="532"/>
      <c r="D16" s="532"/>
      <c r="E16" s="532">
        <v>294</v>
      </c>
      <c r="F16" s="528">
        <f t="shared" si="0"/>
        <v>586</v>
      </c>
      <c r="G16" s="459">
        <f>F16</f>
        <v>586</v>
      </c>
      <c r="H16" s="435">
        <f>G16/(F$20-F$5-F$8)</f>
        <v>0.35753508236729731</v>
      </c>
      <c r="I16" s="534">
        <f>F$22*H16</f>
        <v>303.18974984746779</v>
      </c>
      <c r="J16" s="507">
        <f t="shared" ref="J16:J18" si="2">F16-I16</f>
        <v>282.81025015253221</v>
      </c>
    </row>
    <row r="17" spans="1:12" s="35" customFormat="1" x14ac:dyDescent="0.2">
      <c r="A17" s="264" t="s">
        <v>230</v>
      </c>
      <c r="B17" s="76">
        <v>94</v>
      </c>
      <c r="C17" s="532"/>
      <c r="D17" s="532"/>
      <c r="E17" s="532">
        <v>97</v>
      </c>
      <c r="F17" s="528">
        <f t="shared" si="0"/>
        <v>191</v>
      </c>
      <c r="G17" s="459">
        <f>F17</f>
        <v>191</v>
      </c>
      <c r="H17" s="435">
        <f>G17/(F$20-F$5-F$8)</f>
        <v>0.11653447223917029</v>
      </c>
      <c r="I17" s="534">
        <f t="shared" ref="I17:I18" si="3">F$22*H17</f>
        <v>98.821232458816297</v>
      </c>
      <c r="J17" s="507">
        <f t="shared" si="2"/>
        <v>92.178767541183703</v>
      </c>
    </row>
    <row r="18" spans="1:12" x14ac:dyDescent="0.2">
      <c r="A18" s="178" t="s">
        <v>231</v>
      </c>
      <c r="B18" s="538">
        <v>197</v>
      </c>
      <c r="C18" s="484"/>
      <c r="D18" s="484"/>
      <c r="E18" s="539">
        <v>197</v>
      </c>
      <c r="F18" s="528">
        <f t="shared" si="0"/>
        <v>394</v>
      </c>
      <c r="G18" s="459">
        <f>F18</f>
        <v>394</v>
      </c>
      <c r="H18" s="435">
        <f>G18/(F$20-F$5-F$8)</f>
        <v>0.2403904820012204</v>
      </c>
      <c r="I18" s="534">
        <f t="shared" si="3"/>
        <v>203.85112873703468</v>
      </c>
      <c r="J18" s="507">
        <f t="shared" si="2"/>
        <v>190.14887126296532</v>
      </c>
    </row>
    <row r="19" spans="1:12" x14ac:dyDescent="0.2">
      <c r="A19" s="179" t="s">
        <v>30</v>
      </c>
      <c r="B19" s="538"/>
      <c r="C19" s="484"/>
      <c r="D19" s="484"/>
      <c r="E19" s="539"/>
      <c r="F19" s="540"/>
      <c r="G19" s="304"/>
      <c r="H19" s="99"/>
      <c r="I19" s="533"/>
      <c r="J19" s="486"/>
    </row>
    <row r="20" spans="1:12" x14ac:dyDescent="0.2">
      <c r="A20" s="180" t="s">
        <v>3</v>
      </c>
      <c r="B20" s="531">
        <f>SUM(B5:B18)-B17-B18</f>
        <v>3228</v>
      </c>
      <c r="C20" s="532">
        <f>SUM(C5:C18)</f>
        <v>-141</v>
      </c>
      <c r="D20" s="532">
        <f>SUM(D5:D18)-D11</f>
        <v>0</v>
      </c>
      <c r="E20" s="532">
        <f>SUM(E5:E18)-E17-E18</f>
        <v>606</v>
      </c>
      <c r="F20" s="528">
        <f>SUM(F5:F18)-F12-F13-F14-F16</f>
        <v>3691.9999999999991</v>
      </c>
      <c r="G20" s="304"/>
      <c r="H20" s="99"/>
      <c r="I20" s="533"/>
      <c r="J20" s="486"/>
    </row>
    <row r="21" spans="1:12" x14ac:dyDescent="0.2">
      <c r="A21" s="181" t="s">
        <v>17</v>
      </c>
      <c r="B21" s="531">
        <v>2844</v>
      </c>
      <c r="C21" s="484"/>
      <c r="D21" s="484"/>
      <c r="E21" s="539"/>
      <c r="F21" s="541">
        <f>B21</f>
        <v>2844</v>
      </c>
      <c r="G21" s="304"/>
      <c r="H21" s="99"/>
      <c r="I21" s="533"/>
      <c r="J21" s="504"/>
    </row>
    <row r="22" spans="1:12" ht="27.75" customHeight="1" x14ac:dyDescent="0.2">
      <c r="A22" s="182" t="s">
        <v>2</v>
      </c>
      <c r="B22" s="531">
        <f>B20-B21</f>
        <v>384</v>
      </c>
      <c r="C22" s="484"/>
      <c r="D22" s="484"/>
      <c r="E22" s="539"/>
      <c r="F22" s="528">
        <f>F20-F21</f>
        <v>847.99999999999909</v>
      </c>
      <c r="G22" s="304"/>
      <c r="H22" s="99"/>
      <c r="I22" s="534">
        <f>SUM(I9:I18)-I11-I16</f>
        <v>847.99897480552499</v>
      </c>
      <c r="J22" s="486"/>
    </row>
    <row r="23" spans="1:12" ht="28.5" customHeight="1" x14ac:dyDescent="0.2">
      <c r="A23" s="183" t="s">
        <v>7</v>
      </c>
      <c r="B23" s="538"/>
      <c r="C23" s="484"/>
      <c r="D23" s="484"/>
      <c r="E23" s="539"/>
      <c r="F23" s="542">
        <f>F22/F21</f>
        <v>0.29817158931082949</v>
      </c>
      <c r="G23" s="304"/>
      <c r="H23" s="475">
        <f>SUM(H9:H16)</f>
        <v>1.0006089191711587</v>
      </c>
      <c r="I23" s="533"/>
      <c r="J23" s="486"/>
    </row>
    <row r="24" spans="1:12" x14ac:dyDescent="0.2">
      <c r="A24" s="184" t="s">
        <v>115</v>
      </c>
      <c r="B24" s="538"/>
      <c r="C24" s="484"/>
      <c r="D24" s="484"/>
      <c r="E24" s="539"/>
      <c r="F24" s="540"/>
      <c r="G24" s="304"/>
      <c r="H24" s="304"/>
      <c r="I24" s="533"/>
      <c r="J24" s="504">
        <f>SUM(J5:J16)-J11</f>
        <v>2844.4816550643868</v>
      </c>
    </row>
    <row r="25" spans="1:12" ht="26.25" thickBot="1" x14ac:dyDescent="0.25">
      <c r="A25" s="222" t="s">
        <v>227</v>
      </c>
      <c r="B25" s="543"/>
      <c r="C25" s="544"/>
      <c r="D25" s="544"/>
      <c r="E25" s="545"/>
      <c r="F25" s="546"/>
      <c r="G25" s="327"/>
      <c r="H25" s="327"/>
      <c r="I25" s="547"/>
      <c r="J25" s="548">
        <f>J11+J16</f>
        <v>617.26093977653738</v>
      </c>
    </row>
    <row r="26" spans="1:12" x14ac:dyDescent="0.2">
      <c r="A26" s="17"/>
      <c r="B26" s="17"/>
      <c r="C26" s="17"/>
      <c r="D26" s="17"/>
      <c r="E26" s="17"/>
      <c r="F26" s="17"/>
    </row>
    <row r="27" spans="1:12" x14ac:dyDescent="0.2">
      <c r="A27" s="6"/>
    </row>
    <row r="28" spans="1:12" ht="15.75" thickBot="1" x14ac:dyDescent="0.3">
      <c r="A28" s="408" t="s">
        <v>354</v>
      </c>
      <c r="B28" s="411"/>
      <c r="C28" s="411"/>
      <c r="D28" s="411"/>
      <c r="G28" s="410" t="s">
        <v>341</v>
      </c>
      <c r="H28" s="411"/>
    </row>
    <row r="29" spans="1:12" ht="65.25" thickTop="1" thickBot="1" x14ac:dyDescent="0.25">
      <c r="A29" s="424" t="s">
        <v>366</v>
      </c>
      <c r="B29" s="549" t="s">
        <v>110</v>
      </c>
      <c r="C29" s="550" t="s">
        <v>111</v>
      </c>
      <c r="D29" s="549" t="s">
        <v>112</v>
      </c>
      <c r="E29" s="551" t="s">
        <v>52</v>
      </c>
      <c r="G29" s="424" t="s">
        <v>279</v>
      </c>
      <c r="H29" s="413" t="s">
        <v>331</v>
      </c>
      <c r="I29" s="413" t="s">
        <v>327</v>
      </c>
      <c r="J29" s="413" t="s">
        <v>60</v>
      </c>
      <c r="K29" s="374" t="s">
        <v>225</v>
      </c>
      <c r="L29" s="557" t="s">
        <v>114</v>
      </c>
    </row>
    <row r="30" spans="1:12" x14ac:dyDescent="0.2">
      <c r="A30" s="25" t="s">
        <v>40</v>
      </c>
      <c r="B30" s="552">
        <v>343.24901233999998</v>
      </c>
      <c r="C30" s="553">
        <v>0.12831055929131721</v>
      </c>
      <c r="D30" s="519">
        <v>0.12831055929131721</v>
      </c>
      <c r="E30" s="554">
        <f>D30*I$11</f>
        <v>46.005662547859984</v>
      </c>
      <c r="G30" s="71" t="s">
        <v>40</v>
      </c>
      <c r="H30" s="491">
        <v>11</v>
      </c>
      <c r="I30" s="558">
        <f>H30/H$32</f>
        <v>3.8869257950530034E-2</v>
      </c>
      <c r="J30" s="439">
        <f>I30</f>
        <v>3.8869257950530034E-2</v>
      </c>
      <c r="K30" s="132">
        <f>I$17*J30</f>
        <v>3.8411079754310222</v>
      </c>
      <c r="L30" s="559">
        <f>J$17*J30</f>
        <v>3.5829202931202144</v>
      </c>
    </row>
    <row r="31" spans="1:12" x14ac:dyDescent="0.2">
      <c r="A31" s="26" t="s">
        <v>41</v>
      </c>
      <c r="B31" s="454">
        <v>48.084097931499997</v>
      </c>
      <c r="C31" s="455">
        <v>1.7974407141186283E-2</v>
      </c>
      <c r="D31" s="435">
        <v>1.7974407141186283E-2</v>
      </c>
      <c r="E31" s="555">
        <f t="shared" ref="E31:E35" si="4">D31*I$11</f>
        <v>6.4447112848896984</v>
      </c>
      <c r="G31" s="36" t="s">
        <v>36</v>
      </c>
      <c r="H31" s="304">
        <v>272</v>
      </c>
      <c r="I31" s="558">
        <f>H31/H$32</f>
        <v>0.96113074204946991</v>
      </c>
      <c r="J31" s="435">
        <f>I31</f>
        <v>0.96113074204946991</v>
      </c>
      <c r="K31" s="99">
        <f>I$17*J31</f>
        <v>94.980124483385268</v>
      </c>
      <c r="L31" s="438">
        <f>J$17*J31</f>
        <v>88.595847248063478</v>
      </c>
    </row>
    <row r="32" spans="1:12" ht="13.5" thickBot="1" x14ac:dyDescent="0.25">
      <c r="A32" s="26" t="s">
        <v>36</v>
      </c>
      <c r="B32" s="454">
        <v>1647.49479466</v>
      </c>
      <c r="C32" s="455">
        <v>0.61585312974759088</v>
      </c>
      <c r="D32" s="435">
        <v>0.61585312974759088</v>
      </c>
      <c r="E32" s="555">
        <f t="shared" si="4"/>
        <v>220.81371496389676</v>
      </c>
      <c r="G32" s="201" t="s">
        <v>15</v>
      </c>
      <c r="H32" s="560">
        <f>SUM(H30:H31)</f>
        <v>283</v>
      </c>
      <c r="I32" s="561">
        <f>SUM(I30:I31)</f>
        <v>1</v>
      </c>
      <c r="J32" s="562">
        <f>SUM(J30:J31)</f>
        <v>1</v>
      </c>
      <c r="K32" s="100">
        <f>SUM(K30:K31)</f>
        <v>98.821232458816297</v>
      </c>
      <c r="L32" s="101">
        <f>SUM(L30:L31)</f>
        <v>92.178767541183689</v>
      </c>
    </row>
    <row r="33" spans="1:12" x14ac:dyDescent="0.2">
      <c r="A33" s="26" t="s">
        <v>42</v>
      </c>
      <c r="B33" s="454">
        <v>466.47661900100002</v>
      </c>
      <c r="C33" s="455">
        <v>0.17437450284941733</v>
      </c>
      <c r="D33" s="435">
        <v>0.17437450284941733</v>
      </c>
      <c r="E33" s="555">
        <f t="shared" si="4"/>
        <v>62.521857743815524</v>
      </c>
      <c r="G33" s="141" t="s">
        <v>329</v>
      </c>
    </row>
    <row r="34" spans="1:12" x14ac:dyDescent="0.2">
      <c r="A34" s="26" t="s">
        <v>43</v>
      </c>
      <c r="B34" s="454">
        <v>169.837835635</v>
      </c>
      <c r="C34" s="455">
        <v>6.3487400970488272E-2</v>
      </c>
      <c r="D34" s="435">
        <v>6.3487400970488272E-2</v>
      </c>
      <c r="E34" s="555">
        <f t="shared" si="4"/>
        <v>22.763363835532836</v>
      </c>
      <c r="G34" s="141" t="s">
        <v>367</v>
      </c>
    </row>
    <row r="35" spans="1:12" ht="13.5" thickBot="1" x14ac:dyDescent="0.25">
      <c r="A35" s="59" t="s">
        <v>15</v>
      </c>
      <c r="B35" s="457">
        <v>2675.1423595675001</v>
      </c>
      <c r="C35" s="470">
        <v>1</v>
      </c>
      <c r="D35" s="556">
        <f>SUM(C30:C34)</f>
        <v>1</v>
      </c>
      <c r="E35" s="101">
        <f t="shared" si="4"/>
        <v>358.54931037599482</v>
      </c>
    </row>
    <row r="37" spans="1:12" ht="15.75" thickBot="1" x14ac:dyDescent="0.3">
      <c r="A37" s="410" t="s">
        <v>80</v>
      </c>
      <c r="B37" s="409"/>
      <c r="C37" s="6"/>
      <c r="D37" s="6"/>
      <c r="E37" s="6"/>
      <c r="F37" s="6"/>
      <c r="G37" s="6"/>
    </row>
    <row r="38" spans="1:12" ht="57.75" customHeight="1" x14ac:dyDescent="0.2">
      <c r="A38" s="383" t="s">
        <v>366</v>
      </c>
      <c r="B38" s="376" t="s">
        <v>194</v>
      </c>
      <c r="C38" s="376" t="s">
        <v>195</v>
      </c>
      <c r="D38" s="376" t="s">
        <v>75</v>
      </c>
      <c r="E38" s="376" t="s">
        <v>196</v>
      </c>
      <c r="F38" s="376" t="s">
        <v>197</v>
      </c>
      <c r="G38" s="376" t="s">
        <v>76</v>
      </c>
      <c r="H38" s="376" t="s">
        <v>198</v>
      </c>
      <c r="I38" s="376" t="s">
        <v>199</v>
      </c>
      <c r="J38" s="376" t="s">
        <v>77</v>
      </c>
      <c r="K38" s="385" t="s">
        <v>74</v>
      </c>
      <c r="L38" s="426" t="s">
        <v>117</v>
      </c>
    </row>
    <row r="39" spans="1:12" x14ac:dyDescent="0.2">
      <c r="A39" s="36" t="s">
        <v>40</v>
      </c>
      <c r="B39" s="304">
        <v>197.29</v>
      </c>
      <c r="C39" s="435">
        <v>0.42995400458275301</v>
      </c>
      <c r="D39" s="99">
        <f>C39*I$12</f>
        <v>102.27480404199196</v>
      </c>
      <c r="E39" s="304">
        <v>121.37</v>
      </c>
      <c r="F39" s="435">
        <v>0.1719700278568235</v>
      </c>
      <c r="G39" s="99">
        <f>F39*I$13</f>
        <v>16.486803813999096</v>
      </c>
      <c r="H39" s="304">
        <v>24.59</v>
      </c>
      <c r="I39" s="435">
        <v>1.6279040881752967E-2</v>
      </c>
      <c r="J39" s="99">
        <f>I39*I$14</f>
        <v>0.40380596993047085</v>
      </c>
      <c r="K39" s="563">
        <f>D39+G39+J39</f>
        <v>119.16541382592153</v>
      </c>
      <c r="L39" s="472">
        <f>(J$12*C39)+(J$13*F39)+(J$14*I39)</f>
        <v>111.1554744531887</v>
      </c>
    </row>
    <row r="40" spans="1:12" x14ac:dyDescent="0.2">
      <c r="A40" s="36" t="s">
        <v>41</v>
      </c>
      <c r="B40" s="304">
        <v>44.75</v>
      </c>
      <c r="C40" s="435">
        <v>9.7524040815173504E-2</v>
      </c>
      <c r="D40" s="99">
        <f>C40*I$12</f>
        <v>23.198416708397833</v>
      </c>
      <c r="E40" s="304">
        <v>2.39</v>
      </c>
      <c r="F40" s="435">
        <v>3.3918061810537009E-3</v>
      </c>
      <c r="G40" s="99">
        <f>F40*I$13</f>
        <v>0.32517319313746362</v>
      </c>
      <c r="H40" s="304">
        <v>0.94</v>
      </c>
      <c r="I40" s="435">
        <v>6.2223594921162419E-4</v>
      </c>
      <c r="J40" s="99">
        <f>I40*I$14</f>
        <v>1.5434729405873359E-2</v>
      </c>
      <c r="K40" s="563">
        <f>D40+G40+J40</f>
        <v>23.539024630941167</v>
      </c>
      <c r="L40" s="472">
        <f>(J$12*C40)+(J$13*F40)+(J$14*I40)</f>
        <v>21.956802456455758</v>
      </c>
    </row>
    <row r="41" spans="1:12" x14ac:dyDescent="0.2">
      <c r="A41" s="36" t="s">
        <v>36</v>
      </c>
      <c r="B41" s="304">
        <v>186.52</v>
      </c>
      <c r="C41" s="435">
        <v>0.40648119105647307</v>
      </c>
      <c r="D41" s="99">
        <f>C41*I$12</f>
        <v>96.691236083265238</v>
      </c>
      <c r="E41" s="304">
        <v>532.58000000000004</v>
      </c>
      <c r="F41" s="435">
        <v>0.75463109600009626</v>
      </c>
      <c r="G41" s="99">
        <f>F41*I$13</f>
        <v>72.346646603180432</v>
      </c>
      <c r="H41" s="304">
        <v>928.39</v>
      </c>
      <c r="I41" s="435">
        <v>0.61461573834164662</v>
      </c>
      <c r="J41" s="99">
        <f>I41*I$14</f>
        <v>15.245708033927848</v>
      </c>
      <c r="K41" s="563">
        <f>D41+G41+J41</f>
        <v>184.28359072037352</v>
      </c>
      <c r="L41" s="472">
        <f>(J$12*C41)+(J$13*F41)+(J$14*I41)</f>
        <v>171.89660407997121</v>
      </c>
    </row>
    <row r="42" spans="1:12" x14ac:dyDescent="0.2">
      <c r="A42" s="36" t="s">
        <v>42</v>
      </c>
      <c r="B42" s="564" t="s">
        <v>188</v>
      </c>
      <c r="C42" s="435">
        <v>0</v>
      </c>
      <c r="D42" s="99">
        <f>C42*I$12</f>
        <v>0</v>
      </c>
      <c r="E42" s="564" t="s">
        <v>188</v>
      </c>
      <c r="F42" s="435">
        <v>0</v>
      </c>
      <c r="G42" s="99">
        <f>F42*I$13</f>
        <v>0</v>
      </c>
      <c r="H42" s="304">
        <v>466.48</v>
      </c>
      <c r="I42" s="435">
        <v>0.30881737410895888</v>
      </c>
      <c r="J42" s="99">
        <f>I42*I$14</f>
        <v>7.660297691323259</v>
      </c>
      <c r="K42" s="563">
        <f>D42+G42+J42</f>
        <v>7.660297691323259</v>
      </c>
      <c r="L42" s="472">
        <f>(J$12*C42)+(J$13*F42)+(J$14*I42)</f>
        <v>7.1453956059395107</v>
      </c>
    </row>
    <row r="43" spans="1:12" ht="13.5" thickBot="1" x14ac:dyDescent="0.25">
      <c r="A43" s="29" t="s">
        <v>43</v>
      </c>
      <c r="B43" s="565">
        <v>30.31</v>
      </c>
      <c r="C43" s="566">
        <v>6.6040763545818393E-2</v>
      </c>
      <c r="D43" s="103">
        <f>C43*I$12</f>
        <v>15.709369091670141</v>
      </c>
      <c r="E43" s="491">
        <v>49.41</v>
      </c>
      <c r="F43" s="566">
        <v>7.0007069961119661E-2</v>
      </c>
      <c r="G43" s="103">
        <f>F43*I$13</f>
        <v>6.7115929585289802</v>
      </c>
      <c r="H43" s="491">
        <v>90.13</v>
      </c>
      <c r="I43" s="566">
        <v>5.9665610720304872E-2</v>
      </c>
      <c r="J43" s="103">
        <f>I43*I$14</f>
        <v>1.4800214572476813</v>
      </c>
      <c r="K43" s="101">
        <f>D43+G43+J43</f>
        <v>23.900983507446803</v>
      </c>
      <c r="L43" s="567">
        <f>(J$12*C43)+(J$13*F43)+(J$14*I43)</f>
        <v>22.294431549988722</v>
      </c>
    </row>
    <row r="44" spans="1:12" s="35" customFormat="1" ht="13.5" thickBot="1" x14ac:dyDescent="0.25">
      <c r="A44" s="167" t="s">
        <v>15</v>
      </c>
      <c r="B44" s="568">
        <f t="shared" ref="B44:L44" si="5">SUM(B39:B43)</f>
        <v>458.87</v>
      </c>
      <c r="C44" s="569">
        <f t="shared" si="5"/>
        <v>1.000000000000218</v>
      </c>
      <c r="D44" s="570">
        <f t="shared" si="5"/>
        <v>237.87382592532518</v>
      </c>
      <c r="E44" s="568">
        <f t="shared" si="5"/>
        <v>705.75</v>
      </c>
      <c r="F44" s="569">
        <f t="shared" si="5"/>
        <v>0.99999999999909317</v>
      </c>
      <c r="G44" s="570">
        <f t="shared" si="5"/>
        <v>95.870216568845976</v>
      </c>
      <c r="H44" s="568">
        <f t="shared" si="5"/>
        <v>1510.5300000000002</v>
      </c>
      <c r="I44" s="569">
        <f t="shared" si="5"/>
        <v>1.0000000000018749</v>
      </c>
      <c r="J44" s="570">
        <f t="shared" si="5"/>
        <v>24.805267881835132</v>
      </c>
      <c r="K44" s="570">
        <f t="shared" si="5"/>
        <v>358.5493103760063</v>
      </c>
      <c r="L44" s="571">
        <f t="shared" si="5"/>
        <v>334.44870814554389</v>
      </c>
    </row>
    <row r="45" spans="1:12" s="35" customFormat="1" x14ac:dyDescent="0.2">
      <c r="A45" s="10"/>
      <c r="B45" s="51"/>
      <c r="C45" s="52"/>
      <c r="D45" s="51"/>
      <c r="E45" s="52"/>
      <c r="F45" s="51"/>
      <c r="G45" s="52"/>
      <c r="H45" s="58"/>
      <c r="I45" s="33"/>
      <c r="J45" s="33"/>
    </row>
    <row r="46" spans="1:12" ht="13.5" thickBot="1" x14ac:dyDescent="0.25">
      <c r="A46" s="6" t="s">
        <v>79</v>
      </c>
    </row>
    <row r="47" spans="1:12" ht="63.75" x14ac:dyDescent="0.2">
      <c r="A47" s="383" t="s">
        <v>69</v>
      </c>
      <c r="B47" s="574" t="s">
        <v>74</v>
      </c>
      <c r="C47" s="384" t="s">
        <v>200</v>
      </c>
      <c r="D47" s="575" t="s">
        <v>119</v>
      </c>
      <c r="E47" s="385" t="s">
        <v>377</v>
      </c>
      <c r="F47" s="386" t="s">
        <v>113</v>
      </c>
    </row>
    <row r="48" spans="1:12" x14ac:dyDescent="0.2">
      <c r="A48" s="36" t="s">
        <v>40</v>
      </c>
      <c r="B48" s="105">
        <f>K39</f>
        <v>119.16541382592153</v>
      </c>
      <c r="C48" s="576">
        <f>B48-E30</f>
        <v>73.159751278061549</v>
      </c>
      <c r="D48" s="138">
        <f>K30</f>
        <v>3.8411079754310222</v>
      </c>
      <c r="E48" s="563">
        <f t="shared" ref="E48:E53" si="6">B48+D48</f>
        <v>123.00652180135256</v>
      </c>
      <c r="F48" s="472">
        <f>L39+L30</f>
        <v>114.73839474630891</v>
      </c>
    </row>
    <row r="49" spans="1:10" x14ac:dyDescent="0.2">
      <c r="A49" s="36" t="s">
        <v>41</v>
      </c>
      <c r="B49" s="105">
        <f>K40</f>
        <v>23.539024630941167</v>
      </c>
      <c r="C49" s="576">
        <f>B49-E31</f>
        <v>17.094313346051468</v>
      </c>
      <c r="D49" s="577"/>
      <c r="E49" s="563">
        <f t="shared" si="6"/>
        <v>23.539024630941167</v>
      </c>
      <c r="F49" s="472">
        <f>L40</f>
        <v>21.956802456455758</v>
      </c>
    </row>
    <row r="50" spans="1:10" x14ac:dyDescent="0.2">
      <c r="A50" s="36" t="s">
        <v>36</v>
      </c>
      <c r="B50" s="105">
        <f>K41</f>
        <v>184.28359072037352</v>
      </c>
      <c r="C50" s="576">
        <f>B50-E32</f>
        <v>-36.530124243523233</v>
      </c>
      <c r="D50" s="138">
        <f>K31</f>
        <v>94.980124483385268</v>
      </c>
      <c r="E50" s="563">
        <f t="shared" si="6"/>
        <v>279.26371520375881</v>
      </c>
      <c r="F50" s="472">
        <f>L41+L31</f>
        <v>260.49245132803469</v>
      </c>
    </row>
    <row r="51" spans="1:10" x14ac:dyDescent="0.2">
      <c r="A51" s="36" t="s">
        <v>42</v>
      </c>
      <c r="B51" s="105">
        <f>K42</f>
        <v>7.660297691323259</v>
      </c>
      <c r="C51" s="576">
        <f>B51-E33</f>
        <v>-54.861560052492266</v>
      </c>
      <c r="D51" s="577"/>
      <c r="E51" s="563">
        <f t="shared" si="6"/>
        <v>7.660297691323259</v>
      </c>
      <c r="F51" s="472">
        <f>L42</f>
        <v>7.1453956059395107</v>
      </c>
    </row>
    <row r="52" spans="1:10" ht="13.5" thickBot="1" x14ac:dyDescent="0.25">
      <c r="A52" s="29" t="s">
        <v>43</v>
      </c>
      <c r="B52" s="578">
        <f>K43</f>
        <v>23.900983507446803</v>
      </c>
      <c r="C52" s="579">
        <f>B52-E34</f>
        <v>1.1376196719139671</v>
      </c>
      <c r="D52" s="580"/>
      <c r="E52" s="101">
        <f t="shared" si="6"/>
        <v>23.900983507446803</v>
      </c>
      <c r="F52" s="581">
        <f>L43</f>
        <v>22.294431549988722</v>
      </c>
    </row>
    <row r="53" spans="1:10" ht="13.5" thickBot="1" x14ac:dyDescent="0.25">
      <c r="A53" s="78" t="s">
        <v>98</v>
      </c>
      <c r="B53" s="582">
        <f>SUM(B48:B52)</f>
        <v>358.5493103760063</v>
      </c>
      <c r="C53" s="583"/>
      <c r="D53" s="584">
        <f>SUM(D48:D52)</f>
        <v>98.821232458816297</v>
      </c>
      <c r="E53" s="585">
        <f t="shared" si="6"/>
        <v>457.37054283482257</v>
      </c>
      <c r="F53" s="586">
        <f>SUM(F48:F52)</f>
        <v>426.62747568672756</v>
      </c>
    </row>
    <row r="54" spans="1:10" x14ac:dyDescent="0.2">
      <c r="A54" s="168" t="s">
        <v>352</v>
      </c>
    </row>
    <row r="55" spans="1:10" s="35" customFormat="1" x14ac:dyDescent="0.2">
      <c r="A55" s="7"/>
    </row>
    <row r="56" spans="1:10" ht="15.75" thickBot="1" x14ac:dyDescent="0.3">
      <c r="A56" s="408" t="s">
        <v>131</v>
      </c>
    </row>
    <row r="57" spans="1:10" ht="63.75" x14ac:dyDescent="0.2">
      <c r="A57" s="388" t="s">
        <v>386</v>
      </c>
      <c r="B57" s="389" t="s">
        <v>127</v>
      </c>
      <c r="C57" s="389" t="s">
        <v>126</v>
      </c>
      <c r="D57" s="389" t="s">
        <v>70</v>
      </c>
      <c r="E57" s="389" t="s">
        <v>128</v>
      </c>
      <c r="F57" s="389" t="s">
        <v>72</v>
      </c>
      <c r="G57" s="389" t="s">
        <v>129</v>
      </c>
      <c r="H57" s="390" t="s">
        <v>383</v>
      </c>
      <c r="I57" s="389" t="s">
        <v>190</v>
      </c>
      <c r="J57" s="392" t="s">
        <v>358</v>
      </c>
    </row>
    <row r="58" spans="1:10" x14ac:dyDescent="0.2">
      <c r="A58" s="36" t="s">
        <v>40</v>
      </c>
      <c r="B58" s="435">
        <v>0.42995400458275301</v>
      </c>
      <c r="C58" s="99">
        <f>B58*G$12</f>
        <v>197.67500451040669</v>
      </c>
      <c r="D58" s="435">
        <v>0.1719700278568235</v>
      </c>
      <c r="E58" s="99">
        <f>D58*G$13</f>
        <v>31.865414447104399</v>
      </c>
      <c r="F58" s="435">
        <v>1.6279040881752967E-2</v>
      </c>
      <c r="G58" s="99">
        <f>F58*G$14</f>
        <v>0.7804693215991062</v>
      </c>
      <c r="H58" s="572">
        <f>C58+E58+G58</f>
        <v>230.32088827911019</v>
      </c>
      <c r="I58" s="435">
        <v>0.06</v>
      </c>
      <c r="J58" s="438">
        <f>H58*I58</f>
        <v>13.819253296746611</v>
      </c>
    </row>
    <row r="59" spans="1:10" x14ac:dyDescent="0.2">
      <c r="A59" s="36" t="s">
        <v>41</v>
      </c>
      <c r="B59" s="435">
        <v>9.7524040815173504E-2</v>
      </c>
      <c r="C59" s="99">
        <f t="shared" ref="C59:C62" si="7">B59*G$12</f>
        <v>44.837505878613278</v>
      </c>
      <c r="D59" s="435">
        <v>3.3918061810537009E-3</v>
      </c>
      <c r="E59" s="99">
        <f t="shared" ref="E59:E62" si="8">D59*G$13</f>
        <v>0.62848922588714984</v>
      </c>
      <c r="F59" s="435">
        <v>6.2223594921162419E-4</v>
      </c>
      <c r="G59" s="99">
        <f t="shared" ref="G59:G62" si="9">F59*G$14</f>
        <v>2.9831982896493456E-2</v>
      </c>
      <c r="H59" s="572">
        <f t="shared" ref="H59:H63" si="10">C59+E59+G59</f>
        <v>45.495827087396925</v>
      </c>
      <c r="I59" s="435">
        <v>5.0000000000000001E-3</v>
      </c>
      <c r="J59" s="438">
        <f t="shared" ref="J59:J62" si="11">H59*I59</f>
        <v>0.22747913543698464</v>
      </c>
    </row>
    <row r="60" spans="1:10" x14ac:dyDescent="0.2">
      <c r="A60" s="36" t="s">
        <v>36</v>
      </c>
      <c r="B60" s="435">
        <v>0.40648119105647307</v>
      </c>
      <c r="C60" s="99">
        <f t="shared" si="7"/>
        <v>186.88317917508465</v>
      </c>
      <c r="D60" s="435">
        <v>0.75463109600009626</v>
      </c>
      <c r="E60" s="99">
        <f t="shared" si="8"/>
        <v>139.83037002666603</v>
      </c>
      <c r="F60" s="435">
        <v>0.61461573834164662</v>
      </c>
      <c r="G60" s="99">
        <f t="shared" si="9"/>
        <v>29.466645598594052</v>
      </c>
      <c r="H60" s="572">
        <f t="shared" si="10"/>
        <v>356.18019480034468</v>
      </c>
      <c r="I60" s="435">
        <v>5.5E-2</v>
      </c>
      <c r="J60" s="438">
        <f t="shared" si="11"/>
        <v>19.589910714018959</v>
      </c>
    </row>
    <row r="61" spans="1:10" x14ac:dyDescent="0.2">
      <c r="A61" s="36" t="s">
        <v>42</v>
      </c>
      <c r="B61" s="435">
        <v>0</v>
      </c>
      <c r="C61" s="99">
        <f t="shared" si="7"/>
        <v>0</v>
      </c>
      <c r="D61" s="435">
        <v>0</v>
      </c>
      <c r="E61" s="99">
        <f t="shared" si="8"/>
        <v>0</v>
      </c>
      <c r="F61" s="435">
        <v>0.30881737410895888</v>
      </c>
      <c r="G61" s="99">
        <f t="shared" si="9"/>
        <v>14.805693297262771</v>
      </c>
      <c r="H61" s="572">
        <f t="shared" si="10"/>
        <v>14.805693297262771</v>
      </c>
      <c r="I61" s="435">
        <v>5.5E-2</v>
      </c>
      <c r="J61" s="438">
        <f t="shared" si="11"/>
        <v>0.81431313134945238</v>
      </c>
    </row>
    <row r="62" spans="1:10" ht="13.5" thickBot="1" x14ac:dyDescent="0.25">
      <c r="A62" s="36" t="s">
        <v>43</v>
      </c>
      <c r="B62" s="435">
        <v>6.6040763545818393E-2</v>
      </c>
      <c r="C62" s="99">
        <f t="shared" si="7"/>
        <v>30.362801817508693</v>
      </c>
      <c r="D62" s="435">
        <v>7.0007069961119661E-2</v>
      </c>
      <c r="E62" s="99">
        <f t="shared" si="8"/>
        <v>12.972052899798353</v>
      </c>
      <c r="F62" s="435">
        <v>5.9665610720304872E-2</v>
      </c>
      <c r="G62" s="99">
        <f t="shared" si="9"/>
        <v>2.86056034012848</v>
      </c>
      <c r="H62" s="572">
        <f t="shared" si="10"/>
        <v>46.195415057435525</v>
      </c>
      <c r="I62" s="435">
        <v>5.5E-2</v>
      </c>
      <c r="J62" s="438">
        <f t="shared" si="11"/>
        <v>2.5407478281589539</v>
      </c>
    </row>
    <row r="63" spans="1:10" ht="13.5" thickBot="1" x14ac:dyDescent="0.25">
      <c r="A63" s="78" t="s">
        <v>98</v>
      </c>
      <c r="B63" s="458">
        <f t="shared" ref="B63:G63" si="12">SUM(B58:B62)</f>
        <v>1.000000000000218</v>
      </c>
      <c r="C63" s="100">
        <f t="shared" si="12"/>
        <v>459.75849138161328</v>
      </c>
      <c r="D63" s="458">
        <f t="shared" si="12"/>
        <v>0.99999999999909317</v>
      </c>
      <c r="E63" s="100">
        <f t="shared" si="12"/>
        <v>185.29632659945591</v>
      </c>
      <c r="F63" s="458">
        <f t="shared" si="12"/>
        <v>1.0000000000018749</v>
      </c>
      <c r="G63" s="100">
        <f t="shared" si="12"/>
        <v>47.943200540480902</v>
      </c>
      <c r="H63" s="573">
        <f t="shared" si="10"/>
        <v>692.99801852155008</v>
      </c>
      <c r="I63" s="441"/>
      <c r="J63" s="101">
        <f>SUM(J58:J62)</f>
        <v>36.991704105710966</v>
      </c>
    </row>
    <row r="65" spans="1:13" ht="15.75" thickBot="1" x14ac:dyDescent="0.3">
      <c r="A65" s="408" t="s">
        <v>376</v>
      </c>
      <c r="B65" s="411"/>
    </row>
    <row r="66" spans="1:13" ht="87" customHeight="1" x14ac:dyDescent="0.2">
      <c r="A66" s="420" t="s">
        <v>365</v>
      </c>
      <c r="B66" s="405" t="s">
        <v>382</v>
      </c>
      <c r="C66" s="405" t="s">
        <v>391</v>
      </c>
      <c r="D66" s="405" t="s">
        <v>343</v>
      </c>
      <c r="E66" s="405" t="s">
        <v>344</v>
      </c>
      <c r="F66" s="406" t="s">
        <v>873</v>
      </c>
      <c r="G66" s="405" t="s">
        <v>392</v>
      </c>
      <c r="H66" s="405" t="s">
        <v>345</v>
      </c>
      <c r="I66" s="405" t="s">
        <v>413</v>
      </c>
      <c r="J66" s="407" t="s">
        <v>585</v>
      </c>
      <c r="K66" s="817" t="s">
        <v>574</v>
      </c>
      <c r="L66" s="712" t="s">
        <v>390</v>
      </c>
      <c r="M66" s="652" t="s">
        <v>415</v>
      </c>
    </row>
    <row r="67" spans="1:13" ht="13.5" thickBot="1" x14ac:dyDescent="0.25">
      <c r="A67" s="894" t="s">
        <v>40</v>
      </c>
      <c r="B67" s="1054">
        <f>ROUND(B48,0)</f>
        <v>119</v>
      </c>
      <c r="C67" s="323">
        <f>ROUND(B67*0.5,0)</f>
        <v>60</v>
      </c>
      <c r="D67" s="323">
        <f>ROUND(J58,0)</f>
        <v>14</v>
      </c>
      <c r="E67" s="453">
        <f>ROUND('Project Summary'!Z6,0)</f>
        <v>2</v>
      </c>
      <c r="F67" s="325">
        <f>C67-D67-E67</f>
        <v>44</v>
      </c>
      <c r="G67" s="323">
        <f>B67-C67</f>
        <v>59</v>
      </c>
      <c r="H67" s="453"/>
      <c r="I67" s="323"/>
      <c r="J67" s="326">
        <f>ROUND(F67+G67-I67,0)</f>
        <v>103</v>
      </c>
      <c r="K67" s="646">
        <f>D48</f>
        <v>3.8411079754310222</v>
      </c>
      <c r="L67" s="871">
        <f>ROUND(J67+K67,0)</f>
        <v>107</v>
      </c>
      <c r="M67" s="788">
        <f>ROUND(IF((F67+G67-H67-I67+K67)&lt;0,0,(F67+G67-H67-I67+K67)),)</f>
        <v>107</v>
      </c>
    </row>
    <row r="68" spans="1:13" ht="13.5" thickBot="1" x14ac:dyDescent="0.25">
      <c r="A68" s="894" t="s">
        <v>41</v>
      </c>
      <c r="B68" s="1054">
        <f>ROUND(E49,0)</f>
        <v>24</v>
      </c>
      <c r="C68" s="323">
        <f>ROUNDUP(B68*0.5,1)</f>
        <v>12</v>
      </c>
      <c r="D68" s="323">
        <f>ROUND(J59,0)</f>
        <v>0</v>
      </c>
      <c r="E68" s="453">
        <f>ROUND('Project Summary'!Z7,0)</f>
        <v>475</v>
      </c>
      <c r="F68" s="325">
        <f>C68-D68-E68</f>
        <v>-463</v>
      </c>
      <c r="G68" s="323">
        <f t="shared" ref="G68:G71" si="13">B68-C68</f>
        <v>12</v>
      </c>
      <c r="H68" s="453"/>
      <c r="I68" s="323"/>
      <c r="J68" s="326">
        <f t="shared" ref="J68:J71" si="14">F68+G68-I68</f>
        <v>-451</v>
      </c>
      <c r="K68" s="647"/>
      <c r="L68" s="871">
        <f>J68+K68</f>
        <v>-451</v>
      </c>
      <c r="M68" s="788">
        <f t="shared" ref="M68:M71" si="15">IF((F68+G68-H68-I68+K68)&lt;0,0,(F68+G68-H68-I68+K68))</f>
        <v>0</v>
      </c>
    </row>
    <row r="69" spans="1:13" ht="13.5" thickBot="1" x14ac:dyDescent="0.25">
      <c r="A69" s="894" t="s">
        <v>36</v>
      </c>
      <c r="B69" s="1054">
        <f>ROUND(B50,0)</f>
        <v>184</v>
      </c>
      <c r="C69" s="323">
        <f>ROUNDUP(B69*0.5,1)</f>
        <v>92</v>
      </c>
      <c r="D69" s="323">
        <f>ROUND(J60,0)</f>
        <v>20</v>
      </c>
      <c r="E69" s="453">
        <v>27</v>
      </c>
      <c r="F69" s="325">
        <f>C69-D69-E69</f>
        <v>45</v>
      </c>
      <c r="G69" s="323">
        <f t="shared" si="13"/>
        <v>92</v>
      </c>
      <c r="H69" s="453"/>
      <c r="I69" s="323"/>
      <c r="J69" s="326">
        <f t="shared" si="14"/>
        <v>137</v>
      </c>
      <c r="K69" s="646">
        <f>D50</f>
        <v>94.980124483385268</v>
      </c>
      <c r="L69" s="871">
        <f t="shared" ref="L69:L71" si="16">J69+K69</f>
        <v>231.98012448338528</v>
      </c>
      <c r="M69" s="788">
        <f t="shared" si="15"/>
        <v>231.98012448338528</v>
      </c>
    </row>
    <row r="70" spans="1:13" ht="13.5" thickBot="1" x14ac:dyDescent="0.25">
      <c r="A70" s="894" t="s">
        <v>42</v>
      </c>
      <c r="B70" s="1054">
        <f>ROUND(E51,0)</f>
        <v>8</v>
      </c>
      <c r="C70" s="323">
        <f>ROUNDUP(B70*0.5,1)</f>
        <v>4</v>
      </c>
      <c r="D70" s="323">
        <f>ROUND(J61,0)</f>
        <v>1</v>
      </c>
      <c r="E70" s="453">
        <f>'Project Summary'!Z15</f>
        <v>0</v>
      </c>
      <c r="F70" s="325">
        <f>C70-D70-E70</f>
        <v>3</v>
      </c>
      <c r="G70" s="323">
        <f t="shared" si="13"/>
        <v>4</v>
      </c>
      <c r="H70" s="453"/>
      <c r="I70" s="323"/>
      <c r="J70" s="326">
        <f t="shared" si="14"/>
        <v>7</v>
      </c>
      <c r="K70" s="649">
        <f>D51</f>
        <v>0</v>
      </c>
      <c r="L70" s="871">
        <f t="shared" si="16"/>
        <v>7</v>
      </c>
      <c r="M70" s="788">
        <f t="shared" si="15"/>
        <v>7</v>
      </c>
    </row>
    <row r="71" spans="1:13" ht="13.5" thickBot="1" x14ac:dyDescent="0.25">
      <c r="A71" s="894" t="s">
        <v>43</v>
      </c>
      <c r="B71" s="1054">
        <f>ROUND(E52,0)</f>
        <v>24</v>
      </c>
      <c r="C71" s="323">
        <f>ROUNDUP(B71*0.5,1)</f>
        <v>12</v>
      </c>
      <c r="D71" s="323">
        <f>ROUND(J62,0)</f>
        <v>3</v>
      </c>
      <c r="E71" s="323">
        <f>ROUND('Project Summary'!Z23,0)</f>
        <v>6</v>
      </c>
      <c r="F71" s="325">
        <f>C71-D71-E71</f>
        <v>3</v>
      </c>
      <c r="G71" s="323">
        <f t="shared" si="13"/>
        <v>12</v>
      </c>
      <c r="H71" s="453"/>
      <c r="I71" s="323"/>
      <c r="J71" s="326">
        <f t="shared" si="14"/>
        <v>15</v>
      </c>
      <c r="K71" s="646">
        <f>D52</f>
        <v>0</v>
      </c>
      <c r="L71" s="871">
        <f t="shared" si="16"/>
        <v>15</v>
      </c>
      <c r="M71" s="788">
        <f t="shared" si="15"/>
        <v>15</v>
      </c>
    </row>
    <row r="72" spans="1:13" ht="13.5" thickBot="1" x14ac:dyDescent="0.25">
      <c r="A72" s="1081" t="s">
        <v>98</v>
      </c>
      <c r="B72" s="398">
        <f t="shared" ref="B72:G72" si="17">SUM(B67:B71)</f>
        <v>359</v>
      </c>
      <c r="C72" s="398">
        <f t="shared" si="17"/>
        <v>180</v>
      </c>
      <c r="D72" s="398">
        <f t="shared" si="17"/>
        <v>38</v>
      </c>
      <c r="E72" s="398">
        <f t="shared" si="17"/>
        <v>510</v>
      </c>
      <c r="F72" s="1057">
        <f t="shared" si="17"/>
        <v>-368</v>
      </c>
      <c r="G72" s="398">
        <f t="shared" si="17"/>
        <v>179</v>
      </c>
      <c r="H72" s="1056"/>
      <c r="I72" s="398"/>
      <c r="J72" s="715">
        <f>SUM(J67:J71)</f>
        <v>-189</v>
      </c>
      <c r="K72" s="398">
        <f>SUM(K67:K71)</f>
        <v>98.821232458816297</v>
      </c>
      <c r="L72" s="1069">
        <f>SUM(L67:L71)</f>
        <v>-90.019875516614718</v>
      </c>
      <c r="M72" s="715">
        <f>ROUND(SUM(M67:M71),0)</f>
        <v>361</v>
      </c>
    </row>
    <row r="73" spans="1:13" s="35" customFormat="1" x14ac:dyDescent="0.2">
      <c r="A73" s="706" t="s">
        <v>414</v>
      </c>
      <c r="B73" s="671"/>
      <c r="C73" s="671"/>
      <c r="D73" s="671"/>
      <c r="E73" s="709"/>
      <c r="F73" s="707"/>
      <c r="G73" s="671"/>
      <c r="H73" s="709"/>
      <c r="I73" s="671"/>
      <c r="J73" s="671"/>
      <c r="K73" s="710"/>
      <c r="L73" s="671"/>
    </row>
    <row r="74" spans="1:13" x14ac:dyDescent="0.2">
      <c r="B74" s="33"/>
    </row>
    <row r="75" spans="1:13" ht="15.75" thickBot="1" x14ac:dyDescent="0.3">
      <c r="A75" s="408" t="s">
        <v>333</v>
      </c>
      <c r="B75" s="35"/>
      <c r="C75" s="35"/>
      <c r="D75" s="35"/>
      <c r="E75" s="35"/>
      <c r="F75" s="35"/>
    </row>
    <row r="76" spans="1:13" ht="63.75" x14ac:dyDescent="0.2">
      <c r="A76" s="388" t="str">
        <f t="shared" ref="A76:A81" si="18">A57</f>
        <v>2009 Developed Land Uses Stormwater  Loading by Jurisdiction for Lake Yale</v>
      </c>
      <c r="B76" s="389" t="str">
        <f t="shared" ref="B76:B82" si="19">C57</f>
        <v>Total Loading Developed-High lbs/yr TP</v>
      </c>
      <c r="C76" s="389" t="str">
        <f t="shared" ref="C76:C82" si="20">E57</f>
        <v>Total Loading Developed-Medium lbs/yr TP</v>
      </c>
      <c r="D76" s="389" t="str">
        <f t="shared" ref="D76:E82" si="21">G57</f>
        <v>Total Loading Developed-Low lbs/yr TP</v>
      </c>
      <c r="E76" s="390" t="str">
        <f t="shared" si="21"/>
        <v>Developed Land Uses (Stormwater) Total Loading lbs/yr TP</v>
      </c>
      <c r="F76" s="400" t="s">
        <v>332</v>
      </c>
    </row>
    <row r="77" spans="1:13" x14ac:dyDescent="0.2">
      <c r="A77" s="336" t="str">
        <f t="shared" si="18"/>
        <v>Eustis</v>
      </c>
      <c r="B77" s="323">
        <f t="shared" si="19"/>
        <v>197.67500451040669</v>
      </c>
      <c r="C77" s="323">
        <f t="shared" si="20"/>
        <v>31.865414447104399</v>
      </c>
      <c r="D77" s="323">
        <f t="shared" si="21"/>
        <v>0.7804693215991062</v>
      </c>
      <c r="E77" s="333">
        <f t="shared" si="21"/>
        <v>230.32088827911019</v>
      </c>
      <c r="F77" s="395">
        <f>E77/$E$82</f>
        <v>0.33235432443296076</v>
      </c>
    </row>
    <row r="78" spans="1:13" x14ac:dyDescent="0.2">
      <c r="A78" s="336" t="str">
        <f t="shared" si="18"/>
        <v>FDOT</v>
      </c>
      <c r="B78" s="323">
        <f t="shared" si="19"/>
        <v>44.837505878613278</v>
      </c>
      <c r="C78" s="323">
        <f t="shared" si="20"/>
        <v>0.62848922588714984</v>
      </c>
      <c r="D78" s="323">
        <f t="shared" si="21"/>
        <v>2.9831982896493456E-2</v>
      </c>
      <c r="E78" s="333">
        <f t="shared" si="21"/>
        <v>45.495827087396925</v>
      </c>
      <c r="F78" s="395">
        <f t="shared" ref="F78:F82" si="22">E78/$E$82</f>
        <v>6.5650731851237099E-2</v>
      </c>
    </row>
    <row r="79" spans="1:13" x14ac:dyDescent="0.2">
      <c r="A79" s="336" t="str">
        <f t="shared" si="18"/>
        <v>Lake County</v>
      </c>
      <c r="B79" s="323">
        <f t="shared" si="19"/>
        <v>186.88317917508465</v>
      </c>
      <c r="C79" s="323">
        <f t="shared" si="20"/>
        <v>139.83037002666603</v>
      </c>
      <c r="D79" s="323">
        <f t="shared" si="21"/>
        <v>29.466645598594052</v>
      </c>
      <c r="E79" s="333">
        <f t="shared" si="21"/>
        <v>356.18019480034468</v>
      </c>
      <c r="F79" s="395">
        <f t="shared" si="22"/>
        <v>0.5139700046476664</v>
      </c>
    </row>
    <row r="80" spans="1:13" x14ac:dyDescent="0.2">
      <c r="A80" s="336" t="str">
        <f t="shared" si="18"/>
        <v>Marion County</v>
      </c>
      <c r="B80" s="323">
        <f t="shared" si="19"/>
        <v>0</v>
      </c>
      <c r="C80" s="323">
        <f t="shared" si="20"/>
        <v>0</v>
      </c>
      <c r="D80" s="323">
        <f t="shared" si="21"/>
        <v>14.805693297262771</v>
      </c>
      <c r="E80" s="333">
        <f t="shared" si="21"/>
        <v>14.805693297262771</v>
      </c>
      <c r="F80" s="395">
        <f t="shared" si="22"/>
        <v>2.1364697880160474E-2</v>
      </c>
    </row>
    <row r="81" spans="1:6" ht="13.5" thickBot="1" x14ac:dyDescent="0.25">
      <c r="A81" s="336" t="str">
        <f t="shared" si="18"/>
        <v>Umatilla</v>
      </c>
      <c r="B81" s="323">
        <f t="shared" si="19"/>
        <v>30.362801817508693</v>
      </c>
      <c r="C81" s="323">
        <f t="shared" si="20"/>
        <v>12.972052899798353</v>
      </c>
      <c r="D81" s="323">
        <f t="shared" si="21"/>
        <v>2.86056034012848</v>
      </c>
      <c r="E81" s="333">
        <f t="shared" si="21"/>
        <v>46.195415057435525</v>
      </c>
      <c r="F81" s="395">
        <f t="shared" si="22"/>
        <v>6.6660241187975339E-2</v>
      </c>
    </row>
    <row r="82" spans="1:6" ht="13.5" thickBot="1" x14ac:dyDescent="0.25">
      <c r="A82" s="78" t="s">
        <v>98</v>
      </c>
      <c r="B82" s="397">
        <f t="shared" si="19"/>
        <v>459.75849138161328</v>
      </c>
      <c r="C82" s="397">
        <f t="shared" si="20"/>
        <v>185.29632659945591</v>
      </c>
      <c r="D82" s="397">
        <f t="shared" si="21"/>
        <v>47.943200540480902</v>
      </c>
      <c r="E82" s="398">
        <f t="shared" si="21"/>
        <v>692.99801852155008</v>
      </c>
      <c r="F82" s="399">
        <f t="shared" si="22"/>
        <v>1</v>
      </c>
    </row>
  </sheetData>
  <mergeCells count="1">
    <mergeCell ref="B2:F3"/>
  </mergeCells>
  <conditionalFormatting sqref="F77:F82">
    <cfRule type="cellIs" dxfId="2" priority="1" operator="between">
      <formula>0</formula>
      <formula>0.01</formula>
    </cfRule>
  </conditionalFormatting>
  <printOptions gridLines="1"/>
  <pageMargins left="0.45" right="0.45" top="0.5" bottom="0.85" header="0.3" footer="0.3"/>
  <pageSetup paperSize="5" scale="80" orientation="landscape" r:id="rId1"/>
  <headerFooter>
    <oddHeader>&amp;L&amp;"Arial,Bold"&amp;11&amp;KC00000DRAFT&amp;CLake Yale Allocation Calculations&amp;RFDEP, August 16, 2016</oddHeader>
    <oddFooter>&amp;RPage &amp;P of &amp;N</oddFooter>
  </headerFooter>
  <rowBreaks count="2" manualBreakCount="2">
    <brk id="35" max="11" man="1"/>
    <brk id="63" max="16383" man="1"/>
  </rowBreaks>
  <ignoredErrors>
    <ignoredError sqref="I11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4"/>
  <sheetViews>
    <sheetView topLeftCell="A51" workbookViewId="0">
      <selection activeCell="A64" sqref="A64"/>
    </sheetView>
  </sheetViews>
  <sheetFormatPr defaultRowHeight="12.75" x14ac:dyDescent="0.2"/>
  <cols>
    <col min="1" max="1" width="42.140625" customWidth="1"/>
    <col min="2" max="2" width="15.5703125" customWidth="1"/>
    <col min="3" max="3" width="14.7109375" customWidth="1"/>
    <col min="4" max="5" width="15.85546875" customWidth="1"/>
    <col min="6" max="6" width="16.5703125" customWidth="1"/>
    <col min="7" max="7" width="14" customWidth="1"/>
    <col min="8" max="8" width="14.140625" customWidth="1"/>
    <col min="9" max="9" width="15.5703125" customWidth="1"/>
    <col min="10" max="10" width="15.85546875" customWidth="1"/>
    <col min="11" max="11" width="17" customWidth="1"/>
    <col min="12" max="12" width="15.140625" customWidth="1"/>
    <col min="13" max="13" width="15" customWidth="1"/>
  </cols>
  <sheetData>
    <row r="1" spans="1:10" ht="15.75" thickBot="1" x14ac:dyDescent="0.3">
      <c r="A1" s="13" t="s">
        <v>84</v>
      </c>
    </row>
    <row r="2" spans="1:10" s="35" customFormat="1" ht="15" x14ac:dyDescent="0.25">
      <c r="A2" s="13"/>
      <c r="B2" s="1139" t="s">
        <v>370</v>
      </c>
      <c r="C2" s="1140"/>
      <c r="D2" s="1140"/>
      <c r="E2" s="1140"/>
      <c r="F2" s="1141"/>
    </row>
    <row r="3" spans="1:10" ht="13.5" customHeight="1" thickBot="1" x14ac:dyDescent="0.25">
      <c r="B3" s="1150"/>
      <c r="C3" s="1151"/>
      <c r="D3" s="1151"/>
      <c r="E3" s="1151"/>
      <c r="F3" s="1152"/>
    </row>
    <row r="4" spans="1:10" s="16" customFormat="1" ht="65.25" thickTop="1" thickBot="1" x14ac:dyDescent="0.25">
      <c r="A4" s="614" t="s">
        <v>1</v>
      </c>
      <c r="B4" s="614" t="s">
        <v>8</v>
      </c>
      <c r="C4" s="614" t="s">
        <v>0</v>
      </c>
      <c r="D4" s="614" t="s">
        <v>9</v>
      </c>
      <c r="E4" s="614" t="s">
        <v>31</v>
      </c>
      <c r="F4" s="615" t="s">
        <v>16</v>
      </c>
      <c r="G4" s="616" t="s">
        <v>99</v>
      </c>
      <c r="H4" s="616" t="s">
        <v>100</v>
      </c>
      <c r="I4" s="617" t="s">
        <v>54</v>
      </c>
      <c r="J4" s="618" t="s">
        <v>53</v>
      </c>
    </row>
    <row r="5" spans="1:10" ht="13.5" thickTop="1" x14ac:dyDescent="0.2">
      <c r="A5" s="718" t="s">
        <v>26</v>
      </c>
      <c r="B5" s="499">
        <v>118</v>
      </c>
      <c r="C5" s="499" t="s">
        <v>45</v>
      </c>
      <c r="D5" s="499" t="s">
        <v>45</v>
      </c>
      <c r="E5" s="499" t="s">
        <v>45</v>
      </c>
      <c r="F5" s="500">
        <f>SUM(B5:E5)</f>
        <v>118</v>
      </c>
      <c r="G5" s="499"/>
      <c r="H5" s="499"/>
      <c r="I5" s="590"/>
      <c r="J5" s="502">
        <f>F5-I5</f>
        <v>118</v>
      </c>
    </row>
    <row r="6" spans="1:10" ht="13.5" thickBot="1" x14ac:dyDescent="0.25">
      <c r="A6" s="36" t="s">
        <v>27</v>
      </c>
      <c r="B6" s="304" t="s">
        <v>45</v>
      </c>
      <c r="C6" s="304" t="s">
        <v>45</v>
      </c>
      <c r="D6" s="304" t="s">
        <v>45</v>
      </c>
      <c r="E6" s="304" t="s">
        <v>45</v>
      </c>
      <c r="F6" s="482" t="s">
        <v>45</v>
      </c>
      <c r="G6" s="304"/>
      <c r="H6" s="304"/>
      <c r="I6" s="485"/>
      <c r="J6" s="486"/>
    </row>
    <row r="7" spans="1:10" ht="14.25" thickTop="1" thickBot="1" x14ac:dyDescent="0.25">
      <c r="A7" s="36" t="s">
        <v>19</v>
      </c>
      <c r="B7" s="304">
        <f>SUM(B8:B11)</f>
        <v>294</v>
      </c>
      <c r="C7" s="304" t="s">
        <v>45</v>
      </c>
      <c r="D7" s="304" t="s">
        <v>45</v>
      </c>
      <c r="E7" s="304">
        <f>SUM(E8:E11)</f>
        <v>-4</v>
      </c>
      <c r="F7" s="500">
        <f>SUM(B7:E7)</f>
        <v>290</v>
      </c>
      <c r="G7" s="304">
        <f>SUM(G8:G11)</f>
        <v>221</v>
      </c>
      <c r="H7" s="304"/>
      <c r="I7" s="485"/>
      <c r="J7" s="592">
        <f>SUM(J8:J11)</f>
        <v>75.056046812440073</v>
      </c>
    </row>
    <row r="8" spans="1:10" ht="14.25" thickTop="1" thickBot="1" x14ac:dyDescent="0.25">
      <c r="A8" s="26" t="s">
        <v>20</v>
      </c>
      <c r="B8" s="304">
        <v>76</v>
      </c>
      <c r="C8" s="304" t="s">
        <v>45</v>
      </c>
      <c r="D8" s="304" t="s">
        <v>45</v>
      </c>
      <c r="E8" s="304">
        <v>-7</v>
      </c>
      <c r="F8" s="500">
        <f>SUM(B8:E8)</f>
        <v>69</v>
      </c>
      <c r="G8" s="304">
        <v>0</v>
      </c>
      <c r="H8" s="304"/>
      <c r="I8" s="485">
        <v>0</v>
      </c>
      <c r="J8" s="502">
        <f>F8-I8</f>
        <v>69</v>
      </c>
    </row>
    <row r="9" spans="1:10" ht="13.5" thickTop="1" x14ac:dyDescent="0.2">
      <c r="A9" s="26" t="s">
        <v>32</v>
      </c>
      <c r="B9" s="304">
        <v>84</v>
      </c>
      <c r="C9" s="304" t="s">
        <v>45</v>
      </c>
      <c r="D9" s="304"/>
      <c r="E9" s="304">
        <v>16</v>
      </c>
      <c r="F9" s="500">
        <f>SUM(B9:E9)</f>
        <v>100</v>
      </c>
      <c r="G9" s="304">
        <f>F9</f>
        <v>100</v>
      </c>
      <c r="H9" s="435">
        <f>G9/(F$20-F$5-F$8)</f>
        <v>0.3436426116838488</v>
      </c>
      <c r="I9" s="485">
        <f>ROUND(H9*F$22,1)</f>
        <v>97.3</v>
      </c>
      <c r="J9" s="486">
        <f>F9-I9</f>
        <v>2.7000000000000028</v>
      </c>
    </row>
    <row r="10" spans="1:10" s="35" customFormat="1" ht="13.5" thickBot="1" x14ac:dyDescent="0.25">
      <c r="A10" s="26" t="s">
        <v>846</v>
      </c>
      <c r="B10" s="304"/>
      <c r="C10" s="304"/>
      <c r="D10" s="304"/>
      <c r="E10" s="304"/>
      <c r="F10" s="482"/>
      <c r="G10" s="304"/>
      <c r="H10" s="435"/>
      <c r="I10" s="485"/>
      <c r="J10" s="486"/>
    </row>
    <row r="11" spans="1:10" ht="13.5" thickTop="1" x14ac:dyDescent="0.2">
      <c r="A11" s="26" t="s">
        <v>21</v>
      </c>
      <c r="B11" s="304">
        <v>134</v>
      </c>
      <c r="C11" s="304" t="s">
        <v>45</v>
      </c>
      <c r="D11" s="304" t="s">
        <v>45</v>
      </c>
      <c r="E11" s="304">
        <v>-13</v>
      </c>
      <c r="F11" s="500">
        <f>SUM(B11:E11)</f>
        <v>121</v>
      </c>
      <c r="G11" s="304">
        <f>F11</f>
        <v>121</v>
      </c>
      <c r="H11" s="435"/>
      <c r="I11" s="485">
        <f>SUM(I12:I14)</f>
        <v>117.7</v>
      </c>
      <c r="J11" s="131">
        <f>SUM(J12:J14)</f>
        <v>3.3560468124400664</v>
      </c>
    </row>
    <row r="12" spans="1:10" s="34" customFormat="1" x14ac:dyDescent="0.2">
      <c r="A12" s="39" t="s">
        <v>424</v>
      </c>
      <c r="B12" s="304"/>
      <c r="C12" s="304"/>
      <c r="D12" s="304"/>
      <c r="E12" s="304"/>
      <c r="F12" s="591">
        <v>16.242174468553152</v>
      </c>
      <c r="G12" s="99">
        <f>F12</f>
        <v>16.242174468553152</v>
      </c>
      <c r="H12" s="435">
        <f>G12/(F$20-F$5-F$8)</f>
        <v>5.5815032537983339E-2</v>
      </c>
      <c r="I12" s="485">
        <f>ROUND(H12*F$22,1)</f>
        <v>15.8</v>
      </c>
      <c r="J12" s="131">
        <f t="shared" ref="J12:J14" si="0">F12-I12</f>
        <v>0.44217446855315146</v>
      </c>
    </row>
    <row r="13" spans="1:10" s="34" customFormat="1" x14ac:dyDescent="0.2">
      <c r="A13" s="39" t="s">
        <v>425</v>
      </c>
      <c r="B13" s="304"/>
      <c r="C13" s="304"/>
      <c r="D13" s="304"/>
      <c r="E13" s="304"/>
      <c r="F13" s="591">
        <v>57.193940048461151</v>
      </c>
      <c r="G13" s="99">
        <f>F13</f>
        <v>57.193940048461151</v>
      </c>
      <c r="H13" s="435">
        <f>G13/(F$20-F$5-F$8)</f>
        <v>0.19654274930742663</v>
      </c>
      <c r="I13" s="485">
        <f>ROUND(H13*F$22,1)</f>
        <v>55.6</v>
      </c>
      <c r="J13" s="131">
        <f t="shared" si="0"/>
        <v>1.5939400484611497</v>
      </c>
    </row>
    <row r="14" spans="1:10" s="34" customFormat="1" x14ac:dyDescent="0.2">
      <c r="A14" s="39" t="s">
        <v>426</v>
      </c>
      <c r="B14" s="304"/>
      <c r="C14" s="304"/>
      <c r="D14" s="304"/>
      <c r="E14" s="304"/>
      <c r="F14" s="591">
        <v>47.619932295425762</v>
      </c>
      <c r="G14" s="99">
        <f>F14</f>
        <v>47.619932295425762</v>
      </c>
      <c r="H14" s="435">
        <f>G14/(F$20-F$5-F$8)</f>
        <v>0.16364237902208165</v>
      </c>
      <c r="I14" s="485">
        <f>ROUND(H14*F$22,1)</f>
        <v>46.3</v>
      </c>
      <c r="J14" s="131">
        <f t="shared" si="0"/>
        <v>1.3199322954257653</v>
      </c>
    </row>
    <row r="15" spans="1:10" ht="13.5" thickBot="1" x14ac:dyDescent="0.25">
      <c r="A15" s="36" t="s">
        <v>28</v>
      </c>
      <c r="B15" s="304" t="s">
        <v>45</v>
      </c>
      <c r="C15" s="304" t="s">
        <v>45</v>
      </c>
      <c r="D15" s="304" t="s">
        <v>45</v>
      </c>
      <c r="E15" s="304" t="s">
        <v>45</v>
      </c>
      <c r="F15" s="482" t="s">
        <v>45</v>
      </c>
      <c r="G15" s="304"/>
      <c r="H15" s="435"/>
      <c r="I15" s="485"/>
      <c r="J15" s="486"/>
    </row>
    <row r="16" spans="1:10" ht="14.25" thickTop="1" thickBot="1" x14ac:dyDescent="0.25">
      <c r="A16" s="36" t="s">
        <v>266</v>
      </c>
      <c r="B16" s="304">
        <v>43</v>
      </c>
      <c r="C16" s="304" t="s">
        <v>45</v>
      </c>
      <c r="D16" s="304" t="s">
        <v>45</v>
      </c>
      <c r="E16" s="304">
        <v>27</v>
      </c>
      <c r="F16" s="500">
        <f>SUM(B16:E16)</f>
        <v>70</v>
      </c>
      <c r="G16" s="304">
        <f>F16</f>
        <v>70</v>
      </c>
      <c r="H16" s="435">
        <f>G16/(F$20-F$5-F$8)</f>
        <v>0.24054982817869416</v>
      </c>
      <c r="I16" s="485">
        <f>ROUND(H16*F$22,1)</f>
        <v>68.099999999999994</v>
      </c>
      <c r="J16" s="486">
        <f t="shared" ref="J16:J18" si="1">F16-I16</f>
        <v>1.9000000000000057</v>
      </c>
    </row>
    <row r="17" spans="1:10" s="35" customFormat="1" ht="14.25" thickTop="1" thickBot="1" x14ac:dyDescent="0.25">
      <c r="A17" s="39" t="s">
        <v>427</v>
      </c>
      <c r="B17" s="304">
        <v>29</v>
      </c>
      <c r="C17" s="304"/>
      <c r="D17" s="304"/>
      <c r="E17" s="304">
        <v>25</v>
      </c>
      <c r="F17" s="500">
        <f>SUM(B17:E17)</f>
        <v>54</v>
      </c>
      <c r="G17" s="304">
        <f>F17</f>
        <v>54</v>
      </c>
      <c r="H17" s="435">
        <f>G17/(F$20-F$5-F$8)</f>
        <v>0.18556701030927836</v>
      </c>
      <c r="I17" s="485">
        <f t="shared" ref="I17:I18" si="2">ROUND(H17*F$22,1)</f>
        <v>52.5</v>
      </c>
      <c r="J17" s="486">
        <f t="shared" si="1"/>
        <v>1.5</v>
      </c>
    </row>
    <row r="18" spans="1:10" ht="13.5" thickTop="1" x14ac:dyDescent="0.2">
      <c r="A18" s="39" t="s">
        <v>428</v>
      </c>
      <c r="B18" s="304">
        <v>14</v>
      </c>
      <c r="C18" s="304"/>
      <c r="D18" s="304"/>
      <c r="E18" s="304">
        <v>2</v>
      </c>
      <c r="F18" s="500">
        <f>SUM(B18:E18)</f>
        <v>16</v>
      </c>
      <c r="G18" s="304">
        <f>F18</f>
        <v>16</v>
      </c>
      <c r="H18" s="435">
        <f>G18/(F$20-F$5-F$8)</f>
        <v>5.4982817869415807E-2</v>
      </c>
      <c r="I18" s="485">
        <f t="shared" si="2"/>
        <v>15.6</v>
      </c>
      <c r="J18" s="486">
        <f t="shared" si="1"/>
        <v>0.40000000000000036</v>
      </c>
    </row>
    <row r="19" spans="1:10" ht="13.5" thickBot="1" x14ac:dyDescent="0.25">
      <c r="A19" s="226" t="s">
        <v>30</v>
      </c>
      <c r="B19" s="304"/>
      <c r="C19" s="304"/>
      <c r="D19" s="304"/>
      <c r="E19" s="304"/>
      <c r="F19" s="482"/>
      <c r="G19" s="304"/>
      <c r="H19" s="304"/>
      <c r="I19" s="485"/>
      <c r="J19" s="486"/>
    </row>
    <row r="20" spans="1:10" ht="13.5" thickTop="1" x14ac:dyDescent="0.2">
      <c r="A20" s="227" t="s">
        <v>3</v>
      </c>
      <c r="B20" s="304">
        <f>SUM(B5:B18)-B17-B18-B7</f>
        <v>455</v>
      </c>
      <c r="C20" s="304">
        <v>0</v>
      </c>
      <c r="D20" s="304">
        <f>D9</f>
        <v>0</v>
      </c>
      <c r="E20" s="304">
        <v>23</v>
      </c>
      <c r="F20" s="500">
        <f>SUM(B20:E20)</f>
        <v>478</v>
      </c>
      <c r="G20" s="304"/>
      <c r="H20" s="304"/>
      <c r="I20" s="485"/>
      <c r="J20" s="486"/>
    </row>
    <row r="21" spans="1:10" x14ac:dyDescent="0.2">
      <c r="A21" s="227" t="s">
        <v>17</v>
      </c>
      <c r="B21" s="304">
        <v>195</v>
      </c>
      <c r="C21" s="304"/>
      <c r="D21" s="304"/>
      <c r="E21" s="304"/>
      <c r="F21" s="482">
        <v>195</v>
      </c>
      <c r="G21" s="304"/>
      <c r="H21" s="304"/>
      <c r="I21" s="485"/>
      <c r="J21" s="592">
        <f>J5+J7+J16</f>
        <v>194.95604681244006</v>
      </c>
    </row>
    <row r="22" spans="1:10" ht="25.5" x14ac:dyDescent="0.2">
      <c r="A22" s="72" t="s">
        <v>118</v>
      </c>
      <c r="B22" s="304">
        <v>260</v>
      </c>
      <c r="C22" s="304"/>
      <c r="D22" s="304"/>
      <c r="E22" s="304"/>
      <c r="F22" s="482">
        <f>F20-F21</f>
        <v>283</v>
      </c>
      <c r="G22" s="304"/>
      <c r="H22" s="304"/>
      <c r="I22" s="485">
        <f>SUM(I9:I16)-I11</f>
        <v>283.10000000000008</v>
      </c>
      <c r="J22" s="486"/>
    </row>
    <row r="23" spans="1:10" ht="25.5" x14ac:dyDescent="0.2">
      <c r="A23" s="72" t="s">
        <v>7</v>
      </c>
      <c r="B23" s="304"/>
      <c r="C23" s="304"/>
      <c r="D23" s="304"/>
      <c r="E23" s="304"/>
      <c r="F23" s="506">
        <f>F22/F21</f>
        <v>1.4512820512820512</v>
      </c>
      <c r="G23" s="304"/>
      <c r="H23" s="435">
        <f>SUM(H9:H16)</f>
        <v>1.0001926007300346</v>
      </c>
      <c r="I23" s="485"/>
      <c r="J23" s="486"/>
    </row>
    <row r="24" spans="1:10" x14ac:dyDescent="0.2">
      <c r="A24" s="72" t="s">
        <v>115</v>
      </c>
      <c r="B24" s="304"/>
      <c r="C24" s="304"/>
      <c r="D24" s="304"/>
      <c r="E24" s="304"/>
      <c r="F24" s="482"/>
      <c r="G24" s="304"/>
      <c r="H24" s="304"/>
      <c r="I24" s="485"/>
      <c r="J24" s="592">
        <f>SUM(J5:J16)</f>
        <v>273.36814043732022</v>
      </c>
    </row>
    <row r="25" spans="1:10" ht="27.75" customHeight="1" thickBot="1" x14ac:dyDescent="0.25">
      <c r="A25" s="222" t="s">
        <v>227</v>
      </c>
      <c r="B25" s="327"/>
      <c r="C25" s="327"/>
      <c r="D25" s="327"/>
      <c r="E25" s="327"/>
      <c r="F25" s="496"/>
      <c r="G25" s="327"/>
      <c r="H25" s="327"/>
      <c r="I25" s="497"/>
      <c r="J25" s="134">
        <f>SUM(J12:J16)</f>
        <v>5.2560468124400721</v>
      </c>
    </row>
    <row r="26" spans="1:10" ht="13.5" thickBot="1" x14ac:dyDescent="0.25"/>
    <row r="27" spans="1:10" ht="45" x14ac:dyDescent="0.2">
      <c r="A27" s="607" t="s">
        <v>44</v>
      </c>
      <c r="B27" s="373" t="s">
        <v>33</v>
      </c>
      <c r="C27" s="373" t="s">
        <v>122</v>
      </c>
      <c r="D27" s="373" t="s">
        <v>123</v>
      </c>
      <c r="E27" s="373" t="s">
        <v>121</v>
      </c>
      <c r="F27" s="608" t="s">
        <v>224</v>
      </c>
    </row>
    <row r="28" spans="1:10" x14ac:dyDescent="0.2">
      <c r="A28" s="26" t="s">
        <v>46</v>
      </c>
      <c r="B28" s="18" t="s">
        <v>41</v>
      </c>
      <c r="C28" s="475">
        <v>15.8580661163</v>
      </c>
      <c r="D28" s="475">
        <v>900.64200080830005</v>
      </c>
      <c r="E28" s="460">
        <v>1.7607513420502093E-2</v>
      </c>
      <c r="F28" s="603">
        <v>1.7607513420502093E-2</v>
      </c>
    </row>
    <row r="29" spans="1:10" x14ac:dyDescent="0.2">
      <c r="A29" s="26" t="s">
        <v>46</v>
      </c>
      <c r="B29" s="18" t="s">
        <v>36</v>
      </c>
      <c r="C29" s="475">
        <v>153.94248108900001</v>
      </c>
      <c r="D29" s="475">
        <v>900.64200080830005</v>
      </c>
      <c r="E29" s="460">
        <v>0.17092527436077942</v>
      </c>
      <c r="F29" s="603">
        <v>0.17092527436077942</v>
      </c>
    </row>
    <row r="30" spans="1:10" ht="13.5" thickBot="1" x14ac:dyDescent="0.25">
      <c r="A30" s="63" t="s">
        <v>46</v>
      </c>
      <c r="B30" s="42" t="s">
        <v>47</v>
      </c>
      <c r="C30" s="604">
        <v>730.84145360299999</v>
      </c>
      <c r="D30" s="604">
        <v>900.64200080830005</v>
      </c>
      <c r="E30" s="605">
        <v>0.81146721221871843</v>
      </c>
      <c r="F30" s="606">
        <v>0.81146721221871843</v>
      </c>
    </row>
    <row r="32" spans="1:10" ht="15.75" thickBot="1" x14ac:dyDescent="0.3">
      <c r="A32" s="408" t="s">
        <v>354</v>
      </c>
      <c r="B32" s="411"/>
      <c r="C32" s="411"/>
      <c r="D32" s="411"/>
      <c r="E32" s="411"/>
    </row>
    <row r="33" spans="1:12" ht="63.75" x14ac:dyDescent="0.2">
      <c r="A33" s="424" t="s">
        <v>372</v>
      </c>
      <c r="B33" s="596" t="s">
        <v>110</v>
      </c>
      <c r="C33" s="597" t="s">
        <v>111</v>
      </c>
      <c r="D33" s="596" t="s">
        <v>112</v>
      </c>
      <c r="E33" s="374" t="s">
        <v>52</v>
      </c>
      <c r="G33" s="328" t="s">
        <v>59</v>
      </c>
      <c r="H33" s="329" t="s">
        <v>328</v>
      </c>
      <c r="I33" s="329" t="s">
        <v>327</v>
      </c>
      <c r="J33" s="329" t="s">
        <v>60</v>
      </c>
      <c r="K33" s="329" t="s">
        <v>330</v>
      </c>
      <c r="L33" s="330" t="s">
        <v>114</v>
      </c>
    </row>
    <row r="34" spans="1:12" x14ac:dyDescent="0.2">
      <c r="A34" s="26" t="s">
        <v>41</v>
      </c>
      <c r="B34" s="475">
        <v>15.8580661163</v>
      </c>
      <c r="C34" s="455">
        <v>1.7607513420502093E-2</v>
      </c>
      <c r="D34" s="437">
        <v>1.7607513420502093E-2</v>
      </c>
      <c r="E34" s="438">
        <f>D34*I$11</f>
        <v>2.0724043295930965</v>
      </c>
      <c r="G34" s="36" t="s">
        <v>36</v>
      </c>
      <c r="H34" s="304">
        <v>38</v>
      </c>
      <c r="I34" s="304">
        <f>H34/H$36</f>
        <v>0.47499999999999998</v>
      </c>
      <c r="J34" s="435">
        <f>I34</f>
        <v>0.47499999999999998</v>
      </c>
      <c r="K34" s="99">
        <f>I$17*J34</f>
        <v>24.9375</v>
      </c>
      <c r="L34" s="438">
        <f>J$17*J34</f>
        <v>0.71249999999999991</v>
      </c>
    </row>
    <row r="35" spans="1:12" x14ac:dyDescent="0.2">
      <c r="A35" s="26" t="s">
        <v>36</v>
      </c>
      <c r="B35" s="475">
        <v>153.94248108900001</v>
      </c>
      <c r="C35" s="455">
        <v>0.17092527436077942</v>
      </c>
      <c r="D35" s="437">
        <v>0.17092527436077942</v>
      </c>
      <c r="E35" s="438">
        <f>D35*I$11</f>
        <v>20.11790479226374</v>
      </c>
      <c r="G35" s="36" t="s">
        <v>47</v>
      </c>
      <c r="H35" s="304">
        <v>42</v>
      </c>
      <c r="I35" s="304">
        <f>H35/H$36</f>
        <v>0.52500000000000002</v>
      </c>
      <c r="J35" s="435">
        <f>I35</f>
        <v>0.52500000000000002</v>
      </c>
      <c r="K35" s="99">
        <f>I$17*J35</f>
        <v>27.5625</v>
      </c>
      <c r="L35" s="438">
        <f>J$17*J35</f>
        <v>0.78750000000000009</v>
      </c>
    </row>
    <row r="36" spans="1:12" ht="13.5" thickBot="1" x14ac:dyDescent="0.25">
      <c r="A36" s="26" t="s">
        <v>47</v>
      </c>
      <c r="B36" s="475">
        <v>730.84145360299999</v>
      </c>
      <c r="C36" s="455">
        <v>0.81146721221871843</v>
      </c>
      <c r="D36" s="437">
        <v>0.81146721221871843</v>
      </c>
      <c r="E36" s="438">
        <f>D36*I$11</f>
        <v>95.509690878143161</v>
      </c>
      <c r="G36" s="59" t="s">
        <v>15</v>
      </c>
      <c r="H36" s="441">
        <f>SUM(H34:H35)</f>
        <v>80</v>
      </c>
      <c r="I36" s="441">
        <f>SUM(I34:I35)</f>
        <v>1</v>
      </c>
      <c r="J36" s="458">
        <f>SUM(J34:J35)</f>
        <v>1</v>
      </c>
      <c r="K36" s="100">
        <f>SUM(K34:K35)</f>
        <v>52.5</v>
      </c>
      <c r="L36" s="598">
        <f>SUM(L34:L35)</f>
        <v>1.5</v>
      </c>
    </row>
    <row r="37" spans="1:12" ht="13.5" thickBot="1" x14ac:dyDescent="0.25">
      <c r="A37" s="59" t="s">
        <v>15</v>
      </c>
      <c r="B37" s="599">
        <f>SUM(B34:B36)</f>
        <v>900.64200080830005</v>
      </c>
      <c r="C37" s="600">
        <f>SUM(C34:C36)</f>
        <v>1</v>
      </c>
      <c r="D37" s="601">
        <f>SUM(D34:D36)</f>
        <v>1</v>
      </c>
      <c r="E37" s="602">
        <f>SUM(E34:E36)</f>
        <v>117.69999999999999</v>
      </c>
      <c r="G37" s="141" t="s">
        <v>329</v>
      </c>
    </row>
    <row r="38" spans="1:12" s="35" customFormat="1" x14ac:dyDescent="0.2">
      <c r="A38" s="10"/>
      <c r="B38" s="10"/>
      <c r="C38" s="10"/>
      <c r="D38" s="10"/>
      <c r="E38" s="10"/>
      <c r="G38" s="141" t="s">
        <v>371</v>
      </c>
    </row>
    <row r="39" spans="1:12" ht="15.75" thickBot="1" x14ac:dyDescent="0.3">
      <c r="A39" s="410" t="s">
        <v>80</v>
      </c>
      <c r="B39" s="589"/>
      <c r="C39" s="589"/>
    </row>
    <row r="40" spans="1:12" ht="51" x14ac:dyDescent="0.2">
      <c r="A40" s="383" t="s">
        <v>372</v>
      </c>
      <c r="B40" s="423" t="s">
        <v>194</v>
      </c>
      <c r="C40" s="376" t="s">
        <v>71</v>
      </c>
      <c r="D40" s="595" t="s">
        <v>75</v>
      </c>
      <c r="E40" s="376" t="s">
        <v>196</v>
      </c>
      <c r="F40" s="376" t="s">
        <v>70</v>
      </c>
      <c r="G40" s="595" t="s">
        <v>76</v>
      </c>
      <c r="H40" s="376" t="s">
        <v>198</v>
      </c>
      <c r="I40" s="376" t="s">
        <v>72</v>
      </c>
      <c r="J40" s="595" t="s">
        <v>77</v>
      </c>
      <c r="K40" s="385" t="s">
        <v>74</v>
      </c>
      <c r="L40" s="426" t="s">
        <v>117</v>
      </c>
    </row>
    <row r="41" spans="1:12" x14ac:dyDescent="0.2">
      <c r="A41" s="26" t="s">
        <v>41</v>
      </c>
      <c r="B41" s="475">
        <v>15.385554364900001</v>
      </c>
      <c r="C41" s="435">
        <v>0.98130293741828101</v>
      </c>
      <c r="D41" s="99">
        <f>C41*I$12</f>
        <v>15.504586411208841</v>
      </c>
      <c r="E41" s="475">
        <v>0.47251175136200002</v>
      </c>
      <c r="F41" s="435">
        <v>1.9128737099920775E-3</v>
      </c>
      <c r="G41" s="99">
        <f>F41*I$13</f>
        <v>0.10635577827555952</v>
      </c>
      <c r="H41" s="594" t="s">
        <v>188</v>
      </c>
      <c r="I41" s="435">
        <v>0</v>
      </c>
      <c r="J41" s="99">
        <f>I41*I$14</f>
        <v>0</v>
      </c>
      <c r="K41" s="563">
        <f>D41+G41+J41</f>
        <v>15.610942189484401</v>
      </c>
      <c r="L41" s="472">
        <f>J$12*C41+J$13*F41+J$14*I41</f>
        <v>0.43695611085657965</v>
      </c>
    </row>
    <row r="42" spans="1:12" x14ac:dyDescent="0.2">
      <c r="A42" s="26" t="s">
        <v>36</v>
      </c>
      <c r="B42" s="594" t="s">
        <v>188</v>
      </c>
      <c r="C42" s="435">
        <v>0</v>
      </c>
      <c r="D42" s="99">
        <f>C42*I$12</f>
        <v>0</v>
      </c>
      <c r="E42" s="475">
        <v>4.9568588007700001</v>
      </c>
      <c r="F42" s="435">
        <v>2.0066897504338776E-2</v>
      </c>
      <c r="G42" s="99">
        <f>F42*I$13</f>
        <v>1.115719501241236</v>
      </c>
      <c r="H42" s="475">
        <v>148.985622288</v>
      </c>
      <c r="I42" s="435">
        <v>0.23353933117285994</v>
      </c>
      <c r="J42" s="99">
        <f>I42*I$14</f>
        <v>10.812871033303415</v>
      </c>
      <c r="K42" s="563">
        <f>D42+G42+J42</f>
        <v>11.92859053454465</v>
      </c>
      <c r="L42" s="472">
        <f>J$12*C42+J$13*F42+J$14*I42</f>
        <v>0.3402415370477217</v>
      </c>
    </row>
    <row r="43" spans="1:12" x14ac:dyDescent="0.2">
      <c r="A43" s="26" t="s">
        <v>47</v>
      </c>
      <c r="B43" s="475">
        <v>0.29319119702000002</v>
      </c>
      <c r="C43" s="435">
        <v>1.8699968557342128E-2</v>
      </c>
      <c r="D43" s="99">
        <f>C43*I$12</f>
        <v>0.29545950320600561</v>
      </c>
      <c r="E43" s="475">
        <v>241.587302193</v>
      </c>
      <c r="F43" s="435">
        <v>0.97802011844948145</v>
      </c>
      <c r="G43" s="99">
        <f>F43*I$13</f>
        <v>54.377918585791171</v>
      </c>
      <c r="H43" s="475">
        <v>488.96096021300002</v>
      </c>
      <c r="I43" s="435">
        <v>0.76646064139694459</v>
      </c>
      <c r="J43" s="99">
        <f>I43*I$14</f>
        <v>35.487127696678535</v>
      </c>
      <c r="K43" s="563">
        <f>D43+G43+J43</f>
        <v>90.16050578567571</v>
      </c>
      <c r="L43" s="472">
        <f>J$12*C43+J$13*F43+J$14*I43</f>
        <v>2.578850237408723</v>
      </c>
    </row>
    <row r="44" spans="1:12" ht="13.5" thickBot="1" x14ac:dyDescent="0.25">
      <c r="A44" s="59" t="s">
        <v>15</v>
      </c>
      <c r="B44" s="479">
        <f t="shared" ref="B44:L44" si="3">SUM(B41:B43)</f>
        <v>15.678745561920001</v>
      </c>
      <c r="C44" s="458">
        <f t="shared" si="3"/>
        <v>1.0000029059756232</v>
      </c>
      <c r="D44" s="100">
        <f t="shared" si="3"/>
        <v>15.800045914414847</v>
      </c>
      <c r="E44" s="479">
        <f t="shared" si="3"/>
        <v>247.01667274513201</v>
      </c>
      <c r="F44" s="458">
        <f t="shared" si="3"/>
        <v>0.99999988966381226</v>
      </c>
      <c r="G44" s="100">
        <f t="shared" si="3"/>
        <v>55.599993865307965</v>
      </c>
      <c r="H44" s="479">
        <f t="shared" si="3"/>
        <v>637.94658250099997</v>
      </c>
      <c r="I44" s="458">
        <f t="shared" si="3"/>
        <v>0.99999997256980455</v>
      </c>
      <c r="J44" s="100">
        <f t="shared" si="3"/>
        <v>46.299998729981951</v>
      </c>
      <c r="K44" s="101">
        <f t="shared" si="3"/>
        <v>117.70003850970477</v>
      </c>
      <c r="L44" s="473">
        <f t="shared" si="3"/>
        <v>3.3560478853130244</v>
      </c>
    </row>
    <row r="46" spans="1:12" ht="15.75" thickBot="1" x14ac:dyDescent="0.3">
      <c r="A46" s="408" t="s">
        <v>79</v>
      </c>
      <c r="B46" s="589"/>
      <c r="C46" s="589"/>
    </row>
    <row r="47" spans="1:12" ht="63.75" x14ac:dyDescent="0.2">
      <c r="A47" s="383" t="s">
        <v>369</v>
      </c>
      <c r="B47" s="376" t="s">
        <v>74</v>
      </c>
      <c r="C47" s="384" t="s">
        <v>219</v>
      </c>
      <c r="D47" s="376" t="s">
        <v>119</v>
      </c>
      <c r="E47" s="385" t="s">
        <v>377</v>
      </c>
      <c r="F47" s="386" t="s">
        <v>113</v>
      </c>
    </row>
    <row r="48" spans="1:12" x14ac:dyDescent="0.2">
      <c r="A48" s="26" t="s">
        <v>41</v>
      </c>
      <c r="B48" s="136">
        <f>K41</f>
        <v>15.610942189484401</v>
      </c>
      <c r="C48" s="576">
        <f>B48-E34</f>
        <v>13.538537859891305</v>
      </c>
      <c r="D48" s="304"/>
      <c r="E48" s="563">
        <f>B48+D48</f>
        <v>15.610942189484401</v>
      </c>
      <c r="F48" s="472">
        <f>L41</f>
        <v>0.43695611085657965</v>
      </c>
    </row>
    <row r="49" spans="1:13" x14ac:dyDescent="0.2">
      <c r="A49" s="26" t="s">
        <v>36</v>
      </c>
      <c r="B49" s="136">
        <f>K42</f>
        <v>11.92859053454465</v>
      </c>
      <c r="C49" s="576">
        <f>B49-E35</f>
        <v>-8.1893142577190901</v>
      </c>
      <c r="D49" s="99">
        <f>K34</f>
        <v>24.9375</v>
      </c>
      <c r="E49" s="563">
        <f t="shared" ref="E49:E50" si="4">B49+D49</f>
        <v>36.866090534544654</v>
      </c>
      <c r="F49" s="472">
        <f>L42+L34</f>
        <v>1.0527415370477216</v>
      </c>
    </row>
    <row r="50" spans="1:13" ht="13.5" thickBot="1" x14ac:dyDescent="0.25">
      <c r="A50" s="26" t="s">
        <v>47</v>
      </c>
      <c r="B50" s="136">
        <f>K43</f>
        <v>90.16050578567571</v>
      </c>
      <c r="C50" s="576">
        <f>B50-E36</f>
        <v>-5.3491850924674509</v>
      </c>
      <c r="D50" s="99">
        <f>K35</f>
        <v>27.5625</v>
      </c>
      <c r="E50" s="563">
        <f t="shared" si="4"/>
        <v>117.72300578567571</v>
      </c>
      <c r="F50" s="472">
        <f>L43+L35</f>
        <v>3.3663502374087231</v>
      </c>
    </row>
    <row r="51" spans="1:13" ht="13.5" thickBot="1" x14ac:dyDescent="0.25">
      <c r="A51" s="648" t="s">
        <v>98</v>
      </c>
      <c r="B51" s="322">
        <f>SUM(B48:B50)</f>
        <v>117.70003850970477</v>
      </c>
      <c r="C51" s="442"/>
      <c r="D51" s="442">
        <f>SUM(D48:D50)</f>
        <v>52.5</v>
      </c>
      <c r="E51" s="444">
        <f>SUM(E48:E50)</f>
        <v>170.20003850970477</v>
      </c>
      <c r="F51" s="593">
        <f>SUM(F48:F50)</f>
        <v>4.856047885313024</v>
      </c>
    </row>
    <row r="52" spans="1:13" x14ac:dyDescent="0.2">
      <c r="A52" s="168" t="s">
        <v>352</v>
      </c>
    </row>
    <row r="53" spans="1:13" s="35" customFormat="1" x14ac:dyDescent="0.2">
      <c r="A53" s="7"/>
    </row>
    <row r="54" spans="1:13" ht="15.75" thickBot="1" x14ac:dyDescent="0.3">
      <c r="A54" s="408" t="s">
        <v>189</v>
      </c>
    </row>
    <row r="55" spans="1:13" ht="63.75" x14ac:dyDescent="0.2">
      <c r="A55" s="388" t="s">
        <v>385</v>
      </c>
      <c r="B55" s="421" t="s">
        <v>127</v>
      </c>
      <c r="C55" s="421" t="s">
        <v>126</v>
      </c>
      <c r="D55" s="421" t="s">
        <v>70</v>
      </c>
      <c r="E55" s="421" t="s">
        <v>128</v>
      </c>
      <c r="F55" s="422" t="s">
        <v>72</v>
      </c>
      <c r="G55" s="421" t="s">
        <v>129</v>
      </c>
      <c r="H55" s="390" t="s">
        <v>383</v>
      </c>
      <c r="I55" s="389" t="s">
        <v>190</v>
      </c>
      <c r="J55" s="392" t="s">
        <v>358</v>
      </c>
      <c r="K55" s="223"/>
      <c r="L55" s="224"/>
    </row>
    <row r="56" spans="1:13" x14ac:dyDescent="0.2">
      <c r="A56" s="26" t="s">
        <v>41</v>
      </c>
      <c r="B56" s="435">
        <v>0.98130293741828101</v>
      </c>
      <c r="C56" s="99">
        <f>B56*G$12</f>
        <v>15.938493516051416</v>
      </c>
      <c r="D56" s="435">
        <v>1.9128737099920775E-3</v>
      </c>
      <c r="E56" s="99">
        <f>D56*G$13</f>
        <v>0.10940478428956435</v>
      </c>
      <c r="F56" s="435">
        <v>0</v>
      </c>
      <c r="G56" s="99">
        <f>F56*G$14</f>
        <v>0</v>
      </c>
      <c r="H56" s="436">
        <f>C56+E56+G56</f>
        <v>16.047898300340979</v>
      </c>
      <c r="I56" s="587">
        <f>Education_summary!B7</f>
        <v>5.0000000000000001E-3</v>
      </c>
      <c r="J56" s="523">
        <f>H56*I56</f>
        <v>8.0239491501704896E-2</v>
      </c>
    </row>
    <row r="57" spans="1:13" x14ac:dyDescent="0.2">
      <c r="A57" s="26" t="s">
        <v>36</v>
      </c>
      <c r="B57" s="435">
        <v>0</v>
      </c>
      <c r="C57" s="99">
        <f t="shared" ref="C57:C58" si="5">B57*G$12</f>
        <v>0</v>
      </c>
      <c r="D57" s="435">
        <v>2.0066897504338776E-2</v>
      </c>
      <c r="E57" s="99">
        <f t="shared" ref="E57:E58" si="6">D57*G$13</f>
        <v>1.1477049328217666</v>
      </c>
      <c r="F57" s="435">
        <v>0.23353933117285994</v>
      </c>
      <c r="G57" s="99">
        <f t="shared" ref="G57:G58" si="7">F57*G$14</f>
        <v>11.121127138770605</v>
      </c>
      <c r="H57" s="436">
        <f t="shared" ref="H57:H58" si="8">C57+E57+G57</f>
        <v>12.268832071592371</v>
      </c>
      <c r="I57" s="587">
        <f>Education_summary!B10</f>
        <v>5.5E-2</v>
      </c>
      <c r="J57" s="588">
        <f t="shared" ref="J57:J58" si="9">H57*I57</f>
        <v>0.67478576393758039</v>
      </c>
    </row>
    <row r="58" spans="1:13" ht="13.5" thickBot="1" x14ac:dyDescent="0.25">
      <c r="A58" s="26" t="s">
        <v>47</v>
      </c>
      <c r="B58" s="435">
        <v>1.8699968557342128E-2</v>
      </c>
      <c r="C58" s="99">
        <f t="shared" si="5"/>
        <v>0.30372815186480906</v>
      </c>
      <c r="D58" s="435">
        <v>0.97802011844948145</v>
      </c>
      <c r="E58" s="99">
        <f t="shared" si="6"/>
        <v>55.936824020788514</v>
      </c>
      <c r="F58" s="435">
        <v>0.76646064139694459</v>
      </c>
      <c r="G58" s="99">
        <f t="shared" si="7"/>
        <v>36.498803850431102</v>
      </c>
      <c r="H58" s="436">
        <f t="shared" si="8"/>
        <v>92.739356023084426</v>
      </c>
      <c r="I58" s="587">
        <f>Education_summary!B15</f>
        <v>0.06</v>
      </c>
      <c r="J58" s="523">
        <f t="shared" si="9"/>
        <v>5.5643613613850658</v>
      </c>
    </row>
    <row r="59" spans="1:13" s="35" customFormat="1" ht="13.5" thickBot="1" x14ac:dyDescent="0.25">
      <c r="A59" s="648" t="s">
        <v>98</v>
      </c>
      <c r="B59" s="465">
        <f t="shared" ref="B59:H59" si="10">SUM(B56:B58)</f>
        <v>1.0000029059756232</v>
      </c>
      <c r="C59" s="322">
        <f t="shared" si="10"/>
        <v>16.242221667916226</v>
      </c>
      <c r="D59" s="465">
        <f t="shared" si="10"/>
        <v>0.99999988966381226</v>
      </c>
      <c r="E59" s="322">
        <f t="shared" si="10"/>
        <v>57.193933737899847</v>
      </c>
      <c r="F59" s="465">
        <f t="shared" si="10"/>
        <v>0.99999997256980455</v>
      </c>
      <c r="G59" s="322">
        <f t="shared" si="10"/>
        <v>47.619930989201706</v>
      </c>
      <c r="H59" s="322">
        <f t="shared" si="10"/>
        <v>121.05608639501777</v>
      </c>
      <c r="I59" s="442"/>
      <c r="J59" s="444">
        <f>SUM(J56:J58)</f>
        <v>6.3193866168243513</v>
      </c>
    </row>
    <row r="60" spans="1:13" s="35" customFormat="1" x14ac:dyDescent="0.2">
      <c r="A60" s="7"/>
      <c r="B60" s="15"/>
      <c r="C60" s="58"/>
      <c r="D60" s="15"/>
      <c r="E60" s="58"/>
      <c r="F60" s="15"/>
      <c r="G60" s="58"/>
      <c r="H60" s="58"/>
      <c r="I60" s="15"/>
      <c r="J60" s="58"/>
    </row>
    <row r="61" spans="1:13" ht="15.75" thickBot="1" x14ac:dyDescent="0.3">
      <c r="A61" s="408" t="s">
        <v>384</v>
      </c>
      <c r="B61" s="411"/>
      <c r="C61" s="411"/>
      <c r="D61" s="411"/>
      <c r="E61" s="411"/>
      <c r="F61" s="411"/>
      <c r="G61" s="411"/>
    </row>
    <row r="62" spans="1:13" ht="89.25" customHeight="1" x14ac:dyDescent="0.2">
      <c r="A62" s="650" t="s">
        <v>364</v>
      </c>
      <c r="B62" s="405" t="s">
        <v>382</v>
      </c>
      <c r="C62" s="405" t="s">
        <v>391</v>
      </c>
      <c r="D62" s="405" t="s">
        <v>343</v>
      </c>
      <c r="E62" s="405" t="s">
        <v>344</v>
      </c>
      <c r="F62" s="406" t="s">
        <v>873</v>
      </c>
      <c r="G62" s="405" t="s">
        <v>392</v>
      </c>
      <c r="H62" s="405" t="s">
        <v>345</v>
      </c>
      <c r="I62" s="405" t="s">
        <v>413</v>
      </c>
      <c r="J62" s="407" t="s">
        <v>585</v>
      </c>
      <c r="K62" s="817" t="s">
        <v>574</v>
      </c>
      <c r="L62" s="652" t="s">
        <v>390</v>
      </c>
      <c r="M62" s="713" t="s">
        <v>415</v>
      </c>
    </row>
    <row r="63" spans="1:13" ht="13.5" thickBot="1" x14ac:dyDescent="0.25">
      <c r="A63" s="894" t="s">
        <v>41</v>
      </c>
      <c r="B63" s="1070">
        <f>ROUND(B48,0)</f>
        <v>16</v>
      </c>
      <c r="C63" s="323">
        <f>B63*0.5</f>
        <v>8</v>
      </c>
      <c r="D63" s="323">
        <f>ROUND(J56,0)</f>
        <v>0</v>
      </c>
      <c r="E63" s="453">
        <v>206</v>
      </c>
      <c r="F63" s="325">
        <f>C63-D63-E63</f>
        <v>-198</v>
      </c>
      <c r="G63" s="323">
        <f>B63-C63</f>
        <v>8</v>
      </c>
      <c r="H63" s="453"/>
      <c r="I63" s="323"/>
      <c r="J63" s="326">
        <f>F63+G63-I63</f>
        <v>-190</v>
      </c>
      <c r="K63" s="1071">
        <f>D48</f>
        <v>0</v>
      </c>
      <c r="L63" s="871">
        <f t="shared" ref="L63:L65" si="11">J63+K63</f>
        <v>-190</v>
      </c>
      <c r="M63" s="788">
        <f>IF((F63+G63-H63-I63+K63)&lt;0,0,(F63+G63-H63-I63+K63))</f>
        <v>0</v>
      </c>
    </row>
    <row r="64" spans="1:13" ht="13.5" thickBot="1" x14ac:dyDescent="0.25">
      <c r="A64" s="894" t="s">
        <v>36</v>
      </c>
      <c r="B64" s="1070">
        <f>ROUND(B49,0)</f>
        <v>12</v>
      </c>
      <c r="C64" s="323">
        <f>ROUNDUP(B64*0.5,1)</f>
        <v>6</v>
      </c>
      <c r="D64" s="323">
        <f>ROUND(J57,0)</f>
        <v>1</v>
      </c>
      <c r="E64" s="453">
        <f>'Project Summary'!K11</f>
        <v>3</v>
      </c>
      <c r="F64" s="325">
        <f t="shared" ref="F64:F65" si="12">C64-D64-E64</f>
        <v>2</v>
      </c>
      <c r="G64" s="323">
        <f>B64-C64</f>
        <v>6</v>
      </c>
      <c r="H64" s="453"/>
      <c r="I64" s="323"/>
      <c r="J64" s="326">
        <f t="shared" ref="J64:J65" si="13">F64+G64-I64</f>
        <v>8</v>
      </c>
      <c r="K64" s="1072">
        <f>ROUND(D49,0)</f>
        <v>25</v>
      </c>
      <c r="L64" s="871">
        <f t="shared" si="11"/>
        <v>33</v>
      </c>
      <c r="M64" s="788">
        <f t="shared" ref="M64:M65" si="14">IF((F64+G64-H64-I64+K64)&lt;0,0,(F64+G64-H64-I64+K64))</f>
        <v>33</v>
      </c>
    </row>
    <row r="65" spans="1:13" ht="13.5" thickBot="1" x14ac:dyDescent="0.25">
      <c r="A65" s="894" t="s">
        <v>47</v>
      </c>
      <c r="B65" s="1070">
        <f>ROUND(B50,0)</f>
        <v>90</v>
      </c>
      <c r="C65" s="323">
        <f>B65*0.5</f>
        <v>45</v>
      </c>
      <c r="D65" s="323">
        <f>ROUND(J58,0)</f>
        <v>6</v>
      </c>
      <c r="E65" s="453">
        <f>'Project Summary'!K20</f>
        <v>0</v>
      </c>
      <c r="F65" s="325">
        <f t="shared" si="12"/>
        <v>39</v>
      </c>
      <c r="G65" s="812">
        <f>B65-C65</f>
        <v>45</v>
      </c>
      <c r="H65" s="453"/>
      <c r="I65" s="323"/>
      <c r="J65" s="326">
        <f t="shared" si="13"/>
        <v>84</v>
      </c>
      <c r="K65" s="1072">
        <f>ROUND(D50,0)</f>
        <v>28</v>
      </c>
      <c r="L65" s="871">
        <f t="shared" si="11"/>
        <v>112</v>
      </c>
      <c r="M65" s="788">
        <f t="shared" si="14"/>
        <v>112</v>
      </c>
    </row>
    <row r="66" spans="1:13" ht="13.5" thickBot="1" x14ac:dyDescent="0.25">
      <c r="A66" s="1079" t="s">
        <v>98</v>
      </c>
      <c r="B66" s="1073">
        <f t="shared" ref="B66:G66" si="15">SUM(B63:B65)</f>
        <v>118</v>
      </c>
      <c r="C66" s="398">
        <f t="shared" si="15"/>
        <v>59</v>
      </c>
      <c r="D66" s="398">
        <f t="shared" si="15"/>
        <v>7</v>
      </c>
      <c r="E66" s="1056">
        <f t="shared" si="15"/>
        <v>209</v>
      </c>
      <c r="F66" s="1057">
        <f t="shared" si="15"/>
        <v>-157</v>
      </c>
      <c r="G66" s="398">
        <f t="shared" si="15"/>
        <v>59</v>
      </c>
      <c r="H66" s="1056"/>
      <c r="I66" s="398"/>
      <c r="J66" s="715">
        <f>SUM(J63:J65)</f>
        <v>-98</v>
      </c>
      <c r="K66" s="1074">
        <f>SUM(K63:K65)</f>
        <v>53</v>
      </c>
      <c r="L66" s="1069">
        <f>SUM(L63:L65)</f>
        <v>-45</v>
      </c>
      <c r="M66" s="1075">
        <f>SUM(M63:M65)</f>
        <v>145</v>
      </c>
    </row>
    <row r="67" spans="1:13" s="35" customFormat="1" x14ac:dyDescent="0.2">
      <c r="A67" s="706" t="s">
        <v>414</v>
      </c>
      <c r="B67" s="671"/>
      <c r="C67" s="671"/>
      <c r="D67" s="671"/>
      <c r="E67" s="709"/>
      <c r="F67" s="707"/>
      <c r="G67" s="671"/>
      <c r="H67" s="709"/>
      <c r="I67" s="671"/>
      <c r="J67" s="671"/>
      <c r="K67" s="709"/>
      <c r="L67" s="671"/>
    </row>
    <row r="69" spans="1:13" ht="15.75" thickBot="1" x14ac:dyDescent="0.3">
      <c r="A69" s="408" t="s">
        <v>333</v>
      </c>
      <c r="B69" s="35"/>
      <c r="C69" s="35"/>
      <c r="D69" s="35"/>
      <c r="E69" s="35"/>
      <c r="F69" s="35"/>
    </row>
    <row r="70" spans="1:13" ht="63.75" x14ac:dyDescent="0.2">
      <c r="A70" s="388" t="str">
        <f>A55</f>
        <v>2009 Developed Land Uses Stormwater  Loading by Jurisdiction for Lake Carlton</v>
      </c>
      <c r="B70" s="389" t="str">
        <f>C55</f>
        <v>Total Loading Developed-High lbs/yr TP</v>
      </c>
      <c r="C70" s="389" t="str">
        <f>E55</f>
        <v>Total Loading Developed-Medium lbs/yr TP</v>
      </c>
      <c r="D70" s="389" t="str">
        <f t="shared" ref="D70:E72" si="16">G55</f>
        <v>Total Loading Developed-Low lbs/yr TP</v>
      </c>
      <c r="E70" s="390" t="str">
        <f t="shared" si="16"/>
        <v>Developed Land Uses (Stormwater) Total Loading lbs/yr TP</v>
      </c>
      <c r="F70" s="400" t="s">
        <v>332</v>
      </c>
    </row>
    <row r="71" spans="1:13" x14ac:dyDescent="0.2">
      <c r="A71" s="336" t="str">
        <f>A56</f>
        <v>FDOT</v>
      </c>
      <c r="B71" s="323">
        <f>C56</f>
        <v>15.938493516051416</v>
      </c>
      <c r="C71" s="323">
        <f>E56</f>
        <v>0.10940478428956435</v>
      </c>
      <c r="D71" s="323">
        <f t="shared" si="16"/>
        <v>0</v>
      </c>
      <c r="E71" s="333">
        <f t="shared" si="16"/>
        <v>16.047898300340979</v>
      </c>
      <c r="F71" s="395">
        <f>E71/$E$74</f>
        <v>0.13256581125524847</v>
      </c>
    </row>
    <row r="72" spans="1:13" x14ac:dyDescent="0.2">
      <c r="A72" s="336" t="str">
        <f>A57</f>
        <v>Lake County</v>
      </c>
      <c r="B72" s="323">
        <f>C57</f>
        <v>0</v>
      </c>
      <c r="C72" s="323">
        <f>E57</f>
        <v>1.1477049328217666</v>
      </c>
      <c r="D72" s="323">
        <f t="shared" si="16"/>
        <v>11.121127138770605</v>
      </c>
      <c r="E72" s="333">
        <f t="shared" si="16"/>
        <v>12.268832071592371</v>
      </c>
      <c r="F72" s="395">
        <f>E72/$E$74</f>
        <v>0.1013483290014678</v>
      </c>
    </row>
    <row r="73" spans="1:13" ht="13.5" thickBot="1" x14ac:dyDescent="0.25">
      <c r="A73" s="336" t="str">
        <f t="shared" ref="A73" si="17">A58</f>
        <v>Orange County</v>
      </c>
      <c r="B73" s="323">
        <f t="shared" ref="B73" si="18">C58</f>
        <v>0.30372815186480906</v>
      </c>
      <c r="C73" s="323">
        <f t="shared" ref="C73" si="19">E58</f>
        <v>55.936824020788514</v>
      </c>
      <c r="D73" s="323">
        <f t="shared" ref="D73" si="20">G58</f>
        <v>36.498803850431102</v>
      </c>
      <c r="E73" s="333">
        <f t="shared" ref="E73" si="21">H58</f>
        <v>92.739356023084426</v>
      </c>
      <c r="F73" s="395">
        <f>E73/$E$74</f>
        <v>0.7660858597432838</v>
      </c>
    </row>
    <row r="74" spans="1:13" ht="13.5" thickBot="1" x14ac:dyDescent="0.25">
      <c r="A74" s="648" t="s">
        <v>98</v>
      </c>
      <c r="B74" s="397">
        <f>C59</f>
        <v>16.242221667916226</v>
      </c>
      <c r="C74" s="397">
        <f>E59</f>
        <v>57.193933737899847</v>
      </c>
      <c r="D74" s="397">
        <f>G59</f>
        <v>47.619930989201706</v>
      </c>
      <c r="E74" s="398">
        <f>H59</f>
        <v>121.05608639501777</v>
      </c>
      <c r="F74" s="399">
        <f>E74/$E$74</f>
        <v>1</v>
      </c>
    </row>
  </sheetData>
  <mergeCells count="1">
    <mergeCell ref="B2:F3"/>
  </mergeCells>
  <conditionalFormatting sqref="F71:F74">
    <cfRule type="cellIs" dxfId="1" priority="1" operator="between">
      <formula>0</formula>
      <formula>0.01</formula>
    </cfRule>
  </conditionalFormatting>
  <printOptions gridLines="1"/>
  <pageMargins left="0.7" right="0.45" top="0.5" bottom="0.75" header="0.3" footer="0.3"/>
  <pageSetup paperSize="5" scale="80" pageOrder="overThenDown" orientation="landscape" r:id="rId1"/>
  <headerFooter>
    <oddHeader>&amp;L&amp;"Arial,Bold"&amp;11&amp;KC00000DRAFT&amp;CLake Carlton Allocation Calculations&amp;RFDEP, August 16, 2016</oddHeader>
    <oddFooter>&amp;RPage &amp;P of &amp;N</oddFooter>
  </headerFooter>
  <rowBreaks count="2" manualBreakCount="2">
    <brk id="30" max="16383" man="1"/>
    <brk id="59" max="16383" man="1"/>
  </rowBreaks>
  <ignoredErrors>
    <ignoredError sqref="C64 I11:J11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J50"/>
  <sheetViews>
    <sheetView topLeftCell="A16" workbookViewId="0">
      <selection activeCell="I18" sqref="I18"/>
    </sheetView>
  </sheetViews>
  <sheetFormatPr defaultRowHeight="12.75" x14ac:dyDescent="0.2"/>
  <cols>
    <col min="1" max="1" width="49.42578125" customWidth="1"/>
    <col min="2" max="2" width="18.85546875" customWidth="1"/>
    <col min="3" max="3" width="20.140625" customWidth="1"/>
    <col min="4" max="4" width="19" customWidth="1"/>
    <col min="5" max="5" width="17.7109375" customWidth="1"/>
    <col min="6" max="6" width="15.42578125" customWidth="1"/>
    <col min="7" max="7" width="15" customWidth="1"/>
    <col min="8" max="8" width="16.5703125" customWidth="1"/>
    <col min="9" max="9" width="13" customWidth="1"/>
    <col min="10" max="10" width="14.140625" customWidth="1"/>
  </cols>
  <sheetData>
    <row r="1" spans="1:10" ht="51.75" customHeight="1" x14ac:dyDescent="0.2">
      <c r="A1" s="228" t="s">
        <v>1</v>
      </c>
      <c r="B1" s="229" t="s">
        <v>132</v>
      </c>
      <c r="C1" s="230" t="s">
        <v>31</v>
      </c>
      <c r="D1" s="229" t="s">
        <v>16</v>
      </c>
      <c r="E1" s="84"/>
      <c r="F1" s="1156" t="s">
        <v>140</v>
      </c>
      <c r="G1" s="1157"/>
      <c r="H1" s="1157"/>
    </row>
    <row r="2" spans="1:10" x14ac:dyDescent="0.2">
      <c r="A2" s="82" t="s">
        <v>133</v>
      </c>
      <c r="B2" s="18"/>
      <c r="C2" s="18"/>
      <c r="D2" s="18"/>
    </row>
    <row r="3" spans="1:10" x14ac:dyDescent="0.2">
      <c r="A3" s="85" t="s">
        <v>21</v>
      </c>
      <c r="B3" s="85">
        <v>250</v>
      </c>
      <c r="C3" s="85">
        <v>-15</v>
      </c>
      <c r="D3" s="86">
        <f>B3+C3</f>
        <v>235</v>
      </c>
    </row>
    <row r="4" spans="1:10" x14ac:dyDescent="0.2">
      <c r="A4" s="82" t="s">
        <v>134</v>
      </c>
      <c r="B4" s="18"/>
      <c r="C4" s="18"/>
      <c r="D4" s="83"/>
    </row>
    <row r="5" spans="1:10" x14ac:dyDescent="0.2">
      <c r="A5" s="85" t="s">
        <v>21</v>
      </c>
      <c r="B5" s="86">
        <v>1771</v>
      </c>
      <c r="C5" s="85">
        <v>-288</v>
      </c>
      <c r="D5" s="86">
        <f t="shared" ref="D5:D9" si="0">B5+C5</f>
        <v>1483</v>
      </c>
    </row>
    <row r="6" spans="1:10" x14ac:dyDescent="0.2">
      <c r="A6" s="82" t="s">
        <v>135</v>
      </c>
      <c r="B6" s="18"/>
      <c r="C6" s="18"/>
      <c r="D6" s="83"/>
    </row>
    <row r="7" spans="1:10" x14ac:dyDescent="0.2">
      <c r="A7" s="85" t="s">
        <v>21</v>
      </c>
      <c r="B7" s="86">
        <v>2679</v>
      </c>
      <c r="C7" s="85">
        <v>357</v>
      </c>
      <c r="D7" s="86">
        <f t="shared" si="0"/>
        <v>3036</v>
      </c>
    </row>
    <row r="8" spans="1:10" x14ac:dyDescent="0.2">
      <c r="A8" s="82" t="s">
        <v>136</v>
      </c>
      <c r="B8" s="18"/>
      <c r="C8" s="18"/>
      <c r="D8" s="83"/>
    </row>
    <row r="9" spans="1:10" x14ac:dyDescent="0.2">
      <c r="A9" s="85" t="s">
        <v>21</v>
      </c>
      <c r="B9" s="86">
        <v>2363</v>
      </c>
      <c r="C9" s="85">
        <v>161</v>
      </c>
      <c r="D9" s="86">
        <f t="shared" si="0"/>
        <v>2524</v>
      </c>
    </row>
    <row r="11" spans="1:10" ht="13.5" thickBot="1" x14ac:dyDescent="0.25"/>
    <row r="12" spans="1:10" ht="13.5" thickBot="1" x14ac:dyDescent="0.25">
      <c r="A12" s="776" t="s">
        <v>603</v>
      </c>
      <c r="B12" s="1158" t="s">
        <v>228</v>
      </c>
      <c r="C12" s="1159"/>
      <c r="D12" s="1159"/>
      <c r="E12" s="1160"/>
      <c r="F12" s="1160"/>
      <c r="G12" s="1160"/>
      <c r="H12" s="1160"/>
      <c r="I12" s="1161"/>
      <c r="J12" s="1161"/>
    </row>
    <row r="13" spans="1:10" ht="67.5" customHeight="1" x14ac:dyDescent="0.2">
      <c r="A13" s="234" t="s">
        <v>33</v>
      </c>
      <c r="B13" s="238" t="s">
        <v>194</v>
      </c>
      <c r="C13" s="238" t="s">
        <v>196</v>
      </c>
      <c r="D13" s="238" t="s">
        <v>198</v>
      </c>
      <c r="E13" s="238" t="s">
        <v>137</v>
      </c>
      <c r="F13" s="238" t="s">
        <v>192</v>
      </c>
      <c r="G13" s="238" t="s">
        <v>138</v>
      </c>
      <c r="H13" s="239" t="s">
        <v>139</v>
      </c>
      <c r="I13" s="289" t="s">
        <v>190</v>
      </c>
      <c r="J13" s="221" t="s">
        <v>191</v>
      </c>
    </row>
    <row r="14" spans="1:10" x14ac:dyDescent="0.2">
      <c r="A14" s="26" t="s">
        <v>40</v>
      </c>
      <c r="B14" s="160">
        <v>325.75123338399999</v>
      </c>
      <c r="C14" s="160">
        <v>910.32579633399996</v>
      </c>
      <c r="D14" s="160">
        <v>75.181335032500002</v>
      </c>
      <c r="E14" s="160">
        <v>1311.2583647505</v>
      </c>
      <c r="F14" s="240">
        <v>0.23073392572975235</v>
      </c>
      <c r="G14" s="166">
        <v>0.23073392572975235</v>
      </c>
      <c r="H14" s="237">
        <f>D$7*G14</f>
        <v>700.50819851552808</v>
      </c>
      <c r="I14" s="294">
        <f>Education_summary!B6</f>
        <v>0.06</v>
      </c>
      <c r="J14" s="28">
        <f>H14*I14</f>
        <v>42.03049191093168</v>
      </c>
    </row>
    <row r="15" spans="1:10" x14ac:dyDescent="0.2">
      <c r="A15" s="26" t="s">
        <v>41</v>
      </c>
      <c r="B15" s="160">
        <v>132.73600048099999</v>
      </c>
      <c r="C15" s="160">
        <v>14.6503341377</v>
      </c>
      <c r="D15" s="160">
        <v>0.14247479222000001</v>
      </c>
      <c r="E15" s="160">
        <v>147.52880941092002</v>
      </c>
      <c r="F15" s="240">
        <v>2.5959721034912106E-2</v>
      </c>
      <c r="G15" s="166">
        <v>2.5959721034912106E-2</v>
      </c>
      <c r="H15" s="237">
        <f t="shared" ref="H15:H18" si="1">D$7*G15</f>
        <v>78.813713061993155</v>
      </c>
      <c r="I15" s="295">
        <v>5.0000000000000001E-3</v>
      </c>
      <c r="J15" s="28">
        <f t="shared" ref="J15:J18" si="2">H15*I15</f>
        <v>0.39406856530996581</v>
      </c>
    </row>
    <row r="16" spans="1:10" x14ac:dyDescent="0.2">
      <c r="A16" s="26" t="s">
        <v>36</v>
      </c>
      <c r="B16" s="160">
        <v>871.75502777500003</v>
      </c>
      <c r="C16" s="160">
        <v>1698.4044700255729</v>
      </c>
      <c r="D16" s="160">
        <v>592.48289160299998</v>
      </c>
      <c r="E16" s="160">
        <v>3162.6423894035729</v>
      </c>
      <c r="F16" s="240">
        <v>0.55651038254788165</v>
      </c>
      <c r="G16" s="166">
        <v>0.55651038254788165</v>
      </c>
      <c r="H16" s="237">
        <f t="shared" si="1"/>
        <v>1689.5655214153687</v>
      </c>
      <c r="I16" s="294">
        <v>5.5E-2</v>
      </c>
      <c r="J16" s="28">
        <f>(H16*I16)</f>
        <v>92.926103677845276</v>
      </c>
    </row>
    <row r="17" spans="1:10" x14ac:dyDescent="0.2">
      <c r="A17" s="26" t="s">
        <v>37</v>
      </c>
      <c r="B17" s="160">
        <v>124.748554439</v>
      </c>
      <c r="C17" s="160">
        <v>16.7686534863</v>
      </c>
      <c r="D17" s="160" t="s">
        <v>188</v>
      </c>
      <c r="E17" s="160">
        <v>141.5172079253</v>
      </c>
      <c r="F17" s="240">
        <v>2.4901897155204127E-2</v>
      </c>
      <c r="G17" s="166">
        <v>2.4901897155204127E-2</v>
      </c>
      <c r="H17" s="237">
        <f t="shared" si="1"/>
        <v>75.602159763199722</v>
      </c>
      <c r="I17" s="294">
        <v>5.5E-2</v>
      </c>
      <c r="J17" s="28">
        <f t="shared" si="2"/>
        <v>4.1581187869759848</v>
      </c>
    </row>
    <row r="18" spans="1:10" x14ac:dyDescent="0.2">
      <c r="A18" s="26" t="s">
        <v>50</v>
      </c>
      <c r="B18" s="160">
        <v>480.289682218</v>
      </c>
      <c r="C18" s="160">
        <v>412.14825279299998</v>
      </c>
      <c r="D18" s="160">
        <v>27.6043060738</v>
      </c>
      <c r="E18" s="160">
        <v>920.04224108480003</v>
      </c>
      <c r="F18" s="240">
        <v>0.16189407353224985</v>
      </c>
      <c r="G18" s="166">
        <v>0.16189407353224985</v>
      </c>
      <c r="H18" s="237">
        <f t="shared" si="1"/>
        <v>491.51040724391055</v>
      </c>
      <c r="I18" s="294">
        <v>1.7500000000000002E-2</v>
      </c>
      <c r="J18" s="28">
        <f t="shared" si="2"/>
        <v>8.6014321267684348</v>
      </c>
    </row>
    <row r="19" spans="1:10" ht="13.5" thickBot="1" x14ac:dyDescent="0.25">
      <c r="A19" s="242" t="s">
        <v>98</v>
      </c>
      <c r="B19" s="243"/>
      <c r="C19" s="243"/>
      <c r="D19" s="243"/>
      <c r="E19" s="243"/>
      <c r="F19" s="243"/>
      <c r="G19" s="243"/>
      <c r="H19" s="244">
        <f>SUM(H14:H18)</f>
        <v>3036</v>
      </c>
      <c r="I19" s="296"/>
      <c r="J19" s="38">
        <f>SUM(J14:J18)</f>
        <v>148.11021506783135</v>
      </c>
    </row>
    <row r="20" spans="1:10" s="35" customFormat="1" ht="13.5" thickBot="1" x14ac:dyDescent="0.25">
      <c r="A20" s="693" t="s">
        <v>402</v>
      </c>
      <c r="B20" s="694"/>
      <c r="C20" s="694"/>
      <c r="D20" s="694"/>
      <c r="E20" s="694"/>
      <c r="F20" s="694"/>
      <c r="G20" s="694"/>
      <c r="H20" s="695">
        <f>H18</f>
        <v>491.51040724391055</v>
      </c>
      <c r="I20" s="696">
        <v>0.03</v>
      </c>
      <c r="J20" s="697">
        <f>(H20*I20)</f>
        <v>14.745312217317316</v>
      </c>
    </row>
    <row r="21" spans="1:10" s="35" customFormat="1" x14ac:dyDescent="0.2">
      <c r="A21" s="672" t="s">
        <v>596</v>
      </c>
      <c r="B21" s="689"/>
      <c r="C21" s="689"/>
      <c r="D21" s="689"/>
      <c r="E21" s="689"/>
      <c r="F21" s="689"/>
      <c r="G21" s="689"/>
      <c r="H21" s="690"/>
      <c r="I21" s="691"/>
      <c r="J21" s="692">
        <f>J16+J20</f>
        <v>107.6714158951626</v>
      </c>
    </row>
    <row r="22" spans="1:10" ht="13.5" thickBot="1" x14ac:dyDescent="0.25"/>
    <row r="23" spans="1:10" ht="13.5" thickBot="1" x14ac:dyDescent="0.25">
      <c r="A23" s="87"/>
      <c r="B23" s="1167" t="s">
        <v>205</v>
      </c>
      <c r="C23" s="1168"/>
      <c r="D23" s="1168"/>
      <c r="E23" s="1168"/>
      <c r="F23" s="1168"/>
      <c r="G23" s="1168"/>
      <c r="H23" s="1168"/>
      <c r="I23" s="1161"/>
      <c r="J23" s="1161"/>
    </row>
    <row r="24" spans="1:10" ht="64.5" x14ac:dyDescent="0.25">
      <c r="A24" s="235" t="s">
        <v>33</v>
      </c>
      <c r="B24" s="194" t="s">
        <v>194</v>
      </c>
      <c r="C24" s="194" t="s">
        <v>196</v>
      </c>
      <c r="D24" s="194" t="s">
        <v>198</v>
      </c>
      <c r="E24" s="194" t="s">
        <v>137</v>
      </c>
      <c r="F24" s="194" t="s">
        <v>192</v>
      </c>
      <c r="G24" s="194" t="s">
        <v>138</v>
      </c>
      <c r="H24" s="236" t="s">
        <v>139</v>
      </c>
      <c r="I24" s="301" t="s">
        <v>190</v>
      </c>
      <c r="J24" s="302" t="s">
        <v>191</v>
      </c>
    </row>
    <row r="25" spans="1:10" x14ac:dyDescent="0.2">
      <c r="A25" s="26" t="s">
        <v>41</v>
      </c>
      <c r="B25" s="27">
        <v>126.706396584</v>
      </c>
      <c r="C25" s="27">
        <v>2.5441063600999998</v>
      </c>
      <c r="D25" s="27">
        <v>3.2799348183400001</v>
      </c>
      <c r="E25" s="27">
        <v>132.53043776243999</v>
      </c>
      <c r="F25" s="161">
        <v>1.3306382908722981E-2</v>
      </c>
      <c r="G25" s="19">
        <v>1.3306382908722981E-2</v>
      </c>
      <c r="H25" s="40">
        <f>G25*D$9</f>
        <v>33.585310461616807</v>
      </c>
      <c r="I25" s="297">
        <v>5.0000000000000001E-3</v>
      </c>
      <c r="J25" s="28">
        <f t="shared" ref="J25:J29" si="3">H25*I25</f>
        <v>0.16792655230808404</v>
      </c>
    </row>
    <row r="26" spans="1:10" x14ac:dyDescent="0.2">
      <c r="A26" s="26" t="s">
        <v>141</v>
      </c>
      <c r="B26" s="27">
        <v>187.04780454600001</v>
      </c>
      <c r="C26" s="27">
        <v>209.534903786</v>
      </c>
      <c r="D26" s="27">
        <v>141.51364641999999</v>
      </c>
      <c r="E26" s="27">
        <v>538.09635475200002</v>
      </c>
      <c r="F26" s="161">
        <v>5.4026201520232027E-2</v>
      </c>
      <c r="G26" s="19">
        <v>5.4026201520232027E-2</v>
      </c>
      <c r="H26" s="40">
        <f t="shared" ref="H26:H29" si="4">G26*D$9</f>
        <v>136.36213263706563</v>
      </c>
      <c r="I26" s="30">
        <v>5.5E-2</v>
      </c>
      <c r="J26" s="28">
        <f t="shared" si="3"/>
        <v>7.4999172950386095</v>
      </c>
    </row>
    <row r="27" spans="1:10" x14ac:dyDescent="0.2">
      <c r="A27" s="26" t="s">
        <v>36</v>
      </c>
      <c r="B27" s="27">
        <v>628.05456936600001</v>
      </c>
      <c r="C27" s="27">
        <v>1667.1707232199999</v>
      </c>
      <c r="D27" s="27">
        <v>2145.7245450599999</v>
      </c>
      <c r="E27" s="27">
        <v>4440.9498376459997</v>
      </c>
      <c r="F27" s="161">
        <v>0.44588231968321601</v>
      </c>
      <c r="G27" s="19">
        <v>0.44588231968321601</v>
      </c>
      <c r="H27" s="40">
        <f t="shared" si="4"/>
        <v>1125.4069748804372</v>
      </c>
      <c r="I27" s="30">
        <v>5.5E-2</v>
      </c>
      <c r="J27" s="28">
        <f t="shared" si="3"/>
        <v>61.897383618424051</v>
      </c>
    </row>
    <row r="28" spans="1:10" x14ac:dyDescent="0.2">
      <c r="A28" s="26" t="s">
        <v>37</v>
      </c>
      <c r="B28" s="27">
        <v>1050.15848114</v>
      </c>
      <c r="C28" s="27">
        <v>840.628459658</v>
      </c>
      <c r="D28" s="27">
        <v>125.936078748</v>
      </c>
      <c r="E28" s="27">
        <v>2016.7230195460002</v>
      </c>
      <c r="F28" s="161">
        <v>0.20248396649090675</v>
      </c>
      <c r="G28" s="19">
        <v>0.20248396649090675</v>
      </c>
      <c r="H28" s="40">
        <f t="shared" si="4"/>
        <v>511.0695314230486</v>
      </c>
      <c r="I28" s="30">
        <v>5.5E-2</v>
      </c>
      <c r="J28" s="28">
        <f t="shared" si="3"/>
        <v>28.108824228267672</v>
      </c>
    </row>
    <row r="29" spans="1:10" x14ac:dyDescent="0.2">
      <c r="A29" s="26" t="s">
        <v>42</v>
      </c>
      <c r="B29" s="27">
        <v>21.642179063</v>
      </c>
      <c r="C29" s="27">
        <v>55.034353424199999</v>
      </c>
      <c r="D29" s="27">
        <v>2754.9384446099998</v>
      </c>
      <c r="E29" s="27">
        <v>2831.6149770971997</v>
      </c>
      <c r="F29" s="161">
        <v>0.2843011293969222</v>
      </c>
      <c r="G29" s="19">
        <v>0.2843011293969222</v>
      </c>
      <c r="H29" s="40">
        <f t="shared" si="4"/>
        <v>717.57605059783168</v>
      </c>
      <c r="I29" s="298">
        <v>5.5E-2</v>
      </c>
      <c r="J29" s="28">
        <f t="shared" si="3"/>
        <v>39.466682782880746</v>
      </c>
    </row>
    <row r="30" spans="1:10" ht="13.5" thickBot="1" x14ac:dyDescent="0.25">
      <c r="A30" s="45" t="s">
        <v>98</v>
      </c>
      <c r="B30" s="41"/>
      <c r="C30" s="41"/>
      <c r="D30" s="41"/>
      <c r="E30" s="41"/>
      <c r="F30" s="41"/>
      <c r="G30" s="41"/>
      <c r="H30" s="191">
        <f>SUM(H25:H29)</f>
        <v>2524</v>
      </c>
      <c r="I30" s="41"/>
      <c r="J30" s="38">
        <f>SUM(J25:J29)</f>
        <v>137.14073447691916</v>
      </c>
    </row>
    <row r="31" spans="1:10" ht="13.5" thickBot="1" x14ac:dyDescent="0.25"/>
    <row r="32" spans="1:10" ht="13.5" thickBot="1" x14ac:dyDescent="0.25">
      <c r="A32" s="88"/>
      <c r="B32" s="1164" t="s">
        <v>206</v>
      </c>
      <c r="C32" s="1165"/>
      <c r="D32" s="1165"/>
      <c r="E32" s="1165"/>
      <c r="F32" s="1165"/>
      <c r="G32" s="1165"/>
      <c r="H32" s="1165"/>
      <c r="I32" s="1166"/>
      <c r="J32" s="1166"/>
    </row>
    <row r="33" spans="1:10" ht="63.75" x14ac:dyDescent="0.25">
      <c r="A33" s="162" t="s">
        <v>33</v>
      </c>
      <c r="B33" s="163" t="s">
        <v>194</v>
      </c>
      <c r="C33" s="163" t="s">
        <v>196</v>
      </c>
      <c r="D33" s="163" t="s">
        <v>198</v>
      </c>
      <c r="E33" s="163" t="s">
        <v>137</v>
      </c>
      <c r="F33" s="241" t="s">
        <v>192</v>
      </c>
      <c r="G33" s="163" t="s">
        <v>138</v>
      </c>
      <c r="H33" s="193" t="s">
        <v>139</v>
      </c>
      <c r="I33" s="299" t="s">
        <v>190</v>
      </c>
      <c r="J33" s="300" t="s">
        <v>191</v>
      </c>
    </row>
    <row r="34" spans="1:10" x14ac:dyDescent="0.2">
      <c r="A34" s="26" t="s">
        <v>40</v>
      </c>
      <c r="B34" s="27">
        <v>129.171364238</v>
      </c>
      <c r="C34" s="27">
        <v>18.6660566322</v>
      </c>
      <c r="D34" s="160" t="s">
        <v>188</v>
      </c>
      <c r="E34" s="27">
        <v>147.83742087019999</v>
      </c>
      <c r="F34" s="161">
        <v>3.9455832929853579E-2</v>
      </c>
      <c r="G34" s="19">
        <v>3.9455832929853579E-2</v>
      </c>
      <c r="H34" s="40">
        <f>G34*D$5</f>
        <v>58.513000234972857</v>
      </c>
      <c r="I34" s="30">
        <v>0.06</v>
      </c>
      <c r="J34" s="28">
        <f t="shared" ref="J34:J39" si="5">H34*I34</f>
        <v>3.5107800140983714</v>
      </c>
    </row>
    <row r="35" spans="1:10" x14ac:dyDescent="0.2">
      <c r="A35" s="26" t="s">
        <v>41</v>
      </c>
      <c r="B35" s="27">
        <v>33.243547493000001</v>
      </c>
      <c r="C35" s="27">
        <v>5.50211451905</v>
      </c>
      <c r="D35" s="27">
        <v>5.5474279044100001</v>
      </c>
      <c r="E35" s="27">
        <v>44.293089916460005</v>
      </c>
      <c r="F35" s="161">
        <v>1.1821234065123637E-2</v>
      </c>
      <c r="G35" s="19">
        <v>1.1821234065123637E-2</v>
      </c>
      <c r="H35" s="40">
        <f t="shared" ref="H35:H39" si="6">G35*D$5</f>
        <v>17.530890118578355</v>
      </c>
      <c r="I35" s="30">
        <v>5.0000000000000001E-3</v>
      </c>
      <c r="J35" s="28">
        <f t="shared" si="5"/>
        <v>8.7654450592891772E-2</v>
      </c>
    </row>
    <row r="36" spans="1:10" x14ac:dyDescent="0.2">
      <c r="A36" s="39" t="s">
        <v>598</v>
      </c>
      <c r="B36" s="27">
        <v>546.61520698499999</v>
      </c>
      <c r="C36" s="27">
        <v>698.91601549200004</v>
      </c>
      <c r="D36" s="27">
        <v>627.43837659899998</v>
      </c>
      <c r="E36" s="27">
        <v>1872.9695990760001</v>
      </c>
      <c r="F36" s="161">
        <v>0.49987056828271315</v>
      </c>
      <c r="G36" s="19">
        <v>0.49987056828271315</v>
      </c>
      <c r="H36" s="40">
        <f t="shared" si="6"/>
        <v>741.30805276326362</v>
      </c>
      <c r="I36" s="30">
        <v>5.5E-2</v>
      </c>
      <c r="J36" s="28">
        <f>(H36*I36)</f>
        <v>40.7719429019795</v>
      </c>
    </row>
    <row r="37" spans="1:10" x14ac:dyDescent="0.2">
      <c r="A37" s="26" t="s">
        <v>142</v>
      </c>
      <c r="B37" s="27">
        <v>300.36805057100003</v>
      </c>
      <c r="C37" s="27">
        <v>371.12032398999997</v>
      </c>
      <c r="D37" s="27">
        <v>42.762054321999997</v>
      </c>
      <c r="E37" s="27">
        <v>714.25042888300004</v>
      </c>
      <c r="F37" s="161">
        <v>0.19062389905210061</v>
      </c>
      <c r="G37" s="19">
        <v>0.19062389905210061</v>
      </c>
      <c r="H37" s="40">
        <f t="shared" si="6"/>
        <v>282.6952422942652</v>
      </c>
      <c r="I37" s="30">
        <v>1.4999999999999999E-2</v>
      </c>
      <c r="J37" s="28">
        <f t="shared" si="5"/>
        <v>4.2404286344139779</v>
      </c>
    </row>
    <row r="38" spans="1:10" x14ac:dyDescent="0.2">
      <c r="A38" s="39" t="s">
        <v>47</v>
      </c>
      <c r="B38" s="160" t="s">
        <v>188</v>
      </c>
      <c r="C38" s="160" t="s">
        <v>188</v>
      </c>
      <c r="D38" s="27">
        <v>39.7306091811</v>
      </c>
      <c r="E38" s="27">
        <v>39.7306091811</v>
      </c>
      <c r="F38" s="161">
        <v>1.0603568899021391E-2</v>
      </c>
      <c r="G38" s="19">
        <v>1.0603568899021391E-2</v>
      </c>
      <c r="H38" s="40">
        <f t="shared" si="6"/>
        <v>15.725092677248723</v>
      </c>
      <c r="I38" s="30">
        <v>5.5E-2</v>
      </c>
      <c r="J38" s="28">
        <f t="shared" si="5"/>
        <v>0.86488009724867976</v>
      </c>
    </row>
    <row r="39" spans="1:10" x14ac:dyDescent="0.2">
      <c r="A39" s="26" t="s">
        <v>50</v>
      </c>
      <c r="B39" s="27">
        <v>549.25988873300003</v>
      </c>
      <c r="C39" s="27">
        <v>284.12631132000001</v>
      </c>
      <c r="D39" s="27">
        <v>94.441787940200001</v>
      </c>
      <c r="E39" s="27">
        <v>927.82798799320005</v>
      </c>
      <c r="F39" s="161">
        <v>0.24762489677118765</v>
      </c>
      <c r="G39" s="19">
        <v>0.24762489677118765</v>
      </c>
      <c r="H39" s="40">
        <f t="shared" si="6"/>
        <v>367.22772191167127</v>
      </c>
      <c r="I39" s="30">
        <v>1.7500000000000002E-2</v>
      </c>
      <c r="J39" s="28">
        <f t="shared" si="5"/>
        <v>6.4264851334542481</v>
      </c>
    </row>
    <row r="40" spans="1:10" ht="13.5" thickBot="1" x14ac:dyDescent="0.25">
      <c r="A40" s="45" t="s">
        <v>98</v>
      </c>
      <c r="B40" s="41"/>
      <c r="C40" s="41"/>
      <c r="D40" s="41"/>
      <c r="E40" s="41"/>
      <c r="F40" s="41"/>
      <c r="G40" s="190"/>
      <c r="H40" s="191">
        <f>SUM(H34:H39)</f>
        <v>1483.0000000000002</v>
      </c>
      <c r="I40" s="41"/>
      <c r="J40" s="38">
        <f>SUM(J34:J39)</f>
        <v>55.902171231787676</v>
      </c>
    </row>
    <row r="41" spans="1:10" s="35" customFormat="1" x14ac:dyDescent="0.2">
      <c r="A41" s="683" t="s">
        <v>402</v>
      </c>
      <c r="B41" s="684"/>
      <c r="C41" s="684"/>
      <c r="D41" s="684"/>
      <c r="E41" s="684"/>
      <c r="F41" s="684"/>
      <c r="G41" s="685"/>
      <c r="H41" s="686">
        <f>H37+H39</f>
        <v>649.92296420593652</v>
      </c>
      <c r="I41" s="687">
        <v>0.03</v>
      </c>
      <c r="J41" s="688">
        <f>H41*I41</f>
        <v>19.497688926178096</v>
      </c>
    </row>
    <row r="42" spans="1:10" x14ac:dyDescent="0.2">
      <c r="A42" s="672" t="s">
        <v>597</v>
      </c>
      <c r="J42" s="33">
        <f>J36+J41</f>
        <v>60.2696318281576</v>
      </c>
    </row>
    <row r="43" spans="1:10" s="35" customFormat="1" ht="13.5" thickBot="1" x14ac:dyDescent="0.25">
      <c r="A43" s="672"/>
    </row>
    <row r="44" spans="1:10" ht="13.5" thickBot="1" x14ac:dyDescent="0.25">
      <c r="A44" s="776" t="s">
        <v>604</v>
      </c>
      <c r="B44" s="1162" t="s">
        <v>207</v>
      </c>
      <c r="C44" s="1163"/>
      <c r="D44" s="1163"/>
      <c r="E44" s="1163"/>
      <c r="F44" s="1163"/>
      <c r="G44" s="1163"/>
      <c r="H44" s="1163"/>
      <c r="I44" s="1161"/>
      <c r="J44" s="1161"/>
    </row>
    <row r="45" spans="1:10" ht="63.75" x14ac:dyDescent="0.2">
      <c r="A45" s="164" t="s">
        <v>33</v>
      </c>
      <c r="B45" s="865" t="s">
        <v>194</v>
      </c>
      <c r="C45" s="865" t="s">
        <v>196</v>
      </c>
      <c r="D45" s="865" t="s">
        <v>198</v>
      </c>
      <c r="E45" s="865" t="s">
        <v>137</v>
      </c>
      <c r="F45" s="865" t="s">
        <v>192</v>
      </c>
      <c r="G45" s="865" t="s">
        <v>138</v>
      </c>
      <c r="H45" s="866" t="s">
        <v>139</v>
      </c>
      <c r="I45" s="867" t="s">
        <v>190</v>
      </c>
      <c r="J45" s="868" t="s">
        <v>191</v>
      </c>
    </row>
    <row r="46" spans="1:10" x14ac:dyDescent="0.2">
      <c r="A46" s="26" t="s">
        <v>36</v>
      </c>
      <c r="B46" s="869">
        <v>21.211697963999999</v>
      </c>
      <c r="C46" s="869">
        <v>250.04162823799999</v>
      </c>
      <c r="D46" s="869">
        <v>360.77338969200002</v>
      </c>
      <c r="E46" s="869">
        <v>632.02671589400006</v>
      </c>
      <c r="F46" s="870">
        <v>0.79970360663856443</v>
      </c>
      <c r="G46" s="782">
        <v>0.79970360663856443</v>
      </c>
      <c r="H46" s="871">
        <f>G46*D$3</f>
        <v>187.93034756006264</v>
      </c>
      <c r="I46" s="784">
        <v>5.5E-2</v>
      </c>
      <c r="J46" s="326">
        <f t="shared" ref="J46:J49" si="7">H46*I46</f>
        <v>10.336169115803445</v>
      </c>
    </row>
    <row r="47" spans="1:10" x14ac:dyDescent="0.2">
      <c r="A47" s="26" t="s">
        <v>142</v>
      </c>
      <c r="B47" s="872" t="s">
        <v>188</v>
      </c>
      <c r="C47" s="872" t="s">
        <v>188</v>
      </c>
      <c r="D47" s="869">
        <v>0.46740039332299999</v>
      </c>
      <c r="E47" s="869">
        <v>0.46740039332299999</v>
      </c>
      <c r="F47" s="873">
        <v>5.9140186780866279E-4</v>
      </c>
      <c r="G47" s="784">
        <v>5.9140186780866279E-4</v>
      </c>
      <c r="H47" s="871">
        <f t="shared" ref="H47:H49" si="8">G47*D$3</f>
        <v>0.13897943893503575</v>
      </c>
      <c r="I47" s="784">
        <v>1.4999999999999999E-2</v>
      </c>
      <c r="J47" s="326">
        <f t="shared" si="7"/>
        <v>2.0846915840255363E-3</v>
      </c>
    </row>
    <row r="48" spans="1:10" x14ac:dyDescent="0.2">
      <c r="A48" s="26" t="s">
        <v>47</v>
      </c>
      <c r="B48" s="869">
        <v>1.2918090124199999</v>
      </c>
      <c r="C48" s="869">
        <v>53.0024789016</v>
      </c>
      <c r="D48" s="869">
        <v>103.237827594</v>
      </c>
      <c r="E48" s="869">
        <v>157.53211550802001</v>
      </c>
      <c r="F48" s="870">
        <v>0.19932543635433131</v>
      </c>
      <c r="G48" s="782">
        <v>0.19932543635433131</v>
      </c>
      <c r="H48" s="871">
        <f t="shared" si="8"/>
        <v>46.841477543267857</v>
      </c>
      <c r="I48" s="784">
        <v>5.5E-2</v>
      </c>
      <c r="J48" s="326">
        <f t="shared" si="7"/>
        <v>2.5762812648797322</v>
      </c>
    </row>
    <row r="49" spans="1:10" x14ac:dyDescent="0.2">
      <c r="A49" s="26" t="s">
        <v>50</v>
      </c>
      <c r="B49" s="872" t="s">
        <v>188</v>
      </c>
      <c r="C49" s="872" t="s">
        <v>188</v>
      </c>
      <c r="D49" s="869">
        <v>0.29997237251199999</v>
      </c>
      <c r="E49" s="869">
        <v>0.29997237251199999</v>
      </c>
      <c r="F49" s="873">
        <v>3.7955513929573538E-4</v>
      </c>
      <c r="G49" s="784">
        <v>3.7955513929573538E-4</v>
      </c>
      <c r="H49" s="871">
        <f t="shared" si="8"/>
        <v>8.9195457734497816E-2</v>
      </c>
      <c r="I49" s="784">
        <v>1.7500000000000002E-2</v>
      </c>
      <c r="J49" s="326">
        <f t="shared" si="7"/>
        <v>1.5609205103537119E-3</v>
      </c>
    </row>
    <row r="50" spans="1:10" ht="13.5" thickBot="1" x14ac:dyDescent="0.25">
      <c r="A50" s="242" t="s">
        <v>98</v>
      </c>
      <c r="B50" s="874"/>
      <c r="C50" s="874"/>
      <c r="D50" s="874"/>
      <c r="E50" s="874"/>
      <c r="F50" s="874"/>
      <c r="G50" s="874"/>
      <c r="H50" s="875">
        <f>SUM(H46:H49)</f>
        <v>235</v>
      </c>
      <c r="I50" s="874"/>
      <c r="J50" s="876">
        <f>SUM(J46:J49)</f>
        <v>12.916095992777556</v>
      </c>
    </row>
  </sheetData>
  <mergeCells count="5">
    <mergeCell ref="F1:H1"/>
    <mergeCell ref="B12:J12"/>
    <mergeCell ref="B44:J44"/>
    <mergeCell ref="B32:J32"/>
    <mergeCell ref="B23:J23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A1:AA38"/>
  <sheetViews>
    <sheetView zoomScale="70" zoomScaleNormal="70" workbookViewId="0">
      <selection activeCell="F9" sqref="F9"/>
    </sheetView>
  </sheetViews>
  <sheetFormatPr defaultRowHeight="12.75" x14ac:dyDescent="0.2"/>
  <cols>
    <col min="1" max="1" width="35.140625" customWidth="1"/>
    <col min="2" max="2" width="15" style="35" customWidth="1"/>
    <col min="3" max="3" width="15.42578125" customWidth="1"/>
    <col min="4" max="4" width="14.85546875" style="35" customWidth="1"/>
    <col min="5" max="5" width="16.42578125" customWidth="1"/>
    <col min="6" max="6" width="16" style="35" customWidth="1"/>
    <col min="7" max="7" width="17.140625" customWidth="1"/>
    <col min="8" max="8" width="17" style="35" customWidth="1"/>
    <col min="9" max="9" width="15" customWidth="1"/>
    <col min="10" max="10" width="15.28515625" style="35" customWidth="1"/>
    <col min="11" max="11" width="15.5703125" customWidth="1"/>
    <col min="12" max="12" width="15.28515625" style="35" customWidth="1"/>
    <col min="13" max="13" width="14.85546875" customWidth="1"/>
    <col min="14" max="14" width="15.140625" style="35" customWidth="1"/>
    <col min="15" max="15" width="15.42578125" bestFit="1" customWidth="1"/>
    <col min="16" max="16" width="16.5703125" style="35" customWidth="1"/>
    <col min="17" max="17" width="13.140625" customWidth="1"/>
    <col min="18" max="18" width="14.42578125" style="35" customWidth="1"/>
    <col min="19" max="19" width="16" customWidth="1"/>
    <col min="20" max="20" width="15" customWidth="1"/>
    <col min="21" max="26" width="15" style="35" customWidth="1"/>
    <col min="27" max="27" width="16" customWidth="1"/>
  </cols>
  <sheetData>
    <row r="1" spans="1:27" ht="13.5" thickBot="1" x14ac:dyDescent="0.25"/>
    <row r="2" spans="1:27" ht="23.25" customHeight="1" thickBot="1" x14ac:dyDescent="0.25">
      <c r="A2" s="1169" t="s">
        <v>412</v>
      </c>
      <c r="B2" s="1170"/>
      <c r="C2" s="1170"/>
      <c r="D2" s="1170"/>
      <c r="E2" s="1170"/>
      <c r="F2" s="1170"/>
      <c r="G2" s="1170"/>
      <c r="H2" s="1170"/>
      <c r="I2" s="1170"/>
      <c r="J2" s="1170"/>
      <c r="K2" s="1170"/>
      <c r="L2" s="1170"/>
      <c r="M2" s="1170"/>
      <c r="N2" s="1170"/>
      <c r="O2" s="1170"/>
      <c r="P2" s="1170"/>
      <c r="Q2" s="1170"/>
      <c r="R2" s="1170"/>
      <c r="S2" s="1170"/>
      <c r="T2" s="1171"/>
      <c r="U2" s="852"/>
      <c r="V2" s="852"/>
      <c r="W2" s="852"/>
      <c r="X2" s="852"/>
      <c r="Y2" s="852"/>
      <c r="Z2" s="852"/>
    </row>
    <row r="3" spans="1:27" ht="63" x14ac:dyDescent="0.25">
      <c r="A3" s="142" t="s">
        <v>33</v>
      </c>
      <c r="B3" s="143" t="s">
        <v>193</v>
      </c>
      <c r="C3" s="144" t="s">
        <v>158</v>
      </c>
      <c r="D3" s="144" t="s">
        <v>150</v>
      </c>
      <c r="E3" s="144" t="s">
        <v>159</v>
      </c>
      <c r="F3" s="144" t="s">
        <v>151</v>
      </c>
      <c r="G3" s="144" t="s">
        <v>160</v>
      </c>
      <c r="H3" s="144" t="s">
        <v>152</v>
      </c>
      <c r="I3" s="144" t="s">
        <v>161</v>
      </c>
      <c r="J3" s="144" t="s">
        <v>68</v>
      </c>
      <c r="K3" s="144" t="s">
        <v>162</v>
      </c>
      <c r="L3" s="144" t="s">
        <v>153</v>
      </c>
      <c r="M3" s="144" t="s">
        <v>163</v>
      </c>
      <c r="N3" s="144" t="s">
        <v>154</v>
      </c>
      <c r="O3" s="144" t="s">
        <v>164</v>
      </c>
      <c r="P3" s="144" t="s">
        <v>155</v>
      </c>
      <c r="Q3" s="144" t="s">
        <v>165</v>
      </c>
      <c r="R3" s="144" t="s">
        <v>156</v>
      </c>
      <c r="S3" s="144" t="s">
        <v>166</v>
      </c>
      <c r="T3" s="144" t="s">
        <v>157</v>
      </c>
      <c r="U3" s="853" t="s">
        <v>555</v>
      </c>
      <c r="V3" s="853" t="s">
        <v>556</v>
      </c>
      <c r="W3" s="853" t="s">
        <v>564</v>
      </c>
      <c r="X3" s="853" t="s">
        <v>565</v>
      </c>
      <c r="Y3" s="853" t="s">
        <v>566</v>
      </c>
      <c r="Z3" s="853" t="s">
        <v>567</v>
      </c>
      <c r="AA3" s="702" t="s">
        <v>282</v>
      </c>
    </row>
    <row r="4" spans="1:27" ht="21.75" customHeight="1" x14ac:dyDescent="0.25">
      <c r="A4" s="145" t="s">
        <v>48</v>
      </c>
      <c r="B4" s="290">
        <v>0</v>
      </c>
      <c r="C4" s="146"/>
      <c r="D4" s="146">
        <f t="shared" ref="D4:D12" si="0">C4*B4</f>
        <v>0</v>
      </c>
      <c r="E4" s="701">
        <f>'Harris Allocate'!J74</f>
        <v>127.54297336213273</v>
      </c>
      <c r="F4" s="146">
        <f t="shared" ref="F4:F9" si="1">E4*B4</f>
        <v>0</v>
      </c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854"/>
      <c r="V4" s="854"/>
      <c r="W4" s="854"/>
      <c r="X4" s="854"/>
      <c r="Y4" s="854"/>
      <c r="Z4" s="854"/>
      <c r="AA4" s="703">
        <f>D4+F4+H4+J4+L4++N4+P4+R4+T4</f>
        <v>0</v>
      </c>
    </row>
    <row r="5" spans="1:27" ht="22.5" customHeight="1" x14ac:dyDescent="0.2">
      <c r="A5" s="147" t="s">
        <v>34</v>
      </c>
      <c r="B5" s="291">
        <v>2.2499999999999999E-2</v>
      </c>
      <c r="C5" s="701">
        <f>' Palatlakaha allocation TP'!H65</f>
        <v>44.217804096847537</v>
      </c>
      <c r="D5" s="146">
        <f t="shared" si="0"/>
        <v>0.99490059217906957</v>
      </c>
      <c r="E5" s="146"/>
      <c r="F5" s="146">
        <f t="shared" si="1"/>
        <v>0</v>
      </c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854"/>
      <c r="V5" s="854"/>
      <c r="W5" s="854"/>
      <c r="X5" s="854"/>
      <c r="Y5" s="854"/>
      <c r="Z5" s="854"/>
      <c r="AA5" s="703">
        <f t="shared" ref="AA5:AA21" si="2">D5+F5+H5+J5+L5++N5+P5+R5+T5</f>
        <v>0.99490059217906957</v>
      </c>
    </row>
    <row r="6" spans="1:27" ht="24" customHeight="1" x14ac:dyDescent="0.2">
      <c r="A6" s="147" t="s">
        <v>40</v>
      </c>
      <c r="B6" s="291">
        <v>0.06</v>
      </c>
      <c r="C6" s="146"/>
      <c r="D6" s="146">
        <f t="shared" si="0"/>
        <v>0</v>
      </c>
      <c r="E6" s="146"/>
      <c r="F6" s="146">
        <f t="shared" si="1"/>
        <v>0</v>
      </c>
      <c r="G6" s="146"/>
      <c r="H6" s="146"/>
      <c r="I6" s="146">
        <f>'Yale allocation'!H58</f>
        <v>230.32088827911019</v>
      </c>
      <c r="J6" s="146">
        <f>I6*B6</f>
        <v>13.819253296746611</v>
      </c>
      <c r="K6" s="146">
        <f>'Trout Allocate'!H58</f>
        <v>227.6387946169651</v>
      </c>
      <c r="L6" s="146">
        <f>K6*B6</f>
        <v>13.658327677017905</v>
      </c>
      <c r="M6" s="146"/>
      <c r="N6" s="146"/>
      <c r="O6" s="146">
        <f>'Harris Chain education'!H14</f>
        <v>700.50819851552808</v>
      </c>
      <c r="P6" s="146">
        <f>O6*B6</f>
        <v>42.03049191093168</v>
      </c>
      <c r="Q6" s="146">
        <f>'Harris Chain education'!H34</f>
        <v>58.513000234972857</v>
      </c>
      <c r="R6" s="146">
        <f>Q6*B6</f>
        <v>3.5107800140983714</v>
      </c>
      <c r="S6" s="146"/>
      <c r="T6" s="146"/>
      <c r="U6" s="854"/>
      <c r="V6" s="854"/>
      <c r="W6" s="854"/>
      <c r="X6" s="854"/>
      <c r="Y6" s="854"/>
      <c r="Z6" s="854"/>
      <c r="AA6" s="703">
        <f t="shared" si="2"/>
        <v>73.018852898794563</v>
      </c>
    </row>
    <row r="7" spans="1:27" ht="23.25" customHeight="1" x14ac:dyDescent="0.2">
      <c r="A7" s="147" t="s">
        <v>41</v>
      </c>
      <c r="B7" s="292">
        <v>5.0000000000000001E-3</v>
      </c>
      <c r="C7" s="146">
        <f>' Palatlakaha allocation TP'!H72</f>
        <v>24.381162872342074</v>
      </c>
      <c r="D7" s="146">
        <f t="shared" si="0"/>
        <v>0.12190581436171037</v>
      </c>
      <c r="E7" s="146">
        <f>'Harris Allocate'!J75</f>
        <v>149.5058607369391</v>
      </c>
      <c r="F7" s="146">
        <f t="shared" si="1"/>
        <v>0.7475293036846955</v>
      </c>
      <c r="G7" s="146">
        <f>'Carlton Allocate'!H56</f>
        <v>16.047898300340979</v>
      </c>
      <c r="H7" s="146">
        <f>G7*B7</f>
        <v>8.0239491501704896E-2</v>
      </c>
      <c r="I7" s="146">
        <f>'Yale allocation'!H59</f>
        <v>45.495827087396925</v>
      </c>
      <c r="J7" s="146">
        <f>I7*B7</f>
        <v>0.22747913543698464</v>
      </c>
      <c r="K7" s="146">
        <f>'Trout Allocate'!H59</f>
        <v>31.138243169350719</v>
      </c>
      <c r="L7" s="146">
        <f>K7*B7</f>
        <v>0.15569121584675361</v>
      </c>
      <c r="M7" s="146">
        <f>'Harris Chain education'!H25</f>
        <v>33.585310461616807</v>
      </c>
      <c r="N7" s="146">
        <f>M7*B7</f>
        <v>0.16792655230808404</v>
      </c>
      <c r="O7" s="146">
        <f>'Harris Chain education'!H15</f>
        <v>78.813713061993155</v>
      </c>
      <c r="P7" s="146">
        <f>O7*B7</f>
        <v>0.39406856530996581</v>
      </c>
      <c r="Q7" s="146">
        <f>'Harris Chain education'!H35</f>
        <v>17.530890118578355</v>
      </c>
      <c r="R7" s="146">
        <f>Q7*B7</f>
        <v>8.7654450592891772E-2</v>
      </c>
      <c r="S7" s="146"/>
      <c r="T7" s="146"/>
      <c r="U7" s="854"/>
      <c r="V7" s="854"/>
      <c r="W7" s="854">
        <f>Marshall_allocation!H49</f>
        <v>9.5457896928576851</v>
      </c>
      <c r="X7" s="877">
        <f>W7*B7</f>
        <v>4.7728948464288427E-2</v>
      </c>
      <c r="Y7" s="854">
        <f>Denham_allocation!H48</f>
        <v>7.1813370003487194</v>
      </c>
      <c r="Z7" s="854">
        <f>Denham_allocation!J48</f>
        <v>3.5906685001743599E-2</v>
      </c>
      <c r="AA7" s="703">
        <f>D7+F7+H7+J7+L7++N7+P7+R7+T7+X7</f>
        <v>2.0302234775070791</v>
      </c>
    </row>
    <row r="8" spans="1:27" ht="21.75" customHeight="1" x14ac:dyDescent="0.2">
      <c r="A8" s="147" t="s">
        <v>35</v>
      </c>
      <c r="B8" s="291">
        <v>2.2499999999999999E-2</v>
      </c>
      <c r="C8" s="701">
        <f>' Palatlakaha allocation TP'!H66</f>
        <v>347.07207229757495</v>
      </c>
      <c r="D8" s="146">
        <f t="shared" si="0"/>
        <v>7.8091216266954362</v>
      </c>
      <c r="E8" s="146"/>
      <c r="F8" s="146">
        <f t="shared" si="1"/>
        <v>0</v>
      </c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854"/>
      <c r="V8" s="854"/>
      <c r="W8" s="854"/>
      <c r="X8" s="854"/>
      <c r="Y8" s="854"/>
      <c r="Z8" s="854"/>
      <c r="AA8" s="703">
        <f t="shared" si="2"/>
        <v>7.8091216266954362</v>
      </c>
    </row>
    <row r="9" spans="1:27" ht="24" customHeight="1" x14ac:dyDescent="0.2">
      <c r="A9" s="147" t="s">
        <v>49</v>
      </c>
      <c r="B9" s="291">
        <v>2.5000000000000001E-2</v>
      </c>
      <c r="C9" s="146"/>
      <c r="D9" s="146">
        <f t="shared" si="0"/>
        <v>0</v>
      </c>
      <c r="E9" s="701">
        <f>'Harris Allocate'!J76</f>
        <v>68.971861982216055</v>
      </c>
      <c r="F9" s="146">
        <f t="shared" si="1"/>
        <v>1.7242965495554015</v>
      </c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854"/>
      <c r="V9" s="854"/>
      <c r="W9" s="854"/>
      <c r="X9" s="854"/>
      <c r="Y9" s="854"/>
      <c r="Z9" s="854"/>
      <c r="AA9" s="703">
        <f t="shared" si="2"/>
        <v>1.7242965495554015</v>
      </c>
    </row>
    <row r="10" spans="1:27" ht="20.25" customHeight="1" x14ac:dyDescent="0.2">
      <c r="A10" s="147" t="s">
        <v>36</v>
      </c>
      <c r="B10" s="291">
        <v>5.5E-2</v>
      </c>
      <c r="C10" s="146">
        <f>' Palatlakaha allocation TP'!H67</f>
        <v>715.15842830214967</v>
      </c>
      <c r="D10" s="146">
        <f t="shared" si="0"/>
        <v>39.333713556618235</v>
      </c>
      <c r="E10" s="146">
        <f>'Harris Allocate'!J77</f>
        <v>1244.8635884559151</v>
      </c>
      <c r="F10" s="146">
        <f>E10*B10</f>
        <v>68.467497365075332</v>
      </c>
      <c r="G10" s="146">
        <f>'Carlton Allocate'!H57</f>
        <v>12.268832071592371</v>
      </c>
      <c r="H10" s="146">
        <f>G10*B10</f>
        <v>0.67478576393758039</v>
      </c>
      <c r="I10" s="146">
        <f>'Yale allocation'!H60</f>
        <v>356.18019480034468</v>
      </c>
      <c r="J10" s="146">
        <f>I10*B10</f>
        <v>19.589910714018959</v>
      </c>
      <c r="K10" s="146">
        <f>'Trout Allocate'!H60</f>
        <v>77.680461651469997</v>
      </c>
      <c r="L10" s="146">
        <f>K10*B10</f>
        <v>4.2724253908308496</v>
      </c>
      <c r="M10" s="146">
        <f>'Harris Chain education'!H27</f>
        <v>1125.4069748804372</v>
      </c>
      <c r="N10" s="146">
        <f>M10*B10</f>
        <v>61.897383618424051</v>
      </c>
      <c r="O10" s="146">
        <f>'Harris Chain education'!H16</f>
        <v>1689.5655214153687</v>
      </c>
      <c r="P10" s="146">
        <f>O10*B10</f>
        <v>92.926103677845276</v>
      </c>
      <c r="Q10" s="146">
        <f>'Harris Chain education'!H36</f>
        <v>741.30805276326362</v>
      </c>
      <c r="R10" s="146">
        <f>Q10*B10</f>
        <v>40.7719429019795</v>
      </c>
      <c r="S10" s="146">
        <f>'Harris Chain education'!H46</f>
        <v>187.93034756006264</v>
      </c>
      <c r="T10" s="146">
        <f>S10*B10</f>
        <v>10.336169115803445</v>
      </c>
      <c r="U10" s="854"/>
      <c r="V10" s="854"/>
      <c r="W10" s="854"/>
      <c r="X10" s="854"/>
      <c r="Y10" s="854">
        <f>Denham_allocation!H49</f>
        <v>30.868026921723125</v>
      </c>
      <c r="Z10" s="854">
        <f>Denham_allocation!J49</f>
        <v>1.6977414806947719</v>
      </c>
      <c r="AA10" s="703">
        <f>D10+F10+H10+J10+L10++N10+P10+R10+T10+Z10</f>
        <v>339.967673585228</v>
      </c>
    </row>
    <row r="11" spans="1:27" ht="22.5" customHeight="1" x14ac:dyDescent="0.2">
      <c r="A11" s="147" t="s">
        <v>37</v>
      </c>
      <c r="B11" s="291">
        <v>5.5E-2</v>
      </c>
      <c r="C11" s="146">
        <f>' Palatlakaha allocation TP'!H68</f>
        <v>89.003526051333296</v>
      </c>
      <c r="D11" s="146">
        <f t="shared" si="0"/>
        <v>4.8951939328233314</v>
      </c>
      <c r="E11" s="146">
        <f>'Harris Allocate'!J78</f>
        <v>1242.4252913511223</v>
      </c>
      <c r="F11" s="146">
        <f>E11*B11</f>
        <v>68.333391024311723</v>
      </c>
      <c r="G11" s="146"/>
      <c r="H11" s="146"/>
      <c r="I11" s="146"/>
      <c r="J11" s="146"/>
      <c r="K11" s="146"/>
      <c r="L11" s="146"/>
      <c r="M11" s="146">
        <f>'Harris Chain education'!H28</f>
        <v>511.0695314230486</v>
      </c>
      <c r="N11" s="146">
        <f>M11*B11</f>
        <v>28.108824228267672</v>
      </c>
      <c r="O11" s="146">
        <f>'Harris Chain education'!H17</f>
        <v>75.602159763199722</v>
      </c>
      <c r="P11" s="146">
        <f>O11*B11</f>
        <v>4.1581187869759848</v>
      </c>
      <c r="Q11" s="146"/>
      <c r="R11" s="146"/>
      <c r="S11" s="146"/>
      <c r="T11" s="146"/>
      <c r="U11" s="854"/>
      <c r="V11" s="854"/>
      <c r="W11" s="854"/>
      <c r="X11" s="854"/>
      <c r="Y11" s="854">
        <f>Denham_allocation!H50</f>
        <v>108.18642631186567</v>
      </c>
      <c r="Z11" s="854">
        <f>Denham_allocation!J50</f>
        <v>5.9502534471526118</v>
      </c>
      <c r="AA11" s="703">
        <f>D11+F11+H11+J11+L11++N11+P11+R11+T11+Z11</f>
        <v>111.44578141953133</v>
      </c>
    </row>
    <row r="12" spans="1:27" ht="24" customHeight="1" x14ac:dyDescent="0.2">
      <c r="A12" s="147" t="s">
        <v>42</v>
      </c>
      <c r="B12" s="291">
        <v>5.5E-2</v>
      </c>
      <c r="C12" s="146"/>
      <c r="D12" s="146">
        <f t="shared" si="0"/>
        <v>0</v>
      </c>
      <c r="E12" s="146"/>
      <c r="F12" s="146">
        <f t="shared" ref="F12" si="3">E12*D12</f>
        <v>0</v>
      </c>
      <c r="G12" s="146"/>
      <c r="H12" s="146"/>
      <c r="I12" s="146">
        <f>'Yale allocation'!H61</f>
        <v>14.805693297262771</v>
      </c>
      <c r="J12" s="146">
        <f>I12*B12</f>
        <v>0.81431313134945238</v>
      </c>
      <c r="K12" s="146"/>
      <c r="L12" s="146"/>
      <c r="M12" s="146">
        <f>'Harris Chain education'!H29</f>
        <v>717.57605059783168</v>
      </c>
      <c r="N12" s="146">
        <f>M12*B12</f>
        <v>39.466682782880746</v>
      </c>
      <c r="O12" s="146"/>
      <c r="P12" s="146"/>
      <c r="Q12" s="146"/>
      <c r="R12" s="146"/>
      <c r="S12" s="146"/>
      <c r="T12" s="146"/>
      <c r="U12" s="854"/>
      <c r="V12" s="854"/>
      <c r="W12" s="854"/>
      <c r="X12" s="854"/>
      <c r="Y12" s="854"/>
      <c r="Z12" s="854"/>
      <c r="AA12" s="703">
        <f t="shared" si="2"/>
        <v>40.280995914230196</v>
      </c>
    </row>
    <row r="13" spans="1:27" ht="21" customHeight="1" x14ac:dyDescent="0.2">
      <c r="A13" s="147" t="s">
        <v>38</v>
      </c>
      <c r="B13" s="291">
        <v>0.01</v>
      </c>
      <c r="C13" s="701">
        <f>' Palatlakaha allocation TP'!H69</f>
        <v>2.711085929500304</v>
      </c>
      <c r="D13" s="146">
        <f>C13*B$13</f>
        <v>2.711085929500304E-2</v>
      </c>
      <c r="E13" s="146"/>
      <c r="F13" s="146">
        <f t="shared" ref="F13:F22" si="4">E13*B13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854"/>
      <c r="V13" s="854"/>
      <c r="W13" s="854"/>
      <c r="X13" s="854"/>
      <c r="Y13" s="854"/>
      <c r="Z13" s="854"/>
      <c r="AA13" s="703">
        <f t="shared" si="2"/>
        <v>2.711085929500304E-2</v>
      </c>
    </row>
    <row r="14" spans="1:27" ht="21" customHeight="1" x14ac:dyDescent="0.2">
      <c r="A14" s="147" t="s">
        <v>39</v>
      </c>
      <c r="B14" s="291">
        <v>0.01</v>
      </c>
      <c r="C14" s="701">
        <f>' Palatlakaha allocation TP'!H70</f>
        <v>70.043178739134831</v>
      </c>
      <c r="D14" s="146">
        <f t="shared" ref="D14:D22" si="5">C14*B14</f>
        <v>0.70043178739134837</v>
      </c>
      <c r="E14" s="146"/>
      <c r="F14" s="146">
        <f t="shared" si="4"/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854"/>
      <c r="V14" s="854"/>
      <c r="W14" s="854"/>
      <c r="X14" s="854"/>
      <c r="Y14" s="854"/>
      <c r="Z14" s="854"/>
      <c r="AA14" s="703">
        <f t="shared" si="2"/>
        <v>0.70043178739134837</v>
      </c>
    </row>
    <row r="15" spans="1:27" ht="20.25" customHeight="1" x14ac:dyDescent="0.2">
      <c r="A15" s="147" t="s">
        <v>47</v>
      </c>
      <c r="B15" s="291">
        <v>0.06</v>
      </c>
      <c r="C15" s="146"/>
      <c r="D15" s="146">
        <f t="shared" si="5"/>
        <v>0</v>
      </c>
      <c r="E15" s="146"/>
      <c r="F15" s="146">
        <f t="shared" si="4"/>
        <v>0</v>
      </c>
      <c r="G15" s="146">
        <f>'Carlton Allocate'!H58</f>
        <v>92.739356023084426</v>
      </c>
      <c r="H15" s="146">
        <f>G15*B15</f>
        <v>5.5643613613850658</v>
      </c>
      <c r="I15" s="146"/>
      <c r="J15" s="146"/>
      <c r="K15" s="146"/>
      <c r="L15" s="146"/>
      <c r="M15" s="146"/>
      <c r="N15" s="146"/>
      <c r="O15" s="146"/>
      <c r="P15" s="146"/>
      <c r="Q15" s="146">
        <f>'Harris Chain education'!H38</f>
        <v>15.725092677248723</v>
      </c>
      <c r="R15" s="146">
        <f>(Q15*B15)</f>
        <v>0.9435055606349233</v>
      </c>
      <c r="S15" s="146">
        <f>'Harris Chain education'!H48</f>
        <v>46.841477543267857</v>
      </c>
      <c r="T15" s="146">
        <f>S15*B15</f>
        <v>2.8104886525960713</v>
      </c>
      <c r="U15" s="854">
        <f>Roberts_allocation!H43</f>
        <v>17.841149704458129</v>
      </c>
      <c r="V15" s="854">
        <f>Roberts_allocation!J43</f>
        <v>1.0704689822674878</v>
      </c>
      <c r="W15" s="854">
        <f>Marshall_allocation!H48</f>
        <v>22.680988730790837</v>
      </c>
      <c r="X15" s="854">
        <f>Marshall_allocation!J48</f>
        <v>1.3608593238474502</v>
      </c>
      <c r="Y15" s="854"/>
      <c r="Z15" s="854"/>
      <c r="AA15" s="703">
        <f>D15+F15+H15+J15+L15++N15+P15+R15+T15+V15+X15+Z15</f>
        <v>11.749683880730998</v>
      </c>
    </row>
    <row r="16" spans="1:27" ht="20.25" customHeight="1" x14ac:dyDescent="0.2">
      <c r="A16" s="147" t="s">
        <v>50</v>
      </c>
      <c r="B16" s="291">
        <v>1.7500000000000002E-2</v>
      </c>
      <c r="C16" s="146"/>
      <c r="D16" s="146">
        <f t="shared" si="5"/>
        <v>0</v>
      </c>
      <c r="E16" s="701">
        <f>'Harris Allocate'!J79</f>
        <v>471.45207845173553</v>
      </c>
      <c r="F16" s="146">
        <f t="shared" si="4"/>
        <v>8.2504113729053721</v>
      </c>
      <c r="G16" s="146"/>
      <c r="H16" s="146"/>
      <c r="I16" s="146"/>
      <c r="J16" s="146"/>
      <c r="K16" s="146"/>
      <c r="L16" s="146"/>
      <c r="M16" s="146"/>
      <c r="N16" s="146"/>
      <c r="O16" s="701">
        <f>'Harris Chain education'!H18</f>
        <v>491.51040724391055</v>
      </c>
      <c r="P16" s="146">
        <f>O16*B16</f>
        <v>8.6014321267684348</v>
      </c>
      <c r="Q16" s="701">
        <f>'Harris Chain education'!H39</f>
        <v>367.22772191167127</v>
      </c>
      <c r="R16" s="146">
        <f>Q16*B16</f>
        <v>6.4264851334542481</v>
      </c>
      <c r="S16" s="146">
        <f>'Harris Chain education'!H49</f>
        <v>8.9195457734497816E-2</v>
      </c>
      <c r="T16" s="148">
        <f>S16*B16</f>
        <v>1.5609205103537119E-3</v>
      </c>
      <c r="U16" s="855"/>
      <c r="V16" s="855"/>
      <c r="W16" s="855"/>
      <c r="X16" s="855"/>
      <c r="Y16" s="855"/>
      <c r="Z16" s="855"/>
      <c r="AA16" s="703">
        <f t="shared" si="2"/>
        <v>23.279889553638409</v>
      </c>
    </row>
    <row r="17" spans="1:27" ht="23.25" customHeight="1" x14ac:dyDescent="0.2">
      <c r="A17" s="147" t="s">
        <v>43</v>
      </c>
      <c r="B17" s="291">
        <v>5.5E-2</v>
      </c>
      <c r="C17" s="146"/>
      <c r="D17" s="146">
        <f t="shared" si="5"/>
        <v>0</v>
      </c>
      <c r="E17" s="146"/>
      <c r="F17" s="146">
        <f t="shared" si="4"/>
        <v>0</v>
      </c>
      <c r="G17" s="146"/>
      <c r="H17" s="146"/>
      <c r="I17" s="146">
        <f>'Yale allocation'!H62</f>
        <v>46.195415057435525</v>
      </c>
      <c r="J17" s="146">
        <f>I17*B17</f>
        <v>2.5407478281589539</v>
      </c>
      <c r="K17" s="146">
        <f>'Trout Allocate'!H61</f>
        <v>177.82822000735058</v>
      </c>
      <c r="L17" s="146">
        <f>K17*B17</f>
        <v>9.7805521004042824</v>
      </c>
      <c r="M17" s="146"/>
      <c r="N17" s="146"/>
      <c r="O17" s="146"/>
      <c r="P17" s="146"/>
      <c r="Q17" s="146"/>
      <c r="R17" s="146"/>
      <c r="S17" s="146"/>
      <c r="T17" s="146"/>
      <c r="U17" s="854"/>
      <c r="V17" s="854"/>
      <c r="W17" s="854"/>
      <c r="X17" s="854"/>
      <c r="Y17" s="854"/>
      <c r="Z17" s="854"/>
      <c r="AA17" s="703">
        <f t="shared" si="2"/>
        <v>12.321299928563237</v>
      </c>
    </row>
    <row r="18" spans="1:27" ht="21" customHeight="1" x14ac:dyDescent="0.2">
      <c r="A18" s="147" t="s">
        <v>51</v>
      </c>
      <c r="B18" s="291">
        <v>0.01</v>
      </c>
      <c r="C18" s="146"/>
      <c r="D18" s="146">
        <f t="shared" si="5"/>
        <v>0</v>
      </c>
      <c r="E18" s="146">
        <f>'Harris Allocate'!J80</f>
        <v>26.830428577387096</v>
      </c>
      <c r="F18" s="146">
        <f t="shared" si="4"/>
        <v>0.26830428577387094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854"/>
      <c r="V18" s="854"/>
      <c r="W18" s="854"/>
      <c r="X18" s="854"/>
      <c r="Y18" s="854">
        <f>Denham_allocation!H51</f>
        <v>3.1642092940677085</v>
      </c>
      <c r="Z18" s="854">
        <f>Denham_allocation!J51</f>
        <v>3.1642092940677088E-2</v>
      </c>
      <c r="AA18" s="703">
        <f t="shared" si="2"/>
        <v>0.26830428577387094</v>
      </c>
    </row>
    <row r="19" spans="1:27" ht="18.75" customHeight="1" x14ac:dyDescent="0.2">
      <c r="A19" s="147" t="s">
        <v>143</v>
      </c>
      <c r="B19" s="291">
        <v>5.0000000000000001E-3</v>
      </c>
      <c r="C19" s="146">
        <f>' Palatlakaha allocation TP'!H71</f>
        <v>12.31945210294208</v>
      </c>
      <c r="D19" s="146">
        <f t="shared" si="5"/>
        <v>6.15972605147104E-2</v>
      </c>
      <c r="E19" s="146"/>
      <c r="F19" s="146">
        <f t="shared" si="4"/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854"/>
      <c r="V19" s="854"/>
      <c r="W19" s="854"/>
      <c r="X19" s="854"/>
      <c r="Y19" s="854"/>
      <c r="Z19" s="854"/>
      <c r="AA19" s="703">
        <f t="shared" si="2"/>
        <v>6.15972605147104E-2</v>
      </c>
    </row>
    <row r="20" spans="1:27" ht="18.75" customHeight="1" x14ac:dyDescent="0.2">
      <c r="A20" s="147" t="s">
        <v>144</v>
      </c>
      <c r="B20" s="291">
        <v>5.5E-2</v>
      </c>
      <c r="C20" s="146"/>
      <c r="D20" s="146">
        <f t="shared" si="5"/>
        <v>0</v>
      </c>
      <c r="E20" s="146"/>
      <c r="F20" s="146">
        <f t="shared" si="4"/>
        <v>0</v>
      </c>
      <c r="G20" s="146"/>
      <c r="H20" s="146"/>
      <c r="I20" s="146"/>
      <c r="J20" s="146"/>
      <c r="K20" s="146"/>
      <c r="L20" s="146"/>
      <c r="M20" s="146">
        <f>'Harris Chain education'!H26</f>
        <v>136.36213263706563</v>
      </c>
      <c r="N20" s="146">
        <f>M20*B20</f>
        <v>7.4999172950386095</v>
      </c>
      <c r="O20" s="146"/>
      <c r="P20" s="146"/>
      <c r="Q20" s="146"/>
      <c r="R20" s="146"/>
      <c r="S20" s="146"/>
      <c r="T20" s="146"/>
      <c r="U20" s="854"/>
      <c r="V20" s="854"/>
      <c r="W20" s="854"/>
      <c r="X20" s="854"/>
      <c r="Y20" s="854"/>
      <c r="Z20" s="854"/>
      <c r="AA20" s="703">
        <f t="shared" si="2"/>
        <v>7.4999172950386095</v>
      </c>
    </row>
    <row r="21" spans="1:27" ht="22.5" customHeight="1" x14ac:dyDescent="0.2">
      <c r="A21" s="147" t="s">
        <v>142</v>
      </c>
      <c r="B21" s="291">
        <v>1.4999999999999999E-2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701">
        <f>'Harris Chain education'!H37</f>
        <v>282.6952422942652</v>
      </c>
      <c r="R21" s="146">
        <f>Q21*B21</f>
        <v>4.2404286344139779</v>
      </c>
      <c r="S21" s="146">
        <f>'Harris Chain education'!H47</f>
        <v>0.13897943893503575</v>
      </c>
      <c r="T21" s="146"/>
      <c r="U21" s="854"/>
      <c r="V21" s="854"/>
      <c r="W21" s="854"/>
      <c r="X21" s="854"/>
      <c r="Y21" s="854"/>
      <c r="Z21" s="854"/>
      <c r="AA21" s="703">
        <f t="shared" si="2"/>
        <v>4.2404286344139779</v>
      </c>
    </row>
    <row r="22" spans="1:27" s="35" customFormat="1" ht="22.5" customHeight="1" x14ac:dyDescent="0.2">
      <c r="A22" s="857" t="s">
        <v>287</v>
      </c>
      <c r="B22" s="858">
        <v>5.5E-2</v>
      </c>
      <c r="C22" s="859"/>
      <c r="D22" s="859">
        <f t="shared" si="5"/>
        <v>0</v>
      </c>
      <c r="E22" s="859"/>
      <c r="F22" s="859">
        <f t="shared" si="4"/>
        <v>0</v>
      </c>
      <c r="G22" s="859"/>
      <c r="H22" s="859"/>
      <c r="I22" s="859"/>
      <c r="J22" s="859"/>
      <c r="K22" s="859"/>
      <c r="L22" s="859"/>
      <c r="M22" s="859"/>
      <c r="N22" s="859"/>
      <c r="O22" s="859"/>
      <c r="P22" s="859"/>
      <c r="Q22" s="860"/>
      <c r="R22" s="859"/>
      <c r="S22" s="859"/>
      <c r="T22" s="859"/>
      <c r="U22" s="861"/>
      <c r="V22" s="861"/>
      <c r="W22" s="861">
        <f>Marshall_allocation!H47</f>
        <v>119.07901126920916</v>
      </c>
      <c r="X22" s="861">
        <f>Marshall_allocation!J47</f>
        <v>6.5493456198065036</v>
      </c>
      <c r="Y22" s="861"/>
      <c r="Z22" s="861"/>
      <c r="AA22" s="704">
        <f>X22</f>
        <v>6.5493456198065036</v>
      </c>
    </row>
    <row r="23" spans="1:27" s="35" customFormat="1" ht="22.5" customHeight="1" x14ac:dyDescent="0.2">
      <c r="A23" s="857" t="s">
        <v>285</v>
      </c>
      <c r="B23" s="858">
        <v>0.06</v>
      </c>
      <c r="C23" s="859"/>
      <c r="D23" s="859"/>
      <c r="E23" s="859"/>
      <c r="F23" s="859"/>
      <c r="G23" s="859"/>
      <c r="H23" s="859"/>
      <c r="I23" s="859"/>
      <c r="J23" s="859"/>
      <c r="K23" s="859"/>
      <c r="L23" s="859"/>
      <c r="M23" s="859"/>
      <c r="N23" s="859"/>
      <c r="O23" s="859"/>
      <c r="P23" s="859"/>
      <c r="Q23" s="860"/>
      <c r="R23" s="859"/>
      <c r="S23" s="859"/>
      <c r="T23" s="859"/>
      <c r="U23" s="861">
        <f>Roberts_allocation!H44</f>
        <v>15.328850295541869</v>
      </c>
      <c r="V23" s="861">
        <f>Roberts_allocation!J44</f>
        <v>0.91973101773251209</v>
      </c>
      <c r="W23" s="861"/>
      <c r="X23" s="861"/>
      <c r="Y23" s="861"/>
      <c r="Z23" s="861"/>
      <c r="AA23" s="704">
        <f>V23</f>
        <v>0.91973101773251209</v>
      </c>
    </row>
    <row r="24" spans="1:27" s="35" customFormat="1" ht="22.5" customHeight="1" x14ac:dyDescent="0.2">
      <c r="A24" s="857" t="s">
        <v>286</v>
      </c>
      <c r="B24" s="858">
        <v>1.7500000000000002E-2</v>
      </c>
      <c r="C24" s="859"/>
      <c r="D24" s="859"/>
      <c r="E24" s="859"/>
      <c r="F24" s="859"/>
      <c r="G24" s="859"/>
      <c r="H24" s="859"/>
      <c r="I24" s="859"/>
      <c r="J24" s="859"/>
      <c r="K24" s="859"/>
      <c r="L24" s="859"/>
      <c r="M24" s="859"/>
      <c r="N24" s="859"/>
      <c r="O24" s="859"/>
      <c r="P24" s="859"/>
      <c r="Q24" s="860"/>
      <c r="R24" s="859"/>
      <c r="S24" s="859"/>
      <c r="T24" s="859"/>
      <c r="U24" s="861"/>
      <c r="V24" s="861"/>
      <c r="W24" s="861"/>
      <c r="X24" s="861"/>
      <c r="Y24" s="861"/>
      <c r="Z24" s="861"/>
      <c r="AA24" s="704"/>
    </row>
    <row r="25" spans="1:27" s="35" customFormat="1" ht="34.15" customHeight="1" x14ac:dyDescent="0.2">
      <c r="A25" s="857" t="s">
        <v>553</v>
      </c>
      <c r="B25" s="858">
        <v>0</v>
      </c>
      <c r="C25" s="859"/>
      <c r="D25" s="859"/>
      <c r="E25" s="859"/>
      <c r="F25" s="859"/>
      <c r="G25" s="859"/>
      <c r="H25" s="859"/>
      <c r="I25" s="859"/>
      <c r="J25" s="859"/>
      <c r="K25" s="859"/>
      <c r="L25" s="859"/>
      <c r="M25" s="859"/>
      <c r="N25" s="859"/>
      <c r="O25" s="859"/>
      <c r="P25" s="859"/>
      <c r="Q25" s="860"/>
      <c r="R25" s="859"/>
      <c r="S25" s="859"/>
      <c r="T25" s="859"/>
      <c r="U25" s="861"/>
      <c r="V25" s="861"/>
      <c r="W25" s="861">
        <f>Marshall_allocation!H50</f>
        <v>19.754210307142319</v>
      </c>
      <c r="X25" s="861"/>
      <c r="Y25" s="861"/>
      <c r="Z25" s="861"/>
      <c r="AA25" s="704">
        <f>X25</f>
        <v>0</v>
      </c>
    </row>
    <row r="26" spans="1:27" s="35" customFormat="1" ht="30.75" customHeight="1" x14ac:dyDescent="0.25">
      <c r="A26" s="680" t="s">
        <v>402</v>
      </c>
      <c r="B26" s="677">
        <v>0.03</v>
      </c>
      <c r="C26" s="678">
        <f>C5+C8+C13+C14</f>
        <v>464.04414106305762</v>
      </c>
      <c r="D26" s="678">
        <f>C26*B26</f>
        <v>13.921324231891727</v>
      </c>
      <c r="E26" s="678">
        <f>E4+E9+E16</f>
        <v>667.96691379608433</v>
      </c>
      <c r="F26" s="678">
        <f>E26*B26</f>
        <v>20.03900741388253</v>
      </c>
      <c r="G26" s="679"/>
      <c r="H26" s="679"/>
      <c r="I26" s="679"/>
      <c r="J26" s="679"/>
      <c r="K26" s="679"/>
      <c r="L26" s="679"/>
      <c r="M26" s="679"/>
      <c r="N26" s="679"/>
      <c r="O26" s="678">
        <f>O16</f>
        <v>491.51040724391055</v>
      </c>
      <c r="P26" s="678">
        <f>O26*B26</f>
        <v>14.745312217317316</v>
      </c>
      <c r="Q26" s="678">
        <f>Q16+Q21</f>
        <v>649.92296420593652</v>
      </c>
      <c r="R26" s="678">
        <f>Q26*B26</f>
        <v>19.497688926178096</v>
      </c>
      <c r="S26" s="679"/>
      <c r="T26" s="679"/>
      <c r="U26" s="856"/>
      <c r="V26" s="856"/>
      <c r="W26" s="856"/>
      <c r="X26" s="856"/>
      <c r="Y26" s="856"/>
      <c r="Z26" s="856"/>
      <c r="AA26" s="704">
        <v>68.712471072018857</v>
      </c>
    </row>
    <row r="27" spans="1:27" ht="30" customHeight="1" thickBot="1" x14ac:dyDescent="0.25">
      <c r="A27" s="149" t="s">
        <v>145</v>
      </c>
      <c r="B27" s="705" t="s">
        <v>167</v>
      </c>
      <c r="C27" s="150">
        <f t="shared" ref="C27:T27" si="6">SUM(C4:C25)</f>
        <v>1304.9067103918246</v>
      </c>
      <c r="D27" s="150">
        <f t="shared" si="6"/>
        <v>53.94397542987884</v>
      </c>
      <c r="E27" s="150">
        <f t="shared" si="6"/>
        <v>3331.5920829174479</v>
      </c>
      <c r="F27" s="150">
        <f>SUM(F4:F25)</f>
        <v>147.7914299013064</v>
      </c>
      <c r="G27" s="150">
        <f t="shared" si="6"/>
        <v>121.05608639501777</v>
      </c>
      <c r="H27" s="150">
        <f t="shared" si="6"/>
        <v>6.3193866168243513</v>
      </c>
      <c r="I27" s="150">
        <f t="shared" si="6"/>
        <v>692.99801852155019</v>
      </c>
      <c r="J27" s="150">
        <f t="shared" si="6"/>
        <v>36.991704105710966</v>
      </c>
      <c r="K27" s="150">
        <f t="shared" si="6"/>
        <v>514.28571944513646</v>
      </c>
      <c r="L27" s="150">
        <f t="shared" si="6"/>
        <v>27.866996384099789</v>
      </c>
      <c r="M27" s="150">
        <f t="shared" si="6"/>
        <v>2524</v>
      </c>
      <c r="N27" s="150">
        <f t="shared" si="6"/>
        <v>137.14073447691916</v>
      </c>
      <c r="O27" s="150">
        <f t="shared" si="6"/>
        <v>3036</v>
      </c>
      <c r="P27" s="150">
        <f t="shared" si="6"/>
        <v>148.11021506783135</v>
      </c>
      <c r="Q27" s="150">
        <f t="shared" si="6"/>
        <v>1483</v>
      </c>
      <c r="R27" s="150">
        <f>SUM(R4:R25)</f>
        <v>55.980796695173922</v>
      </c>
      <c r="S27" s="150">
        <f t="shared" si="6"/>
        <v>235.00000000000003</v>
      </c>
      <c r="T27" s="150">
        <f t="shared" si="6"/>
        <v>13.14821868890987</v>
      </c>
      <c r="U27" s="150">
        <f t="shared" ref="U27:Z27" si="7">SUM(U4:U25)</f>
        <v>33.17</v>
      </c>
      <c r="V27" s="150">
        <f t="shared" si="7"/>
        <v>1.9901999999999997</v>
      </c>
      <c r="W27" s="150">
        <f t="shared" si="7"/>
        <v>171.06</v>
      </c>
      <c r="X27" s="150">
        <f t="shared" si="7"/>
        <v>7.9579338921182421</v>
      </c>
      <c r="Y27" s="150">
        <f t="shared" si="7"/>
        <v>149.39999952800522</v>
      </c>
      <c r="Z27" s="150">
        <f t="shared" si="7"/>
        <v>7.7155437057898046</v>
      </c>
      <c r="AA27" s="293">
        <f>SUM(AA4:AA21)</f>
        <v>637.42050954908132</v>
      </c>
    </row>
    <row r="28" spans="1:27" ht="15" x14ac:dyDescent="0.2">
      <c r="A28" s="698"/>
      <c r="B28" s="698"/>
      <c r="C28" s="699"/>
      <c r="D28" s="699"/>
      <c r="E28" s="699"/>
      <c r="F28" s="699"/>
      <c r="G28" s="699"/>
      <c r="H28" s="699"/>
      <c r="I28" s="699"/>
      <c r="J28" s="699"/>
      <c r="K28" s="699"/>
      <c r="L28" s="699"/>
      <c r="M28" s="699"/>
      <c r="N28" s="699"/>
      <c r="O28" s="699"/>
      <c r="P28" s="699"/>
      <c r="Q28" s="699"/>
      <c r="R28" s="699"/>
      <c r="S28" s="699"/>
      <c r="T28" s="699"/>
      <c r="U28" s="699"/>
      <c r="V28" s="699"/>
      <c r="W28" s="699"/>
      <c r="X28" s="699"/>
      <c r="Y28" s="699"/>
      <c r="Z28" s="699"/>
    </row>
    <row r="29" spans="1:27" ht="15.75" x14ac:dyDescent="0.2">
      <c r="A29" s="245" t="s">
        <v>229</v>
      </c>
      <c r="B29" s="699"/>
      <c r="C29" s="699"/>
      <c r="D29" s="699"/>
      <c r="E29" s="699"/>
      <c r="F29" s="699"/>
      <c r="G29" s="699"/>
      <c r="H29" s="699"/>
      <c r="I29" s="699"/>
      <c r="J29" s="699"/>
      <c r="K29" s="699"/>
      <c r="L29" s="699"/>
      <c r="M29" s="699"/>
      <c r="N29" s="699"/>
      <c r="O29" s="699"/>
      <c r="P29" s="699"/>
      <c r="Q29" s="699"/>
      <c r="R29" s="699"/>
      <c r="S29" s="699"/>
      <c r="T29" s="699"/>
      <c r="U29" s="699"/>
      <c r="V29" s="699"/>
      <c r="W29" s="699"/>
      <c r="X29" s="699"/>
      <c r="Y29" s="699"/>
      <c r="Z29" s="699"/>
    </row>
    <row r="30" spans="1:27" ht="15.75" x14ac:dyDescent="0.25">
      <c r="A30" s="700" t="s">
        <v>405</v>
      </c>
      <c r="B30" s="699" t="s">
        <v>406</v>
      </c>
      <c r="C30" s="699"/>
      <c r="D30" s="699"/>
      <c r="E30" s="699"/>
      <c r="F30" s="699"/>
      <c r="G30" s="699"/>
      <c r="H30" s="699"/>
      <c r="I30" s="699"/>
      <c r="J30" s="699"/>
      <c r="K30" s="699"/>
      <c r="L30" s="699"/>
      <c r="M30" s="699"/>
      <c r="N30" s="699"/>
      <c r="O30" s="699"/>
      <c r="P30" s="699"/>
      <c r="Q30" s="699"/>
      <c r="R30" s="699"/>
      <c r="S30" s="699"/>
      <c r="T30" s="699"/>
      <c r="U30" s="699"/>
      <c r="V30" s="699"/>
      <c r="W30" s="699"/>
      <c r="X30" s="699"/>
      <c r="Y30" s="699"/>
      <c r="Z30" s="699"/>
    </row>
    <row r="31" spans="1:27" ht="15" x14ac:dyDescent="0.2">
      <c r="A31" s="699" t="s">
        <v>407</v>
      </c>
      <c r="B31" s="699"/>
      <c r="C31" s="699"/>
      <c r="D31" s="699"/>
      <c r="E31" s="69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699"/>
      <c r="S31" s="699"/>
      <c r="T31" s="699"/>
      <c r="U31" s="699"/>
      <c r="V31" s="699"/>
      <c r="W31" s="699"/>
      <c r="X31" s="699"/>
      <c r="Y31" s="699"/>
      <c r="Z31" s="699"/>
    </row>
    <row r="32" spans="1:27" ht="15" x14ac:dyDescent="0.2">
      <c r="A32" s="699" t="s">
        <v>408</v>
      </c>
      <c r="B32" s="699"/>
      <c r="C32" s="699"/>
      <c r="D32" s="699"/>
      <c r="E32" s="699"/>
      <c r="F32" s="699"/>
      <c r="G32" s="699"/>
      <c r="H32" s="699"/>
      <c r="I32" s="699"/>
      <c r="J32" s="699"/>
      <c r="K32" s="699"/>
      <c r="L32" s="699"/>
      <c r="M32" s="699"/>
      <c r="N32" s="699"/>
      <c r="O32" s="699"/>
      <c r="P32" s="699"/>
      <c r="Q32" s="699"/>
      <c r="R32" s="699"/>
      <c r="S32" s="699"/>
      <c r="T32" s="699"/>
      <c r="U32" s="699"/>
      <c r="V32" s="699"/>
      <c r="W32" s="699"/>
      <c r="X32" s="699"/>
      <c r="Y32" s="699"/>
      <c r="Z32" s="699"/>
    </row>
    <row r="33" spans="1:26" ht="15" x14ac:dyDescent="0.2">
      <c r="A33" s="699" t="s">
        <v>409</v>
      </c>
      <c r="B33" s="699"/>
      <c r="C33" s="699"/>
      <c r="D33" s="699"/>
      <c r="E33" s="699"/>
      <c r="F33" s="699"/>
      <c r="G33" s="699"/>
      <c r="H33" s="699"/>
      <c r="I33" s="699"/>
      <c r="J33" s="699"/>
      <c r="K33" s="699"/>
      <c r="L33" s="699"/>
      <c r="M33" s="699"/>
      <c r="N33" s="699"/>
      <c r="O33" s="699"/>
      <c r="P33" s="699"/>
      <c r="Q33" s="699"/>
      <c r="R33" s="699"/>
      <c r="S33" s="699"/>
      <c r="T33" s="699"/>
      <c r="U33" s="699"/>
      <c r="V33" s="699"/>
      <c r="W33" s="699"/>
      <c r="X33" s="699"/>
      <c r="Y33" s="699"/>
      <c r="Z33" s="699"/>
    </row>
    <row r="34" spans="1:26" ht="15" x14ac:dyDescent="0.2">
      <c r="A34" s="699" t="s">
        <v>419</v>
      </c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</row>
    <row r="35" spans="1:26" ht="15" x14ac:dyDescent="0.2">
      <c r="A35" s="699" t="s">
        <v>416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699"/>
      <c r="T35" s="699"/>
      <c r="U35" s="699"/>
      <c r="V35" s="699"/>
      <c r="W35" s="699"/>
      <c r="X35" s="699"/>
      <c r="Y35" s="699"/>
      <c r="Z35" s="699"/>
    </row>
    <row r="36" spans="1:26" ht="15" x14ac:dyDescent="0.2">
      <c r="A36" s="699" t="s">
        <v>417</v>
      </c>
    </row>
    <row r="37" spans="1:26" ht="15" x14ac:dyDescent="0.2">
      <c r="A37" s="699" t="s">
        <v>418</v>
      </c>
    </row>
    <row r="38" spans="1:26" ht="15" x14ac:dyDescent="0.2">
      <c r="A38" s="699" t="s">
        <v>562</v>
      </c>
    </row>
  </sheetData>
  <mergeCells count="1">
    <mergeCell ref="A2:T2"/>
  </mergeCells>
  <printOptions gridLines="1"/>
  <pageMargins left="0.45" right="0.45" top="0.75" bottom="0.5" header="0.3" footer="0.3"/>
  <pageSetup paperSize="5" scale="80" pageOrder="overThenDown" orientation="landscape" r:id="rId1"/>
  <headerFooter>
    <oddHeader>&amp;LDRAFT prepared by FDEP&amp;CWater Quality Restoration Program&amp;RSeptember 8, 2016</oddHeader>
  </headerFooter>
  <ignoredErrors>
    <ignoredError sqref="D13 F12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5"/>
  <sheetViews>
    <sheetView workbookViewId="0">
      <selection activeCell="A26" sqref="A26"/>
    </sheetView>
  </sheetViews>
  <sheetFormatPr defaultRowHeight="12.75" x14ac:dyDescent="0.2"/>
  <cols>
    <col min="1" max="1" width="39.5703125" customWidth="1"/>
    <col min="2" max="2" width="16.28515625" customWidth="1"/>
    <col min="3" max="3" width="26.85546875" customWidth="1"/>
  </cols>
  <sheetData>
    <row r="1" spans="1:3" ht="33" customHeight="1" x14ac:dyDescent="0.2">
      <c r="A1" s="156" t="s">
        <v>168</v>
      </c>
      <c r="B1" s="156" t="s">
        <v>186</v>
      </c>
      <c r="C1" s="156" t="s">
        <v>169</v>
      </c>
    </row>
    <row r="2" spans="1:3" ht="31.5" x14ac:dyDescent="0.2">
      <c r="A2" s="151" t="s">
        <v>170</v>
      </c>
      <c r="B2" s="152">
        <v>0.03</v>
      </c>
      <c r="C2" s="153" t="s">
        <v>187</v>
      </c>
    </row>
    <row r="3" spans="1:3" ht="27.75" customHeight="1" x14ac:dyDescent="0.25">
      <c r="A3" s="151" t="s">
        <v>171</v>
      </c>
      <c r="B3" s="154">
        <v>5.0000000000000001E-3</v>
      </c>
      <c r="C3" s="155"/>
    </row>
    <row r="4" spans="1:3" ht="27.75" customHeight="1" x14ac:dyDescent="0.25">
      <c r="A4" s="151" t="s">
        <v>172</v>
      </c>
      <c r="B4" s="154">
        <v>5.0000000000000001E-3</v>
      </c>
      <c r="C4" s="155"/>
    </row>
    <row r="5" spans="1:3" ht="30" customHeight="1" x14ac:dyDescent="0.25">
      <c r="A5" s="151" t="s">
        <v>173</v>
      </c>
      <c r="B5" s="154">
        <v>5.0000000000000001E-3</v>
      </c>
      <c r="C5" s="155"/>
    </row>
    <row r="6" spans="1:3" ht="31.5" x14ac:dyDescent="0.25">
      <c r="A6" s="151" t="s">
        <v>174</v>
      </c>
      <c r="B6" s="154">
        <v>5.0000000000000001E-3</v>
      </c>
      <c r="C6" s="155"/>
    </row>
    <row r="7" spans="1:3" ht="31.5" customHeight="1" x14ac:dyDescent="0.25">
      <c r="A7" s="151" t="s">
        <v>175</v>
      </c>
      <c r="B7" s="154">
        <v>2.5000000000000001E-3</v>
      </c>
      <c r="C7" s="155"/>
    </row>
    <row r="8" spans="1:3" ht="27.75" customHeight="1" x14ac:dyDescent="0.25">
      <c r="A8" s="151" t="s">
        <v>176</v>
      </c>
      <c r="B8" s="154">
        <v>2.5000000000000001E-3</v>
      </c>
      <c r="C8" s="155"/>
    </row>
    <row r="9" spans="1:3" ht="24.75" customHeight="1" x14ac:dyDescent="0.25">
      <c r="A9" s="151" t="s">
        <v>177</v>
      </c>
      <c r="B9" s="154">
        <v>2.5000000000000001E-3</v>
      </c>
      <c r="C9" s="155"/>
    </row>
    <row r="10" spans="1:3" ht="31.5" x14ac:dyDescent="0.25">
      <c r="A10" s="151" t="s">
        <v>178</v>
      </c>
      <c r="B10" s="154">
        <v>2.5000000000000001E-3</v>
      </c>
      <c r="C10" s="155"/>
    </row>
    <row r="11" spans="1:3" ht="15.75" x14ac:dyDescent="0.25">
      <c r="A11" s="151"/>
      <c r="B11" s="151"/>
      <c r="C11" s="155"/>
    </row>
    <row r="12" spans="1:3" ht="32.25" thickBot="1" x14ac:dyDescent="0.3">
      <c r="A12" s="157" t="s">
        <v>179</v>
      </c>
      <c r="B12" s="158">
        <v>0.06</v>
      </c>
      <c r="C12" s="159"/>
    </row>
    <row r="14" spans="1:3" ht="15.75" x14ac:dyDescent="0.2">
      <c r="A14" s="864" t="s">
        <v>557</v>
      </c>
    </row>
    <row r="15" spans="1:3" ht="30" x14ac:dyDescent="0.2">
      <c r="A15" s="863" t="s">
        <v>558</v>
      </c>
    </row>
    <row r="16" spans="1:3" s="35" customFormat="1" ht="30" x14ac:dyDescent="0.2">
      <c r="A16" s="863" t="s">
        <v>559</v>
      </c>
    </row>
    <row r="17" spans="1:3" s="35" customFormat="1" ht="30" x14ac:dyDescent="0.2">
      <c r="A17" s="863" t="s">
        <v>560</v>
      </c>
    </row>
    <row r="19" spans="1:3" ht="14.25" x14ac:dyDescent="0.2">
      <c r="A19" s="140" t="s">
        <v>180</v>
      </c>
      <c r="B19" s="141"/>
      <c r="C19" s="141"/>
    </row>
    <row r="20" spans="1:3" x14ac:dyDescent="0.2">
      <c r="A20" s="1172" t="s">
        <v>181</v>
      </c>
      <c r="B20" s="1173"/>
      <c r="C20" s="1173"/>
    </row>
    <row r="21" spans="1:3" x14ac:dyDescent="0.2">
      <c r="A21" s="1172" t="s">
        <v>182</v>
      </c>
      <c r="B21" s="1173"/>
      <c r="C21" s="1173"/>
    </row>
    <row r="22" spans="1:3" x14ac:dyDescent="0.2">
      <c r="A22" s="1172" t="s">
        <v>183</v>
      </c>
      <c r="B22" s="1173"/>
      <c r="C22" s="1173"/>
    </row>
    <row r="23" spans="1:3" x14ac:dyDescent="0.2">
      <c r="A23" s="1172" t="s">
        <v>184</v>
      </c>
      <c r="B23" s="1173"/>
      <c r="C23" s="1173"/>
    </row>
    <row r="24" spans="1:3" x14ac:dyDescent="0.2">
      <c r="A24" s="1172" t="s">
        <v>185</v>
      </c>
      <c r="B24" s="1173"/>
      <c r="C24" s="1173"/>
    </row>
    <row r="25" spans="1:3" x14ac:dyDescent="0.2">
      <c r="A25" s="141" t="s">
        <v>561</v>
      </c>
      <c r="B25" s="35"/>
      <c r="C25" s="35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70"/>
  <sheetViews>
    <sheetView topLeftCell="A48" workbookViewId="0">
      <selection activeCell="F62" sqref="F62"/>
    </sheetView>
  </sheetViews>
  <sheetFormatPr defaultRowHeight="12.75" x14ac:dyDescent="0.2"/>
  <cols>
    <col min="1" max="1" width="31.140625" customWidth="1"/>
    <col min="2" max="2" width="14.140625" customWidth="1"/>
    <col min="3" max="3" width="13.28515625" customWidth="1"/>
    <col min="4" max="5" width="14.28515625" customWidth="1"/>
    <col min="6" max="6" width="14" customWidth="1"/>
    <col min="7" max="7" width="13" customWidth="1"/>
    <col min="8" max="8" width="12.85546875" customWidth="1"/>
    <col min="9" max="9" width="13.7109375" customWidth="1"/>
    <col min="10" max="10" width="14.42578125" customWidth="1"/>
    <col min="11" max="11" width="13" customWidth="1"/>
    <col min="12" max="12" width="13.5703125" customWidth="1"/>
    <col min="16" max="16" width="8.85546875" style="35"/>
  </cols>
  <sheetData>
    <row r="1" spans="1:20" ht="25.5" x14ac:dyDescent="0.2">
      <c r="A1" s="722" t="s">
        <v>899</v>
      </c>
      <c r="B1" s="723">
        <v>2000</v>
      </c>
      <c r="C1" s="723">
        <v>2001</v>
      </c>
      <c r="D1" s="723">
        <v>2002</v>
      </c>
      <c r="E1" s="723">
        <v>2003</v>
      </c>
      <c r="F1" s="723">
        <v>2004</v>
      </c>
      <c r="G1" s="723">
        <v>2005</v>
      </c>
      <c r="H1" s="723">
        <v>2006</v>
      </c>
      <c r="I1" s="723">
        <v>2007</v>
      </c>
      <c r="J1" s="723">
        <v>2008</v>
      </c>
      <c r="K1" s="723">
        <v>2009</v>
      </c>
      <c r="L1" s="723">
        <v>2010</v>
      </c>
      <c r="M1" s="723">
        <v>2011</v>
      </c>
      <c r="N1" s="723">
        <v>2012</v>
      </c>
      <c r="O1" s="724" t="s">
        <v>454</v>
      </c>
      <c r="P1" s="716" t="s">
        <v>420</v>
      </c>
      <c r="Q1" s="724" t="s">
        <v>455</v>
      </c>
      <c r="S1" s="141" t="s">
        <v>433</v>
      </c>
      <c r="T1" s="33">
        <f>O4+O6+O7</f>
        <v>120.1</v>
      </c>
    </row>
    <row r="2" spans="1:20" ht="19.149999999999999" customHeight="1" x14ac:dyDescent="0.2">
      <c r="A2" s="725" t="s">
        <v>438</v>
      </c>
      <c r="B2" s="726">
        <v>1.6</v>
      </c>
      <c r="C2" s="726">
        <v>3.9</v>
      </c>
      <c r="D2" s="726">
        <v>7.4</v>
      </c>
      <c r="E2" s="726">
        <v>3.2</v>
      </c>
      <c r="F2" s="726">
        <v>7.3</v>
      </c>
      <c r="G2" s="726">
        <v>4.0999999999999996</v>
      </c>
      <c r="H2" s="726">
        <v>2.8</v>
      </c>
      <c r="I2" s="726">
        <v>3.1</v>
      </c>
      <c r="J2" s="726">
        <v>5.5</v>
      </c>
      <c r="K2" s="726">
        <v>7.1</v>
      </c>
      <c r="L2" s="726">
        <v>3</v>
      </c>
      <c r="M2" s="726">
        <v>5.6</v>
      </c>
      <c r="N2" s="726">
        <v>5.6</v>
      </c>
      <c r="O2" s="726">
        <v>4.5999999999999996</v>
      </c>
      <c r="P2" s="727">
        <f>O2*2.2046</f>
        <v>10.141159999999999</v>
      </c>
      <c r="Q2" s="728">
        <v>4.0000000000000001E-3</v>
      </c>
      <c r="S2" s="141" t="s">
        <v>434</v>
      </c>
      <c r="T2" s="33">
        <f>O3+O5</f>
        <v>24.1</v>
      </c>
    </row>
    <row r="3" spans="1:20" ht="15" customHeight="1" x14ac:dyDescent="0.2">
      <c r="A3" s="725" t="s">
        <v>439</v>
      </c>
      <c r="B3" s="726">
        <v>3.2</v>
      </c>
      <c r="C3" s="726">
        <v>5.5</v>
      </c>
      <c r="D3" s="726">
        <v>8.1999999999999993</v>
      </c>
      <c r="E3" s="726">
        <v>5.8</v>
      </c>
      <c r="F3" s="726">
        <v>7.8</v>
      </c>
      <c r="G3" s="726">
        <v>7</v>
      </c>
      <c r="H3" s="726">
        <v>4.2</v>
      </c>
      <c r="I3" s="726">
        <v>5.0999999999999996</v>
      </c>
      <c r="J3" s="726">
        <v>6.4</v>
      </c>
      <c r="K3" s="726">
        <v>7.8</v>
      </c>
      <c r="L3" s="726">
        <v>5.5</v>
      </c>
      <c r="M3" s="726">
        <v>6.3</v>
      </c>
      <c r="N3" s="726">
        <v>6.9</v>
      </c>
      <c r="O3" s="726">
        <v>6.1</v>
      </c>
      <c r="P3" s="727">
        <f t="shared" ref="P3:P17" si="0">O3*2.2046</f>
        <v>13.44806</v>
      </c>
      <c r="Q3" s="728">
        <v>5.0000000000000001E-3</v>
      </c>
      <c r="S3" s="141" t="s">
        <v>435</v>
      </c>
      <c r="T3" s="33">
        <f>O2+O8+O9</f>
        <v>5.0999999999999996</v>
      </c>
    </row>
    <row r="4" spans="1:20" ht="18" customHeight="1" x14ac:dyDescent="0.2">
      <c r="A4" s="725" t="s">
        <v>440</v>
      </c>
      <c r="B4" s="726">
        <v>11.5</v>
      </c>
      <c r="C4" s="726">
        <v>19.2</v>
      </c>
      <c r="D4" s="726">
        <v>27.7</v>
      </c>
      <c r="E4" s="726">
        <v>21</v>
      </c>
      <c r="F4" s="726">
        <v>26.2</v>
      </c>
      <c r="G4" s="726">
        <v>25</v>
      </c>
      <c r="H4" s="726">
        <v>16</v>
      </c>
      <c r="I4" s="726">
        <v>19.2</v>
      </c>
      <c r="J4" s="726">
        <v>23.2</v>
      </c>
      <c r="K4" s="726">
        <v>28</v>
      </c>
      <c r="L4" s="726">
        <v>21.1</v>
      </c>
      <c r="M4" s="726">
        <v>22.7</v>
      </c>
      <c r="N4" s="726">
        <v>25.3</v>
      </c>
      <c r="O4" s="726">
        <v>22</v>
      </c>
      <c r="P4" s="727">
        <f t="shared" si="0"/>
        <v>48.501200000000004</v>
      </c>
      <c r="Q4" s="728">
        <v>1.9E-2</v>
      </c>
      <c r="T4" s="33">
        <f>SUM(T1:T3)</f>
        <v>149.29999999999998</v>
      </c>
    </row>
    <row r="5" spans="1:20" ht="17.45" customHeight="1" x14ac:dyDescent="0.2">
      <c r="A5" s="725" t="s">
        <v>441</v>
      </c>
      <c r="B5" s="726">
        <v>7.2</v>
      </c>
      <c r="C5" s="726">
        <v>11.8</v>
      </c>
      <c r="D5" s="726">
        <v>16.399999999999999</v>
      </c>
      <c r="E5" s="726">
        <v>13.2</v>
      </c>
      <c r="F5" s="726">
        <v>15.4</v>
      </c>
      <c r="G5" s="726">
        <v>15.6</v>
      </c>
      <c r="H5" s="726">
        <v>16.3</v>
      </c>
      <c r="I5" s="726">
        <v>19.8</v>
      </c>
      <c r="J5" s="726">
        <v>22.7</v>
      </c>
      <c r="K5" s="726">
        <v>27.1</v>
      </c>
      <c r="L5" s="726">
        <v>21.9</v>
      </c>
      <c r="M5" s="726">
        <v>22</v>
      </c>
      <c r="N5" s="726">
        <v>25</v>
      </c>
      <c r="O5" s="726">
        <v>18</v>
      </c>
      <c r="P5" s="727">
        <f t="shared" si="0"/>
        <v>39.6828</v>
      </c>
      <c r="Q5" s="728">
        <v>1.6E-2</v>
      </c>
    </row>
    <row r="6" spans="1:20" ht="17.45" customHeight="1" x14ac:dyDescent="0.2">
      <c r="A6" s="725" t="s">
        <v>442</v>
      </c>
      <c r="B6" s="726">
        <v>49.7</v>
      </c>
      <c r="C6" s="726">
        <v>81.599999999999994</v>
      </c>
      <c r="D6" s="726">
        <v>114.8</v>
      </c>
      <c r="E6" s="726">
        <v>90.8</v>
      </c>
      <c r="F6" s="726">
        <v>108</v>
      </c>
      <c r="G6" s="726">
        <v>107.7</v>
      </c>
      <c r="H6" s="726">
        <v>59.3</v>
      </c>
      <c r="I6" s="726">
        <v>71.5</v>
      </c>
      <c r="J6" s="726">
        <v>83.4</v>
      </c>
      <c r="K6" s="726">
        <v>99.9</v>
      </c>
      <c r="L6" s="726">
        <v>79.099999999999994</v>
      </c>
      <c r="M6" s="726">
        <v>81</v>
      </c>
      <c r="N6" s="726">
        <v>91.5</v>
      </c>
      <c r="O6" s="726">
        <v>86</v>
      </c>
      <c r="P6" s="727">
        <f t="shared" si="0"/>
        <v>189.59560000000002</v>
      </c>
      <c r="Q6" s="728">
        <v>7.5999999999999998E-2</v>
      </c>
    </row>
    <row r="7" spans="1:20" x14ac:dyDescent="0.2">
      <c r="A7" s="725" t="s">
        <v>443</v>
      </c>
      <c r="B7" s="726">
        <v>6.8</v>
      </c>
      <c r="C7" s="726">
        <v>11</v>
      </c>
      <c r="D7" s="726">
        <v>15.3</v>
      </c>
      <c r="E7" s="726">
        <v>12.4</v>
      </c>
      <c r="F7" s="726">
        <v>14.3</v>
      </c>
      <c r="G7" s="726">
        <v>14.7</v>
      </c>
      <c r="H7" s="726">
        <v>8.6999999999999993</v>
      </c>
      <c r="I7" s="726">
        <v>10.5</v>
      </c>
      <c r="J7" s="726">
        <v>12</v>
      </c>
      <c r="K7" s="726">
        <v>14.3</v>
      </c>
      <c r="L7" s="726">
        <v>11.7</v>
      </c>
      <c r="M7" s="726">
        <v>11.6</v>
      </c>
      <c r="N7" s="726">
        <v>13.2</v>
      </c>
      <c r="O7" s="726">
        <v>12.1</v>
      </c>
      <c r="P7" s="727">
        <f t="shared" si="0"/>
        <v>26.675660000000001</v>
      </c>
      <c r="Q7" s="728">
        <v>1.0999999999999999E-2</v>
      </c>
      <c r="S7" s="33"/>
    </row>
    <row r="8" spans="1:20" x14ac:dyDescent="0.2">
      <c r="A8" s="725" t="s">
        <v>444</v>
      </c>
      <c r="B8" s="726">
        <v>0.1</v>
      </c>
      <c r="C8" s="726">
        <v>0.3</v>
      </c>
      <c r="D8" s="726">
        <v>0.6</v>
      </c>
      <c r="E8" s="726">
        <v>0.2</v>
      </c>
      <c r="F8" s="726">
        <v>0.6</v>
      </c>
      <c r="G8" s="726">
        <v>0.2</v>
      </c>
      <c r="H8" s="726">
        <v>0.2</v>
      </c>
      <c r="I8" s="726">
        <v>0.2</v>
      </c>
      <c r="J8" s="726">
        <v>0.5</v>
      </c>
      <c r="K8" s="726">
        <v>0.6</v>
      </c>
      <c r="L8" s="726">
        <v>0.2</v>
      </c>
      <c r="M8" s="726">
        <v>0.5</v>
      </c>
      <c r="N8" s="726">
        <v>0.5</v>
      </c>
      <c r="O8" s="726">
        <v>0.4</v>
      </c>
      <c r="P8" s="727">
        <f t="shared" si="0"/>
        <v>0.88184000000000007</v>
      </c>
      <c r="Q8" s="728">
        <v>0</v>
      </c>
    </row>
    <row r="9" spans="1:20" x14ac:dyDescent="0.2">
      <c r="A9" s="725" t="s">
        <v>445</v>
      </c>
      <c r="B9" s="726">
        <v>0</v>
      </c>
      <c r="C9" s="726">
        <v>0</v>
      </c>
      <c r="D9" s="726">
        <v>0</v>
      </c>
      <c r="E9" s="726">
        <v>0</v>
      </c>
      <c r="F9" s="726">
        <v>0</v>
      </c>
      <c r="G9" s="726">
        <v>0</v>
      </c>
      <c r="H9" s="726">
        <v>0.1</v>
      </c>
      <c r="I9" s="726">
        <v>0.1</v>
      </c>
      <c r="J9" s="726">
        <v>0.1</v>
      </c>
      <c r="K9" s="726">
        <v>0.2</v>
      </c>
      <c r="L9" s="726">
        <v>0.1</v>
      </c>
      <c r="M9" s="726">
        <v>0.1</v>
      </c>
      <c r="N9" s="726">
        <v>0.1</v>
      </c>
      <c r="O9" s="726">
        <v>0.1</v>
      </c>
      <c r="P9" s="727">
        <f t="shared" si="0"/>
        <v>0.22046000000000002</v>
      </c>
      <c r="Q9" s="728">
        <v>0</v>
      </c>
    </row>
    <row r="10" spans="1:20" x14ac:dyDescent="0.2">
      <c r="A10" s="725" t="s">
        <v>446</v>
      </c>
      <c r="B10" s="726">
        <v>4.0999999999999996</v>
      </c>
      <c r="C10" s="726">
        <v>17.5</v>
      </c>
      <c r="D10" s="726">
        <v>40.799999999999997</v>
      </c>
      <c r="E10" s="726">
        <v>10.6</v>
      </c>
      <c r="F10" s="726">
        <v>41.6</v>
      </c>
      <c r="G10" s="726">
        <v>14.4</v>
      </c>
      <c r="H10" s="726">
        <v>26.3</v>
      </c>
      <c r="I10" s="726">
        <v>26.6</v>
      </c>
      <c r="J10" s="726">
        <v>67.900000000000006</v>
      </c>
      <c r="K10" s="726">
        <v>93</v>
      </c>
      <c r="L10" s="726">
        <v>21.5</v>
      </c>
      <c r="M10" s="726">
        <v>72.3</v>
      </c>
      <c r="N10" s="726">
        <v>65.900000000000006</v>
      </c>
      <c r="O10" s="726">
        <v>38.6</v>
      </c>
      <c r="P10" s="727">
        <f t="shared" si="0"/>
        <v>85.097560000000001</v>
      </c>
      <c r="Q10" s="728">
        <v>3.4000000000000002E-2</v>
      </c>
    </row>
    <row r="11" spans="1:20" x14ac:dyDescent="0.2">
      <c r="A11" s="725" t="s">
        <v>447</v>
      </c>
      <c r="B11" s="726">
        <v>14.4</v>
      </c>
      <c r="C11" s="726">
        <v>64.7</v>
      </c>
      <c r="D11" s="726">
        <v>153</v>
      </c>
      <c r="E11" s="726">
        <v>38.1</v>
      </c>
      <c r="F11" s="726">
        <v>156.4</v>
      </c>
      <c r="G11" s="726">
        <v>52.3</v>
      </c>
      <c r="H11" s="726">
        <v>26.9</v>
      </c>
      <c r="I11" s="726">
        <v>27.4</v>
      </c>
      <c r="J11" s="726">
        <v>67.900000000000006</v>
      </c>
      <c r="K11" s="726">
        <v>92.7</v>
      </c>
      <c r="L11" s="726">
        <v>22.7</v>
      </c>
      <c r="M11" s="726">
        <v>72.099999999999994</v>
      </c>
      <c r="N11" s="726">
        <v>66.099999999999994</v>
      </c>
      <c r="O11" s="726">
        <v>65.8</v>
      </c>
      <c r="P11" s="727">
        <f t="shared" si="0"/>
        <v>145.06268</v>
      </c>
      <c r="Q11" s="728">
        <v>5.8000000000000003E-2</v>
      </c>
    </row>
    <row r="12" spans="1:20" x14ac:dyDescent="0.2">
      <c r="A12" s="725" t="s">
        <v>448</v>
      </c>
      <c r="B12" s="726">
        <v>0.1</v>
      </c>
      <c r="C12" s="726">
        <v>0.3</v>
      </c>
      <c r="D12" s="726">
        <v>0.6</v>
      </c>
      <c r="E12" s="726">
        <v>0.2</v>
      </c>
      <c r="F12" s="726">
        <v>0.6</v>
      </c>
      <c r="G12" s="726">
        <v>0.2</v>
      </c>
      <c r="H12" s="726">
        <v>0.2</v>
      </c>
      <c r="I12" s="726">
        <v>0.2</v>
      </c>
      <c r="J12" s="726">
        <v>0.4</v>
      </c>
      <c r="K12" s="726">
        <v>0.6</v>
      </c>
      <c r="L12" s="726">
        <v>0.2</v>
      </c>
      <c r="M12" s="726">
        <v>0.5</v>
      </c>
      <c r="N12" s="726">
        <v>0.4</v>
      </c>
      <c r="O12" s="726">
        <v>0.3</v>
      </c>
      <c r="P12" s="727">
        <f t="shared" si="0"/>
        <v>0.66137999999999997</v>
      </c>
      <c r="Q12" s="728">
        <v>0</v>
      </c>
    </row>
    <row r="13" spans="1:20" x14ac:dyDescent="0.2">
      <c r="A13" s="725" t="s">
        <v>449</v>
      </c>
      <c r="B13" s="726">
        <v>0.3</v>
      </c>
      <c r="C13" s="726">
        <v>1.3</v>
      </c>
      <c r="D13" s="726">
        <v>3</v>
      </c>
      <c r="E13" s="726">
        <v>0.8</v>
      </c>
      <c r="F13" s="726">
        <v>3</v>
      </c>
      <c r="G13" s="726">
        <v>1.1000000000000001</v>
      </c>
      <c r="H13" s="726">
        <v>0.9</v>
      </c>
      <c r="I13" s="726">
        <v>0.9</v>
      </c>
      <c r="J13" s="726">
        <v>2.2000000000000002</v>
      </c>
      <c r="K13" s="726">
        <v>2.9</v>
      </c>
      <c r="L13" s="726">
        <v>0.7</v>
      </c>
      <c r="M13" s="726">
        <v>2.2999999999999998</v>
      </c>
      <c r="N13" s="726">
        <v>2.1</v>
      </c>
      <c r="O13" s="726">
        <v>1.6</v>
      </c>
      <c r="P13" s="727">
        <f t="shared" si="0"/>
        <v>3.5273600000000003</v>
      </c>
      <c r="Q13" s="728">
        <v>1E-3</v>
      </c>
    </row>
    <row r="14" spans="1:20" x14ac:dyDescent="0.2">
      <c r="A14" s="725" t="s">
        <v>450</v>
      </c>
      <c r="B14" s="726">
        <v>1.5</v>
      </c>
      <c r="C14" s="726">
        <v>6.2</v>
      </c>
      <c r="D14" s="726">
        <v>14.4</v>
      </c>
      <c r="E14" s="726">
        <v>3.8</v>
      </c>
      <c r="F14" s="726">
        <v>14.7</v>
      </c>
      <c r="G14" s="726">
        <v>5.0999999999999996</v>
      </c>
      <c r="H14" s="726">
        <v>3.4</v>
      </c>
      <c r="I14" s="726">
        <v>3.5</v>
      </c>
      <c r="J14" s="726">
        <v>8.6999999999999993</v>
      </c>
      <c r="K14" s="726">
        <v>11.8</v>
      </c>
      <c r="L14" s="726">
        <v>2.9</v>
      </c>
      <c r="M14" s="726">
        <v>9.1999999999999993</v>
      </c>
      <c r="N14" s="726">
        <v>8.4</v>
      </c>
      <c r="O14" s="726">
        <v>7.2</v>
      </c>
      <c r="P14" s="727">
        <f t="shared" si="0"/>
        <v>15.873120000000002</v>
      </c>
      <c r="Q14" s="728">
        <v>6.0000000000000001E-3</v>
      </c>
    </row>
    <row r="15" spans="1:20" x14ac:dyDescent="0.2">
      <c r="A15" s="725" t="s">
        <v>451</v>
      </c>
      <c r="B15" s="726">
        <v>0.9</v>
      </c>
      <c r="C15" s="726">
        <v>1.5</v>
      </c>
      <c r="D15" s="726">
        <v>2</v>
      </c>
      <c r="E15" s="726">
        <v>1.7</v>
      </c>
      <c r="F15" s="726">
        <v>1.8</v>
      </c>
      <c r="G15" s="726">
        <v>2</v>
      </c>
      <c r="H15" s="726">
        <v>1.1000000000000001</v>
      </c>
      <c r="I15" s="726">
        <v>1.3</v>
      </c>
      <c r="J15" s="726">
        <v>1.4</v>
      </c>
      <c r="K15" s="726">
        <v>1.7</v>
      </c>
      <c r="L15" s="726">
        <v>1.4</v>
      </c>
      <c r="M15" s="726">
        <v>1.4</v>
      </c>
      <c r="N15" s="726">
        <v>1.6</v>
      </c>
      <c r="O15" s="726">
        <v>1.5</v>
      </c>
      <c r="P15" s="727">
        <f t="shared" si="0"/>
        <v>3.3069000000000002</v>
      </c>
      <c r="Q15" s="728">
        <v>1E-3</v>
      </c>
    </row>
    <row r="16" spans="1:20" x14ac:dyDescent="0.2">
      <c r="A16" s="725" t="s">
        <v>452</v>
      </c>
      <c r="B16" s="726">
        <v>214.1</v>
      </c>
      <c r="C16" s="726">
        <v>343.2</v>
      </c>
      <c r="D16" s="726">
        <v>470.9</v>
      </c>
      <c r="E16" s="726">
        <v>388.5</v>
      </c>
      <c r="F16" s="726">
        <v>440.6</v>
      </c>
      <c r="G16" s="726">
        <v>459.5</v>
      </c>
      <c r="H16" s="726">
        <v>269.2</v>
      </c>
      <c r="I16" s="726">
        <v>319.3</v>
      </c>
      <c r="J16" s="726">
        <v>360.6</v>
      </c>
      <c r="K16" s="726">
        <v>437.6</v>
      </c>
      <c r="L16" s="726">
        <v>363.6</v>
      </c>
      <c r="M16" s="726">
        <v>356.1</v>
      </c>
      <c r="N16" s="726">
        <v>407.4</v>
      </c>
      <c r="O16" s="726">
        <v>371.6</v>
      </c>
      <c r="P16" s="727">
        <f t="shared" si="0"/>
        <v>819.22936000000004</v>
      </c>
      <c r="Q16" s="728">
        <v>0.32700000000000001</v>
      </c>
    </row>
    <row r="17" spans="1:18" x14ac:dyDescent="0.2">
      <c r="A17" s="725" t="s">
        <v>453</v>
      </c>
      <c r="B17" s="726">
        <v>96.9</v>
      </c>
      <c r="C17" s="726">
        <v>512.20000000000005</v>
      </c>
      <c r="D17" s="726">
        <v>727.7</v>
      </c>
      <c r="E17" s="726">
        <v>555.5</v>
      </c>
      <c r="F17" s="726">
        <v>670.6</v>
      </c>
      <c r="G17" s="726">
        <v>770.8</v>
      </c>
      <c r="H17" s="726">
        <v>160.30000000000001</v>
      </c>
      <c r="I17" s="726">
        <v>342.3</v>
      </c>
      <c r="J17" s="726">
        <v>477.9</v>
      </c>
      <c r="K17" s="726">
        <v>649.29999999999995</v>
      </c>
      <c r="L17" s="726">
        <v>536.9</v>
      </c>
      <c r="M17" s="726">
        <v>419.8</v>
      </c>
      <c r="N17" s="726">
        <v>575.6</v>
      </c>
      <c r="O17" s="726">
        <v>499.7</v>
      </c>
      <c r="P17" s="727">
        <f t="shared" si="0"/>
        <v>1101.6386199999999</v>
      </c>
      <c r="Q17" s="728">
        <v>0.44</v>
      </c>
      <c r="R17" s="33"/>
    </row>
    <row r="18" spans="1:18" x14ac:dyDescent="0.2">
      <c r="A18" s="729" t="s">
        <v>456</v>
      </c>
      <c r="B18" s="730">
        <v>412</v>
      </c>
      <c r="C18" s="731">
        <v>1080</v>
      </c>
      <c r="D18" s="731">
        <v>1603</v>
      </c>
      <c r="E18" s="731">
        <v>1146</v>
      </c>
      <c r="F18" s="731">
        <v>1509</v>
      </c>
      <c r="G18" s="731">
        <v>1480</v>
      </c>
      <c r="H18" s="730">
        <v>596</v>
      </c>
      <c r="I18" s="730">
        <v>851</v>
      </c>
      <c r="J18" s="731">
        <v>1141</v>
      </c>
      <c r="K18" s="731">
        <v>1475</v>
      </c>
      <c r="L18" s="731">
        <v>1092</v>
      </c>
      <c r="M18" s="731">
        <v>1084</v>
      </c>
      <c r="N18" s="731">
        <v>1296</v>
      </c>
      <c r="O18" s="731">
        <v>1136</v>
      </c>
      <c r="P18" s="731">
        <f>SUM(P2:P17)</f>
        <v>2503.54376</v>
      </c>
      <c r="Q18" s="732">
        <v>1</v>
      </c>
    </row>
    <row r="19" spans="1:18" s="65" customFormat="1" x14ac:dyDescent="0.2">
      <c r="A19" s="733"/>
      <c r="B19" s="734"/>
      <c r="C19" s="735"/>
      <c r="D19" s="735"/>
      <c r="E19" s="735"/>
      <c r="F19" s="735"/>
      <c r="G19" s="735"/>
      <c r="H19" s="734"/>
      <c r="I19" s="734"/>
      <c r="J19" s="735"/>
      <c r="K19" s="735"/>
      <c r="L19" s="735"/>
      <c r="M19" s="735"/>
      <c r="N19" s="735"/>
      <c r="O19" s="735"/>
      <c r="P19" s="735"/>
      <c r="Q19" s="736"/>
    </row>
    <row r="20" spans="1:18" s="65" customFormat="1" ht="13.5" thickBot="1" x14ac:dyDescent="0.25">
      <c r="A20" s="761"/>
      <c r="B20" s="762"/>
      <c r="C20" s="763"/>
      <c r="D20" s="764"/>
      <c r="E20" s="764"/>
      <c r="F20" s="763"/>
      <c r="G20" s="764"/>
      <c r="H20" s="762"/>
      <c r="I20" s="737"/>
      <c r="J20" s="738"/>
      <c r="K20" s="738"/>
      <c r="L20" s="738"/>
      <c r="M20" s="739"/>
      <c r="N20" s="738"/>
      <c r="O20" s="738"/>
      <c r="P20" s="738"/>
      <c r="Q20" s="740"/>
    </row>
    <row r="21" spans="1:18" ht="63.75" x14ac:dyDescent="0.2">
      <c r="A21" s="776" t="s">
        <v>431</v>
      </c>
      <c r="B21" s="765" t="s">
        <v>421</v>
      </c>
      <c r="C21" s="765" t="s">
        <v>422</v>
      </c>
      <c r="D21" s="765" t="s">
        <v>100</v>
      </c>
      <c r="E21" s="765" t="s">
        <v>54</v>
      </c>
      <c r="F21" s="766" t="s">
        <v>423</v>
      </c>
      <c r="G21" s="765" t="s">
        <v>16</v>
      </c>
      <c r="H21" s="767" t="s">
        <v>53</v>
      </c>
      <c r="K21" s="16"/>
      <c r="L21" s="16"/>
    </row>
    <row r="22" spans="1:18" ht="25.5" x14ac:dyDescent="0.2">
      <c r="A22" s="768" t="s">
        <v>26</v>
      </c>
      <c r="B22" s="82">
        <f>35</f>
        <v>35</v>
      </c>
      <c r="C22" s="18">
        <v>0</v>
      </c>
      <c r="D22" s="19"/>
      <c r="E22" s="18">
        <v>0</v>
      </c>
      <c r="F22" s="18"/>
      <c r="G22" s="18"/>
      <c r="H22" s="28">
        <v>35</v>
      </c>
    </row>
    <row r="23" spans="1:18" x14ac:dyDescent="0.2">
      <c r="A23" s="769" t="s">
        <v>27</v>
      </c>
      <c r="B23" s="18"/>
      <c r="C23" s="18"/>
      <c r="D23" s="19"/>
      <c r="E23" s="18"/>
      <c r="F23" s="18"/>
      <c r="G23" s="18"/>
      <c r="H23" s="28"/>
    </row>
    <row r="24" spans="1:18" x14ac:dyDescent="0.2">
      <c r="A24" s="768" t="s">
        <v>19</v>
      </c>
      <c r="B24" s="31">
        <f>SUM(B25:B27)+B31</f>
        <v>1135.5999999999999</v>
      </c>
      <c r="C24" s="31">
        <f>C26+C27+C31</f>
        <v>755.3</v>
      </c>
      <c r="D24" s="19"/>
      <c r="E24" s="31">
        <f>E26+E27+E31</f>
        <v>636.10825552371261</v>
      </c>
      <c r="F24" s="18"/>
      <c r="G24" s="18"/>
      <c r="H24" s="28">
        <f>SUM(H25:H27)+H31</f>
        <v>499.49174447628729</v>
      </c>
      <c r="I24" s="33"/>
    </row>
    <row r="25" spans="1:18" x14ac:dyDescent="0.2">
      <c r="A25" s="770" t="s">
        <v>20</v>
      </c>
      <c r="B25" s="31">
        <f>SUM(O14:O16)</f>
        <v>380.3</v>
      </c>
      <c r="C25" s="31">
        <v>0</v>
      </c>
      <c r="D25" s="19"/>
      <c r="E25" s="18">
        <v>0</v>
      </c>
      <c r="F25" s="18"/>
      <c r="G25" s="18"/>
      <c r="H25" s="28">
        <f>B25</f>
        <v>380.3</v>
      </c>
      <c r="I25" s="33"/>
    </row>
    <row r="26" spans="1:18" x14ac:dyDescent="0.2">
      <c r="A26" s="771" t="s">
        <v>32</v>
      </c>
      <c r="B26" s="31">
        <f>SUM(O10:O13)</f>
        <v>106.3</v>
      </c>
      <c r="C26" s="31">
        <v>106.3</v>
      </c>
      <c r="D26" s="19">
        <f t="shared" ref="D26:D31" si="1">C26/(B$35-B$22-B$25-B$32)</f>
        <v>9.8271239715263012E-2</v>
      </c>
      <c r="E26" s="31">
        <f>D26*B$37</f>
        <v>89.525099380604601</v>
      </c>
      <c r="F26" s="18"/>
      <c r="G26" s="18"/>
      <c r="H26" s="28">
        <f>C26-E26</f>
        <v>16.774900619395396</v>
      </c>
      <c r="I26" s="33"/>
    </row>
    <row r="27" spans="1:18" x14ac:dyDescent="0.2">
      <c r="A27" s="770" t="s">
        <v>21</v>
      </c>
      <c r="B27" s="31">
        <f>SUM(O2:O9)</f>
        <v>149.29999999999998</v>
      </c>
      <c r="C27" s="18">
        <v>149.30000000000001</v>
      </c>
      <c r="D27" s="19">
        <f t="shared" si="1"/>
        <v>0.13802348155680874</v>
      </c>
      <c r="E27" s="31">
        <f t="shared" ref="E27:E31" si="2">D27*B$37</f>
        <v>125.73939169825276</v>
      </c>
      <c r="F27" s="18"/>
      <c r="G27" s="18"/>
      <c r="H27" s="28">
        <f>B27-E27</f>
        <v>23.560608301747223</v>
      </c>
    </row>
    <row r="28" spans="1:18" x14ac:dyDescent="0.2">
      <c r="A28" s="772" t="s">
        <v>424</v>
      </c>
      <c r="B28" s="31">
        <f>O4+O6+O7</f>
        <v>120.1</v>
      </c>
      <c r="C28" s="18">
        <v>120.1</v>
      </c>
      <c r="D28" s="19">
        <f t="shared" si="1"/>
        <v>0.11102893593417767</v>
      </c>
      <c r="E28" s="31">
        <f t="shared" si="2"/>
        <v>101.14736063603586</v>
      </c>
      <c r="F28" s="18"/>
      <c r="G28" s="18"/>
      <c r="H28" s="28">
        <f t="shared" ref="H28:H30" si="3">B28-E28</f>
        <v>18.952639363964138</v>
      </c>
    </row>
    <row r="29" spans="1:18" x14ac:dyDescent="0.2">
      <c r="A29" s="772" t="s">
        <v>425</v>
      </c>
      <c r="B29" s="18">
        <v>24.1</v>
      </c>
      <c r="C29" s="18">
        <v>24.2</v>
      </c>
      <c r="D29" s="19">
        <f t="shared" si="1"/>
        <v>2.2372191920125725E-2</v>
      </c>
      <c r="E29" s="31">
        <f t="shared" si="2"/>
        <v>20.381066839234535</v>
      </c>
      <c r="F29" s="18"/>
      <c r="G29" s="18"/>
      <c r="H29" s="28">
        <f t="shared" si="3"/>
        <v>3.7189331607654665</v>
      </c>
    </row>
    <row r="30" spans="1:18" x14ac:dyDescent="0.2">
      <c r="A30" s="772" t="s">
        <v>426</v>
      </c>
      <c r="B30" s="18">
        <v>5.0999999999999996</v>
      </c>
      <c r="C30" s="18">
        <v>5.0999999999999996</v>
      </c>
      <c r="D30" s="19">
        <f t="shared" si="1"/>
        <v>4.7148007765554214E-3</v>
      </c>
      <c r="E30" s="31">
        <f t="shared" si="2"/>
        <v>4.2951835074419886</v>
      </c>
      <c r="F30" s="18"/>
      <c r="G30" s="18"/>
      <c r="H30" s="28">
        <f t="shared" si="3"/>
        <v>0.80481649255801102</v>
      </c>
    </row>
    <row r="31" spans="1:18" s="35" customFormat="1" x14ac:dyDescent="0.2">
      <c r="A31" s="772" t="s">
        <v>498</v>
      </c>
      <c r="B31" s="31">
        <f>O17</f>
        <v>499.7</v>
      </c>
      <c r="C31" s="18">
        <v>499.7</v>
      </c>
      <c r="D31" s="19">
        <f t="shared" si="1"/>
        <v>0.46195802902838123</v>
      </c>
      <c r="E31" s="31">
        <f t="shared" si="2"/>
        <v>420.84376444485531</v>
      </c>
      <c r="F31" s="18"/>
      <c r="G31" s="18"/>
      <c r="H31" s="28">
        <f>C31-E31</f>
        <v>78.856235555144679</v>
      </c>
    </row>
    <row r="32" spans="1:18" x14ac:dyDescent="0.2">
      <c r="A32" s="768" t="s">
        <v>429</v>
      </c>
      <c r="B32" s="18">
        <f>7</f>
        <v>7</v>
      </c>
      <c r="C32" s="18">
        <v>0</v>
      </c>
      <c r="D32" s="19"/>
      <c r="E32" s="31">
        <v>0</v>
      </c>
      <c r="F32" s="18"/>
      <c r="G32" s="18"/>
      <c r="H32" s="28">
        <v>7</v>
      </c>
    </row>
    <row r="33" spans="1:12" s="35" customFormat="1" x14ac:dyDescent="0.2">
      <c r="A33" s="768" t="s">
        <v>430</v>
      </c>
      <c r="B33" s="18">
        <f>326</f>
        <v>326</v>
      </c>
      <c r="C33" s="18">
        <v>326</v>
      </c>
      <c r="D33" s="19">
        <f>C33/(B$35-B$22-B$25-B$32)</f>
        <v>0.30137746140334659</v>
      </c>
      <c r="E33" s="31">
        <f>D33*B$37</f>
        <v>274.55486733844873</v>
      </c>
      <c r="F33" s="18"/>
      <c r="G33" s="18"/>
      <c r="H33" s="28">
        <f>C33-E33</f>
        <v>51.44513266155127</v>
      </c>
    </row>
    <row r="34" spans="1:12" x14ac:dyDescent="0.2">
      <c r="A34" s="773" t="s">
        <v>30</v>
      </c>
      <c r="B34" s="31"/>
      <c r="C34" s="18"/>
      <c r="D34" s="18"/>
      <c r="E34" s="18"/>
      <c r="F34" s="18"/>
      <c r="G34" s="18"/>
      <c r="H34" s="28"/>
    </row>
    <row r="35" spans="1:12" ht="25.5" x14ac:dyDescent="0.2">
      <c r="A35" s="768" t="s">
        <v>487</v>
      </c>
      <c r="B35" s="774">
        <v>1504</v>
      </c>
      <c r="C35" s="18"/>
      <c r="D35" s="19">
        <f>D26+D27+D31+D33</f>
        <v>0.99963021170379962</v>
      </c>
      <c r="E35" s="31">
        <f>E24+E33</f>
        <v>910.66312286216134</v>
      </c>
      <c r="F35" s="18"/>
      <c r="G35" s="18"/>
      <c r="H35" s="28">
        <f>H22+H24+H32+H33</f>
        <v>592.93687713783856</v>
      </c>
    </row>
    <row r="36" spans="1:12" ht="25.5" x14ac:dyDescent="0.2">
      <c r="A36" s="768" t="s">
        <v>432</v>
      </c>
      <c r="B36" s="18">
        <v>593</v>
      </c>
      <c r="C36" s="18"/>
      <c r="D36" s="18"/>
      <c r="E36" s="18">
        <v>593</v>
      </c>
      <c r="F36" s="18"/>
      <c r="G36" s="18"/>
      <c r="H36" s="28">
        <v>593</v>
      </c>
    </row>
    <row r="37" spans="1:12" ht="26.25" thickBot="1" x14ac:dyDescent="0.25">
      <c r="A37" s="775" t="s">
        <v>488</v>
      </c>
      <c r="B37" s="721">
        <f>B35-B36</f>
        <v>911</v>
      </c>
      <c r="C37" s="721"/>
      <c r="D37" s="42"/>
      <c r="E37" s="721">
        <f>E26+E27+E31+E33</f>
        <v>910.66312286216134</v>
      </c>
      <c r="F37" s="42"/>
      <c r="G37" s="42"/>
      <c r="H37" s="317"/>
    </row>
    <row r="38" spans="1:12" x14ac:dyDescent="0.2">
      <c r="A38" s="717"/>
    </row>
    <row r="39" spans="1:12" ht="13.5" thickBot="1" x14ac:dyDescent="0.25">
      <c r="A39" s="717"/>
    </row>
    <row r="40" spans="1:12" ht="63.75" x14ac:dyDescent="0.2">
      <c r="A40" s="383" t="s">
        <v>436</v>
      </c>
      <c r="B40" s="376" t="s">
        <v>194</v>
      </c>
      <c r="C40" s="376" t="s">
        <v>195</v>
      </c>
      <c r="D40" s="376" t="s">
        <v>459</v>
      </c>
      <c r="E40" s="376" t="s">
        <v>196</v>
      </c>
      <c r="F40" s="376" t="s">
        <v>197</v>
      </c>
      <c r="G40" s="376" t="s">
        <v>462</v>
      </c>
      <c r="H40" s="376" t="s">
        <v>198</v>
      </c>
      <c r="I40" s="376" t="s">
        <v>199</v>
      </c>
      <c r="J40" s="376" t="s">
        <v>466</v>
      </c>
      <c r="K40" s="420" t="s">
        <v>467</v>
      </c>
      <c r="L40" s="378" t="s">
        <v>468</v>
      </c>
    </row>
    <row r="41" spans="1:12" ht="15" x14ac:dyDescent="0.25">
      <c r="A41" s="719" t="s">
        <v>41</v>
      </c>
      <c r="B41" s="780">
        <v>15.372916999999999</v>
      </c>
      <c r="C41" s="782">
        <v>5.9770390027481496E-2</v>
      </c>
      <c r="D41" s="323">
        <f>C41*E$28</f>
        <v>6.0456171954661917</v>
      </c>
      <c r="E41" s="780">
        <v>6.2389999999999998E-3</v>
      </c>
      <c r="F41" s="782">
        <v>4.2219839727289748E-5</v>
      </c>
      <c r="G41" s="323">
        <f>F41*E$29</f>
        <v>8.6048537542366191E-4</v>
      </c>
      <c r="H41" s="780">
        <v>0.37512699999999999</v>
      </c>
      <c r="I41" s="782">
        <v>3.7087018172378888E-4</v>
      </c>
      <c r="J41" s="323">
        <f>I41*E$30</f>
        <v>1.5929554879420312E-3</v>
      </c>
      <c r="K41" s="323">
        <f>D41+G41+J41</f>
        <v>6.0480706363295571</v>
      </c>
      <c r="L41" s="326">
        <f>(C41*H28)+(F41*H29)+(I41*H30)</f>
        <v>1.1332621420351887</v>
      </c>
    </row>
    <row r="42" spans="1:12" ht="15" x14ac:dyDescent="0.25">
      <c r="A42" s="719" t="s">
        <v>36</v>
      </c>
      <c r="B42" s="780">
        <v>61.967013999999999</v>
      </c>
      <c r="C42" s="782">
        <v>0.2409297204699932</v>
      </c>
      <c r="D42" s="323">
        <f t="shared" ref="D42:D44" si="4">C42*E$28</f>
        <v>24.369405324317711</v>
      </c>
      <c r="E42" s="780">
        <v>6.5168369999999998</v>
      </c>
      <c r="F42" s="782">
        <v>4.409998616266577E-2</v>
      </c>
      <c r="G42" s="323">
        <f t="shared" ref="G42:G44" si="5">F42*E$29</f>
        <v>0.89880476559060918</v>
      </c>
      <c r="H42" s="780">
        <v>171.58390700000001</v>
      </c>
      <c r="I42" s="782">
        <v>0.16963682904714322</v>
      </c>
      <c r="J42" s="323">
        <f t="shared" ref="J42:J44" si="6">I42*E$30</f>
        <v>0.72862131037804567</v>
      </c>
      <c r="K42" s="323">
        <f t="shared" ref="K42:K44" si="7">D42+G42+J42</f>
        <v>25.996831400286364</v>
      </c>
      <c r="L42" s="326">
        <f>(C42*H28)+(F42*H29)+(I42*H30)</f>
        <v>4.8667855228204902</v>
      </c>
    </row>
    <row r="43" spans="1:12" ht="15" x14ac:dyDescent="0.25">
      <c r="A43" s="719" t="s">
        <v>37</v>
      </c>
      <c r="B43" s="780">
        <v>179.790145</v>
      </c>
      <c r="C43" s="782">
        <v>0.69902979959804978</v>
      </c>
      <c r="D43" s="323">
        <f t="shared" si="4"/>
        <v>70.705019235279821</v>
      </c>
      <c r="E43" s="780">
        <v>122.127297</v>
      </c>
      <c r="F43" s="782">
        <v>0.82644572939046546</v>
      </c>
      <c r="G43" s="323">
        <f t="shared" si="5"/>
        <v>16.843845649707013</v>
      </c>
      <c r="H43" s="780">
        <v>839.51888499999995</v>
      </c>
      <c r="I43" s="782">
        <v>0.82999229978248057</v>
      </c>
      <c r="J43" s="323">
        <f t="shared" si="6"/>
        <v>3.5649692373295574</v>
      </c>
      <c r="K43" s="323">
        <f t="shared" si="7"/>
        <v>91.113834122316405</v>
      </c>
      <c r="L43" s="326">
        <f>(C43*H28)+(H29*F43)+(H30*I43)</f>
        <v>16.989947616610259</v>
      </c>
    </row>
    <row r="44" spans="1:12" ht="15.75" thickBot="1" x14ac:dyDescent="0.3">
      <c r="A44" s="720" t="s">
        <v>51</v>
      </c>
      <c r="B44" s="789">
        <v>6.9466E-2</v>
      </c>
      <c r="C44" s="786">
        <v>2.7008601644366062E-4</v>
      </c>
      <c r="D44" s="347">
        <f t="shared" si="4"/>
        <v>2.7318487707977252E-2</v>
      </c>
      <c r="E44" s="789">
        <v>19.123754999999999</v>
      </c>
      <c r="F44" s="786">
        <v>0.12941206460714152</v>
      </c>
      <c r="G44" s="347">
        <f t="shared" si="5"/>
        <v>2.6375559385614893</v>
      </c>
      <c r="H44" s="785"/>
      <c r="I44" s="786">
        <v>0</v>
      </c>
      <c r="J44" s="347">
        <f t="shared" si="6"/>
        <v>0</v>
      </c>
      <c r="K44" s="347">
        <f t="shared" si="7"/>
        <v>2.6648744262694666</v>
      </c>
      <c r="L44" s="788">
        <f>(C44*H28)+(H29*F44)+(I44*H30)</f>
        <v>0.48639366133752798</v>
      </c>
    </row>
    <row r="45" spans="1:12" x14ac:dyDescent="0.2">
      <c r="K45" s="33">
        <f>SUM(K41:K44)</f>
        <v>125.82361058520179</v>
      </c>
    </row>
    <row r="46" spans="1:12" ht="15.75" thickBot="1" x14ac:dyDescent="0.3">
      <c r="A46" s="408" t="s">
        <v>131</v>
      </c>
    </row>
    <row r="47" spans="1:12" ht="76.5" x14ac:dyDescent="0.2">
      <c r="A47" s="388" t="s">
        <v>437</v>
      </c>
      <c r="B47" s="389" t="s">
        <v>127</v>
      </c>
      <c r="C47" s="389" t="s">
        <v>460</v>
      </c>
      <c r="D47" s="389" t="s">
        <v>70</v>
      </c>
      <c r="E47" s="389" t="s">
        <v>461</v>
      </c>
      <c r="F47" s="389" t="s">
        <v>72</v>
      </c>
      <c r="G47" s="389" t="s">
        <v>464</v>
      </c>
      <c r="H47" s="390" t="s">
        <v>463</v>
      </c>
      <c r="I47" s="389" t="s">
        <v>190</v>
      </c>
      <c r="J47" s="392" t="s">
        <v>465</v>
      </c>
    </row>
    <row r="48" spans="1:12" ht="15" x14ac:dyDescent="0.25">
      <c r="A48" s="719" t="s">
        <v>41</v>
      </c>
      <c r="B48" s="782">
        <v>5.9770390027481496E-2</v>
      </c>
      <c r="C48" s="323">
        <f>B48*C$28</f>
        <v>7.1784238423005275</v>
      </c>
      <c r="D48" s="782">
        <v>4.2219839727289748E-5</v>
      </c>
      <c r="E48" s="323">
        <f>D48*C$29</f>
        <v>1.0217201214004119E-3</v>
      </c>
      <c r="F48" s="782">
        <v>3.7087018172378888E-4</v>
      </c>
      <c r="G48" s="323">
        <f>F48*C$30</f>
        <v>1.8914379267913231E-3</v>
      </c>
      <c r="H48" s="323">
        <f>C48+E48+G48</f>
        <v>7.1813370003487194</v>
      </c>
      <c r="I48" s="784">
        <v>5.0000000000000001E-3</v>
      </c>
      <c r="J48" s="326">
        <f>H48*I48</f>
        <v>3.5906685001743599E-2</v>
      </c>
    </row>
    <row r="49" spans="1:13" ht="15" x14ac:dyDescent="0.25">
      <c r="A49" s="719" t="s">
        <v>36</v>
      </c>
      <c r="B49" s="782">
        <v>0.2409297204699932</v>
      </c>
      <c r="C49" s="323">
        <f t="shared" ref="C49:C51" si="8">B49*C$28</f>
        <v>28.935659428446183</v>
      </c>
      <c r="D49" s="782">
        <v>4.409998616266577E-2</v>
      </c>
      <c r="E49" s="323">
        <f t="shared" ref="E49:E51" si="9">D49*C$29</f>
        <v>1.0672196651365116</v>
      </c>
      <c r="F49" s="782">
        <v>0.16963682904714322</v>
      </c>
      <c r="G49" s="323">
        <f t="shared" ref="G49:G51" si="10">F49*C$30</f>
        <v>0.86514782814043034</v>
      </c>
      <c r="H49" s="323">
        <f t="shared" ref="H49:H51" si="11">C49+E49+G49</f>
        <v>30.868026921723125</v>
      </c>
      <c r="I49" s="784">
        <v>5.5E-2</v>
      </c>
      <c r="J49" s="326">
        <f t="shared" ref="J49:J51" si="12">H49*I49</f>
        <v>1.6977414806947719</v>
      </c>
    </row>
    <row r="50" spans="1:13" ht="15" x14ac:dyDescent="0.25">
      <c r="A50" s="719" t="s">
        <v>37</v>
      </c>
      <c r="B50" s="782">
        <v>0.69902979959804978</v>
      </c>
      <c r="C50" s="323">
        <f t="shared" si="8"/>
        <v>83.953478931725769</v>
      </c>
      <c r="D50" s="782">
        <v>0.82644572939046546</v>
      </c>
      <c r="E50" s="323">
        <f t="shared" si="9"/>
        <v>19.999986651249262</v>
      </c>
      <c r="F50" s="782">
        <v>0.82999229978248057</v>
      </c>
      <c r="G50" s="323">
        <f t="shared" si="10"/>
        <v>4.2329607288906503</v>
      </c>
      <c r="H50" s="323">
        <f t="shared" si="11"/>
        <v>108.18642631186567</v>
      </c>
      <c r="I50" s="784">
        <v>5.5E-2</v>
      </c>
      <c r="J50" s="326">
        <f t="shared" si="12"/>
        <v>5.9502534471526118</v>
      </c>
    </row>
    <row r="51" spans="1:13" ht="15.75" thickBot="1" x14ac:dyDescent="0.3">
      <c r="A51" s="720" t="s">
        <v>51</v>
      </c>
      <c r="B51" s="786">
        <v>2.7008601644366062E-4</v>
      </c>
      <c r="C51" s="347">
        <f t="shared" si="8"/>
        <v>3.2437330574883641E-2</v>
      </c>
      <c r="D51" s="786">
        <v>0.12941206460714152</v>
      </c>
      <c r="E51" s="347">
        <f t="shared" si="9"/>
        <v>3.1317719634928247</v>
      </c>
      <c r="F51" s="786">
        <v>0</v>
      </c>
      <c r="G51" s="347">
        <f t="shared" si="10"/>
        <v>0</v>
      </c>
      <c r="H51" s="347">
        <f t="shared" si="11"/>
        <v>3.1642092940677085</v>
      </c>
      <c r="I51" s="787">
        <v>0.01</v>
      </c>
      <c r="J51" s="788">
        <f t="shared" si="12"/>
        <v>3.1642092940677088E-2</v>
      </c>
    </row>
    <row r="53" spans="1:13" ht="15.75" thickBot="1" x14ac:dyDescent="0.3">
      <c r="A53" s="408" t="s">
        <v>376</v>
      </c>
    </row>
    <row r="54" spans="1:13" ht="114.75" x14ac:dyDescent="0.2">
      <c r="A54" s="650" t="s">
        <v>457</v>
      </c>
      <c r="B54" s="405" t="s">
        <v>475</v>
      </c>
      <c r="C54" s="405" t="s">
        <v>474</v>
      </c>
      <c r="D54" s="405" t="s">
        <v>473</v>
      </c>
      <c r="E54" s="405" t="s">
        <v>472</v>
      </c>
      <c r="F54" s="406" t="s">
        <v>874</v>
      </c>
      <c r="G54" s="405" t="s">
        <v>471</v>
      </c>
      <c r="H54" s="405" t="s">
        <v>476</v>
      </c>
      <c r="I54" s="654" t="s">
        <v>470</v>
      </c>
      <c r="J54" s="824" t="s">
        <v>469</v>
      </c>
      <c r="K54" s="822"/>
      <c r="L54" s="823"/>
      <c r="M54" s="823"/>
    </row>
    <row r="55" spans="1:13" ht="15.75" thickBot="1" x14ac:dyDescent="0.3">
      <c r="A55" s="719" t="s">
        <v>41</v>
      </c>
      <c r="B55" s="323">
        <f>ROUND(K41,0)</f>
        <v>6</v>
      </c>
      <c r="C55" s="323">
        <f>B55*0.5</f>
        <v>3</v>
      </c>
      <c r="D55" s="323">
        <f>J48</f>
        <v>3.5906685001743599E-2</v>
      </c>
      <c r="E55" s="453"/>
      <c r="F55" s="323">
        <f>C55-D55-E55</f>
        <v>2.9640933149982565</v>
      </c>
      <c r="G55" s="323">
        <v>3</v>
      </c>
      <c r="H55" s="453"/>
      <c r="I55" s="453"/>
      <c r="J55" s="788">
        <f>IF((F55+G55)&lt;0,0,(F55+G55-H55-I55))</f>
        <v>5.9640933149982569</v>
      </c>
    </row>
    <row r="56" spans="1:13" ht="15.75" thickBot="1" x14ac:dyDescent="0.3">
      <c r="A56" s="719" t="s">
        <v>36</v>
      </c>
      <c r="B56" s="323">
        <f>ROUND(K42,0)</f>
        <v>26</v>
      </c>
      <c r="C56" s="323">
        <f t="shared" ref="C56" si="13">B56*0.5</f>
        <v>13</v>
      </c>
      <c r="D56" s="323">
        <f>ROUND(J49,0)</f>
        <v>2</v>
      </c>
      <c r="E56" s="453"/>
      <c r="F56" s="323">
        <f t="shared" ref="F56:F59" si="14">C56-D56-E56</f>
        <v>11</v>
      </c>
      <c r="G56" s="323">
        <v>13</v>
      </c>
      <c r="H56" s="453"/>
      <c r="I56" s="453"/>
      <c r="J56" s="788">
        <f>IF((F56+G56)&lt;0,0,(F56+G56-H56-I56))</f>
        <v>24</v>
      </c>
    </row>
    <row r="57" spans="1:13" ht="15.75" thickBot="1" x14ac:dyDescent="0.3">
      <c r="A57" s="719" t="s">
        <v>37</v>
      </c>
      <c r="B57" s="323">
        <f>ROUND(K43,0)</f>
        <v>91</v>
      </c>
      <c r="C57" s="323">
        <v>45</v>
      </c>
      <c r="D57" s="323">
        <f>J50</f>
        <v>5.9502534471526118</v>
      </c>
      <c r="E57" s="453">
        <v>85</v>
      </c>
      <c r="F57" s="323">
        <f>C57-D57-E57</f>
        <v>-45.950253447152612</v>
      </c>
      <c r="G57" s="323">
        <v>46</v>
      </c>
      <c r="H57" s="453"/>
      <c r="I57" s="453"/>
      <c r="J57" s="788">
        <f>IF((F57+G57)&lt;0,0,(F57+G57-H57-I57))</f>
        <v>4.9746552847388159E-2</v>
      </c>
    </row>
    <row r="58" spans="1:13" ht="15.75" thickBot="1" x14ac:dyDescent="0.3">
      <c r="A58" s="719" t="s">
        <v>51</v>
      </c>
      <c r="B58" s="323">
        <f>ROUND(K44,0)</f>
        <v>3</v>
      </c>
      <c r="C58" s="323">
        <v>1</v>
      </c>
      <c r="D58" s="323">
        <f>J51</f>
        <v>3.1642092940677088E-2</v>
      </c>
      <c r="E58" s="453"/>
      <c r="F58" s="323">
        <f t="shared" si="14"/>
        <v>0.9683579070593229</v>
      </c>
      <c r="G58" s="323">
        <v>2</v>
      </c>
      <c r="H58" s="453"/>
      <c r="I58" s="453"/>
      <c r="J58" s="788">
        <f>IF((F58+G58)&lt;0,0,(F58+G58-H58-I58))</f>
        <v>2.9683579070593229</v>
      </c>
    </row>
    <row r="59" spans="1:13" ht="15.75" thickBot="1" x14ac:dyDescent="0.3">
      <c r="A59" s="743" t="s">
        <v>869</v>
      </c>
      <c r="B59" s="347">
        <f>ROUND(E31,0)</f>
        <v>421</v>
      </c>
      <c r="C59" s="785">
        <v>210</v>
      </c>
      <c r="D59" s="785"/>
      <c r="E59" s="886">
        <v>415</v>
      </c>
      <c r="F59" s="347">
        <f t="shared" si="14"/>
        <v>-205</v>
      </c>
      <c r="G59" s="347">
        <v>211</v>
      </c>
      <c r="H59" s="785"/>
      <c r="I59" s="785"/>
      <c r="J59" s="788">
        <f>IF((F59+G59)&lt;0,0,(F59+G59-H59-I59))</f>
        <v>6</v>
      </c>
    </row>
    <row r="60" spans="1:13" s="35" customFormat="1" ht="15" x14ac:dyDescent="0.25">
      <c r="A60" s="884" t="s">
        <v>599</v>
      </c>
      <c r="B60" s="921">
        <f>E33</f>
        <v>274.55486733844873</v>
      </c>
      <c r="C60" s="919"/>
      <c r="D60" s="919"/>
      <c r="E60" s="920"/>
      <c r="F60" s="921"/>
      <c r="G60" s="921"/>
      <c r="H60" s="919"/>
      <c r="I60" s="919"/>
      <c r="J60" s="921"/>
    </row>
    <row r="61" spans="1:13" ht="15" x14ac:dyDescent="0.25">
      <c r="A61" s="884" t="s">
        <v>280</v>
      </c>
      <c r="B61" s="885">
        <f>SUM(B55:B60)+E26</f>
        <v>911.07996671905335</v>
      </c>
      <c r="J61" s="33"/>
    </row>
    <row r="62" spans="1:13" ht="15" x14ac:dyDescent="0.25">
      <c r="A62" s="884" t="s">
        <v>912</v>
      </c>
    </row>
    <row r="63" spans="1:13" ht="15.75" thickBot="1" x14ac:dyDescent="0.3">
      <c r="A63" s="408" t="s">
        <v>333</v>
      </c>
      <c r="B63" s="35"/>
      <c r="C63" s="35"/>
      <c r="D63" s="35"/>
      <c r="E63" s="35"/>
      <c r="F63" s="35"/>
    </row>
    <row r="64" spans="1:13" ht="63.75" x14ac:dyDescent="0.2">
      <c r="A64" s="388" t="s">
        <v>457</v>
      </c>
      <c r="B64" s="389" t="s">
        <v>460</v>
      </c>
      <c r="C64" s="389" t="s">
        <v>461</v>
      </c>
      <c r="D64" s="389" t="s">
        <v>464</v>
      </c>
      <c r="E64" s="390" t="s">
        <v>463</v>
      </c>
      <c r="F64" s="400" t="s">
        <v>332</v>
      </c>
    </row>
    <row r="65" spans="1:6" x14ac:dyDescent="0.2">
      <c r="A65" s="848" t="s">
        <v>41</v>
      </c>
      <c r="B65" s="323">
        <f>C48</f>
        <v>7.1784238423005275</v>
      </c>
      <c r="C65" s="323">
        <f>E48</f>
        <v>1.0217201214004119E-3</v>
      </c>
      <c r="D65" s="323">
        <f t="shared" ref="D65:E68" si="15">G48</f>
        <v>1.8914379267913231E-3</v>
      </c>
      <c r="E65" s="333">
        <f t="shared" si="15"/>
        <v>7.1813370003487194</v>
      </c>
      <c r="F65" s="395">
        <f>E65/E$69</f>
        <v>4.806785155981589E-2</v>
      </c>
    </row>
    <row r="66" spans="1:6" x14ac:dyDescent="0.2">
      <c r="A66" s="848" t="s">
        <v>36</v>
      </c>
      <c r="B66" s="323">
        <f>C49</f>
        <v>28.935659428446183</v>
      </c>
      <c r="C66" s="323">
        <f>E49</f>
        <v>1.0672196651365116</v>
      </c>
      <c r="D66" s="323">
        <f t="shared" si="15"/>
        <v>0.86514782814043034</v>
      </c>
      <c r="E66" s="333">
        <f t="shared" si="15"/>
        <v>30.868026921723125</v>
      </c>
      <c r="F66" s="395">
        <f t="shared" ref="F66:F69" si="16">E66/E$69</f>
        <v>0.20661329999493658</v>
      </c>
    </row>
    <row r="67" spans="1:6" s="35" customFormat="1" x14ac:dyDescent="0.2">
      <c r="A67" s="848" t="s">
        <v>37</v>
      </c>
      <c r="B67" s="323">
        <f>C50</f>
        <v>83.953478931725769</v>
      </c>
      <c r="C67" s="323">
        <f>E50</f>
        <v>19.999986651249262</v>
      </c>
      <c r="D67" s="323">
        <f t="shared" si="15"/>
        <v>4.2329607288906503</v>
      </c>
      <c r="E67" s="333">
        <f t="shared" si="15"/>
        <v>108.18642631186567</v>
      </c>
      <c r="F67" s="395">
        <f t="shared" si="16"/>
        <v>0.72413940196556681</v>
      </c>
    </row>
    <row r="68" spans="1:6" ht="13.5" thickBot="1" x14ac:dyDescent="0.25">
      <c r="A68" s="336" t="str">
        <f t="shared" ref="A68" si="17">A51</f>
        <v>Wildwood</v>
      </c>
      <c r="B68" s="323">
        <f>C51</f>
        <v>3.2437330574883641E-2</v>
      </c>
      <c r="C68" s="323">
        <f>E51</f>
        <v>3.1317719634928247</v>
      </c>
      <c r="D68" s="323">
        <f t="shared" si="15"/>
        <v>0</v>
      </c>
      <c r="E68" s="333">
        <f t="shared" si="15"/>
        <v>3.1642092940677085</v>
      </c>
      <c r="F68" s="395">
        <f t="shared" si="16"/>
        <v>2.1179446479680699E-2</v>
      </c>
    </row>
    <row r="69" spans="1:6" ht="13.5" thickBot="1" x14ac:dyDescent="0.25">
      <c r="A69" s="648" t="s">
        <v>550</v>
      </c>
      <c r="B69" s="397">
        <f>C52</f>
        <v>0</v>
      </c>
      <c r="C69" s="397">
        <f>E52</f>
        <v>0</v>
      </c>
      <c r="D69" s="397">
        <f>G52</f>
        <v>0</v>
      </c>
      <c r="E69" s="398">
        <f>SUM(E65:E68)</f>
        <v>149.39999952800522</v>
      </c>
      <c r="F69" s="395">
        <f t="shared" si="16"/>
        <v>1</v>
      </c>
    </row>
    <row r="70" spans="1:6" x14ac:dyDescent="0.2">
      <c r="A70" s="388"/>
    </row>
  </sheetData>
  <conditionalFormatting sqref="F65:F69">
    <cfRule type="cellIs" dxfId="0" priority="1" operator="between">
      <formula>0</formula>
      <formula>0.01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1"/>
  <sheetViews>
    <sheetView topLeftCell="A34" workbookViewId="0">
      <selection activeCell="J22" sqref="J22"/>
    </sheetView>
  </sheetViews>
  <sheetFormatPr defaultRowHeight="12.75" x14ac:dyDescent="0.2"/>
  <cols>
    <col min="1" max="1" width="29.28515625" customWidth="1"/>
    <col min="2" max="2" width="11.85546875" customWidth="1"/>
    <col min="3" max="3" width="11.7109375" customWidth="1"/>
    <col min="4" max="5" width="12.42578125" customWidth="1"/>
    <col min="6" max="6" width="12.28515625" customWidth="1"/>
    <col min="7" max="7" width="11.28515625" customWidth="1"/>
    <col min="8" max="8" width="12.85546875" customWidth="1"/>
    <col min="9" max="9" width="11.140625" customWidth="1"/>
    <col min="10" max="10" width="11" customWidth="1"/>
    <col min="11" max="11" width="12.140625" customWidth="1"/>
    <col min="12" max="12" width="12.7109375" customWidth="1"/>
    <col min="13" max="13" width="13.140625" customWidth="1"/>
    <col min="14" max="14" width="12.28515625" customWidth="1"/>
  </cols>
  <sheetData>
    <row r="1" spans="1:12" s="35" customFormat="1" x14ac:dyDescent="0.2">
      <c r="A1" s="141" t="s">
        <v>900</v>
      </c>
    </row>
    <row r="2" spans="1:12" ht="38.25" x14ac:dyDescent="0.2">
      <c r="A2" s="755" t="s">
        <v>477</v>
      </c>
      <c r="B2" s="755" t="s">
        <v>478</v>
      </c>
      <c r="C2" s="755" t="s">
        <v>479</v>
      </c>
      <c r="D2" s="755" t="s">
        <v>480</v>
      </c>
      <c r="E2" s="755" t="s">
        <v>481</v>
      </c>
      <c r="F2" s="755" t="s">
        <v>484</v>
      </c>
      <c r="G2" s="755" t="s">
        <v>446</v>
      </c>
      <c r="H2" s="755" t="s">
        <v>482</v>
      </c>
      <c r="I2" s="755" t="s">
        <v>483</v>
      </c>
      <c r="J2" s="755" t="s">
        <v>485</v>
      </c>
      <c r="K2" s="755" t="s">
        <v>451</v>
      </c>
      <c r="L2" s="755" t="s">
        <v>452</v>
      </c>
    </row>
    <row r="3" spans="1:12" x14ac:dyDescent="0.2">
      <c r="A3" s="744">
        <v>2000</v>
      </c>
      <c r="B3" s="745">
        <v>1.57</v>
      </c>
      <c r="C3" s="746">
        <v>7.8</v>
      </c>
      <c r="D3" s="747">
        <v>0.12</v>
      </c>
      <c r="E3" s="747">
        <v>0.15</v>
      </c>
      <c r="F3" s="747">
        <v>0.08</v>
      </c>
      <c r="G3" s="745">
        <v>0.24</v>
      </c>
      <c r="H3" s="745">
        <v>0.03</v>
      </c>
      <c r="I3" s="745">
        <v>0</v>
      </c>
      <c r="J3" s="745">
        <v>0.01</v>
      </c>
      <c r="K3" s="745">
        <v>0.28999999999999998</v>
      </c>
      <c r="L3" s="748">
        <v>16.3</v>
      </c>
    </row>
    <row r="4" spans="1:12" x14ac:dyDescent="0.2">
      <c r="A4" s="744">
        <v>2001</v>
      </c>
      <c r="B4" s="745">
        <v>2.78</v>
      </c>
      <c r="C4" s="749">
        <v>12.3</v>
      </c>
      <c r="D4" s="747">
        <v>0.18</v>
      </c>
      <c r="E4" s="747">
        <v>0.23</v>
      </c>
      <c r="F4" s="747">
        <v>0.21</v>
      </c>
      <c r="G4" s="745">
        <v>0.66</v>
      </c>
      <c r="H4" s="745">
        <v>0.08</v>
      </c>
      <c r="I4" s="745">
        <v>0</v>
      </c>
      <c r="J4" s="745">
        <v>0.03</v>
      </c>
      <c r="K4" s="745">
        <v>0.44</v>
      </c>
      <c r="L4" s="748">
        <v>24.7</v>
      </c>
    </row>
    <row r="5" spans="1:12" x14ac:dyDescent="0.2">
      <c r="A5" s="744">
        <v>2002</v>
      </c>
      <c r="B5" s="745">
        <v>6.67</v>
      </c>
      <c r="C5" s="749">
        <v>22.5</v>
      </c>
      <c r="D5" s="747">
        <v>0.28000000000000003</v>
      </c>
      <c r="E5" s="747">
        <v>0.37</v>
      </c>
      <c r="F5" s="747">
        <v>0.85</v>
      </c>
      <c r="G5" s="745">
        <v>2.81</v>
      </c>
      <c r="H5" s="745">
        <v>0.33</v>
      </c>
      <c r="I5" s="745">
        <v>0</v>
      </c>
      <c r="J5" s="745">
        <v>0.12</v>
      </c>
      <c r="K5" s="745">
        <v>0.69</v>
      </c>
      <c r="L5" s="748">
        <v>38.799999999999997</v>
      </c>
    </row>
    <row r="6" spans="1:12" x14ac:dyDescent="0.2">
      <c r="A6" s="744">
        <v>2003</v>
      </c>
      <c r="B6" s="745">
        <v>3.69</v>
      </c>
      <c r="C6" s="749">
        <v>15.4</v>
      </c>
      <c r="D6" s="747">
        <v>0.22</v>
      </c>
      <c r="E6" s="747">
        <v>0.28000000000000003</v>
      </c>
      <c r="F6" s="747">
        <v>0.33</v>
      </c>
      <c r="G6" s="745">
        <v>1.05</v>
      </c>
      <c r="H6" s="745">
        <v>0.13</v>
      </c>
      <c r="I6" s="745">
        <v>0</v>
      </c>
      <c r="J6" s="745">
        <v>0.05</v>
      </c>
      <c r="K6" s="745">
        <v>0.54</v>
      </c>
      <c r="L6" s="748">
        <v>30.1</v>
      </c>
    </row>
    <row r="7" spans="1:12" x14ac:dyDescent="0.2">
      <c r="A7" s="744">
        <v>2004</v>
      </c>
      <c r="B7" s="745">
        <v>6.95</v>
      </c>
      <c r="C7" s="749">
        <v>22.2</v>
      </c>
      <c r="D7" s="747">
        <v>0.27</v>
      </c>
      <c r="E7" s="747">
        <v>0.35</v>
      </c>
      <c r="F7" s="747">
        <v>0.95</v>
      </c>
      <c r="G7" s="745">
        <v>3.15</v>
      </c>
      <c r="H7" s="745">
        <v>0.36</v>
      </c>
      <c r="I7" s="745">
        <v>0</v>
      </c>
      <c r="J7" s="745">
        <v>0.14000000000000001</v>
      </c>
      <c r="K7" s="745">
        <v>0.65</v>
      </c>
      <c r="L7" s="748">
        <v>36.799999999999997</v>
      </c>
    </row>
    <row r="8" spans="1:12" x14ac:dyDescent="0.2">
      <c r="A8" s="744">
        <v>2005</v>
      </c>
      <c r="B8" s="745">
        <v>5.33</v>
      </c>
      <c r="C8" s="749">
        <v>19.899999999999999</v>
      </c>
      <c r="D8" s="747">
        <v>0.26</v>
      </c>
      <c r="E8" s="747">
        <v>0.35</v>
      </c>
      <c r="F8" s="747">
        <v>0.59</v>
      </c>
      <c r="G8" s="745">
        <v>1.91</v>
      </c>
      <c r="H8" s="745">
        <v>0.23</v>
      </c>
      <c r="I8" s="745">
        <v>0</v>
      </c>
      <c r="J8" s="745">
        <v>0.09</v>
      </c>
      <c r="K8" s="745">
        <v>0.65</v>
      </c>
      <c r="L8" s="748">
        <v>36.700000000000003</v>
      </c>
    </row>
    <row r="9" spans="1:12" x14ac:dyDescent="0.2">
      <c r="A9" s="744">
        <v>2006</v>
      </c>
      <c r="B9" s="745">
        <v>1.88</v>
      </c>
      <c r="C9" s="749">
        <v>31.2</v>
      </c>
      <c r="D9" s="747">
        <v>0.43</v>
      </c>
      <c r="E9" s="747">
        <v>0.27</v>
      </c>
      <c r="F9" s="747">
        <v>0.26</v>
      </c>
      <c r="G9" s="745">
        <v>1.86</v>
      </c>
      <c r="H9" s="745">
        <v>0.22</v>
      </c>
      <c r="I9" s="745">
        <v>0</v>
      </c>
      <c r="J9" s="745">
        <v>0.08</v>
      </c>
      <c r="K9" s="745">
        <v>0.71</v>
      </c>
      <c r="L9" s="748">
        <v>25</v>
      </c>
    </row>
    <row r="10" spans="1:12" x14ac:dyDescent="0.2">
      <c r="A10" s="744">
        <v>2007</v>
      </c>
      <c r="B10" s="745">
        <v>1.34</v>
      </c>
      <c r="C10" s="749">
        <v>28</v>
      </c>
      <c r="D10" s="747">
        <v>0.42</v>
      </c>
      <c r="E10" s="747">
        <v>0.26</v>
      </c>
      <c r="F10" s="747">
        <v>0.15</v>
      </c>
      <c r="G10" s="745">
        <v>0.97</v>
      </c>
      <c r="H10" s="745">
        <v>0.12</v>
      </c>
      <c r="I10" s="745">
        <v>0</v>
      </c>
      <c r="J10" s="745">
        <v>0.04</v>
      </c>
      <c r="K10" s="745">
        <v>0.71</v>
      </c>
      <c r="L10" s="748">
        <v>24.8</v>
      </c>
    </row>
    <row r="11" spans="1:12" x14ac:dyDescent="0.2">
      <c r="A11" s="744">
        <v>2008</v>
      </c>
      <c r="B11" s="745">
        <v>4.13</v>
      </c>
      <c r="C11" s="749">
        <v>50.9</v>
      </c>
      <c r="D11" s="747">
        <v>0.6</v>
      </c>
      <c r="E11" s="747">
        <v>0.36</v>
      </c>
      <c r="F11" s="747">
        <v>0.71</v>
      </c>
      <c r="G11" s="745">
        <v>5.17</v>
      </c>
      <c r="H11" s="745">
        <v>0.59</v>
      </c>
      <c r="I11" s="745">
        <v>0</v>
      </c>
      <c r="J11" s="745">
        <v>0.21</v>
      </c>
      <c r="K11" s="745">
        <v>0.95</v>
      </c>
      <c r="L11" s="748">
        <v>33.5</v>
      </c>
    </row>
    <row r="12" spans="1:12" x14ac:dyDescent="0.2">
      <c r="A12" s="744">
        <v>2009</v>
      </c>
      <c r="B12" s="745">
        <v>4.7300000000000004</v>
      </c>
      <c r="C12" s="749">
        <v>56.1</v>
      </c>
      <c r="D12" s="747">
        <v>0.64</v>
      </c>
      <c r="E12" s="747">
        <v>0.39</v>
      </c>
      <c r="F12" s="747">
        <v>0.83</v>
      </c>
      <c r="G12" s="745">
        <v>6.06</v>
      </c>
      <c r="H12" s="745">
        <v>0.68</v>
      </c>
      <c r="I12" s="745">
        <v>0</v>
      </c>
      <c r="J12" s="745">
        <v>0.24</v>
      </c>
      <c r="K12" s="745">
        <v>1</v>
      </c>
      <c r="L12" s="748">
        <v>35.6</v>
      </c>
    </row>
    <row r="13" spans="1:12" x14ac:dyDescent="0.2">
      <c r="A13" s="744">
        <v>2010</v>
      </c>
      <c r="B13" s="745">
        <v>2.13</v>
      </c>
      <c r="C13" s="749">
        <v>34.799999999999997</v>
      </c>
      <c r="D13" s="747">
        <v>0.48</v>
      </c>
      <c r="E13" s="747">
        <v>0.28999999999999998</v>
      </c>
      <c r="F13" s="747">
        <v>0.3</v>
      </c>
      <c r="G13" s="745">
        <v>2.13</v>
      </c>
      <c r="H13" s="745">
        <v>0.25</v>
      </c>
      <c r="I13" s="745">
        <v>0</v>
      </c>
      <c r="J13" s="745">
        <v>0.09</v>
      </c>
      <c r="K13" s="745">
        <v>0.79</v>
      </c>
      <c r="L13" s="748">
        <v>27.7</v>
      </c>
    </row>
    <row r="14" spans="1:12" x14ac:dyDescent="0.2">
      <c r="A14" s="744">
        <v>2011</v>
      </c>
      <c r="B14" s="745">
        <v>2.66</v>
      </c>
      <c r="C14" s="749">
        <v>34.5</v>
      </c>
      <c r="D14" s="747">
        <v>0.42</v>
      </c>
      <c r="E14" s="747">
        <v>0.26</v>
      </c>
      <c r="F14" s="747">
        <v>0.44</v>
      </c>
      <c r="G14" s="745">
        <v>3.21</v>
      </c>
      <c r="H14" s="745">
        <v>0.37</v>
      </c>
      <c r="I14" s="745">
        <v>0</v>
      </c>
      <c r="J14" s="745">
        <v>0.13</v>
      </c>
      <c r="K14" s="745">
        <v>0.67</v>
      </c>
      <c r="L14" s="748">
        <v>23.7</v>
      </c>
    </row>
    <row r="15" spans="1:12" x14ac:dyDescent="0.2">
      <c r="A15" s="744">
        <v>2012</v>
      </c>
      <c r="B15" s="745">
        <v>2.17</v>
      </c>
      <c r="C15" s="749">
        <v>35.299999999999997</v>
      </c>
      <c r="D15" s="747">
        <v>0.48</v>
      </c>
      <c r="E15" s="747">
        <v>0.3</v>
      </c>
      <c r="F15" s="747">
        <v>0.31</v>
      </c>
      <c r="G15" s="745">
        <v>2.2000000000000002</v>
      </c>
      <c r="H15" s="745">
        <v>0.25</v>
      </c>
      <c r="I15" s="745">
        <v>0</v>
      </c>
      <c r="J15" s="745">
        <v>0.09</v>
      </c>
      <c r="K15" s="745">
        <v>0.8</v>
      </c>
      <c r="L15" s="748">
        <v>28</v>
      </c>
    </row>
    <row r="16" spans="1:12" x14ac:dyDescent="0.2">
      <c r="A16" s="750" t="s">
        <v>486</v>
      </c>
      <c r="B16" s="751">
        <v>3.54</v>
      </c>
      <c r="C16" s="752">
        <v>28.5</v>
      </c>
      <c r="D16" s="753">
        <v>0.37</v>
      </c>
      <c r="E16" s="753">
        <v>0.3</v>
      </c>
      <c r="F16" s="753">
        <v>0.46</v>
      </c>
      <c r="G16" s="751">
        <v>2.42</v>
      </c>
      <c r="H16" s="751">
        <v>0.28000000000000003</v>
      </c>
      <c r="I16" s="751">
        <v>0</v>
      </c>
      <c r="J16" s="751">
        <v>0.1</v>
      </c>
      <c r="K16" s="751">
        <v>0.69</v>
      </c>
      <c r="L16" s="754">
        <v>29.4</v>
      </c>
    </row>
    <row r="18" spans="1:10" ht="13.5" thickBot="1" x14ac:dyDescent="0.25"/>
    <row r="19" spans="1:10" ht="63.75" x14ac:dyDescent="0.2">
      <c r="A19" s="328" t="s">
        <v>431</v>
      </c>
      <c r="B19" s="329" t="s">
        <v>421</v>
      </c>
      <c r="C19" s="329" t="s">
        <v>422</v>
      </c>
      <c r="D19" s="329" t="s">
        <v>497</v>
      </c>
      <c r="E19" s="329" t="s">
        <v>54</v>
      </c>
      <c r="F19" s="329" t="s">
        <v>423</v>
      </c>
      <c r="G19" s="329" t="s">
        <v>489</v>
      </c>
      <c r="H19" s="330" t="s">
        <v>53</v>
      </c>
      <c r="I19" s="717"/>
      <c r="J19" s="717"/>
    </row>
    <row r="20" spans="1:10" x14ac:dyDescent="0.2">
      <c r="A20" s="36" t="s">
        <v>26</v>
      </c>
      <c r="B20" s="18">
        <v>17</v>
      </c>
      <c r="C20" s="18">
        <v>0</v>
      </c>
      <c r="D20" s="756"/>
      <c r="E20" s="18"/>
      <c r="F20" s="18"/>
      <c r="G20" s="18"/>
      <c r="H20" s="757">
        <v>17</v>
      </c>
    </row>
    <row r="21" spans="1:10" x14ac:dyDescent="0.2">
      <c r="A21" s="26" t="s">
        <v>27</v>
      </c>
      <c r="B21" s="18"/>
      <c r="C21" s="18"/>
      <c r="D21" s="756"/>
      <c r="E21" s="18"/>
      <c r="F21" s="18"/>
      <c r="G21" s="18"/>
      <c r="H21" s="37"/>
    </row>
    <row r="22" spans="1:10" x14ac:dyDescent="0.2">
      <c r="A22" s="36" t="s">
        <v>19</v>
      </c>
      <c r="B22" s="31">
        <f>SUM(B23:B25)</f>
        <v>66.06</v>
      </c>
      <c r="C22" s="31">
        <f>B22-B23</f>
        <v>35.870000000000005</v>
      </c>
      <c r="D22" s="756">
        <f>C22/(B$32-B$20-B$23-B$29)</f>
        <v>1</v>
      </c>
      <c r="E22" s="31">
        <f>D22*(B$34-E$29)</f>
        <v>21.060000000000002</v>
      </c>
      <c r="F22" s="18"/>
      <c r="G22" s="18"/>
      <c r="H22" s="37">
        <v>45</v>
      </c>
    </row>
    <row r="23" spans="1:10" x14ac:dyDescent="0.2">
      <c r="A23" s="26" t="s">
        <v>20</v>
      </c>
      <c r="B23" s="31">
        <f>J16+K16+L16</f>
        <v>30.189999999999998</v>
      </c>
      <c r="C23" s="18">
        <v>0</v>
      </c>
      <c r="D23" s="756"/>
      <c r="E23" s="31">
        <v>0</v>
      </c>
      <c r="F23" s="18"/>
      <c r="G23" s="18"/>
      <c r="H23" s="28">
        <f>B23</f>
        <v>30.189999999999998</v>
      </c>
      <c r="I23" s="33"/>
    </row>
    <row r="24" spans="1:10" x14ac:dyDescent="0.2">
      <c r="A24" s="26" t="s">
        <v>32</v>
      </c>
      <c r="B24" s="31">
        <f>G16+H16+I16</f>
        <v>2.7</v>
      </c>
      <c r="C24" s="31">
        <f>B24</f>
        <v>2.7</v>
      </c>
      <c r="D24" s="756">
        <f>C24/(B$32-B$20-B$23-B$29)</f>
        <v>7.5271814887092267E-2</v>
      </c>
      <c r="E24" s="31">
        <f>D24*(B$34-E$29)</f>
        <v>1.5852244215221634</v>
      </c>
      <c r="F24" s="18"/>
      <c r="G24" s="18"/>
      <c r="H24" s="28">
        <f>C24-E24</f>
        <v>1.1147755784778368</v>
      </c>
      <c r="I24" s="33"/>
    </row>
    <row r="25" spans="1:10" x14ac:dyDescent="0.2">
      <c r="A25" s="26" t="s">
        <v>21</v>
      </c>
      <c r="B25" s="758">
        <f>SUM(B26:B28)</f>
        <v>33.17</v>
      </c>
      <c r="C25" s="31">
        <f>B25</f>
        <v>33.17</v>
      </c>
      <c r="D25" s="756">
        <f>C25/(B$32-B$20-B$23-B$29)</f>
        <v>0.92472818511290766</v>
      </c>
      <c r="E25" s="31">
        <f>D25*(B$34-E$29)</f>
        <v>19.474775578477839</v>
      </c>
      <c r="F25" s="18"/>
      <c r="G25" s="18"/>
      <c r="H25" s="28">
        <f t="shared" ref="H25:H28" si="0">C25-E25</f>
        <v>13.695224421522163</v>
      </c>
    </row>
    <row r="26" spans="1:10" x14ac:dyDescent="0.2">
      <c r="A26" s="26" t="s">
        <v>424</v>
      </c>
      <c r="B26" s="31">
        <f>E16</f>
        <v>0.3</v>
      </c>
      <c r="C26" s="31">
        <f>B26</f>
        <v>0.3</v>
      </c>
      <c r="D26" s="756">
        <f>C26/(B$32-B$20-B$23-B$29)</f>
        <v>8.3635349874546967E-3</v>
      </c>
      <c r="E26" s="31">
        <f t="shared" ref="E26:E28" si="1">D26*(B$34-E$29)</f>
        <v>0.17613604683579592</v>
      </c>
      <c r="F26" s="18"/>
      <c r="G26" s="18"/>
      <c r="H26" s="28">
        <f t="shared" si="0"/>
        <v>0.12386395316420407</v>
      </c>
    </row>
    <row r="27" spans="1:10" x14ac:dyDescent="0.2">
      <c r="A27" s="26" t="s">
        <v>425</v>
      </c>
      <c r="B27" s="31">
        <f>C16+D16</f>
        <v>28.87</v>
      </c>
      <c r="C27" s="31">
        <f>B27</f>
        <v>28.87</v>
      </c>
      <c r="D27" s="756">
        <f>C27/(B$32-B$20-B$23-B$29)</f>
        <v>0.80485085029272363</v>
      </c>
      <c r="E27" s="31">
        <f t="shared" si="1"/>
        <v>16.950158907164763</v>
      </c>
      <c r="F27" s="18"/>
      <c r="G27" s="18"/>
      <c r="H27" s="28">
        <f t="shared" si="0"/>
        <v>11.919841092835238</v>
      </c>
    </row>
    <row r="28" spans="1:10" x14ac:dyDescent="0.2">
      <c r="A28" s="26" t="s">
        <v>426</v>
      </c>
      <c r="B28" s="31">
        <f>B16+F16</f>
        <v>4</v>
      </c>
      <c r="C28" s="31">
        <f>B28</f>
        <v>4</v>
      </c>
      <c r="D28" s="756">
        <f>C28/(B$32-B$20-B$23-B$29)</f>
        <v>0.11151379983272929</v>
      </c>
      <c r="E28" s="31">
        <f t="shared" si="1"/>
        <v>2.3484806244772791</v>
      </c>
      <c r="F28" s="18"/>
      <c r="G28" s="18"/>
      <c r="H28" s="28">
        <f t="shared" si="0"/>
        <v>1.6515193755227209</v>
      </c>
    </row>
    <row r="29" spans="1:10" x14ac:dyDescent="0.2">
      <c r="A29" s="36" t="s">
        <v>499</v>
      </c>
      <c r="B29" s="31">
        <v>56</v>
      </c>
      <c r="C29" s="18">
        <v>56</v>
      </c>
      <c r="D29" s="756"/>
      <c r="E29" s="31">
        <v>18</v>
      </c>
      <c r="F29" s="18"/>
      <c r="G29" s="18"/>
      <c r="H29" s="28">
        <v>38</v>
      </c>
      <c r="I29" s="33"/>
    </row>
    <row r="30" spans="1:10" s="35" customFormat="1" x14ac:dyDescent="0.2">
      <c r="A30" s="39" t="s">
        <v>549</v>
      </c>
      <c r="B30" s="31">
        <v>26</v>
      </c>
      <c r="C30" s="18">
        <v>26</v>
      </c>
      <c r="D30" s="756"/>
      <c r="E30" s="31"/>
      <c r="F30" s="18"/>
      <c r="G30" s="18"/>
      <c r="H30" s="28"/>
      <c r="I30" s="33"/>
    </row>
    <row r="31" spans="1:10" x14ac:dyDescent="0.2">
      <c r="A31" s="36" t="s">
        <v>30</v>
      </c>
      <c r="B31" s="18"/>
      <c r="C31" s="18"/>
      <c r="D31" s="18"/>
      <c r="E31" s="18"/>
      <c r="F31" s="18"/>
      <c r="G31" s="18"/>
      <c r="H31" s="37"/>
    </row>
    <row r="32" spans="1:10" x14ac:dyDescent="0.2">
      <c r="A32" s="39" t="s">
        <v>487</v>
      </c>
      <c r="B32" s="31">
        <f>B20+B22+B29</f>
        <v>139.06</v>
      </c>
      <c r="C32" s="18"/>
      <c r="D32" s="19">
        <f>SUM(D24:D25)</f>
        <v>0.99999999999999989</v>
      </c>
      <c r="E32" s="18"/>
      <c r="F32" s="18"/>
      <c r="G32" s="18"/>
      <c r="H32" s="28">
        <f>H20+H22+H29</f>
        <v>100</v>
      </c>
    </row>
    <row r="33" spans="1:14" x14ac:dyDescent="0.2">
      <c r="A33" s="26" t="s">
        <v>432</v>
      </c>
      <c r="B33" s="18">
        <v>100</v>
      </c>
      <c r="C33" s="18"/>
      <c r="D33" s="18"/>
      <c r="E33" s="18"/>
      <c r="F33" s="18"/>
      <c r="G33" s="18"/>
      <c r="H33" s="37"/>
    </row>
    <row r="34" spans="1:14" ht="30.6" customHeight="1" thickBot="1" x14ac:dyDescent="0.25">
      <c r="A34" s="760" t="s">
        <v>488</v>
      </c>
      <c r="B34" s="721">
        <f>B32-B33</f>
        <v>39.06</v>
      </c>
      <c r="C34" s="42"/>
      <c r="D34" s="42"/>
      <c r="E34" s="721">
        <f>E24+E25+E29</f>
        <v>39.06</v>
      </c>
      <c r="F34" s="42"/>
      <c r="G34" s="42"/>
      <c r="H34" s="759"/>
    </row>
    <row r="36" spans="1:14" ht="13.5" thickBot="1" x14ac:dyDescent="0.25"/>
    <row r="37" spans="1:14" ht="63.75" x14ac:dyDescent="0.2">
      <c r="A37" s="383" t="s">
        <v>500</v>
      </c>
      <c r="B37" s="376" t="s">
        <v>194</v>
      </c>
      <c r="C37" s="376" t="s">
        <v>195</v>
      </c>
      <c r="D37" s="376" t="s">
        <v>459</v>
      </c>
      <c r="E37" s="376" t="s">
        <v>196</v>
      </c>
      <c r="F37" s="376" t="s">
        <v>197</v>
      </c>
      <c r="G37" s="376" t="s">
        <v>462</v>
      </c>
      <c r="H37" s="376" t="s">
        <v>198</v>
      </c>
      <c r="I37" s="376" t="s">
        <v>199</v>
      </c>
      <c r="J37" s="376" t="s">
        <v>466</v>
      </c>
      <c r="K37" s="376" t="s">
        <v>501</v>
      </c>
      <c r="L37" s="376" t="s">
        <v>502</v>
      </c>
      <c r="M37" s="420" t="s">
        <v>467</v>
      </c>
      <c r="N37" s="378" t="s">
        <v>468</v>
      </c>
    </row>
    <row r="38" spans="1:14" ht="15" x14ac:dyDescent="0.25">
      <c r="A38" s="719" t="s">
        <v>47</v>
      </c>
      <c r="B38" s="781">
        <v>8.7554000000000007E-2</v>
      </c>
      <c r="C38" s="756">
        <v>0.22469851225840559</v>
      </c>
      <c r="D38" s="777">
        <f>C38*E$26</f>
        <v>3.9577507679080193E-2</v>
      </c>
      <c r="E38" s="777">
        <v>103.244562</v>
      </c>
      <c r="F38" s="756">
        <v>0.48396545949948494</v>
      </c>
      <c r="G38" s="342">
        <f>F38*E$27</f>
        <v>8.2032914440952815</v>
      </c>
      <c r="H38" s="777">
        <v>37.554135000000002</v>
      </c>
      <c r="I38" s="778">
        <v>0.95041433375761941</v>
      </c>
      <c r="J38" s="342">
        <f>I38*E28</f>
        <v>2.2320296480552511</v>
      </c>
      <c r="K38" s="756">
        <v>0.72516937889394273</v>
      </c>
      <c r="L38" s="342">
        <f>K38*E29</f>
        <v>13.05304882009097</v>
      </c>
      <c r="M38" s="342">
        <f>D38+G38+J38+L38</f>
        <v>23.527947419920583</v>
      </c>
      <c r="N38" s="779">
        <f>(C38*H26)+(F38*H27)+(I38*H28)+(K38*H29)</f>
        <v>34.922687502598336</v>
      </c>
    </row>
    <row r="39" spans="1:14" ht="15" x14ac:dyDescent="0.25">
      <c r="A39" s="719" t="s">
        <v>285</v>
      </c>
      <c r="B39" s="780">
        <v>0.302097</v>
      </c>
      <c r="C39" s="756">
        <v>0.77530148774159435</v>
      </c>
      <c r="D39" s="777">
        <f>C39*E$26</f>
        <v>0.13655853915671573</v>
      </c>
      <c r="E39" s="777">
        <v>110.08587299999999</v>
      </c>
      <c r="F39" s="756">
        <v>0.516034540500515</v>
      </c>
      <c r="G39" s="342">
        <f>F39*E$27</f>
        <v>8.7468674630694796</v>
      </c>
      <c r="H39" s="777">
        <v>1.9593</v>
      </c>
      <c r="I39" s="756">
        <v>4.9585666242380595E-2</v>
      </c>
      <c r="J39" s="342">
        <f>I39*E28</f>
        <v>0.11645097642202792</v>
      </c>
      <c r="K39" s="756">
        <v>0.27483062110605722</v>
      </c>
      <c r="L39" s="342">
        <f>K39*E29</f>
        <v>4.9469511799090302</v>
      </c>
      <c r="M39" s="342">
        <f>D39+G39+J39+L39</f>
        <v>13.946828158557254</v>
      </c>
      <c r="N39" s="779">
        <f>(C39*H26)+(F39*H27)+(I39*H28)+(K39*H29)</f>
        <v>16.772536918923819</v>
      </c>
    </row>
    <row r="40" spans="1:14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4" ht="15.75" thickBot="1" x14ac:dyDescent="0.3">
      <c r="A41" s="408" t="s">
        <v>131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4" ht="76.5" x14ac:dyDescent="0.2">
      <c r="A42" s="388" t="s">
        <v>507</v>
      </c>
      <c r="B42" s="389" t="s">
        <v>127</v>
      </c>
      <c r="C42" s="389" t="s">
        <v>460</v>
      </c>
      <c r="D42" s="389" t="s">
        <v>70</v>
      </c>
      <c r="E42" s="389" t="s">
        <v>461</v>
      </c>
      <c r="F42" s="389" t="s">
        <v>72</v>
      </c>
      <c r="G42" s="389" t="s">
        <v>464</v>
      </c>
      <c r="H42" s="390" t="s">
        <v>463</v>
      </c>
      <c r="I42" s="389" t="s">
        <v>190</v>
      </c>
      <c r="J42" s="392" t="s">
        <v>465</v>
      </c>
      <c r="K42" s="35"/>
      <c r="L42" s="35"/>
    </row>
    <row r="43" spans="1:14" ht="15" x14ac:dyDescent="0.25">
      <c r="A43" s="719" t="s">
        <v>47</v>
      </c>
      <c r="B43" s="782">
        <v>0.22469851225840559</v>
      </c>
      <c r="C43" s="323">
        <f>B43*C$26</f>
        <v>6.7409553677521675E-2</v>
      </c>
      <c r="D43" s="782">
        <v>0.48396545949948494</v>
      </c>
      <c r="E43" s="323">
        <f>D43*C$27</f>
        <v>13.972082815750131</v>
      </c>
      <c r="F43" s="783">
        <v>0.95041433375761941</v>
      </c>
      <c r="G43" s="323">
        <f>F43*C$28</f>
        <v>3.8016573350304776</v>
      </c>
      <c r="H43" s="323">
        <f>C43+E43+G43</f>
        <v>17.841149704458129</v>
      </c>
      <c r="I43" s="784">
        <v>0.06</v>
      </c>
      <c r="J43" s="326">
        <f>H43*I43</f>
        <v>1.0704689822674878</v>
      </c>
      <c r="K43" s="35"/>
      <c r="L43" s="35"/>
    </row>
    <row r="44" spans="1:14" ht="15" x14ac:dyDescent="0.25">
      <c r="A44" s="719" t="s">
        <v>285</v>
      </c>
      <c r="B44" s="782">
        <v>0.77530148774159435</v>
      </c>
      <c r="C44" s="323">
        <f>B44*C$26</f>
        <v>0.2325904463224783</v>
      </c>
      <c r="D44" s="782">
        <v>0.516034540500515</v>
      </c>
      <c r="E44" s="323">
        <f>D44*C$27</f>
        <v>14.897917184249868</v>
      </c>
      <c r="F44" s="782">
        <v>4.9585666242380595E-2</v>
      </c>
      <c r="G44" s="323">
        <f>F44*C28</f>
        <v>0.19834266496952238</v>
      </c>
      <c r="H44" s="323">
        <f t="shared" ref="H44" si="2">C44+E44+G44</f>
        <v>15.328850295541869</v>
      </c>
      <c r="I44" s="784">
        <v>0.06</v>
      </c>
      <c r="J44" s="326">
        <f t="shared" ref="J44" si="3">H44*I44</f>
        <v>0.91973101773251209</v>
      </c>
      <c r="K44" s="35"/>
      <c r="L44" s="35"/>
    </row>
    <row r="45" spans="1:14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4" ht="15.75" thickBot="1" x14ac:dyDescent="0.3">
      <c r="A46" s="408" t="s">
        <v>376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4" ht="127.5" x14ac:dyDescent="0.2">
      <c r="A47" s="650" t="s">
        <v>506</v>
      </c>
      <c r="B47" s="405" t="s">
        <v>475</v>
      </c>
      <c r="C47" s="405" t="s">
        <v>474</v>
      </c>
      <c r="D47" s="405" t="s">
        <v>473</v>
      </c>
      <c r="E47" s="405" t="s">
        <v>472</v>
      </c>
      <c r="F47" s="406" t="s">
        <v>874</v>
      </c>
      <c r="G47" s="405" t="s">
        <v>471</v>
      </c>
      <c r="H47" s="405" t="s">
        <v>476</v>
      </c>
      <c r="I47" s="405" t="s">
        <v>470</v>
      </c>
      <c r="J47" s="407" t="s">
        <v>469</v>
      </c>
      <c r="K47" s="741"/>
      <c r="L47" s="742"/>
    </row>
    <row r="48" spans="1:14" ht="15" x14ac:dyDescent="0.2">
      <c r="A48" s="1085" t="s">
        <v>47</v>
      </c>
      <c r="B48" s="323">
        <f>ROUND(M38,0)</f>
        <v>24</v>
      </c>
      <c r="C48" s="323">
        <f>B48*0.5</f>
        <v>12</v>
      </c>
      <c r="D48" s="323">
        <v>1</v>
      </c>
      <c r="E48" s="453"/>
      <c r="F48" s="323">
        <f>C48-D48-E48</f>
        <v>11</v>
      </c>
      <c r="G48" s="323">
        <f>C48</f>
        <v>12</v>
      </c>
      <c r="H48" s="453"/>
      <c r="I48" s="453"/>
      <c r="J48" s="326">
        <f>F48+G48-H48-I48</f>
        <v>23</v>
      </c>
      <c r="K48" s="35"/>
      <c r="L48" s="35"/>
    </row>
    <row r="49" spans="1:12" ht="15" x14ac:dyDescent="0.2">
      <c r="A49" s="1085" t="s">
        <v>285</v>
      </c>
      <c r="B49" s="323">
        <f>ROUND(M39,0)</f>
        <v>14</v>
      </c>
      <c r="C49" s="323">
        <f t="shared" ref="C49" si="4">B49*0.5</f>
        <v>7</v>
      </c>
      <c r="D49" s="323">
        <v>1</v>
      </c>
      <c r="E49" s="453"/>
      <c r="F49" s="323">
        <f t="shared" ref="F49" si="5">C49-D49-E49</f>
        <v>6</v>
      </c>
      <c r="G49" s="323">
        <f>C49</f>
        <v>7</v>
      </c>
      <c r="H49" s="453"/>
      <c r="I49" s="453"/>
      <c r="J49" s="326">
        <f t="shared" ref="J49" si="6">F49+G49-H49-I49</f>
        <v>13</v>
      </c>
      <c r="K49" s="35"/>
      <c r="L49" s="35"/>
    </row>
    <row r="50" spans="1:12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2" x14ac:dyDescent="0.2">
      <c r="B51" s="3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2"/>
  <sheetViews>
    <sheetView topLeftCell="A43" workbookViewId="0">
      <selection activeCell="I27" sqref="I27"/>
    </sheetView>
  </sheetViews>
  <sheetFormatPr defaultRowHeight="12.75" x14ac:dyDescent="0.2"/>
  <cols>
    <col min="1" max="1" width="38" customWidth="1"/>
    <col min="2" max="2" width="13" customWidth="1"/>
    <col min="3" max="3" width="12.28515625" customWidth="1"/>
    <col min="4" max="4" width="11.7109375" customWidth="1"/>
    <col min="5" max="5" width="12.28515625" customWidth="1"/>
    <col min="6" max="6" width="11.28515625" customWidth="1"/>
    <col min="7" max="8" width="11.7109375" customWidth="1"/>
    <col min="9" max="9" width="10.5703125" customWidth="1"/>
    <col min="10" max="10" width="11.28515625" customWidth="1"/>
    <col min="11" max="11" width="11.7109375" customWidth="1"/>
    <col min="12" max="12" width="12.5703125" customWidth="1"/>
    <col min="13" max="13" width="12.28515625" customWidth="1"/>
    <col min="14" max="14" width="10.7109375" customWidth="1"/>
    <col min="15" max="15" width="10.28515625" customWidth="1"/>
  </cols>
  <sheetData>
    <row r="1" spans="1:16" ht="51" x14ac:dyDescent="0.2">
      <c r="A1" s="792" t="s">
        <v>477</v>
      </c>
      <c r="B1" s="793" t="s">
        <v>478</v>
      </c>
      <c r="C1" s="793" t="s">
        <v>479</v>
      </c>
      <c r="D1" s="794" t="s">
        <v>490</v>
      </c>
      <c r="E1" s="793" t="s">
        <v>480</v>
      </c>
      <c r="F1" s="793" t="s">
        <v>481</v>
      </c>
      <c r="G1" s="794" t="s">
        <v>443</v>
      </c>
      <c r="H1" s="795" t="s">
        <v>491</v>
      </c>
      <c r="I1" s="794" t="s">
        <v>492</v>
      </c>
      <c r="J1" s="794" t="s">
        <v>446</v>
      </c>
      <c r="K1" s="794" t="s">
        <v>447</v>
      </c>
      <c r="L1" s="795" t="s">
        <v>493</v>
      </c>
      <c r="M1" s="794" t="s">
        <v>494</v>
      </c>
      <c r="N1" s="795" t="s">
        <v>451</v>
      </c>
      <c r="O1" s="795" t="s">
        <v>495</v>
      </c>
      <c r="P1" s="819" t="s">
        <v>512</v>
      </c>
    </row>
    <row r="2" spans="1:16" x14ac:dyDescent="0.2">
      <c r="A2" s="796">
        <v>2000</v>
      </c>
      <c r="B2" s="797">
        <v>0.3</v>
      </c>
      <c r="C2" s="798">
        <v>14.5</v>
      </c>
      <c r="D2" s="798">
        <v>7.6</v>
      </c>
      <c r="E2" s="798">
        <v>4.2</v>
      </c>
      <c r="F2" s="798">
        <v>21.8</v>
      </c>
      <c r="G2" s="798">
        <v>8.6</v>
      </c>
      <c r="H2" s="799">
        <v>15</v>
      </c>
      <c r="I2" s="798">
        <v>0</v>
      </c>
      <c r="J2" s="798">
        <v>5.7</v>
      </c>
      <c r="K2" s="798">
        <v>0</v>
      </c>
      <c r="L2" s="800">
        <v>8.8000000000000007</v>
      </c>
      <c r="M2" s="797">
        <v>2.15</v>
      </c>
      <c r="N2" s="801">
        <v>0.14000000000000001</v>
      </c>
      <c r="O2" s="801">
        <v>2.36</v>
      </c>
      <c r="P2" s="820">
        <v>91</v>
      </c>
    </row>
    <row r="3" spans="1:16" x14ac:dyDescent="0.2">
      <c r="A3" s="796">
        <v>2001</v>
      </c>
      <c r="B3" s="797">
        <v>0.48</v>
      </c>
      <c r="C3" s="798">
        <v>22.1</v>
      </c>
      <c r="D3" s="798">
        <v>11.1</v>
      </c>
      <c r="E3" s="798">
        <v>6</v>
      </c>
      <c r="F3" s="798">
        <v>31.3</v>
      </c>
      <c r="G3" s="798">
        <v>12.3</v>
      </c>
      <c r="H3" s="799">
        <v>21.5</v>
      </c>
      <c r="I3" s="798">
        <v>0</v>
      </c>
      <c r="J3" s="798">
        <v>9.6</v>
      </c>
      <c r="K3" s="798">
        <v>0</v>
      </c>
      <c r="L3" s="799">
        <v>14.8</v>
      </c>
      <c r="M3" s="797">
        <v>3.63</v>
      </c>
      <c r="N3" s="801">
        <v>0.2</v>
      </c>
      <c r="O3" s="801">
        <v>3.35</v>
      </c>
      <c r="P3" s="820">
        <v>136</v>
      </c>
    </row>
    <row r="4" spans="1:16" x14ac:dyDescent="0.2">
      <c r="A4" s="796">
        <v>2002</v>
      </c>
      <c r="B4" s="797">
        <v>0.72</v>
      </c>
      <c r="C4" s="798">
        <v>32.9</v>
      </c>
      <c r="D4" s="798">
        <v>16.5</v>
      </c>
      <c r="E4" s="798">
        <v>8.8000000000000007</v>
      </c>
      <c r="F4" s="798">
        <v>46.1</v>
      </c>
      <c r="G4" s="798">
        <v>18.100000000000001</v>
      </c>
      <c r="H4" s="799">
        <v>31.6</v>
      </c>
      <c r="I4" s="798">
        <v>0</v>
      </c>
      <c r="J4" s="798">
        <v>14.7</v>
      </c>
      <c r="K4" s="798">
        <v>0</v>
      </c>
      <c r="L4" s="799">
        <v>22.5</v>
      </c>
      <c r="M4" s="797">
        <v>5.52</v>
      </c>
      <c r="N4" s="801">
        <v>0.28999999999999998</v>
      </c>
      <c r="O4" s="801">
        <v>4.92</v>
      </c>
      <c r="P4" s="820">
        <v>203</v>
      </c>
    </row>
    <row r="5" spans="1:16" x14ac:dyDescent="0.2">
      <c r="A5" s="796">
        <v>2003</v>
      </c>
      <c r="B5" s="797">
        <v>0.82</v>
      </c>
      <c r="C5" s="798">
        <v>36.299999999999997</v>
      </c>
      <c r="D5" s="798">
        <v>17.8</v>
      </c>
      <c r="E5" s="798">
        <v>9.4</v>
      </c>
      <c r="F5" s="798">
        <v>49.4</v>
      </c>
      <c r="G5" s="798">
        <v>19.3</v>
      </c>
      <c r="H5" s="799">
        <v>33.9</v>
      </c>
      <c r="I5" s="798">
        <v>0</v>
      </c>
      <c r="J5" s="798">
        <v>16.899999999999999</v>
      </c>
      <c r="K5" s="798">
        <v>0</v>
      </c>
      <c r="L5" s="799">
        <v>25.9</v>
      </c>
      <c r="M5" s="797">
        <v>6.37</v>
      </c>
      <c r="N5" s="801">
        <v>0.31</v>
      </c>
      <c r="O5" s="801">
        <v>5.24</v>
      </c>
      <c r="P5" s="820">
        <v>222</v>
      </c>
    </row>
    <row r="6" spans="1:16" x14ac:dyDescent="0.2">
      <c r="A6" s="796">
        <v>2004</v>
      </c>
      <c r="B6" s="797">
        <v>0.96</v>
      </c>
      <c r="C6" s="798">
        <v>40.9</v>
      </c>
      <c r="D6" s="798">
        <v>19.600000000000001</v>
      </c>
      <c r="E6" s="798">
        <v>10.199999999999999</v>
      </c>
      <c r="F6" s="798">
        <v>53.5</v>
      </c>
      <c r="G6" s="798">
        <v>20.9</v>
      </c>
      <c r="H6" s="799">
        <v>36.799999999999997</v>
      </c>
      <c r="I6" s="798">
        <v>0</v>
      </c>
      <c r="J6" s="798">
        <v>20.100000000000001</v>
      </c>
      <c r="K6" s="798">
        <v>0</v>
      </c>
      <c r="L6" s="799">
        <v>30.8</v>
      </c>
      <c r="M6" s="797">
        <v>7.57</v>
      </c>
      <c r="N6" s="801">
        <v>0.33</v>
      </c>
      <c r="O6" s="801">
        <v>5.63</v>
      </c>
      <c r="P6" s="820">
        <v>247</v>
      </c>
    </row>
    <row r="7" spans="1:16" x14ac:dyDescent="0.2">
      <c r="A7" s="796">
        <v>2005</v>
      </c>
      <c r="B7" s="797">
        <v>0.85</v>
      </c>
      <c r="C7" s="798">
        <v>38.1</v>
      </c>
      <c r="D7" s="798">
        <v>18.8</v>
      </c>
      <c r="E7" s="798">
        <v>9.9</v>
      </c>
      <c r="F7" s="798">
        <v>52.1</v>
      </c>
      <c r="G7" s="798">
        <v>20.399999999999999</v>
      </c>
      <c r="H7" s="799">
        <v>35.799999999999997</v>
      </c>
      <c r="I7" s="798">
        <v>0</v>
      </c>
      <c r="J7" s="798">
        <v>17.600000000000001</v>
      </c>
      <c r="K7" s="798">
        <v>0</v>
      </c>
      <c r="L7" s="799">
        <v>26.9</v>
      </c>
      <c r="M7" s="797">
        <v>6.62</v>
      </c>
      <c r="N7" s="801">
        <v>0.33</v>
      </c>
      <c r="O7" s="801">
        <v>5.54</v>
      </c>
      <c r="P7" s="820">
        <v>233</v>
      </c>
    </row>
    <row r="8" spans="1:16" x14ac:dyDescent="0.2">
      <c r="A8" s="796">
        <v>2006</v>
      </c>
      <c r="B8" s="797">
        <v>0.46</v>
      </c>
      <c r="C8" s="798">
        <v>18.7</v>
      </c>
      <c r="D8" s="798">
        <v>46.2</v>
      </c>
      <c r="E8" s="798">
        <v>7.6</v>
      </c>
      <c r="F8" s="798">
        <v>49.4</v>
      </c>
      <c r="G8" s="798">
        <v>14.3</v>
      </c>
      <c r="H8" s="799">
        <v>25.1</v>
      </c>
      <c r="I8" s="798">
        <v>0.5</v>
      </c>
      <c r="J8" s="798">
        <v>4.8</v>
      </c>
      <c r="K8" s="798">
        <v>13.1</v>
      </c>
      <c r="L8" s="799">
        <v>17.3</v>
      </c>
      <c r="M8" s="797">
        <v>2.16</v>
      </c>
      <c r="N8" s="801">
        <v>0.2</v>
      </c>
      <c r="O8" s="801">
        <v>4.18</v>
      </c>
      <c r="P8" s="820">
        <v>204</v>
      </c>
    </row>
    <row r="9" spans="1:16" x14ac:dyDescent="0.2">
      <c r="A9" s="796">
        <v>2007</v>
      </c>
      <c r="B9" s="797">
        <v>0.42</v>
      </c>
      <c r="C9" s="798">
        <v>17.899999999999999</v>
      </c>
      <c r="D9" s="798">
        <v>45.2</v>
      </c>
      <c r="E9" s="798">
        <v>7.6</v>
      </c>
      <c r="F9" s="798">
        <v>49.5</v>
      </c>
      <c r="G9" s="798">
        <v>14.4</v>
      </c>
      <c r="H9" s="799">
        <v>25.1</v>
      </c>
      <c r="I9" s="798">
        <v>0.5</v>
      </c>
      <c r="J9" s="798">
        <v>4.2</v>
      </c>
      <c r="K9" s="798">
        <v>11.5</v>
      </c>
      <c r="L9" s="799">
        <v>15.2</v>
      </c>
      <c r="M9" s="797">
        <v>1.9</v>
      </c>
      <c r="N9" s="801">
        <v>0.21</v>
      </c>
      <c r="O9" s="801">
        <v>4.22</v>
      </c>
      <c r="P9" s="820">
        <v>198</v>
      </c>
    </row>
    <row r="10" spans="1:16" x14ac:dyDescent="0.2">
      <c r="A10" s="796">
        <v>2008</v>
      </c>
      <c r="B10" s="797">
        <v>1.06</v>
      </c>
      <c r="C10" s="798">
        <v>35.9</v>
      </c>
      <c r="D10" s="798">
        <v>81.3</v>
      </c>
      <c r="E10" s="798">
        <v>11.8</v>
      </c>
      <c r="F10" s="798">
        <v>77.5</v>
      </c>
      <c r="G10" s="798">
        <v>22.2</v>
      </c>
      <c r="H10" s="799">
        <v>39.4</v>
      </c>
      <c r="I10" s="798">
        <v>1.4</v>
      </c>
      <c r="J10" s="798">
        <v>12.3</v>
      </c>
      <c r="K10" s="798">
        <v>33.9</v>
      </c>
      <c r="L10" s="799">
        <v>44.2</v>
      </c>
      <c r="M10" s="797">
        <v>5.51</v>
      </c>
      <c r="N10" s="801">
        <v>0.28999999999999998</v>
      </c>
      <c r="O10" s="801">
        <v>6.26</v>
      </c>
      <c r="P10" s="820">
        <v>373</v>
      </c>
    </row>
    <row r="11" spans="1:16" x14ac:dyDescent="0.2">
      <c r="A11" s="796">
        <v>2009</v>
      </c>
      <c r="B11" s="797">
        <v>0.8</v>
      </c>
      <c r="C11" s="798">
        <v>28.9</v>
      </c>
      <c r="D11" s="798">
        <v>67.7</v>
      </c>
      <c r="E11" s="798">
        <v>10.3</v>
      </c>
      <c r="F11" s="798">
        <v>67.7</v>
      </c>
      <c r="G11" s="798">
        <v>19.5</v>
      </c>
      <c r="H11" s="799">
        <v>34.4</v>
      </c>
      <c r="I11" s="798">
        <v>1</v>
      </c>
      <c r="J11" s="798">
        <v>8.9</v>
      </c>
      <c r="K11" s="798">
        <v>24.6</v>
      </c>
      <c r="L11" s="799">
        <v>32.200000000000003</v>
      </c>
      <c r="M11" s="797">
        <v>4.01</v>
      </c>
      <c r="N11" s="801">
        <v>0.26</v>
      </c>
      <c r="O11" s="801">
        <v>5.58</v>
      </c>
      <c r="P11" s="820">
        <v>306</v>
      </c>
    </row>
    <row r="12" spans="1:16" x14ac:dyDescent="0.2">
      <c r="A12" s="796">
        <v>2010</v>
      </c>
      <c r="B12" s="797">
        <v>0.61</v>
      </c>
      <c r="C12" s="798">
        <v>23.4</v>
      </c>
      <c r="D12" s="798">
        <v>56.5</v>
      </c>
      <c r="E12" s="798">
        <v>9</v>
      </c>
      <c r="F12" s="798">
        <v>58.7</v>
      </c>
      <c r="G12" s="798">
        <v>17</v>
      </c>
      <c r="H12" s="799">
        <v>29.8</v>
      </c>
      <c r="I12" s="798">
        <v>0.7</v>
      </c>
      <c r="J12" s="798">
        <v>6.6</v>
      </c>
      <c r="K12" s="798">
        <v>18.100000000000001</v>
      </c>
      <c r="L12" s="799">
        <v>23.7</v>
      </c>
      <c r="M12" s="797">
        <v>2.95</v>
      </c>
      <c r="N12" s="801">
        <v>0.24</v>
      </c>
      <c r="O12" s="801">
        <v>4.91</v>
      </c>
      <c r="P12" s="820">
        <v>252</v>
      </c>
    </row>
    <row r="13" spans="1:16" x14ac:dyDescent="0.2">
      <c r="A13" s="796">
        <v>2011</v>
      </c>
      <c r="B13" s="797">
        <v>0.68</v>
      </c>
      <c r="C13" s="798">
        <v>24.9</v>
      </c>
      <c r="D13" s="798">
        <v>58.6</v>
      </c>
      <c r="E13" s="798">
        <v>9</v>
      </c>
      <c r="F13" s="798">
        <v>59</v>
      </c>
      <c r="G13" s="798">
        <v>17</v>
      </c>
      <c r="H13" s="799">
        <v>30</v>
      </c>
      <c r="I13" s="798">
        <v>0.8</v>
      </c>
      <c r="J13" s="798">
        <v>7.6</v>
      </c>
      <c r="K13" s="798">
        <v>20.9</v>
      </c>
      <c r="L13" s="799">
        <v>27.3</v>
      </c>
      <c r="M13" s="797">
        <v>3.4</v>
      </c>
      <c r="N13" s="801">
        <v>0.23</v>
      </c>
      <c r="O13" s="801">
        <v>4.87</v>
      </c>
      <c r="P13" s="820">
        <v>264</v>
      </c>
    </row>
    <row r="14" spans="1:16" x14ac:dyDescent="0.2">
      <c r="A14" s="796">
        <v>2012</v>
      </c>
      <c r="B14" s="797">
        <v>0.41</v>
      </c>
      <c r="C14" s="798">
        <v>16.899999999999999</v>
      </c>
      <c r="D14" s="798">
        <v>41.9</v>
      </c>
      <c r="E14" s="798">
        <v>6.9</v>
      </c>
      <c r="F14" s="798">
        <v>45.1</v>
      </c>
      <c r="G14" s="798">
        <v>13.1</v>
      </c>
      <c r="H14" s="799">
        <v>22.9</v>
      </c>
      <c r="I14" s="798">
        <v>0.5</v>
      </c>
      <c r="J14" s="798">
        <v>4.3</v>
      </c>
      <c r="K14" s="798">
        <v>11.6</v>
      </c>
      <c r="L14" s="799">
        <v>15.3</v>
      </c>
      <c r="M14" s="797">
        <v>1.91</v>
      </c>
      <c r="N14" s="801">
        <v>0.19</v>
      </c>
      <c r="O14" s="801">
        <v>3.81</v>
      </c>
      <c r="P14" s="820">
        <v>185</v>
      </c>
    </row>
    <row r="15" spans="1:16" x14ac:dyDescent="0.2">
      <c r="A15" s="802" t="s">
        <v>511</v>
      </c>
      <c r="B15" s="803">
        <v>0.66</v>
      </c>
      <c r="C15" s="804">
        <v>27</v>
      </c>
      <c r="D15" s="804">
        <v>37.6</v>
      </c>
      <c r="E15" s="804">
        <v>8.5</v>
      </c>
      <c r="F15" s="804">
        <v>50.9</v>
      </c>
      <c r="G15" s="804">
        <v>16.7</v>
      </c>
      <c r="H15" s="805">
        <v>29.3</v>
      </c>
      <c r="I15" s="804">
        <v>0.4</v>
      </c>
      <c r="J15" s="804">
        <v>10.3</v>
      </c>
      <c r="K15" s="804">
        <v>10.3</v>
      </c>
      <c r="L15" s="805">
        <v>23.5</v>
      </c>
      <c r="M15" s="803">
        <v>4.13</v>
      </c>
      <c r="N15" s="806">
        <v>0.25</v>
      </c>
      <c r="O15" s="806">
        <v>4.68</v>
      </c>
      <c r="P15" s="821">
        <v>224</v>
      </c>
    </row>
    <row r="16" spans="1:16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</row>
    <row r="18" spans="1:15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1:15" ht="13.5" thickBot="1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</row>
    <row r="20" spans="1:15" ht="62.45" customHeight="1" x14ac:dyDescent="0.2">
      <c r="A20" s="328" t="s">
        <v>431</v>
      </c>
      <c r="B20" s="367" t="s">
        <v>421</v>
      </c>
      <c r="C20" s="367" t="s">
        <v>422</v>
      </c>
      <c r="D20" s="367" t="s">
        <v>100</v>
      </c>
      <c r="E20" s="367" t="s">
        <v>54</v>
      </c>
      <c r="F20" s="367" t="s">
        <v>423</v>
      </c>
      <c r="G20" s="367" t="s">
        <v>489</v>
      </c>
      <c r="H20" s="370" t="s">
        <v>53</v>
      </c>
      <c r="I20" s="141"/>
      <c r="J20" s="141"/>
      <c r="K20" s="141"/>
      <c r="L20" s="141"/>
      <c r="M20" s="141"/>
      <c r="N20" s="141"/>
      <c r="O20" s="141"/>
    </row>
    <row r="21" spans="1:15" x14ac:dyDescent="0.2">
      <c r="A21" s="39" t="s">
        <v>26</v>
      </c>
      <c r="B21" s="82">
        <v>18</v>
      </c>
      <c r="C21" s="82">
        <v>0</v>
      </c>
      <c r="D21" s="778"/>
      <c r="E21" s="82"/>
      <c r="F21" s="82"/>
      <c r="G21" s="82"/>
      <c r="H21" s="757">
        <v>18</v>
      </c>
      <c r="I21" s="141"/>
      <c r="J21" s="141"/>
      <c r="K21" s="141"/>
      <c r="L21" s="141"/>
      <c r="M21" s="141"/>
      <c r="N21" s="141"/>
      <c r="O21" s="141"/>
    </row>
    <row r="22" spans="1:15" x14ac:dyDescent="0.2">
      <c r="A22" s="39" t="s">
        <v>27</v>
      </c>
      <c r="B22" s="82"/>
      <c r="C22" s="82"/>
      <c r="D22" s="778"/>
      <c r="E22" s="82"/>
      <c r="F22" s="82"/>
      <c r="G22" s="82"/>
      <c r="H22" s="757"/>
      <c r="I22" s="141"/>
      <c r="J22" s="141"/>
      <c r="K22" s="141"/>
      <c r="L22" s="141"/>
      <c r="M22" s="141"/>
      <c r="N22" s="141"/>
      <c r="O22" s="141"/>
    </row>
    <row r="23" spans="1:15" x14ac:dyDescent="0.2">
      <c r="A23" s="39" t="s">
        <v>19</v>
      </c>
      <c r="B23" s="758">
        <f>SUM(B24:B26)</f>
        <v>224.22</v>
      </c>
      <c r="C23" s="758">
        <f>B23-B24</f>
        <v>215.16</v>
      </c>
      <c r="D23" s="778">
        <f>C23/(B$33-B$21-B$24-B$31)</f>
        <v>0.99999999999999989</v>
      </c>
      <c r="E23" s="758">
        <f>D23*(B$35-E$31)</f>
        <v>163.22</v>
      </c>
      <c r="F23" s="82"/>
      <c r="G23" s="82"/>
      <c r="H23" s="757">
        <v>61</v>
      </c>
      <c r="I23" s="790"/>
      <c r="J23" s="141"/>
      <c r="K23" s="141"/>
      <c r="L23" s="141"/>
      <c r="M23" s="141"/>
      <c r="N23" s="141"/>
      <c r="O23" s="141"/>
    </row>
    <row r="24" spans="1:15" x14ac:dyDescent="0.2">
      <c r="A24" s="39" t="s">
        <v>20</v>
      </c>
      <c r="B24" s="758">
        <f>M15+N15+O15</f>
        <v>9.0599999999999987</v>
      </c>
      <c r="C24" s="82">
        <v>0</v>
      </c>
      <c r="D24" s="778"/>
      <c r="E24" s="82"/>
      <c r="F24" s="82"/>
      <c r="G24" s="82"/>
      <c r="H24" s="807">
        <f>B24</f>
        <v>9.0599999999999987</v>
      </c>
      <c r="I24" s="790"/>
      <c r="J24" s="141"/>
      <c r="K24" s="141"/>
      <c r="L24" s="141"/>
      <c r="M24" s="141"/>
      <c r="N24" s="141"/>
      <c r="O24" s="141"/>
    </row>
    <row r="25" spans="1:15" x14ac:dyDescent="0.2">
      <c r="A25" s="39" t="s">
        <v>32</v>
      </c>
      <c r="B25" s="758">
        <f>J15+K15+L15</f>
        <v>44.1</v>
      </c>
      <c r="C25" s="758">
        <f t="shared" ref="C25:C31" si="0">B25</f>
        <v>44.1</v>
      </c>
      <c r="D25" s="778">
        <f>C25/(B$33-B$21-B$24-B$31)</f>
        <v>0.20496374790853317</v>
      </c>
      <c r="E25" s="758">
        <f>D25*(B$35-E$31)</f>
        <v>33.45418293363079</v>
      </c>
      <c r="F25" s="82"/>
      <c r="G25" s="82"/>
      <c r="H25" s="807">
        <f>C25-E25</f>
        <v>10.645817066369212</v>
      </c>
      <c r="I25" s="141"/>
      <c r="J25" s="790"/>
      <c r="K25" s="141"/>
      <c r="L25" s="141"/>
      <c r="M25" s="141"/>
      <c r="N25" s="141"/>
      <c r="O25" s="141"/>
    </row>
    <row r="26" spans="1:15" x14ac:dyDescent="0.2">
      <c r="A26" s="39" t="s">
        <v>21</v>
      </c>
      <c r="B26" s="758">
        <f>B15+C15+D15+E15+F15+G15+H15+I15</f>
        <v>171.06</v>
      </c>
      <c r="C26" s="758">
        <f t="shared" si="0"/>
        <v>171.06</v>
      </c>
      <c r="D26" s="778">
        <f t="shared" ref="D26:D30" si="1">C26/(B$33-B$21-B$24-B$31)</f>
        <v>0.79503625209146678</v>
      </c>
      <c r="E26" s="758">
        <f t="shared" ref="E26:E30" si="2">D26*(B$35-E$31)</f>
        <v>129.76581706636924</v>
      </c>
      <c r="F26" s="82"/>
      <c r="G26" s="82"/>
      <c r="H26" s="807">
        <f t="shared" ref="H26:H30" si="3">C26-E26</f>
        <v>41.294182933630765</v>
      </c>
      <c r="I26" s="790"/>
      <c r="J26" s="141"/>
      <c r="K26" s="141"/>
      <c r="L26" s="141"/>
      <c r="M26" s="141"/>
      <c r="N26" s="141"/>
      <c r="O26" s="141"/>
    </row>
    <row r="27" spans="1:15" x14ac:dyDescent="0.2">
      <c r="A27" s="39" t="s">
        <v>424</v>
      </c>
      <c r="B27" s="758">
        <f>D15+F15+G15</f>
        <v>105.2</v>
      </c>
      <c r="C27" s="758">
        <f t="shared" si="0"/>
        <v>105.2</v>
      </c>
      <c r="D27" s="778">
        <f t="shared" si="1"/>
        <v>0.48893846439858707</v>
      </c>
      <c r="E27" s="758">
        <f t="shared" si="2"/>
        <v>79.804536159137399</v>
      </c>
      <c r="F27" s="82"/>
      <c r="G27" s="82"/>
      <c r="H27" s="807">
        <f t="shared" si="3"/>
        <v>25.395463840862604</v>
      </c>
      <c r="I27" s="141"/>
      <c r="J27" s="141"/>
      <c r="K27" s="141"/>
      <c r="L27" s="141"/>
      <c r="M27" s="141"/>
      <c r="N27" s="141"/>
      <c r="O27" s="141"/>
    </row>
    <row r="28" spans="1:15" x14ac:dyDescent="0.2">
      <c r="A28" s="39" t="s">
        <v>425</v>
      </c>
      <c r="B28" s="758">
        <f>C15+E15</f>
        <v>35.5</v>
      </c>
      <c r="C28" s="758">
        <f t="shared" si="0"/>
        <v>35.5</v>
      </c>
      <c r="D28" s="778">
        <f t="shared" si="1"/>
        <v>0.16499349321435208</v>
      </c>
      <c r="E28" s="758">
        <f t="shared" si="2"/>
        <v>26.930237962446551</v>
      </c>
      <c r="F28" s="82"/>
      <c r="G28" s="82"/>
      <c r="H28" s="807">
        <f t="shared" si="3"/>
        <v>8.5697620375534491</v>
      </c>
      <c r="I28" s="790"/>
      <c r="J28" s="141"/>
      <c r="K28" s="141"/>
      <c r="L28" s="141"/>
      <c r="M28" s="141"/>
      <c r="N28" s="141"/>
      <c r="O28" s="141"/>
    </row>
    <row r="29" spans="1:15" x14ac:dyDescent="0.2">
      <c r="A29" s="39" t="s">
        <v>426</v>
      </c>
      <c r="B29" s="758">
        <f>B15+I15</f>
        <v>1.06</v>
      </c>
      <c r="C29" s="758">
        <f t="shared" si="0"/>
        <v>1.06</v>
      </c>
      <c r="D29" s="778">
        <f t="shared" si="1"/>
        <v>4.9265662762595277E-3</v>
      </c>
      <c r="E29" s="758">
        <f t="shared" si="2"/>
        <v>0.80411414761108024</v>
      </c>
      <c r="F29" s="82"/>
      <c r="G29" s="82"/>
      <c r="H29" s="807">
        <f t="shared" si="3"/>
        <v>0.25588585238891981</v>
      </c>
      <c r="I29" s="141"/>
      <c r="J29" s="141"/>
      <c r="K29" s="141"/>
      <c r="L29" s="141"/>
      <c r="M29" s="141"/>
      <c r="N29" s="141"/>
      <c r="O29" s="141"/>
    </row>
    <row r="30" spans="1:15" s="35" customFormat="1" x14ac:dyDescent="0.2">
      <c r="A30" s="39" t="s">
        <v>496</v>
      </c>
      <c r="B30" s="758">
        <f>H15</f>
        <v>29.3</v>
      </c>
      <c r="C30" s="758">
        <f t="shared" si="0"/>
        <v>29.3</v>
      </c>
      <c r="D30" s="778">
        <f t="shared" si="1"/>
        <v>0.13617772820226806</v>
      </c>
      <c r="E30" s="758">
        <f t="shared" si="2"/>
        <v>22.226928797174196</v>
      </c>
      <c r="F30" s="82"/>
      <c r="G30" s="82"/>
      <c r="H30" s="807">
        <f t="shared" si="3"/>
        <v>7.0730712028258047</v>
      </c>
      <c r="I30" s="141"/>
      <c r="J30" s="141"/>
      <c r="K30" s="141"/>
      <c r="L30" s="141"/>
      <c r="M30" s="141"/>
      <c r="N30" s="141"/>
      <c r="O30" s="141"/>
    </row>
    <row r="31" spans="1:15" x14ac:dyDescent="0.2">
      <c r="A31" s="39" t="s">
        <v>508</v>
      </c>
      <c r="B31" s="758">
        <v>68</v>
      </c>
      <c r="C31" s="758">
        <f t="shared" si="0"/>
        <v>68</v>
      </c>
      <c r="D31" s="778"/>
      <c r="E31" s="758">
        <v>50</v>
      </c>
      <c r="F31" s="82"/>
      <c r="G31" s="82"/>
      <c r="H31" s="807">
        <v>18</v>
      </c>
      <c r="I31" s="141"/>
      <c r="J31" s="141"/>
      <c r="K31" s="141"/>
      <c r="L31" s="141"/>
      <c r="M31" s="141"/>
      <c r="N31" s="141"/>
      <c r="O31" s="141"/>
    </row>
    <row r="32" spans="1:15" x14ac:dyDescent="0.2">
      <c r="A32" s="36" t="s">
        <v>30</v>
      </c>
      <c r="B32" s="82"/>
      <c r="C32" s="82"/>
      <c r="D32" s="82"/>
      <c r="E32" s="82"/>
      <c r="F32" s="82"/>
      <c r="G32" s="82"/>
      <c r="H32" s="757"/>
      <c r="I32" s="141"/>
      <c r="J32" s="141"/>
      <c r="K32" s="141"/>
      <c r="L32" s="141"/>
      <c r="M32" s="141"/>
      <c r="N32" s="141"/>
      <c r="O32" s="141"/>
    </row>
    <row r="33" spans="1:15" x14ac:dyDescent="0.2">
      <c r="A33" s="39" t="s">
        <v>487</v>
      </c>
      <c r="B33" s="758">
        <f>B21+B23+B31</f>
        <v>310.22000000000003</v>
      </c>
      <c r="C33" s="82"/>
      <c r="D33" s="166">
        <f>D25+D26+D31</f>
        <v>1</v>
      </c>
      <c r="E33" s="82"/>
      <c r="F33" s="82"/>
      <c r="G33" s="82"/>
      <c r="H33" s="757"/>
      <c r="I33" s="141"/>
      <c r="J33" s="141"/>
      <c r="K33" s="141"/>
      <c r="L33" s="141"/>
      <c r="M33" s="141"/>
      <c r="N33" s="141"/>
      <c r="O33" s="141"/>
    </row>
    <row r="34" spans="1:15" x14ac:dyDescent="0.2">
      <c r="A34" s="39" t="s">
        <v>432</v>
      </c>
      <c r="B34" s="82">
        <v>97</v>
      </c>
      <c r="C34" s="82"/>
      <c r="D34" s="82"/>
      <c r="E34" s="82"/>
      <c r="F34" s="82"/>
      <c r="G34" s="82"/>
      <c r="H34" s="807">
        <f>H21+H23+H31</f>
        <v>97</v>
      </c>
      <c r="I34" s="141"/>
      <c r="J34" s="141"/>
      <c r="K34" s="141"/>
      <c r="L34" s="141"/>
      <c r="M34" s="141"/>
      <c r="N34" s="141"/>
      <c r="O34" s="141"/>
    </row>
    <row r="35" spans="1:15" ht="26.25" thickBot="1" x14ac:dyDescent="0.25">
      <c r="A35" s="760" t="s">
        <v>488</v>
      </c>
      <c r="B35" s="808">
        <f>B33-B34</f>
        <v>213.22000000000003</v>
      </c>
      <c r="C35" s="279"/>
      <c r="D35" s="279"/>
      <c r="E35" s="808">
        <f>E25+E26+E31</f>
        <v>213.22000000000003</v>
      </c>
      <c r="F35" s="279"/>
      <c r="G35" s="279"/>
      <c r="H35" s="809"/>
      <c r="I35" s="141"/>
      <c r="J35" s="141"/>
      <c r="K35" s="141"/>
      <c r="L35" s="141"/>
      <c r="M35" s="141"/>
      <c r="N35" s="141"/>
      <c r="O35" s="141"/>
    </row>
    <row r="36" spans="1:15" x14ac:dyDescent="0.2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13.5" thickBot="1" x14ac:dyDescent="0.25">
      <c r="A37" s="141"/>
      <c r="B37" s="141"/>
      <c r="C37" s="790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63.75" x14ac:dyDescent="0.2">
      <c r="A38" s="383" t="s">
        <v>503</v>
      </c>
      <c r="B38" s="816" t="s">
        <v>194</v>
      </c>
      <c r="C38" s="816" t="s">
        <v>195</v>
      </c>
      <c r="D38" s="816" t="s">
        <v>459</v>
      </c>
      <c r="E38" s="816" t="s">
        <v>196</v>
      </c>
      <c r="F38" s="816" t="s">
        <v>197</v>
      </c>
      <c r="G38" s="816" t="s">
        <v>462</v>
      </c>
      <c r="H38" s="816" t="s">
        <v>198</v>
      </c>
      <c r="I38" s="816" t="s">
        <v>199</v>
      </c>
      <c r="J38" s="816" t="s">
        <v>466</v>
      </c>
      <c r="K38" s="816" t="s">
        <v>509</v>
      </c>
      <c r="L38" s="816" t="s">
        <v>510</v>
      </c>
      <c r="M38" s="816" t="s">
        <v>502</v>
      </c>
      <c r="N38" s="817" t="s">
        <v>467</v>
      </c>
      <c r="O38" s="818" t="s">
        <v>468</v>
      </c>
    </row>
    <row r="39" spans="1:15" ht="15" x14ac:dyDescent="0.25">
      <c r="A39" s="849" t="s">
        <v>287</v>
      </c>
      <c r="B39" s="810">
        <v>198.840879</v>
      </c>
      <c r="C39" s="783">
        <v>0.90939454193175284</v>
      </c>
      <c r="D39" s="812">
        <f>C39*E$27</f>
        <v>72.573809604514764</v>
      </c>
      <c r="E39" s="810">
        <v>81.359272000000004</v>
      </c>
      <c r="F39" s="783">
        <v>0.63202304704781731</v>
      </c>
      <c r="G39" s="812">
        <f>F39*E$28</f>
        <v>17.020531054748272</v>
      </c>
      <c r="H39" s="810">
        <v>28.315638</v>
      </c>
      <c r="I39" s="783">
        <v>0.95791801793551556</v>
      </c>
      <c r="J39" s="812">
        <f>I39*E29</f>
        <v>0.77027543047351255</v>
      </c>
      <c r="K39" s="139" t="s">
        <v>188</v>
      </c>
      <c r="L39" s="587">
        <v>0.8898645182941809</v>
      </c>
      <c r="M39" s="812">
        <f>L39*E31</f>
        <v>44.493225914709043</v>
      </c>
      <c r="N39" s="812">
        <f>D39+G39+J39+M39</f>
        <v>134.85784200444562</v>
      </c>
      <c r="O39" s="812">
        <f>(C39*H$27)+(F39*H$28)+(I39*H$29)+L39*H31</f>
        <v>44.773462319988269</v>
      </c>
    </row>
    <row r="40" spans="1:15" ht="15" x14ac:dyDescent="0.25">
      <c r="A40" s="849" t="s">
        <v>47</v>
      </c>
      <c r="B40" s="810">
        <v>19.811059</v>
      </c>
      <c r="C40" s="783">
        <v>9.0605458068247269E-2</v>
      </c>
      <c r="D40" s="812">
        <f>C40*E$27</f>
        <v>7.2307265546226462</v>
      </c>
      <c r="E40" s="810">
        <v>47.369059</v>
      </c>
      <c r="F40" s="783">
        <v>0.36797695295218269</v>
      </c>
      <c r="G40" s="812">
        <f>F40*E$28</f>
        <v>9.9097069076982791</v>
      </c>
      <c r="H40" s="810">
        <v>1.2439250000000002</v>
      </c>
      <c r="I40" s="783">
        <v>4.2081982064484519E-2</v>
      </c>
      <c r="J40" s="812">
        <f>I40*E29</f>
        <v>3.3838717137567732E-2</v>
      </c>
      <c r="K40" s="139" t="s">
        <v>188</v>
      </c>
      <c r="L40" s="587">
        <v>0.11013548170581891</v>
      </c>
      <c r="M40" s="812">
        <f>L40*E31</f>
        <v>5.5067740852909459</v>
      </c>
      <c r="N40" s="812">
        <f>D40+G40+J40+M40</f>
        <v>22.681046264749437</v>
      </c>
      <c r="O40" s="812">
        <f>(C40*H$27)+(F40*H$28)+(I40*H$29)+(L40*H$31)</f>
        <v>7.4476494108167</v>
      </c>
    </row>
    <row r="41" spans="1:15" s="35" customFormat="1" ht="15" x14ac:dyDescent="0.25">
      <c r="A41" s="849" t="s">
        <v>41</v>
      </c>
      <c r="B41" s="810" t="s">
        <v>188</v>
      </c>
      <c r="C41" s="810" t="s">
        <v>188</v>
      </c>
      <c r="D41" s="810" t="s">
        <v>188</v>
      </c>
      <c r="E41" s="810" t="s">
        <v>188</v>
      </c>
      <c r="F41" s="810" t="s">
        <v>188</v>
      </c>
      <c r="G41" s="810" t="s">
        <v>188</v>
      </c>
      <c r="H41" s="810" t="s">
        <v>188</v>
      </c>
      <c r="I41" s="810" t="s">
        <v>188</v>
      </c>
      <c r="J41" s="810" t="s">
        <v>188</v>
      </c>
      <c r="K41" s="812">
        <f>E30*C61</f>
        <v>7.241419379383859</v>
      </c>
      <c r="L41" s="564" t="s">
        <v>188</v>
      </c>
      <c r="M41" s="812" t="s">
        <v>188</v>
      </c>
      <c r="N41" s="812">
        <f>K41</f>
        <v>7.241419379383859</v>
      </c>
      <c r="O41" s="812">
        <f>H31*C61</f>
        <v>5.8643076611412397</v>
      </c>
    </row>
    <row r="42" spans="1:15" s="35" customFormat="1" ht="30" x14ac:dyDescent="0.2">
      <c r="A42" s="851" t="s">
        <v>553</v>
      </c>
      <c r="B42" s="810" t="s">
        <v>188</v>
      </c>
      <c r="C42" s="810" t="s">
        <v>188</v>
      </c>
      <c r="D42" s="810" t="s">
        <v>188</v>
      </c>
      <c r="E42" s="810" t="s">
        <v>188</v>
      </c>
      <c r="F42" s="810" t="s">
        <v>188</v>
      </c>
      <c r="G42" s="810" t="s">
        <v>188</v>
      </c>
      <c r="H42" s="810" t="s">
        <v>188</v>
      </c>
      <c r="I42" s="810" t="s">
        <v>188</v>
      </c>
      <c r="J42" s="810" t="s">
        <v>188</v>
      </c>
      <c r="K42" s="812">
        <f>E30*C60</f>
        <v>14.985509417790338</v>
      </c>
      <c r="L42" s="815" t="s">
        <v>188</v>
      </c>
      <c r="M42" s="812" t="s">
        <v>188</v>
      </c>
      <c r="N42" s="812">
        <f>K42</f>
        <v>14.985509417790338</v>
      </c>
      <c r="O42" s="812">
        <f>H$31*C60</f>
        <v>12.135692338858762</v>
      </c>
    </row>
    <row r="43" spans="1:15" ht="15" x14ac:dyDescent="0.25">
      <c r="A43" s="811" t="s">
        <v>554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1:15" s="35" customFormat="1" ht="15" x14ac:dyDescent="0.25">
      <c r="A44" s="81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</row>
    <row r="45" spans="1:15" ht="15.75" thickBot="1" x14ac:dyDescent="0.3">
      <c r="A45" s="408" t="s">
        <v>131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</row>
    <row r="46" spans="1:15" ht="76.5" x14ac:dyDescent="0.2">
      <c r="A46" s="388" t="s">
        <v>504</v>
      </c>
      <c r="B46" s="389" t="s">
        <v>127</v>
      </c>
      <c r="C46" s="389" t="s">
        <v>460</v>
      </c>
      <c r="D46" s="389" t="s">
        <v>70</v>
      </c>
      <c r="E46" s="389" t="s">
        <v>461</v>
      </c>
      <c r="F46" s="389" t="s">
        <v>72</v>
      </c>
      <c r="G46" s="389" t="s">
        <v>464</v>
      </c>
      <c r="H46" s="390" t="s">
        <v>463</v>
      </c>
      <c r="I46" s="389" t="s">
        <v>190</v>
      </c>
      <c r="J46" s="392" t="s">
        <v>465</v>
      </c>
      <c r="K46" s="141"/>
      <c r="L46" s="141"/>
      <c r="M46" s="141"/>
      <c r="N46" s="141"/>
      <c r="O46" s="141"/>
    </row>
    <row r="47" spans="1:15" ht="15" x14ac:dyDescent="0.25">
      <c r="A47" s="849" t="s">
        <v>287</v>
      </c>
      <c r="B47" s="783">
        <v>0.90900000000000003</v>
      </c>
      <c r="C47" s="812">
        <f>B47*C$27</f>
        <v>95.626800000000003</v>
      </c>
      <c r="D47" s="783">
        <v>0.63202304704781731</v>
      </c>
      <c r="E47" s="812">
        <f>D47*C$28</f>
        <v>22.436818170197515</v>
      </c>
      <c r="F47" s="783">
        <v>0.95791801793551556</v>
      </c>
      <c r="G47" s="812">
        <f>F47*C$29</f>
        <v>1.0153930990116466</v>
      </c>
      <c r="H47" s="812">
        <f>C47+E47+G47</f>
        <v>119.07901126920916</v>
      </c>
      <c r="I47" s="813">
        <v>5.5E-2</v>
      </c>
      <c r="J47" s="812">
        <f>H47*I47</f>
        <v>6.5493456198065036</v>
      </c>
      <c r="K47" s="141"/>
      <c r="L47" s="141"/>
      <c r="M47" s="141"/>
      <c r="N47" s="141"/>
      <c r="O47" s="141"/>
    </row>
    <row r="48" spans="1:15" ht="15" x14ac:dyDescent="0.25">
      <c r="A48" s="849" t="s">
        <v>47</v>
      </c>
      <c r="B48" s="783">
        <v>9.0999999999999998E-2</v>
      </c>
      <c r="C48" s="812">
        <f>B48*C$27</f>
        <v>9.5731999999999999</v>
      </c>
      <c r="D48" s="783">
        <v>0.36797695295218269</v>
      </c>
      <c r="E48" s="812">
        <f>D48*C$28</f>
        <v>13.063181829802485</v>
      </c>
      <c r="F48" s="783">
        <v>4.2081982064484519E-2</v>
      </c>
      <c r="G48" s="812">
        <f>F48*C$29</f>
        <v>4.4606900988353591E-2</v>
      </c>
      <c r="H48" s="812">
        <f t="shared" ref="H48" si="4">C48+E48+G48</f>
        <v>22.680988730790837</v>
      </c>
      <c r="I48" s="813">
        <v>0.06</v>
      </c>
      <c r="J48" s="812">
        <f t="shared" ref="J48:J49" si="5">H48*I48</f>
        <v>1.3608593238474502</v>
      </c>
      <c r="K48" s="141"/>
      <c r="L48" s="141"/>
      <c r="M48" s="141"/>
      <c r="N48" s="141"/>
      <c r="O48" s="141"/>
    </row>
    <row r="49" spans="1:15" s="35" customFormat="1" ht="15" x14ac:dyDescent="0.25">
      <c r="A49" s="849" t="s">
        <v>41</v>
      </c>
      <c r="B49" s="783" t="s">
        <v>188</v>
      </c>
      <c r="C49" s="812" t="s">
        <v>188</v>
      </c>
      <c r="D49" s="783" t="s">
        <v>188</v>
      </c>
      <c r="E49" s="812" t="s">
        <v>188</v>
      </c>
      <c r="F49" s="783" t="s">
        <v>188</v>
      </c>
      <c r="G49" s="812" t="s">
        <v>188</v>
      </c>
      <c r="H49" s="812">
        <f>B30*C61</f>
        <v>9.5457896928576851</v>
      </c>
      <c r="I49" s="813">
        <v>5.0000000000000001E-3</v>
      </c>
      <c r="J49" s="812">
        <f t="shared" si="5"/>
        <v>4.7728948464288427E-2</v>
      </c>
      <c r="K49" s="141"/>
      <c r="L49" s="141"/>
      <c r="M49" s="141"/>
      <c r="N49" s="141"/>
      <c r="O49" s="141"/>
    </row>
    <row r="50" spans="1:15" ht="30" x14ac:dyDescent="0.2">
      <c r="A50" s="850" t="s">
        <v>553</v>
      </c>
      <c r="B50" s="564" t="s">
        <v>188</v>
      </c>
      <c r="C50" s="564" t="s">
        <v>188</v>
      </c>
      <c r="D50" s="564" t="s">
        <v>188</v>
      </c>
      <c r="E50" s="564" t="s">
        <v>188</v>
      </c>
      <c r="F50" s="564" t="s">
        <v>188</v>
      </c>
      <c r="G50" s="564" t="s">
        <v>188</v>
      </c>
      <c r="H50" s="139">
        <f>C30*C60</f>
        <v>19.754210307142319</v>
      </c>
      <c r="I50" s="564">
        <v>0</v>
      </c>
      <c r="J50" s="564"/>
      <c r="K50" s="141"/>
      <c r="L50" s="141"/>
      <c r="M50" s="141"/>
      <c r="N50" s="141"/>
      <c r="O50" s="141"/>
    </row>
    <row r="51" spans="1:15" s="35" customFormat="1" ht="15" x14ac:dyDescent="0.25">
      <c r="A51" s="81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1:15" ht="15.75" thickBot="1" x14ac:dyDescent="0.3">
      <c r="A52" s="408" t="s">
        <v>376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1:15" ht="134.44999999999999" customHeight="1" x14ac:dyDescent="0.2">
      <c r="A53" s="420" t="s">
        <v>505</v>
      </c>
      <c r="B53" s="405" t="s">
        <v>475</v>
      </c>
      <c r="C53" s="405" t="s">
        <v>474</v>
      </c>
      <c r="D53" s="405" t="s">
        <v>473</v>
      </c>
      <c r="E53" s="405" t="s">
        <v>472</v>
      </c>
      <c r="F53" s="406" t="s">
        <v>874</v>
      </c>
      <c r="G53" s="405" t="s">
        <v>471</v>
      </c>
      <c r="H53" s="405" t="s">
        <v>476</v>
      </c>
      <c r="I53" s="405" t="s">
        <v>470</v>
      </c>
      <c r="J53" s="407" t="s">
        <v>469</v>
      </c>
      <c r="K53" s="741"/>
      <c r="L53" s="742"/>
      <c r="M53" s="141"/>
      <c r="N53" s="141"/>
      <c r="O53" s="141"/>
    </row>
    <row r="54" spans="1:15" ht="15" x14ac:dyDescent="0.2">
      <c r="A54" s="1082" t="s">
        <v>287</v>
      </c>
      <c r="B54" s="812">
        <f>ROUND(N39,0)</f>
        <v>135</v>
      </c>
      <c r="C54" s="812">
        <v>67</v>
      </c>
      <c r="D54" s="812">
        <v>7</v>
      </c>
      <c r="E54" s="815"/>
      <c r="F54" s="812">
        <v>60</v>
      </c>
      <c r="G54" s="812">
        <v>68</v>
      </c>
      <c r="H54" s="815"/>
      <c r="I54" s="815"/>
      <c r="J54" s="814">
        <f>F54+G54-H54-I54</f>
        <v>128</v>
      </c>
      <c r="K54" s="141">
        <v>128</v>
      </c>
      <c r="L54" s="141"/>
      <c r="M54" s="141"/>
      <c r="N54" s="141"/>
      <c r="O54" s="141"/>
    </row>
    <row r="55" spans="1:15" ht="15" x14ac:dyDescent="0.2">
      <c r="A55" s="1082" t="s">
        <v>47</v>
      </c>
      <c r="B55" s="812">
        <f>ROUND(N40,0)</f>
        <v>23</v>
      </c>
      <c r="C55" s="812">
        <v>12</v>
      </c>
      <c r="D55" s="812">
        <v>1</v>
      </c>
      <c r="E55" s="815"/>
      <c r="F55" s="812">
        <v>10</v>
      </c>
      <c r="G55" s="812">
        <v>11</v>
      </c>
      <c r="H55" s="815"/>
      <c r="I55" s="815"/>
      <c r="J55" s="814">
        <f t="shared" ref="J55:J57" si="6">F55+G55-H55-I55</f>
        <v>21</v>
      </c>
      <c r="K55" s="141">
        <v>21</v>
      </c>
      <c r="L55" s="141"/>
      <c r="M55" s="141"/>
      <c r="N55" s="141"/>
      <c r="O55" s="141"/>
    </row>
    <row r="56" spans="1:15" ht="15" x14ac:dyDescent="0.2">
      <c r="A56" s="1083" t="s">
        <v>41</v>
      </c>
      <c r="B56" s="812">
        <f>ROUND(K41,0)</f>
        <v>7</v>
      </c>
      <c r="C56" s="812">
        <v>4</v>
      </c>
      <c r="D56" s="812">
        <f>J49</f>
        <v>4.7728948464288427E-2</v>
      </c>
      <c r="E56" s="815"/>
      <c r="F56" s="812">
        <v>4</v>
      </c>
      <c r="G56" s="812">
        <f>C56</f>
        <v>4</v>
      </c>
      <c r="H56" s="815"/>
      <c r="I56" s="815"/>
      <c r="J56" s="814">
        <f t="shared" si="6"/>
        <v>8</v>
      </c>
      <c r="K56" s="141">
        <v>8</v>
      </c>
      <c r="L56" s="141"/>
      <c r="M56" s="141"/>
      <c r="N56" s="141"/>
      <c r="O56" s="141"/>
    </row>
    <row r="57" spans="1:15" ht="15.75" thickBot="1" x14ac:dyDescent="0.25">
      <c r="A57" s="1084" t="s">
        <v>553</v>
      </c>
      <c r="B57" s="347">
        <f>N42</f>
        <v>14.985509417790338</v>
      </c>
      <c r="C57" s="791">
        <v>8</v>
      </c>
      <c r="D57" s="785"/>
      <c r="E57" s="785">
        <v>2</v>
      </c>
      <c r="F57" s="791">
        <v>6</v>
      </c>
      <c r="G57" s="347">
        <v>7</v>
      </c>
      <c r="H57" s="785"/>
      <c r="I57" s="785"/>
      <c r="J57" s="889">
        <f t="shared" si="6"/>
        <v>13</v>
      </c>
      <c r="K57" s="929">
        <v>13</v>
      </c>
    </row>
    <row r="58" spans="1:15" x14ac:dyDescent="0.2">
      <c r="K58">
        <f>SUM(K54:K57)</f>
        <v>170</v>
      </c>
    </row>
    <row r="59" spans="1:15" x14ac:dyDescent="0.2">
      <c r="B59" t="s">
        <v>234</v>
      </c>
      <c r="C59" t="s">
        <v>552</v>
      </c>
    </row>
    <row r="60" spans="1:15" x14ac:dyDescent="0.2">
      <c r="A60" t="s">
        <v>551</v>
      </c>
      <c r="B60">
        <v>40.276198000000001</v>
      </c>
      <c r="C60" s="89">
        <f>B60/B62</f>
        <v>0.67420512993659787</v>
      </c>
      <c r="E60" s="33"/>
    </row>
    <row r="61" spans="1:15" x14ac:dyDescent="0.2">
      <c r="A61" t="s">
        <v>41</v>
      </c>
      <c r="B61">
        <v>19.462591</v>
      </c>
      <c r="C61" s="89">
        <f>B61/B62</f>
        <v>0.32579487006340219</v>
      </c>
    </row>
    <row r="62" spans="1:15" x14ac:dyDescent="0.2">
      <c r="B62">
        <f>SUM(B60:B61)</f>
        <v>59.738788999999997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9"/>
  <sheetViews>
    <sheetView topLeftCell="A16" workbookViewId="0">
      <selection activeCell="A53" sqref="A53"/>
    </sheetView>
  </sheetViews>
  <sheetFormatPr defaultRowHeight="12.75" x14ac:dyDescent="0.2"/>
  <cols>
    <col min="1" max="1" width="28.85546875" customWidth="1"/>
    <col min="2" max="2" width="11.28515625" customWidth="1"/>
    <col min="3" max="3" width="11.42578125" customWidth="1"/>
    <col min="4" max="4" width="11.7109375" customWidth="1"/>
    <col min="5" max="5" width="12" customWidth="1"/>
    <col min="6" max="6" width="11.42578125" customWidth="1"/>
    <col min="7" max="7" width="11.28515625" customWidth="1"/>
    <col min="8" max="8" width="11.140625" customWidth="1"/>
    <col min="9" max="9" width="11.28515625" customWidth="1"/>
    <col min="10" max="10" width="10.85546875" customWidth="1"/>
    <col min="11" max="11" width="11.28515625" customWidth="1"/>
  </cols>
  <sheetData>
    <row r="1" spans="1:11" ht="81" customHeight="1" x14ac:dyDescent="0.2">
      <c r="A1" s="837" t="s">
        <v>519</v>
      </c>
      <c r="B1" s="911" t="s">
        <v>540</v>
      </c>
      <c r="C1" s="911" t="s">
        <v>588</v>
      </c>
      <c r="D1" s="911" t="s">
        <v>541</v>
      </c>
      <c r="E1" s="911" t="s">
        <v>589</v>
      </c>
      <c r="F1" s="911" t="s">
        <v>542</v>
      </c>
      <c r="G1" s="911" t="s">
        <v>590</v>
      </c>
      <c r="H1" s="911" t="s">
        <v>543</v>
      </c>
      <c r="I1" s="911" t="s">
        <v>591</v>
      </c>
      <c r="J1" s="911" t="s">
        <v>544</v>
      </c>
      <c r="K1" s="912" t="s">
        <v>592</v>
      </c>
    </row>
    <row r="2" spans="1:11" x14ac:dyDescent="0.2">
      <c r="A2" s="838" t="s">
        <v>22</v>
      </c>
      <c r="B2" s="839">
        <v>2208</v>
      </c>
      <c r="C2" s="839"/>
      <c r="D2" s="839"/>
      <c r="E2" s="839"/>
      <c r="F2" s="839"/>
      <c r="G2" s="839"/>
      <c r="H2" s="839"/>
      <c r="I2" s="839"/>
      <c r="J2" s="839"/>
      <c r="K2" s="840"/>
    </row>
    <row r="3" spans="1:11" x14ac:dyDescent="0.2">
      <c r="A3" s="838" t="s">
        <v>520</v>
      </c>
      <c r="B3" s="839"/>
      <c r="C3" s="839">
        <v>-115686</v>
      </c>
      <c r="D3" s="839">
        <v>1702</v>
      </c>
      <c r="E3" s="839"/>
      <c r="F3" s="839"/>
      <c r="G3" s="839"/>
      <c r="H3" s="839">
        <v>175</v>
      </c>
      <c r="I3" s="839">
        <v>-1020</v>
      </c>
      <c r="J3" s="839"/>
      <c r="K3" s="840">
        <v>-22704</v>
      </c>
    </row>
    <row r="4" spans="1:11" x14ac:dyDescent="0.2">
      <c r="A4" s="838" t="s">
        <v>24</v>
      </c>
      <c r="B4" s="839"/>
      <c r="C4" s="839"/>
      <c r="D4" s="839"/>
      <c r="E4" s="839"/>
      <c r="F4" s="839"/>
      <c r="G4" s="839"/>
      <c r="H4" s="839"/>
      <c r="I4" s="839"/>
      <c r="J4" s="839"/>
      <c r="K4" s="840"/>
    </row>
    <row r="5" spans="1:11" x14ac:dyDescent="0.2">
      <c r="A5" s="841" t="s">
        <v>521</v>
      </c>
      <c r="B5" s="839">
        <v>11895</v>
      </c>
      <c r="C5" s="839">
        <v>-27263</v>
      </c>
      <c r="D5" s="839"/>
      <c r="E5" s="839"/>
      <c r="F5" s="839"/>
      <c r="G5" s="839"/>
      <c r="H5" s="839"/>
      <c r="I5" s="839"/>
      <c r="J5" s="839"/>
      <c r="K5" s="840"/>
    </row>
    <row r="6" spans="1:11" x14ac:dyDescent="0.2">
      <c r="A6" s="841" t="s">
        <v>103</v>
      </c>
      <c r="B6" s="839"/>
      <c r="C6" s="839"/>
      <c r="D6" s="839"/>
      <c r="E6" s="839"/>
      <c r="F6" s="839"/>
      <c r="G6" s="839"/>
      <c r="H6" s="839">
        <v>475</v>
      </c>
      <c r="I6" s="839">
        <v>-580</v>
      </c>
      <c r="J6" s="839"/>
      <c r="K6" s="840"/>
    </row>
    <row r="7" spans="1:11" x14ac:dyDescent="0.2">
      <c r="A7" s="841" t="s">
        <v>25</v>
      </c>
      <c r="B7" s="839"/>
      <c r="C7" s="839"/>
      <c r="D7" s="839"/>
      <c r="E7" s="839"/>
      <c r="F7" s="839"/>
      <c r="G7" s="839"/>
      <c r="H7" s="839"/>
      <c r="I7" s="839"/>
      <c r="J7" s="839">
        <v>423</v>
      </c>
      <c r="K7" s="840">
        <v>423</v>
      </c>
    </row>
    <row r="8" spans="1:11" x14ac:dyDescent="0.2">
      <c r="A8" s="841" t="s">
        <v>522</v>
      </c>
      <c r="B8" s="839"/>
      <c r="C8" s="839"/>
      <c r="D8" s="839"/>
      <c r="E8" s="839"/>
      <c r="F8" s="839"/>
      <c r="G8" s="839"/>
      <c r="H8" s="839"/>
      <c r="I8" s="839"/>
      <c r="J8" s="839">
        <v>4653</v>
      </c>
      <c r="K8" s="840">
        <v>-19246</v>
      </c>
    </row>
    <row r="9" spans="1:11" x14ac:dyDescent="0.2">
      <c r="A9" s="842" t="s">
        <v>26</v>
      </c>
      <c r="B9" s="839">
        <v>13645</v>
      </c>
      <c r="C9" s="839"/>
      <c r="D9" s="839">
        <v>311</v>
      </c>
      <c r="E9" s="839"/>
      <c r="F9" s="839">
        <v>1267</v>
      </c>
      <c r="G9" s="839"/>
      <c r="H9" s="839">
        <v>2251</v>
      </c>
      <c r="I9" s="839"/>
      <c r="J9" s="839">
        <v>3816</v>
      </c>
      <c r="K9" s="840"/>
    </row>
    <row r="10" spans="1:11" x14ac:dyDescent="0.2">
      <c r="A10" s="842" t="s">
        <v>523</v>
      </c>
      <c r="B10" s="839"/>
      <c r="C10" s="839"/>
      <c r="D10" s="839"/>
      <c r="E10" s="839"/>
      <c r="F10" s="839"/>
      <c r="G10" s="839"/>
      <c r="H10" s="839"/>
      <c r="I10" s="839"/>
      <c r="J10" s="839"/>
      <c r="K10" s="840"/>
    </row>
    <row r="11" spans="1:11" x14ac:dyDescent="0.2">
      <c r="A11" s="841" t="s">
        <v>524</v>
      </c>
      <c r="B11" s="839"/>
      <c r="C11" s="839"/>
      <c r="D11" s="839">
        <v>2774</v>
      </c>
      <c r="E11" s="839">
        <v>-40752</v>
      </c>
      <c r="F11" s="839"/>
      <c r="G11" s="839"/>
      <c r="H11" s="839"/>
      <c r="I11" s="839"/>
      <c r="J11" s="839"/>
      <c r="K11" s="840"/>
    </row>
    <row r="12" spans="1:11" x14ac:dyDescent="0.2">
      <c r="A12" s="841" t="s">
        <v>525</v>
      </c>
      <c r="B12" s="839"/>
      <c r="C12" s="839"/>
      <c r="D12" s="839"/>
      <c r="E12" s="839"/>
      <c r="F12" s="839">
        <v>4432</v>
      </c>
      <c r="G12" s="839">
        <v>-31394</v>
      </c>
      <c r="H12" s="839"/>
      <c r="I12" s="839"/>
      <c r="J12" s="839"/>
      <c r="K12" s="840"/>
    </row>
    <row r="13" spans="1:11" x14ac:dyDescent="0.2">
      <c r="A13" s="841" t="s">
        <v>526</v>
      </c>
      <c r="B13" s="839"/>
      <c r="C13" s="839"/>
      <c r="D13" s="839">
        <v>6</v>
      </c>
      <c r="E13" s="839">
        <v>-9</v>
      </c>
      <c r="F13" s="839"/>
      <c r="G13" s="839"/>
      <c r="H13" s="839">
        <v>3075</v>
      </c>
      <c r="I13" s="839">
        <v>-15900</v>
      </c>
      <c r="J13" s="839"/>
      <c r="K13" s="840"/>
    </row>
    <row r="14" spans="1:11" x14ac:dyDescent="0.2">
      <c r="A14" s="841" t="s">
        <v>527</v>
      </c>
      <c r="B14" s="839"/>
      <c r="C14" s="839"/>
      <c r="D14" s="839"/>
      <c r="E14" s="839"/>
      <c r="F14" s="839">
        <v>13</v>
      </c>
      <c r="G14" s="839">
        <v>-1</v>
      </c>
      <c r="H14" s="839"/>
      <c r="I14" s="839"/>
      <c r="J14" s="839">
        <v>8069</v>
      </c>
      <c r="K14" s="840">
        <v>-13694</v>
      </c>
    </row>
    <row r="15" spans="1:11" x14ac:dyDescent="0.2">
      <c r="A15" s="841" t="s">
        <v>528</v>
      </c>
      <c r="B15" s="839"/>
      <c r="C15" s="839"/>
      <c r="D15" s="839"/>
      <c r="E15" s="839"/>
      <c r="F15" s="839"/>
      <c r="G15" s="839"/>
      <c r="H15" s="839">
        <v>4022</v>
      </c>
      <c r="I15" s="839">
        <v>-2197</v>
      </c>
      <c r="J15" s="839"/>
      <c r="K15" s="840"/>
    </row>
    <row r="16" spans="1:11" x14ac:dyDescent="0.2">
      <c r="A16" s="841" t="s">
        <v>529</v>
      </c>
      <c r="B16" s="839"/>
      <c r="C16" s="839"/>
      <c r="D16" s="839"/>
      <c r="E16" s="839"/>
      <c r="F16" s="839"/>
      <c r="G16" s="839"/>
      <c r="H16" s="839"/>
      <c r="I16" s="839"/>
      <c r="J16" s="839">
        <v>2</v>
      </c>
      <c r="K16" s="840"/>
    </row>
    <row r="17" spans="1:11" x14ac:dyDescent="0.2">
      <c r="A17" s="842" t="s">
        <v>27</v>
      </c>
      <c r="B17" s="839">
        <v>2671</v>
      </c>
      <c r="C17" s="839"/>
      <c r="D17" s="839"/>
      <c r="E17" s="839"/>
      <c r="F17" s="839">
        <v>1</v>
      </c>
      <c r="G17" s="839"/>
      <c r="H17" s="839">
        <v>15</v>
      </c>
      <c r="I17" s="839">
        <v>15</v>
      </c>
      <c r="J17" s="839"/>
      <c r="K17" s="840"/>
    </row>
    <row r="18" spans="1:11" x14ac:dyDescent="0.2">
      <c r="A18" s="842" t="s">
        <v>530</v>
      </c>
      <c r="B18" s="839"/>
      <c r="C18" s="839"/>
      <c r="D18" s="839"/>
      <c r="E18" s="839"/>
      <c r="F18" s="839"/>
      <c r="G18" s="839"/>
      <c r="H18" s="839"/>
      <c r="I18" s="839"/>
      <c r="J18" s="839"/>
      <c r="K18" s="840"/>
    </row>
    <row r="19" spans="1:11" x14ac:dyDescent="0.2">
      <c r="A19" s="838" t="s">
        <v>19</v>
      </c>
      <c r="B19" s="839">
        <v>-1348</v>
      </c>
      <c r="C19" s="839">
        <v>-5204</v>
      </c>
      <c r="D19" s="839"/>
      <c r="E19" s="839"/>
      <c r="F19" s="839"/>
      <c r="G19" s="839"/>
      <c r="H19" s="839"/>
      <c r="I19" s="839"/>
      <c r="J19" s="839"/>
      <c r="K19" s="840"/>
    </row>
    <row r="20" spans="1:11" x14ac:dyDescent="0.2">
      <c r="A20" s="841" t="s">
        <v>531</v>
      </c>
      <c r="B20" s="839"/>
      <c r="C20" s="839"/>
      <c r="D20" s="839">
        <v>324</v>
      </c>
      <c r="E20" s="839">
        <v>-37</v>
      </c>
      <c r="F20" s="839">
        <v>245</v>
      </c>
      <c r="G20" s="839">
        <v>-81</v>
      </c>
      <c r="H20" s="839">
        <v>992</v>
      </c>
      <c r="I20" s="839">
        <v>41</v>
      </c>
      <c r="J20" s="839">
        <v>1688</v>
      </c>
      <c r="K20" s="840">
        <v>585</v>
      </c>
    </row>
    <row r="21" spans="1:11" x14ac:dyDescent="0.2">
      <c r="A21" s="841" t="s">
        <v>32</v>
      </c>
      <c r="B21" s="839"/>
      <c r="C21" s="839"/>
      <c r="D21" s="839">
        <v>360</v>
      </c>
      <c r="E21" s="839">
        <v>37</v>
      </c>
      <c r="F21" s="839">
        <v>42</v>
      </c>
      <c r="G21" s="839">
        <v>21</v>
      </c>
      <c r="H21" s="839">
        <v>173</v>
      </c>
      <c r="I21" s="839">
        <v>32</v>
      </c>
      <c r="J21" s="839">
        <v>339</v>
      </c>
      <c r="K21" s="840">
        <v>5</v>
      </c>
    </row>
    <row r="22" spans="1:11" s="35" customFormat="1" x14ac:dyDescent="0.2">
      <c r="A22" s="841" t="s">
        <v>546</v>
      </c>
      <c r="B22" s="839"/>
      <c r="C22" s="839"/>
      <c r="D22" s="839"/>
      <c r="E22" s="839">
        <v>-38</v>
      </c>
      <c r="F22" s="839">
        <v>-3</v>
      </c>
      <c r="G22" s="839">
        <v>-1</v>
      </c>
      <c r="H22" s="839"/>
      <c r="I22" s="839">
        <v>-7</v>
      </c>
      <c r="J22" s="839"/>
      <c r="K22" s="840">
        <v>-1</v>
      </c>
    </row>
    <row r="23" spans="1:11" x14ac:dyDescent="0.2">
      <c r="A23" s="841" t="s">
        <v>539</v>
      </c>
      <c r="B23" s="839"/>
      <c r="C23" s="839"/>
      <c r="D23" s="839">
        <v>7</v>
      </c>
      <c r="E23" s="917">
        <v>-243</v>
      </c>
      <c r="F23" s="839">
        <v>-31</v>
      </c>
      <c r="G23" s="839">
        <v>-1748</v>
      </c>
      <c r="H23" s="839">
        <v>-768</v>
      </c>
      <c r="I23" s="839">
        <v>2739</v>
      </c>
      <c r="J23" s="839">
        <v>1823</v>
      </c>
      <c r="K23" s="840">
        <v>-400</v>
      </c>
    </row>
    <row r="24" spans="1:11" s="35" customFormat="1" x14ac:dyDescent="0.2">
      <c r="A24" s="841" t="s">
        <v>547</v>
      </c>
      <c r="B24" s="839"/>
      <c r="C24" s="839"/>
      <c r="D24" s="839"/>
      <c r="E24" s="839">
        <v>-228</v>
      </c>
      <c r="F24" s="839"/>
      <c r="G24" s="839">
        <v>-1460</v>
      </c>
      <c r="H24" s="839"/>
      <c r="I24" s="839">
        <v>-3096</v>
      </c>
      <c r="J24" s="839"/>
      <c r="K24" s="840">
        <v>-561</v>
      </c>
    </row>
    <row r="25" spans="1:11" x14ac:dyDescent="0.2">
      <c r="A25" s="838" t="s">
        <v>28</v>
      </c>
      <c r="B25" s="839"/>
      <c r="C25" s="839"/>
      <c r="D25" s="839"/>
      <c r="E25" s="839"/>
      <c r="F25" s="839"/>
      <c r="G25" s="839"/>
      <c r="H25" s="839"/>
      <c r="I25" s="839"/>
      <c r="J25" s="839"/>
      <c r="K25" s="840"/>
    </row>
    <row r="26" spans="1:11" x14ac:dyDescent="0.2">
      <c r="A26" s="842" t="s">
        <v>29</v>
      </c>
      <c r="B26" s="839"/>
      <c r="C26" s="839"/>
      <c r="D26" s="839">
        <v>178</v>
      </c>
      <c r="E26" s="839"/>
      <c r="F26" s="839">
        <v>445</v>
      </c>
      <c r="G26" s="839">
        <v>33</v>
      </c>
      <c r="H26" s="839">
        <v>1391</v>
      </c>
      <c r="I26" s="839"/>
      <c r="J26" s="839">
        <v>1006</v>
      </c>
      <c r="K26" s="840"/>
    </row>
    <row r="27" spans="1:11" x14ac:dyDescent="0.2">
      <c r="A27" s="842" t="s">
        <v>532</v>
      </c>
      <c r="B27" s="839"/>
      <c r="C27" s="839"/>
      <c r="D27" s="839">
        <v>83</v>
      </c>
      <c r="E27" s="839"/>
      <c r="F27" s="839"/>
      <c r="G27" s="839"/>
      <c r="H27" s="839">
        <v>910</v>
      </c>
      <c r="I27" s="839"/>
      <c r="J27" s="839">
        <v>1644</v>
      </c>
      <c r="K27" s="840"/>
    </row>
    <row r="28" spans="1:11" x14ac:dyDescent="0.2">
      <c r="A28" s="842" t="s">
        <v>533</v>
      </c>
      <c r="B28" s="839">
        <v>1168</v>
      </c>
      <c r="C28" s="839"/>
      <c r="D28" s="839"/>
      <c r="E28" s="839"/>
      <c r="F28" s="839"/>
      <c r="G28" s="839"/>
      <c r="H28" s="839">
        <v>0</v>
      </c>
      <c r="I28" s="839"/>
      <c r="J28" s="839"/>
      <c r="K28" s="840"/>
    </row>
    <row r="29" spans="1:11" x14ac:dyDescent="0.2">
      <c r="A29" s="841"/>
      <c r="B29" s="839"/>
      <c r="C29" s="839"/>
      <c r="D29" s="839"/>
      <c r="E29" s="839"/>
      <c r="F29" s="839"/>
      <c r="G29" s="839"/>
      <c r="H29" s="839"/>
      <c r="I29" s="839"/>
      <c r="J29" s="839"/>
      <c r="K29" s="840"/>
    </row>
    <row r="30" spans="1:11" x14ac:dyDescent="0.2">
      <c r="A30" s="843" t="s">
        <v>30</v>
      </c>
      <c r="B30" s="839"/>
      <c r="C30" s="839"/>
      <c r="D30" s="839"/>
      <c r="E30" s="839"/>
      <c r="F30" s="839"/>
      <c r="G30" s="839"/>
      <c r="H30" s="839"/>
      <c r="I30" s="839"/>
      <c r="J30" s="839"/>
      <c r="K30" s="840"/>
    </row>
    <row r="31" spans="1:11" x14ac:dyDescent="0.2">
      <c r="A31" s="844" t="s">
        <v>534</v>
      </c>
      <c r="B31" s="839">
        <v>138497</v>
      </c>
      <c r="C31" s="839"/>
      <c r="D31" s="839">
        <v>46681</v>
      </c>
      <c r="E31" s="839"/>
      <c r="F31" s="839">
        <v>39829</v>
      </c>
      <c r="G31" s="839"/>
      <c r="H31" s="839">
        <v>35174</v>
      </c>
      <c r="I31" s="839"/>
      <c r="J31" s="839">
        <v>78474</v>
      </c>
      <c r="K31" s="840"/>
    </row>
    <row r="32" spans="1:11" x14ac:dyDescent="0.2">
      <c r="A32" s="844" t="s">
        <v>535</v>
      </c>
      <c r="B32" s="839">
        <v>108258</v>
      </c>
      <c r="C32" s="839"/>
      <c r="D32" s="839">
        <f>D31-D33</f>
        <v>40936</v>
      </c>
      <c r="E32" s="839"/>
      <c r="F32" s="839">
        <v>33415</v>
      </c>
      <c r="G32" s="839"/>
      <c r="H32" s="839">
        <v>22463</v>
      </c>
      <c r="I32" s="839"/>
      <c r="J32" s="839">
        <v>55011</v>
      </c>
      <c r="K32" s="840"/>
    </row>
    <row r="33" spans="1:11" x14ac:dyDescent="0.2">
      <c r="A33" s="844" t="s">
        <v>536</v>
      </c>
      <c r="B33" s="839">
        <v>30239</v>
      </c>
      <c r="C33" s="839"/>
      <c r="D33" s="839">
        <v>5745</v>
      </c>
      <c r="E33" s="839"/>
      <c r="F33" s="839">
        <v>6414</v>
      </c>
      <c r="G33" s="839"/>
      <c r="H33" s="839">
        <v>12711</v>
      </c>
      <c r="I33" s="839"/>
      <c r="J33" s="839">
        <v>23463</v>
      </c>
      <c r="K33" s="840"/>
    </row>
    <row r="34" spans="1:11" x14ac:dyDescent="0.2">
      <c r="A34" s="844" t="s">
        <v>537</v>
      </c>
      <c r="B34" s="839">
        <v>35052</v>
      </c>
      <c r="C34" s="839"/>
      <c r="D34" s="839">
        <v>7056</v>
      </c>
      <c r="E34" s="839"/>
      <c r="F34" s="839">
        <v>13230</v>
      </c>
      <c r="G34" s="839"/>
      <c r="H34" s="839">
        <v>20286</v>
      </c>
      <c r="I34" s="839"/>
      <c r="J34" s="839">
        <v>26901</v>
      </c>
      <c r="K34" s="840"/>
    </row>
    <row r="35" spans="1:11" ht="26.25" thickBot="1" x14ac:dyDescent="0.25">
      <c r="A35" s="845" t="s">
        <v>538</v>
      </c>
      <c r="B35" s="846">
        <v>0</v>
      </c>
      <c r="C35" s="846"/>
      <c r="D35" s="846">
        <v>0</v>
      </c>
      <c r="E35" s="846"/>
      <c r="F35" s="846" t="s">
        <v>545</v>
      </c>
      <c r="G35" s="846"/>
      <c r="H35" s="846" t="s">
        <v>545</v>
      </c>
      <c r="I35" s="846"/>
      <c r="J35" s="846">
        <v>0</v>
      </c>
      <c r="K35" s="847"/>
    </row>
    <row r="36" spans="1:11" x14ac:dyDescent="0.2">
      <c r="A36" s="910" t="s">
        <v>587</v>
      </c>
    </row>
    <row r="39" spans="1:11" x14ac:dyDescent="0.2">
      <c r="D39" s="3"/>
    </row>
  </sheetData>
  <printOptions gridLines="1"/>
  <pageMargins left="0.45" right="0.45" top="0.75" bottom="0.75" header="0.3" footer="0.3"/>
  <pageSetup scale="9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M90"/>
  <sheetViews>
    <sheetView topLeftCell="A31" zoomScale="90" zoomScaleNormal="90" zoomScaleSheetLayoutView="70" workbookViewId="0">
      <selection activeCell="E34" sqref="E34"/>
    </sheetView>
  </sheetViews>
  <sheetFormatPr defaultRowHeight="14.25" x14ac:dyDescent="0.2"/>
  <cols>
    <col min="1" max="1" width="23.7109375" style="92" customWidth="1"/>
    <col min="2" max="2" width="15.85546875" style="92" customWidth="1"/>
    <col min="3" max="3" width="16.85546875" style="92" customWidth="1"/>
    <col min="4" max="4" width="16.42578125" style="92" customWidth="1"/>
    <col min="5" max="5" width="18.28515625" style="92" customWidth="1"/>
    <col min="6" max="6" width="18.7109375" style="92" customWidth="1"/>
    <col min="7" max="7" width="18.85546875" style="92" customWidth="1"/>
    <col min="8" max="8" width="16.85546875" style="92" customWidth="1"/>
    <col min="9" max="9" width="16.42578125" customWidth="1"/>
    <col min="10" max="10" width="16.85546875" customWidth="1"/>
    <col min="11" max="12" width="17.140625" customWidth="1"/>
    <col min="13" max="13" width="16.28515625" customWidth="1"/>
    <col min="14" max="14" width="14" customWidth="1"/>
    <col min="15" max="15" width="13.85546875" customWidth="1"/>
  </cols>
  <sheetData>
    <row r="1" spans="1:8" s="35" customFormat="1" ht="15" thickBot="1" x14ac:dyDescent="0.25">
      <c r="A1" s="92"/>
      <c r="B1" s="92"/>
      <c r="C1" s="92"/>
      <c r="D1" s="92"/>
      <c r="E1" s="92"/>
      <c r="F1" s="92"/>
      <c r="G1" s="92"/>
      <c r="H1" s="92"/>
    </row>
    <row r="2" spans="1:8" s="35" customFormat="1" ht="15.75" thickBot="1" x14ac:dyDescent="0.3">
      <c r="A2" s="1120" t="s">
        <v>211</v>
      </c>
      <c r="B2" s="1121"/>
      <c r="C2" s="1121"/>
      <c r="D2" s="1121"/>
      <c r="E2" s="1121"/>
      <c r="F2" s="1122"/>
      <c r="G2" s="92"/>
      <c r="H2" s="92"/>
    </row>
    <row r="3" spans="1:8" ht="60" x14ac:dyDescent="0.25">
      <c r="A3" s="49" t="s">
        <v>214</v>
      </c>
      <c r="B3" s="94" t="s">
        <v>55</v>
      </c>
      <c r="C3" s="94" t="s">
        <v>11</v>
      </c>
      <c r="D3" s="94" t="s">
        <v>13</v>
      </c>
      <c r="E3" s="94" t="s">
        <v>12</v>
      </c>
      <c r="F3" s="125" t="s">
        <v>379</v>
      </c>
    </row>
    <row r="4" spans="1:8" ht="15" x14ac:dyDescent="0.25">
      <c r="A4" s="49" t="s">
        <v>48</v>
      </c>
      <c r="B4" s="95"/>
      <c r="C4" s="95">
        <v>40.388842702735609</v>
      </c>
      <c r="D4" s="95"/>
      <c r="E4" s="95"/>
      <c r="F4" s="104">
        <f>SUM(B4:E4)</f>
        <v>40.388842702735609</v>
      </c>
    </row>
    <row r="5" spans="1:8" ht="15" x14ac:dyDescent="0.25">
      <c r="A5" s="49" t="s">
        <v>34</v>
      </c>
      <c r="B5" s="95">
        <f>' Palatlakaha allocation TP'!E29</f>
        <v>16.592134898625385</v>
      </c>
      <c r="C5" s="95"/>
      <c r="D5" s="95"/>
      <c r="E5" s="95"/>
      <c r="F5" s="104">
        <f t="shared" ref="F5:F18" si="0">SUM(B5:E5)</f>
        <v>16.592134898625385</v>
      </c>
    </row>
    <row r="6" spans="1:8" ht="15" x14ac:dyDescent="0.25">
      <c r="A6" s="49" t="s">
        <v>40</v>
      </c>
      <c r="B6" s="95"/>
      <c r="C6" s="95"/>
      <c r="D6" s="95"/>
      <c r="E6" s="95">
        <v>46.031960812781413</v>
      </c>
      <c r="F6" s="104">
        <f t="shared" si="0"/>
        <v>46.031960812781413</v>
      </c>
    </row>
    <row r="7" spans="1:8" ht="15" x14ac:dyDescent="0.25">
      <c r="A7" s="49" t="s">
        <v>41</v>
      </c>
      <c r="B7" s="95"/>
      <c r="C7" s="95">
        <v>21.823481252128417</v>
      </c>
      <c r="D7" s="95">
        <v>2.0776865836192471</v>
      </c>
      <c r="E7" s="95">
        <v>6.4483952819310595</v>
      </c>
      <c r="F7" s="104">
        <f t="shared" si="0"/>
        <v>30.349563117678724</v>
      </c>
    </row>
    <row r="8" spans="1:8" ht="15" x14ac:dyDescent="0.25">
      <c r="A8" s="49" t="s">
        <v>35</v>
      </c>
      <c r="B8" s="95">
        <f>' Palatlakaha allocation TP'!E30</f>
        <v>93.969716862673408</v>
      </c>
      <c r="C8" s="95"/>
      <c r="D8" s="95"/>
      <c r="E8" s="95"/>
      <c r="F8" s="104">
        <f t="shared" si="0"/>
        <v>93.969716862673408</v>
      </c>
    </row>
    <row r="9" spans="1:8" ht="15" x14ac:dyDescent="0.25">
      <c r="A9" s="49" t="s">
        <v>49</v>
      </c>
      <c r="B9" s="95"/>
      <c r="C9" s="95">
        <v>30.083913483469665</v>
      </c>
      <c r="D9" s="95"/>
      <c r="E9" s="95"/>
      <c r="F9" s="104">
        <f t="shared" si="0"/>
        <v>30.083913483469665</v>
      </c>
    </row>
    <row r="10" spans="1:8" ht="15" x14ac:dyDescent="0.25">
      <c r="A10" s="49" t="s">
        <v>36</v>
      </c>
      <c r="B10" s="95">
        <f>' Palatlakaha allocation TP'!E31</f>
        <v>302.21225220743446</v>
      </c>
      <c r="C10" s="95">
        <v>472.19629900826692</v>
      </c>
      <c r="D10" s="95">
        <v>20.169182374571971</v>
      </c>
      <c r="E10" s="95">
        <v>220.93993893835568</v>
      </c>
      <c r="F10" s="104">
        <f t="shared" si="0"/>
        <v>1015.5176725286291</v>
      </c>
    </row>
    <row r="11" spans="1:8" ht="15" x14ac:dyDescent="0.25">
      <c r="A11" s="49" t="s">
        <v>37</v>
      </c>
      <c r="B11" s="95">
        <f>' Palatlakaha allocation TP'!E32</f>
        <v>26.610095540726679</v>
      </c>
      <c r="C11" s="95">
        <v>368.91931748658044</v>
      </c>
      <c r="D11" s="95"/>
      <c r="E11" s="95"/>
      <c r="F11" s="104">
        <f t="shared" si="0"/>
        <v>395.5294130273071</v>
      </c>
    </row>
    <row r="12" spans="1:8" ht="15" x14ac:dyDescent="0.25">
      <c r="A12" s="49" t="s">
        <v>42</v>
      </c>
      <c r="B12" s="95"/>
      <c r="C12" s="95"/>
      <c r="D12" s="95"/>
      <c r="E12" s="95">
        <v>62.557597178643064</v>
      </c>
      <c r="F12" s="104">
        <f t="shared" si="0"/>
        <v>62.557597178643064</v>
      </c>
    </row>
    <row r="13" spans="1:8" ht="15" x14ac:dyDescent="0.25">
      <c r="A13" s="49" t="s">
        <v>38</v>
      </c>
      <c r="B13" s="95">
        <f>' Palatlakaha allocation TP'!E33</f>
        <v>2.5523036217063337</v>
      </c>
      <c r="C13" s="95"/>
      <c r="D13" s="95"/>
      <c r="E13" s="95"/>
      <c r="F13" s="104">
        <f t="shared" si="0"/>
        <v>2.5523036217063337</v>
      </c>
    </row>
    <row r="14" spans="1:8" ht="15" x14ac:dyDescent="0.25">
      <c r="A14" s="49" t="s">
        <v>39</v>
      </c>
      <c r="B14" s="96">
        <f>' Palatlakaha allocation TP'!E34</f>
        <v>5.1555898920894911</v>
      </c>
      <c r="C14" s="95"/>
      <c r="D14" s="95"/>
      <c r="E14" s="95"/>
      <c r="F14" s="104">
        <f t="shared" si="0"/>
        <v>5.1555898920894911</v>
      </c>
    </row>
    <row r="15" spans="1:8" ht="15" x14ac:dyDescent="0.25">
      <c r="A15" s="49" t="s">
        <v>47</v>
      </c>
      <c r="B15" s="95"/>
      <c r="C15" s="95"/>
      <c r="D15" s="95">
        <v>95.753131041808771</v>
      </c>
      <c r="E15" s="95"/>
      <c r="F15" s="104">
        <f t="shared" si="0"/>
        <v>95.753131041808771</v>
      </c>
    </row>
    <row r="16" spans="1:8" ht="15" x14ac:dyDescent="0.25">
      <c r="A16" s="49" t="s">
        <v>50</v>
      </c>
      <c r="B16" s="95"/>
      <c r="C16" s="95">
        <v>92.950013116814389</v>
      </c>
      <c r="D16" s="95"/>
      <c r="E16" s="95"/>
      <c r="F16" s="104">
        <f t="shared" si="0"/>
        <v>92.950013116814389</v>
      </c>
    </row>
    <row r="17" spans="1:8" ht="15" x14ac:dyDescent="0.25">
      <c r="A17" s="49" t="s">
        <v>43</v>
      </c>
      <c r="B17" s="95"/>
      <c r="C17" s="95"/>
      <c r="D17" s="95"/>
      <c r="E17" s="95">
        <v>22.776376080971687</v>
      </c>
      <c r="F17" s="104">
        <f t="shared" si="0"/>
        <v>22.776376080971687</v>
      </c>
    </row>
    <row r="18" spans="1:8" ht="15" x14ac:dyDescent="0.25">
      <c r="A18" s="49" t="s">
        <v>51</v>
      </c>
      <c r="B18" s="95"/>
      <c r="C18" s="95">
        <v>1.7381329500045335</v>
      </c>
      <c r="D18" s="95"/>
      <c r="E18" s="95"/>
      <c r="F18" s="104">
        <f t="shared" si="0"/>
        <v>1.7381329500045335</v>
      </c>
    </row>
    <row r="19" spans="1:8" ht="15.75" thickBot="1" x14ac:dyDescent="0.3">
      <c r="A19" s="638" t="s">
        <v>147</v>
      </c>
      <c r="B19" s="639">
        <f>SUM(B4:B18)</f>
        <v>447.09209302325576</v>
      </c>
      <c r="C19" s="639">
        <f t="shared" ref="C19:E19" si="1">SUM(C4:C18)</f>
        <v>1028.0999999999999</v>
      </c>
      <c r="D19" s="639">
        <f t="shared" si="1"/>
        <v>117.99999999999999</v>
      </c>
      <c r="E19" s="639">
        <f t="shared" si="1"/>
        <v>358.75426829268292</v>
      </c>
      <c r="F19" s="640">
        <f>SUM(F4:F18)</f>
        <v>1951.9463613159387</v>
      </c>
    </row>
    <row r="20" spans="1:8" ht="15" thickBot="1" x14ac:dyDescent="0.25"/>
    <row r="21" spans="1:8" s="35" customFormat="1" ht="15.75" thickBot="1" x14ac:dyDescent="0.3">
      <c r="A21" s="1123" t="s">
        <v>212</v>
      </c>
      <c r="B21" s="1124"/>
      <c r="C21" s="1124"/>
      <c r="D21" s="1124"/>
      <c r="E21" s="1124"/>
      <c r="F21" s="1125"/>
      <c r="G21" s="92"/>
      <c r="H21" s="92"/>
    </row>
    <row r="22" spans="1:8" s="35" customFormat="1" ht="30" x14ac:dyDescent="0.25">
      <c r="A22" s="108"/>
      <c r="B22" s="126" t="s">
        <v>13</v>
      </c>
      <c r="C22" s="126" t="s">
        <v>12</v>
      </c>
      <c r="D22" s="126" t="s">
        <v>11</v>
      </c>
      <c r="E22" s="126" t="s">
        <v>10</v>
      </c>
      <c r="F22" s="127" t="s">
        <v>78</v>
      </c>
      <c r="G22" s="92"/>
      <c r="H22" s="92"/>
    </row>
    <row r="23" spans="1:8" s="35" customFormat="1" ht="15" x14ac:dyDescent="0.25">
      <c r="A23" s="109" t="s">
        <v>62</v>
      </c>
      <c r="B23" s="95">
        <v>16.242174468553152</v>
      </c>
      <c r="C23" s="95">
        <v>459.75849138151312</v>
      </c>
      <c r="D23" s="95">
        <v>2205.5715801979231</v>
      </c>
      <c r="E23" s="95">
        <v>280.61564359897233</v>
      </c>
      <c r="F23" s="110">
        <v>696.6</v>
      </c>
      <c r="G23" s="92"/>
      <c r="H23" s="92"/>
    </row>
    <row r="24" spans="1:8" s="35" customFormat="1" ht="15" x14ac:dyDescent="0.25">
      <c r="A24" s="109" t="s">
        <v>63</v>
      </c>
      <c r="B24" s="95">
        <v>57.193940048461151</v>
      </c>
      <c r="C24" s="95">
        <v>185.29632659962397</v>
      </c>
      <c r="D24" s="95">
        <v>804.56234936115527</v>
      </c>
      <c r="E24" s="95">
        <v>216.49906866666666</v>
      </c>
      <c r="F24" s="110">
        <v>469.6</v>
      </c>
      <c r="G24" s="92"/>
      <c r="H24" s="92"/>
    </row>
    <row r="25" spans="1:8" s="35" customFormat="1" ht="15" x14ac:dyDescent="0.25">
      <c r="A25" s="109" t="s">
        <v>64</v>
      </c>
      <c r="B25" s="95">
        <v>47.619932295425762</v>
      </c>
      <c r="C25" s="95">
        <v>47.943200540391011</v>
      </c>
      <c r="D25" s="95">
        <v>284.44991161975202</v>
      </c>
      <c r="E25" s="95">
        <v>17.170159666666667</v>
      </c>
      <c r="F25" s="110">
        <v>139.4</v>
      </c>
      <c r="G25" s="92"/>
      <c r="H25" s="92"/>
    </row>
    <row r="26" spans="1:8" s="35" customFormat="1" ht="15.75" thickBot="1" x14ac:dyDescent="0.3">
      <c r="A26" s="641" t="s">
        <v>146</v>
      </c>
      <c r="B26" s="639">
        <v>121.05604681244006</v>
      </c>
      <c r="C26" s="639">
        <v>692.99801852152814</v>
      </c>
      <c r="D26" s="639">
        <v>3294.5838411788304</v>
      </c>
      <c r="E26" s="639">
        <v>514.28487193230569</v>
      </c>
      <c r="F26" s="640">
        <f>SUM(F23:F25)</f>
        <v>1305.6000000000001</v>
      </c>
      <c r="G26" s="92"/>
      <c r="H26" s="92"/>
    </row>
    <row r="27" spans="1:8" s="35" customFormat="1" x14ac:dyDescent="0.2">
      <c r="A27" s="92"/>
      <c r="B27" s="92"/>
      <c r="C27" s="92"/>
      <c r="D27" s="92"/>
      <c r="E27" s="92"/>
      <c r="F27" s="92"/>
      <c r="G27" s="92"/>
      <c r="H27" s="92"/>
    </row>
    <row r="28" spans="1:8" s="35" customFormat="1" ht="15" x14ac:dyDescent="0.25">
      <c r="A28" s="1132" t="s">
        <v>90</v>
      </c>
      <c r="B28" s="1132"/>
      <c r="C28" s="13" t="s">
        <v>89</v>
      </c>
      <c r="D28" s="92"/>
      <c r="E28" s="92"/>
      <c r="F28" s="92"/>
      <c r="G28" s="92"/>
      <c r="H28" s="92"/>
    </row>
    <row r="29" spans="1:8" s="35" customFormat="1" x14ac:dyDescent="0.2">
      <c r="A29" s="1133" t="s">
        <v>86</v>
      </c>
      <c r="B29" s="1133"/>
      <c r="C29" s="92" t="s">
        <v>92</v>
      </c>
      <c r="D29" s="92"/>
      <c r="E29" s="92"/>
      <c r="F29" s="92"/>
      <c r="G29" s="92"/>
      <c r="H29" s="92"/>
    </row>
    <row r="30" spans="1:8" s="35" customFormat="1" x14ac:dyDescent="0.2">
      <c r="A30" s="1133" t="s">
        <v>87</v>
      </c>
      <c r="B30" s="1133"/>
      <c r="C30" s="92" t="s">
        <v>93</v>
      </c>
      <c r="D30" s="92"/>
      <c r="E30" s="92"/>
      <c r="F30" s="92"/>
      <c r="G30" s="92"/>
      <c r="H30" s="92"/>
    </row>
    <row r="31" spans="1:8" s="35" customFormat="1" x14ac:dyDescent="0.2">
      <c r="A31" s="1134" t="s">
        <v>88</v>
      </c>
      <c r="B31" s="1134"/>
      <c r="C31" s="92" t="s">
        <v>94</v>
      </c>
      <c r="D31" s="92"/>
      <c r="E31" s="92"/>
      <c r="F31" s="92"/>
      <c r="G31" s="92"/>
      <c r="H31" s="92"/>
    </row>
    <row r="32" spans="1:8" s="35" customFormat="1" ht="9" customHeight="1" x14ac:dyDescent="0.2">
      <c r="A32" s="92"/>
      <c r="B32" s="92"/>
      <c r="C32" s="92"/>
      <c r="D32" s="92"/>
      <c r="E32" s="92"/>
      <c r="F32" s="92"/>
      <c r="G32" s="92"/>
      <c r="H32" s="92"/>
    </row>
    <row r="33" spans="1:8" s="35" customFormat="1" ht="15" x14ac:dyDescent="0.25">
      <c r="A33" s="1135" t="s">
        <v>91</v>
      </c>
      <c r="B33" s="1135"/>
      <c r="C33" s="13" t="s">
        <v>89</v>
      </c>
      <c r="D33" s="92"/>
      <c r="E33" s="92"/>
      <c r="F33" s="92"/>
      <c r="G33" s="92"/>
      <c r="H33" s="92"/>
    </row>
    <row r="34" spans="1:8" s="35" customFormat="1" x14ac:dyDescent="0.2">
      <c r="A34" s="1133" t="s">
        <v>86</v>
      </c>
      <c r="B34" s="1133"/>
      <c r="C34" s="92" t="s">
        <v>14</v>
      </c>
      <c r="D34" s="92"/>
      <c r="E34" s="92"/>
      <c r="F34" s="92"/>
      <c r="G34" s="92"/>
      <c r="H34" s="92"/>
    </row>
    <row r="35" spans="1:8" s="35" customFormat="1" x14ac:dyDescent="0.2">
      <c r="A35" s="1133" t="s">
        <v>87</v>
      </c>
      <c r="B35" s="1133"/>
      <c r="C35" s="92" t="s">
        <v>95</v>
      </c>
      <c r="D35" s="92"/>
      <c r="E35" s="92"/>
      <c r="F35" s="92"/>
      <c r="G35" s="92"/>
      <c r="H35" s="92"/>
    </row>
    <row r="36" spans="1:8" s="35" customFormat="1" x14ac:dyDescent="0.2">
      <c r="A36" s="1134" t="s">
        <v>88</v>
      </c>
      <c r="B36" s="1134"/>
      <c r="C36" s="92" t="s">
        <v>96</v>
      </c>
      <c r="D36" s="92"/>
      <c r="E36" s="92"/>
      <c r="F36" s="92"/>
      <c r="G36" s="92"/>
      <c r="H36" s="92"/>
    </row>
    <row r="37" spans="1:8" ht="15.75" thickBot="1" x14ac:dyDescent="0.3">
      <c r="A37" s="111"/>
      <c r="B37" s="112"/>
      <c r="C37" s="111"/>
      <c r="D37" s="111"/>
      <c r="E37" s="111"/>
      <c r="F37" s="111"/>
      <c r="G37" s="111"/>
    </row>
    <row r="38" spans="1:8" s="35" customFormat="1" ht="15.75" thickBot="1" x14ac:dyDescent="0.3">
      <c r="A38" s="1126" t="s">
        <v>213</v>
      </c>
      <c r="B38" s="1127"/>
      <c r="C38" s="1127"/>
      <c r="D38" s="1127"/>
      <c r="E38" s="1127"/>
      <c r="F38" s="1127"/>
      <c r="G38" s="1128"/>
      <c r="H38" s="92"/>
    </row>
    <row r="39" spans="1:8" ht="65.25" customHeight="1" x14ac:dyDescent="0.25">
      <c r="A39" s="129" t="s">
        <v>214</v>
      </c>
      <c r="B39" s="94" t="s">
        <v>55</v>
      </c>
      <c r="C39" s="94" t="s">
        <v>11</v>
      </c>
      <c r="D39" s="94" t="s">
        <v>13</v>
      </c>
      <c r="E39" s="94" t="s">
        <v>12</v>
      </c>
      <c r="F39" s="102" t="s">
        <v>10</v>
      </c>
      <c r="G39" s="128" t="s">
        <v>381</v>
      </c>
      <c r="H39" s="97"/>
    </row>
    <row r="40" spans="1:8" ht="15" x14ac:dyDescent="0.25">
      <c r="A40" s="49" t="s">
        <v>48</v>
      </c>
      <c r="B40" s="95"/>
      <c r="C40" s="95">
        <f>'Harris Allocate'!N51</f>
        <v>39.947972754942967</v>
      </c>
      <c r="D40" s="95"/>
      <c r="E40" s="95"/>
      <c r="F40" s="95"/>
      <c r="G40" s="104">
        <f>SUM(B40:F40)</f>
        <v>39.947972754942967</v>
      </c>
    </row>
    <row r="41" spans="1:8" ht="15" x14ac:dyDescent="0.25">
      <c r="A41" s="49" t="s">
        <v>34</v>
      </c>
      <c r="B41" s="95">
        <f>' Palatlakaha allocation TP'!K39</f>
        <v>15.14202710060651</v>
      </c>
      <c r="C41" s="95"/>
      <c r="D41" s="95"/>
      <c r="E41" s="95"/>
      <c r="F41" s="95"/>
      <c r="G41" s="104">
        <f t="shared" ref="G41:G54" si="2">SUM(B41:F41)</f>
        <v>15.14202710060651</v>
      </c>
    </row>
    <row r="42" spans="1:8" ht="15" x14ac:dyDescent="0.25">
      <c r="A42" s="49" t="s">
        <v>40</v>
      </c>
      <c r="B42" s="95"/>
      <c r="C42" s="95"/>
      <c r="D42" s="95"/>
      <c r="E42" s="95">
        <f>'Yale allocation'!K39</f>
        <v>119.16541382592153</v>
      </c>
      <c r="F42" s="95">
        <f>'Trout Allocate'!K35</f>
        <v>211.89429373246139</v>
      </c>
      <c r="G42" s="104">
        <f t="shared" si="2"/>
        <v>331.05970755838291</v>
      </c>
    </row>
    <row r="43" spans="1:8" ht="15" x14ac:dyDescent="0.25">
      <c r="A43" s="49" t="s">
        <v>41</v>
      </c>
      <c r="B43" s="95">
        <f>' Palatlakaha allocation TP'!K46</f>
        <v>8.6291167850571071</v>
      </c>
      <c r="C43" s="95">
        <f>'Harris Allocate'!N52</f>
        <v>46.826311723775888</v>
      </c>
      <c r="D43" s="95">
        <f>'Carlton Allocate'!K41</f>
        <v>15.610942189484401</v>
      </c>
      <c r="E43" s="95">
        <f>'Yale allocation'!K40</f>
        <v>23.539024630941167</v>
      </c>
      <c r="F43" s="95">
        <f>'Trout Allocate'!K36</f>
        <v>28.985280656211735</v>
      </c>
      <c r="G43" s="104">
        <f t="shared" si="2"/>
        <v>123.59067598547031</v>
      </c>
    </row>
    <row r="44" spans="1:8" ht="15" x14ac:dyDescent="0.25">
      <c r="A44" s="49" t="s">
        <v>35</v>
      </c>
      <c r="B44" s="95">
        <f>' Palatlakaha allocation TP'!K40</f>
        <v>118.85200615306491</v>
      </c>
      <c r="C44" s="95"/>
      <c r="D44" s="95"/>
      <c r="E44" s="95"/>
      <c r="F44" s="95"/>
      <c r="G44" s="104">
        <f t="shared" si="2"/>
        <v>118.85200615306491</v>
      </c>
    </row>
    <row r="45" spans="1:8" ht="15" x14ac:dyDescent="0.25">
      <c r="A45" s="49" t="s">
        <v>49</v>
      </c>
      <c r="B45" s="95"/>
      <c r="C45" s="95">
        <f>'Harris Allocate'!N53</f>
        <v>21.603033942048135</v>
      </c>
      <c r="D45" s="95"/>
      <c r="E45" s="95"/>
      <c r="F45" s="95"/>
      <c r="G45" s="104">
        <f t="shared" si="2"/>
        <v>21.603033942048135</v>
      </c>
    </row>
    <row r="46" spans="1:8" ht="15" x14ac:dyDescent="0.25">
      <c r="A46" s="49" t="s">
        <v>36</v>
      </c>
      <c r="B46" s="95">
        <f>' Palatlakaha allocation TP'!K41</f>
        <v>244.90018271509661</v>
      </c>
      <c r="C46" s="95">
        <f>'Harris Allocate'!N54</f>
        <v>389.9086094437626</v>
      </c>
      <c r="D46" s="95">
        <f>'Carlton Allocate'!K42</f>
        <v>11.92859053454465</v>
      </c>
      <c r="E46" s="95">
        <f>'Yale allocation'!K41</f>
        <v>184.28359072037352</v>
      </c>
      <c r="F46" s="95">
        <f>'Trout Allocate'!K37</f>
        <v>72.339687089196588</v>
      </c>
      <c r="G46" s="104">
        <f t="shared" si="2"/>
        <v>903.36066050297404</v>
      </c>
    </row>
    <row r="47" spans="1:8" ht="15" x14ac:dyDescent="0.25">
      <c r="A47" s="49" t="s">
        <v>37</v>
      </c>
      <c r="B47" s="95">
        <f>' Palatlakaha allocation TP'!K42</f>
        <v>30.478533048974018</v>
      </c>
      <c r="C47" s="95">
        <f>'Harris Allocate'!N55</f>
        <v>389.14082875700336</v>
      </c>
      <c r="D47" s="95"/>
      <c r="E47" s="95"/>
      <c r="F47" s="95"/>
      <c r="G47" s="104">
        <f t="shared" si="2"/>
        <v>419.61936180597741</v>
      </c>
    </row>
    <row r="48" spans="1:8" ht="15" x14ac:dyDescent="0.25">
      <c r="A48" s="49" t="s">
        <v>42</v>
      </c>
      <c r="B48" s="95"/>
      <c r="C48" s="95"/>
      <c r="D48" s="95"/>
      <c r="E48" s="95">
        <f>'Yale allocation'!K42</f>
        <v>7.660297691323259</v>
      </c>
      <c r="F48" s="95"/>
      <c r="G48" s="104">
        <f t="shared" si="2"/>
        <v>7.660297691323259</v>
      </c>
      <c r="H48" s="202"/>
    </row>
    <row r="49" spans="1:8" ht="15" x14ac:dyDescent="0.25">
      <c r="A49" s="49" t="s">
        <v>38</v>
      </c>
      <c r="B49" s="95">
        <f>' Palatlakaha allocation TP'!K43</f>
        <v>0.92838930957888333</v>
      </c>
      <c r="C49" s="95"/>
      <c r="D49" s="95"/>
      <c r="E49" s="95"/>
      <c r="F49" s="95"/>
      <c r="G49" s="104">
        <f t="shared" si="2"/>
        <v>0.92838930957888333</v>
      </c>
    </row>
    <row r="50" spans="1:8" ht="15" x14ac:dyDescent="0.25">
      <c r="A50" s="49" t="s">
        <v>39</v>
      </c>
      <c r="B50" s="95">
        <f>' Palatlakaha allocation TP'!K44</f>
        <v>23.985716440320008</v>
      </c>
      <c r="C50" s="95"/>
      <c r="D50" s="95"/>
      <c r="E50" s="95"/>
      <c r="F50" s="95"/>
      <c r="G50" s="104">
        <f t="shared" si="2"/>
        <v>23.985716440320008</v>
      </c>
    </row>
    <row r="51" spans="1:8" ht="15" x14ac:dyDescent="0.25">
      <c r="A51" s="49" t="s">
        <v>47</v>
      </c>
      <c r="B51" s="95"/>
      <c r="C51" s="95"/>
      <c r="D51" s="95">
        <f>'Carlton Allocate'!K43</f>
        <v>90.16050578567571</v>
      </c>
      <c r="E51" s="95"/>
      <c r="F51" s="95"/>
      <c r="G51" s="104">
        <f t="shared" si="2"/>
        <v>90.16050578567571</v>
      </c>
    </row>
    <row r="52" spans="1:8" ht="15" x14ac:dyDescent="0.25">
      <c r="A52" s="49" t="s">
        <v>50</v>
      </c>
      <c r="B52" s="95"/>
      <c r="C52" s="95">
        <f>'Harris Allocate'!N56</f>
        <v>147.66286842973329</v>
      </c>
      <c r="D52" s="95"/>
      <c r="E52" s="95"/>
      <c r="F52" s="95"/>
      <c r="G52" s="104">
        <f t="shared" si="2"/>
        <v>147.66286842973329</v>
      </c>
    </row>
    <row r="53" spans="1:8" ht="15" x14ac:dyDescent="0.25">
      <c r="A53" s="49" t="s">
        <v>43</v>
      </c>
      <c r="B53" s="95"/>
      <c r="C53" s="95"/>
      <c r="D53" s="95"/>
      <c r="E53" s="95">
        <f>'Yale allocation'!K43</f>
        <v>23.900983507446803</v>
      </c>
      <c r="F53" s="95">
        <f>'Trout Allocate'!K38</f>
        <v>165.52101224421969</v>
      </c>
      <c r="G53" s="104">
        <f t="shared" si="2"/>
        <v>189.42199575166649</v>
      </c>
    </row>
    <row r="54" spans="1:8" ht="15" x14ac:dyDescent="0.25">
      <c r="A54" s="49" t="s">
        <v>51</v>
      </c>
      <c r="B54" s="95"/>
      <c r="C54" s="95">
        <f>'Harris Allocate'!N57</f>
        <v>1.5103749482256168</v>
      </c>
      <c r="D54" s="95"/>
      <c r="E54" s="95"/>
      <c r="F54" s="95"/>
      <c r="G54" s="104">
        <f t="shared" si="2"/>
        <v>1.5103749482256168</v>
      </c>
    </row>
    <row r="55" spans="1:8" s="35" customFormat="1" ht="15" x14ac:dyDescent="0.25">
      <c r="A55" s="203" t="s">
        <v>143</v>
      </c>
      <c r="B55" s="204">
        <f>' Palatlakaha allocation TP'!K45</f>
        <v>4.2186960980423747</v>
      </c>
      <c r="C55" s="204"/>
      <c r="D55" s="204"/>
      <c r="E55" s="204"/>
      <c r="F55" s="204"/>
      <c r="G55" s="205">
        <f>SUM(B55:F55)</f>
        <v>4.2186960980423747</v>
      </c>
      <c r="H55" s="92"/>
    </row>
    <row r="56" spans="1:8" s="35" customFormat="1" ht="15.75" thickBot="1" x14ac:dyDescent="0.3">
      <c r="A56" s="632" t="s">
        <v>15</v>
      </c>
      <c r="B56" s="633">
        <f>SUM(B41:B55)</f>
        <v>447.13466765074043</v>
      </c>
      <c r="C56" s="633">
        <f>SUM(C40:C55)</f>
        <v>1036.599999999492</v>
      </c>
      <c r="D56" s="633">
        <f>SUM(D40:D55)</f>
        <v>117.70003850970477</v>
      </c>
      <c r="E56" s="633">
        <f>SUM(E40:E55)</f>
        <v>358.5493103760063</v>
      </c>
      <c r="F56" s="633">
        <f>SUM(F40:F55)</f>
        <v>478.74027372208946</v>
      </c>
      <c r="G56" s="634"/>
      <c r="H56" s="92"/>
    </row>
    <row r="57" spans="1:8" s="35" customFormat="1" ht="15.75" thickBot="1" x14ac:dyDescent="0.3">
      <c r="A57" s="60"/>
      <c r="B57" s="113"/>
      <c r="C57" s="113"/>
      <c r="D57" s="113"/>
      <c r="E57" s="114"/>
      <c r="F57" s="115"/>
      <c r="G57" s="92"/>
      <c r="H57" s="92"/>
    </row>
    <row r="58" spans="1:8" ht="15.75" thickBot="1" x14ac:dyDescent="0.3">
      <c r="A58" s="1123" t="s">
        <v>215</v>
      </c>
      <c r="B58" s="1124"/>
      <c r="C58" s="1124"/>
      <c r="D58" s="1124"/>
      <c r="E58" s="1124"/>
      <c r="F58" s="1125"/>
    </row>
    <row r="59" spans="1:8" s="35" customFormat="1" ht="50.25" customHeight="1" x14ac:dyDescent="0.25">
      <c r="A59" s="48" t="s">
        <v>214</v>
      </c>
      <c r="B59" s="106" t="s">
        <v>11</v>
      </c>
      <c r="C59" s="106" t="s">
        <v>12</v>
      </c>
      <c r="D59" s="107" t="s">
        <v>13</v>
      </c>
      <c r="E59" s="106" t="s">
        <v>10</v>
      </c>
      <c r="F59" s="657" t="s">
        <v>380</v>
      </c>
      <c r="G59" s="92"/>
      <c r="H59" s="92"/>
    </row>
    <row r="60" spans="1:8" s="35" customFormat="1" ht="15" x14ac:dyDescent="0.25">
      <c r="A60" s="49" t="s">
        <v>40</v>
      </c>
      <c r="B60" s="95"/>
      <c r="C60" s="95">
        <f>'Yale allocation'!K30</f>
        <v>3.8411079754310222</v>
      </c>
      <c r="D60" s="116"/>
      <c r="E60" s="95">
        <f>'Trout Allocate'!D43</f>
        <v>1.2545454545454546</v>
      </c>
      <c r="F60" s="658">
        <f>SUM(B60:E60)</f>
        <v>5.0956534299764771</v>
      </c>
      <c r="G60" s="92"/>
      <c r="H60" s="92"/>
    </row>
    <row r="61" spans="1:8" s="35" customFormat="1" ht="15" x14ac:dyDescent="0.25">
      <c r="A61" s="49" t="s">
        <v>36</v>
      </c>
      <c r="B61" s="95">
        <f>'Harris Allocate'!K42</f>
        <v>401.21528861154445</v>
      </c>
      <c r="C61" s="95">
        <f>'Yale allocation'!K31</f>
        <v>94.980124483385268</v>
      </c>
      <c r="D61" s="117">
        <f>'Carlton Allocate'!K34</f>
        <v>24.9375</v>
      </c>
      <c r="E61" s="95">
        <f>'Trout Allocate'!D44</f>
        <v>5.6454545454545464</v>
      </c>
      <c r="F61" s="658">
        <f t="shared" ref="F61:F66" si="3">SUM(B61:D61)</f>
        <v>521.13291309492979</v>
      </c>
      <c r="G61" s="92"/>
      <c r="H61" s="92"/>
    </row>
    <row r="62" spans="1:8" s="35" customFormat="1" ht="15" x14ac:dyDescent="0.25">
      <c r="A62" s="61" t="s">
        <v>48</v>
      </c>
      <c r="B62" s="95">
        <f>'Harris Allocate'!K40</f>
        <v>25.168486739469579</v>
      </c>
      <c r="C62" s="95"/>
      <c r="D62" s="116"/>
      <c r="E62" s="93"/>
      <c r="F62" s="658">
        <f t="shared" si="3"/>
        <v>25.168486739469579</v>
      </c>
      <c r="G62" s="92"/>
      <c r="H62" s="92"/>
    </row>
    <row r="63" spans="1:8" s="35" customFormat="1" ht="15" x14ac:dyDescent="0.25">
      <c r="A63" s="61" t="s">
        <v>61</v>
      </c>
      <c r="B63" s="95">
        <f>'Harris Allocate'!K41</f>
        <v>41.700728029121166</v>
      </c>
      <c r="C63" s="95"/>
      <c r="D63" s="116"/>
      <c r="E63" s="93"/>
      <c r="F63" s="658">
        <f t="shared" si="3"/>
        <v>41.700728029121166</v>
      </c>
      <c r="G63" s="92"/>
      <c r="H63" s="92"/>
    </row>
    <row r="64" spans="1:8" ht="15" x14ac:dyDescent="0.25">
      <c r="A64" s="61" t="s">
        <v>37</v>
      </c>
      <c r="B64" s="116">
        <f>'Harris Allocate'!K43</f>
        <v>0.98699947997919923</v>
      </c>
      <c r="C64" s="95"/>
      <c r="D64" s="116"/>
      <c r="E64" s="93"/>
      <c r="F64" s="658">
        <f t="shared" si="3"/>
        <v>0.98699947997919923</v>
      </c>
    </row>
    <row r="65" spans="1:13" ht="15" x14ac:dyDescent="0.25">
      <c r="A65" s="61" t="s">
        <v>50</v>
      </c>
      <c r="B65" s="95">
        <f>'Harris Allocate'!K44</f>
        <v>5.4284971398855948</v>
      </c>
      <c r="C65" s="95"/>
      <c r="D65" s="116"/>
      <c r="E65" s="93"/>
      <c r="F65" s="658">
        <f t="shared" si="3"/>
        <v>5.4284971398855948</v>
      </c>
    </row>
    <row r="66" spans="1:13" ht="15.75" thickBot="1" x14ac:dyDescent="0.3">
      <c r="A66" s="62" t="s">
        <v>47</v>
      </c>
      <c r="B66" s="98"/>
      <c r="C66" s="98"/>
      <c r="D66" s="118">
        <f>'Carlton Allocate'!K35</f>
        <v>27.5625</v>
      </c>
      <c r="E66" s="119"/>
      <c r="F66" s="659">
        <f t="shared" si="3"/>
        <v>27.5625</v>
      </c>
    </row>
    <row r="67" spans="1:13" ht="15" thickBot="1" x14ac:dyDescent="0.25">
      <c r="B67" s="202">
        <f>SUM(B61:B65)</f>
        <v>474.5</v>
      </c>
      <c r="D67" s="202">
        <f>SUM(D61:D66)</f>
        <v>52.5</v>
      </c>
    </row>
    <row r="68" spans="1:13" ht="15.75" thickBot="1" x14ac:dyDescent="0.3">
      <c r="A68" s="1129" t="s">
        <v>85</v>
      </c>
      <c r="B68" s="1130"/>
      <c r="C68" s="1130"/>
      <c r="D68" s="1130"/>
      <c r="E68" s="1130"/>
      <c r="F68" s="1130"/>
      <c r="G68" s="1131"/>
    </row>
    <row r="69" spans="1:13" ht="44.25" customHeight="1" x14ac:dyDescent="0.25">
      <c r="A69" s="122" t="s">
        <v>214</v>
      </c>
      <c r="B69" s="123" t="s">
        <v>395</v>
      </c>
      <c r="C69" s="123" t="s">
        <v>396</v>
      </c>
      <c r="D69" s="123" t="s">
        <v>397</v>
      </c>
      <c r="E69" s="123" t="s">
        <v>398</v>
      </c>
      <c r="F69" s="123" t="s">
        <v>399</v>
      </c>
      <c r="G69" s="124" t="s">
        <v>381</v>
      </c>
      <c r="H69" s="660" t="s">
        <v>400</v>
      </c>
      <c r="I69" s="664" t="s">
        <v>377</v>
      </c>
      <c r="J69" s="891" t="s">
        <v>576</v>
      </c>
      <c r="K69" s="892" t="s">
        <v>577</v>
      </c>
      <c r="L69" s="892" t="s">
        <v>578</v>
      </c>
      <c r="M69" s="893" t="s">
        <v>575</v>
      </c>
    </row>
    <row r="70" spans="1:13" ht="15" x14ac:dyDescent="0.2">
      <c r="A70" s="91" t="s">
        <v>48</v>
      </c>
      <c r="B70" s="120"/>
      <c r="C70" s="120">
        <f>C40</f>
        <v>39.947972754942967</v>
      </c>
      <c r="D70" s="120"/>
      <c r="E70" s="120"/>
      <c r="F70" s="120"/>
      <c r="G70" s="121">
        <f>SUM(B70:F70)</f>
        <v>39.947972754942967</v>
      </c>
      <c r="H70" s="661">
        <f>F62</f>
        <v>25.168486739469579</v>
      </c>
      <c r="I70" s="665">
        <f>G70+H70</f>
        <v>65.116459494412538</v>
      </c>
      <c r="J70" s="894"/>
      <c r="K70" s="453"/>
      <c r="L70" s="18"/>
      <c r="M70" s="898"/>
    </row>
    <row r="71" spans="1:13" ht="15" x14ac:dyDescent="0.2">
      <c r="A71" s="91" t="s">
        <v>34</v>
      </c>
      <c r="B71" s="120">
        <f>B41</f>
        <v>15.14202710060651</v>
      </c>
      <c r="C71" s="120"/>
      <c r="D71" s="120"/>
      <c r="E71" s="120"/>
      <c r="F71" s="120"/>
      <c r="G71" s="121">
        <f t="shared" ref="G71:G88" si="4">SUM(B71:F71)</f>
        <v>15.14202710060651</v>
      </c>
      <c r="H71" s="661"/>
      <c r="I71" s="665">
        <f t="shared" ref="I71:I88" si="5">G71+H71</f>
        <v>15.14202710060651</v>
      </c>
      <c r="J71" s="894"/>
      <c r="K71" s="453"/>
      <c r="L71" s="18"/>
      <c r="M71" s="898"/>
    </row>
    <row r="72" spans="1:13" ht="15" x14ac:dyDescent="0.2">
      <c r="A72" s="91" t="s">
        <v>40</v>
      </c>
      <c r="B72" s="120"/>
      <c r="C72" s="120"/>
      <c r="D72" s="120"/>
      <c r="E72" s="120">
        <f>E42</f>
        <v>119.16541382592153</v>
      </c>
      <c r="F72" s="120">
        <f>F42</f>
        <v>211.89429373246139</v>
      </c>
      <c r="G72" s="121">
        <f t="shared" si="4"/>
        <v>331.05970755838291</v>
      </c>
      <c r="H72" s="661">
        <f>F60</f>
        <v>5.0956534299764771</v>
      </c>
      <c r="I72" s="665">
        <f t="shared" si="5"/>
        <v>336.1553609883594</v>
      </c>
      <c r="J72" s="894"/>
      <c r="K72" s="453"/>
      <c r="L72" s="18"/>
      <c r="M72" s="898"/>
    </row>
    <row r="73" spans="1:13" ht="15" x14ac:dyDescent="0.2">
      <c r="A73" s="91" t="s">
        <v>41</v>
      </c>
      <c r="B73" s="120">
        <f>B43</f>
        <v>8.6291167850571071</v>
      </c>
      <c r="C73" s="120">
        <f>C43</f>
        <v>46.826311723775888</v>
      </c>
      <c r="D73" s="120">
        <f>D43</f>
        <v>15.610942189484401</v>
      </c>
      <c r="E73" s="120">
        <f>E43</f>
        <v>23.539024630941167</v>
      </c>
      <c r="F73" s="96">
        <f>F43</f>
        <v>28.985280656211735</v>
      </c>
      <c r="G73" s="121">
        <f t="shared" si="4"/>
        <v>123.59067598547031</v>
      </c>
      <c r="H73" s="661"/>
      <c r="I73" s="665">
        <f t="shared" si="5"/>
        <v>123.59067598547031</v>
      </c>
      <c r="J73" s="895">
        <f>Denham_allocation!B55</f>
        <v>6</v>
      </c>
      <c r="K73" s="453"/>
      <c r="L73" s="31">
        <f>Marshall_allocation!B56</f>
        <v>7</v>
      </c>
      <c r="M73" s="899">
        <f>J73+L73</f>
        <v>13</v>
      </c>
    </row>
    <row r="74" spans="1:13" ht="15" x14ac:dyDescent="0.2">
      <c r="A74" s="91" t="s">
        <v>35</v>
      </c>
      <c r="B74" s="120">
        <f>B44</f>
        <v>118.85200615306491</v>
      </c>
      <c r="C74" s="120"/>
      <c r="D74" s="120"/>
      <c r="E74" s="120"/>
      <c r="F74" s="120"/>
      <c r="G74" s="121">
        <f t="shared" si="4"/>
        <v>118.85200615306491</v>
      </c>
      <c r="H74" s="661"/>
      <c r="I74" s="665">
        <f t="shared" si="5"/>
        <v>118.85200615306491</v>
      </c>
      <c r="J74" s="895"/>
      <c r="K74" s="453"/>
      <c r="L74" s="31"/>
      <c r="M74" s="898"/>
    </row>
    <row r="75" spans="1:13" ht="15" x14ac:dyDescent="0.2">
      <c r="A75" s="91" t="s">
        <v>49</v>
      </c>
      <c r="B75" s="120"/>
      <c r="C75" s="120">
        <f>C45</f>
        <v>21.603033942048135</v>
      </c>
      <c r="D75" s="120"/>
      <c r="E75" s="120"/>
      <c r="F75" s="120"/>
      <c r="G75" s="121">
        <f t="shared" si="4"/>
        <v>21.603033942048135</v>
      </c>
      <c r="H75" s="661">
        <f>F63</f>
        <v>41.700728029121166</v>
      </c>
      <c r="I75" s="665">
        <f t="shared" si="5"/>
        <v>63.303761971169301</v>
      </c>
      <c r="J75" s="895"/>
      <c r="K75" s="453"/>
      <c r="L75" s="31"/>
      <c r="M75" s="898"/>
    </row>
    <row r="76" spans="1:13" ht="15" x14ac:dyDescent="0.2">
      <c r="A76" s="91" t="s">
        <v>36</v>
      </c>
      <c r="B76" s="120">
        <f>B46</f>
        <v>244.90018271509661</v>
      </c>
      <c r="C76" s="120">
        <f>C46</f>
        <v>389.9086094437626</v>
      </c>
      <c r="D76" s="120">
        <f>D46</f>
        <v>11.92859053454465</v>
      </c>
      <c r="E76" s="120">
        <f>E46</f>
        <v>184.28359072037352</v>
      </c>
      <c r="F76" s="120">
        <f>F46</f>
        <v>72.339687089196588</v>
      </c>
      <c r="G76" s="121">
        <f t="shared" si="4"/>
        <v>903.36066050297404</v>
      </c>
      <c r="H76" s="661">
        <f>F61</f>
        <v>521.13291309492979</v>
      </c>
      <c r="I76" s="665">
        <f t="shared" si="5"/>
        <v>1424.4935735979038</v>
      </c>
      <c r="J76" s="895">
        <f>Denham_allocation!B56</f>
        <v>26</v>
      </c>
      <c r="K76" s="453"/>
      <c r="L76" s="31"/>
      <c r="M76" s="899">
        <f>J76</f>
        <v>26</v>
      </c>
    </row>
    <row r="77" spans="1:13" ht="15" x14ac:dyDescent="0.2">
      <c r="A77" s="91" t="s">
        <v>37</v>
      </c>
      <c r="B77" s="120">
        <f>B47</f>
        <v>30.478533048974018</v>
      </c>
      <c r="C77" s="120">
        <f>C47</f>
        <v>389.14082875700336</v>
      </c>
      <c r="D77" s="120"/>
      <c r="E77" s="120"/>
      <c r="F77" s="120"/>
      <c r="G77" s="121">
        <f t="shared" si="4"/>
        <v>419.61936180597741</v>
      </c>
      <c r="H77" s="661">
        <f>F64</f>
        <v>0.98699947997919923</v>
      </c>
      <c r="I77" s="665">
        <f t="shared" si="5"/>
        <v>420.60636128595661</v>
      </c>
      <c r="J77" s="895">
        <f>Denham_allocation!B57</f>
        <v>91</v>
      </c>
      <c r="K77" s="453"/>
      <c r="L77" s="31"/>
      <c r="M77" s="899">
        <f>J77</f>
        <v>91</v>
      </c>
    </row>
    <row r="78" spans="1:13" ht="15" x14ac:dyDescent="0.2">
      <c r="A78" s="91" t="s">
        <v>42</v>
      </c>
      <c r="B78" s="120"/>
      <c r="C78" s="120"/>
      <c r="D78" s="120"/>
      <c r="E78" s="120">
        <f>E48</f>
        <v>7.660297691323259</v>
      </c>
      <c r="F78" s="120"/>
      <c r="G78" s="121">
        <f t="shared" si="4"/>
        <v>7.660297691323259</v>
      </c>
      <c r="H78" s="662"/>
      <c r="I78" s="665">
        <f t="shared" si="5"/>
        <v>7.660297691323259</v>
      </c>
      <c r="J78" s="894"/>
      <c r="K78" s="453"/>
      <c r="L78" s="31"/>
      <c r="M78" s="898"/>
    </row>
    <row r="79" spans="1:13" ht="15" x14ac:dyDescent="0.2">
      <c r="A79" s="91" t="s">
        <v>38</v>
      </c>
      <c r="B79" s="120">
        <f>B49</f>
        <v>0.92838930957888333</v>
      </c>
      <c r="C79" s="120"/>
      <c r="D79" s="120"/>
      <c r="E79" s="120"/>
      <c r="F79" s="120"/>
      <c r="G79" s="121">
        <f t="shared" si="4"/>
        <v>0.92838930957888333</v>
      </c>
      <c r="H79" s="661"/>
      <c r="I79" s="665">
        <f t="shared" si="5"/>
        <v>0.92838930957888333</v>
      </c>
      <c r="J79" s="894"/>
      <c r="K79" s="453"/>
      <c r="L79" s="31"/>
      <c r="M79" s="898"/>
    </row>
    <row r="80" spans="1:13" ht="15" x14ac:dyDescent="0.2">
      <c r="A80" s="91" t="s">
        <v>39</v>
      </c>
      <c r="B80" s="120">
        <f>B50</f>
        <v>23.985716440320008</v>
      </c>
      <c r="C80" s="120"/>
      <c r="D80" s="120"/>
      <c r="E80" s="120"/>
      <c r="F80" s="120"/>
      <c r="G80" s="121">
        <f t="shared" si="4"/>
        <v>23.985716440320008</v>
      </c>
      <c r="H80" s="661"/>
      <c r="I80" s="665">
        <f t="shared" si="5"/>
        <v>23.985716440320008</v>
      </c>
      <c r="J80" s="894"/>
      <c r="K80" s="453"/>
      <c r="L80" s="31"/>
      <c r="M80" s="898"/>
    </row>
    <row r="81" spans="1:13" ht="15" x14ac:dyDescent="0.2">
      <c r="A81" s="91" t="s">
        <v>47</v>
      </c>
      <c r="B81" s="120"/>
      <c r="C81" s="120"/>
      <c r="D81" s="120">
        <f>D51</f>
        <v>90.16050578567571</v>
      </c>
      <c r="E81" s="120"/>
      <c r="F81" s="120"/>
      <c r="G81" s="121">
        <f t="shared" si="4"/>
        <v>90.16050578567571</v>
      </c>
      <c r="H81" s="661">
        <f>F66</f>
        <v>27.5625</v>
      </c>
      <c r="I81" s="665">
        <f t="shared" si="5"/>
        <v>117.72300578567571</v>
      </c>
      <c r="J81" s="894"/>
      <c r="K81" s="323">
        <f>Roberts_allocation!B48</f>
        <v>24</v>
      </c>
      <c r="L81" s="31">
        <f>Marshall_allocation!B55</f>
        <v>23</v>
      </c>
      <c r="M81" s="899">
        <f>K81+L81</f>
        <v>47</v>
      </c>
    </row>
    <row r="82" spans="1:13" ht="15" x14ac:dyDescent="0.2">
      <c r="A82" s="91" t="s">
        <v>50</v>
      </c>
      <c r="B82" s="120"/>
      <c r="C82" s="120">
        <f>C52</f>
        <v>147.66286842973329</v>
      </c>
      <c r="D82" s="120"/>
      <c r="E82" s="120"/>
      <c r="F82" s="120"/>
      <c r="G82" s="121">
        <f t="shared" si="4"/>
        <v>147.66286842973329</v>
      </c>
      <c r="H82" s="661">
        <f>F65</f>
        <v>5.4284971398855948</v>
      </c>
      <c r="I82" s="665">
        <f t="shared" si="5"/>
        <v>153.09136556961889</v>
      </c>
      <c r="J82" s="894"/>
      <c r="K82" s="323"/>
      <c r="L82" s="31"/>
      <c r="M82" s="898"/>
    </row>
    <row r="83" spans="1:13" ht="15" x14ac:dyDescent="0.2">
      <c r="A83" s="91" t="s">
        <v>43</v>
      </c>
      <c r="B83" s="120"/>
      <c r="C83" s="120"/>
      <c r="D83" s="120"/>
      <c r="E83" s="120">
        <f>E53</f>
        <v>23.900983507446803</v>
      </c>
      <c r="F83" s="120">
        <f>F53</f>
        <v>165.52101224421969</v>
      </c>
      <c r="G83" s="121">
        <f t="shared" si="4"/>
        <v>189.42199575166649</v>
      </c>
      <c r="H83" s="661"/>
      <c r="I83" s="665">
        <f t="shared" si="5"/>
        <v>189.42199575166649</v>
      </c>
      <c r="J83" s="894"/>
      <c r="K83" s="323"/>
      <c r="L83" s="31"/>
      <c r="M83" s="898"/>
    </row>
    <row r="84" spans="1:13" ht="15" x14ac:dyDescent="0.2">
      <c r="A84" s="91" t="s">
        <v>51</v>
      </c>
      <c r="B84" s="120"/>
      <c r="C84" s="120">
        <f>C54</f>
        <v>1.5103749482256168</v>
      </c>
      <c r="D84" s="120"/>
      <c r="E84" s="120"/>
      <c r="F84" s="120"/>
      <c r="G84" s="121">
        <f t="shared" si="4"/>
        <v>1.5103749482256168</v>
      </c>
      <c r="H84" s="661"/>
      <c r="I84" s="665">
        <f t="shared" si="5"/>
        <v>1.5103749482256168</v>
      </c>
      <c r="J84" s="895">
        <f>Denham_allocation!B58</f>
        <v>3</v>
      </c>
      <c r="K84" s="323"/>
      <c r="L84" s="31"/>
      <c r="M84" s="898"/>
    </row>
    <row r="85" spans="1:13" s="35" customFormat="1" ht="15" x14ac:dyDescent="0.2">
      <c r="A85" s="91" t="s">
        <v>285</v>
      </c>
      <c r="B85" s="120"/>
      <c r="C85" s="120"/>
      <c r="D85" s="120"/>
      <c r="E85" s="120"/>
      <c r="F85" s="120"/>
      <c r="G85" s="121"/>
      <c r="H85" s="661"/>
      <c r="I85" s="665"/>
      <c r="J85" s="894"/>
      <c r="K85" s="323">
        <f>Roberts_allocation!B49</f>
        <v>14</v>
      </c>
      <c r="L85" s="31"/>
      <c r="M85" s="899">
        <f>K85</f>
        <v>14</v>
      </c>
    </row>
    <row r="86" spans="1:13" s="35" customFormat="1" ht="15" x14ac:dyDescent="0.2">
      <c r="A86" s="91" t="s">
        <v>287</v>
      </c>
      <c r="B86" s="120"/>
      <c r="C86" s="120"/>
      <c r="D86" s="120"/>
      <c r="E86" s="120"/>
      <c r="F86" s="120"/>
      <c r="G86" s="121"/>
      <c r="H86" s="661"/>
      <c r="I86" s="665"/>
      <c r="J86" s="894"/>
      <c r="K86" s="323"/>
      <c r="L86" s="31">
        <f>Marshall_allocation!B54</f>
        <v>135</v>
      </c>
      <c r="M86" s="899">
        <f>L86</f>
        <v>135</v>
      </c>
    </row>
    <row r="87" spans="1:13" s="35" customFormat="1" ht="30" x14ac:dyDescent="0.2">
      <c r="A87" s="91" t="s">
        <v>553</v>
      </c>
      <c r="B87" s="120"/>
      <c r="C87" s="120"/>
      <c r="D87" s="120"/>
      <c r="E87" s="120"/>
      <c r="F87" s="120"/>
      <c r="G87" s="121"/>
      <c r="H87" s="661"/>
      <c r="I87" s="665"/>
      <c r="J87" s="894"/>
      <c r="K87" s="323"/>
      <c r="L87" s="31">
        <f>Marshall_allocation!B57</f>
        <v>14.985509417790338</v>
      </c>
      <c r="M87" s="899">
        <f>L87</f>
        <v>14.985509417790338</v>
      </c>
    </row>
    <row r="88" spans="1:13" s="35" customFormat="1" ht="15" x14ac:dyDescent="0.2">
      <c r="A88" s="91" t="s">
        <v>143</v>
      </c>
      <c r="B88" s="120">
        <f>' Palatlakaha allocation TP'!K45</f>
        <v>4.2186960980423747</v>
      </c>
      <c r="C88" s="120"/>
      <c r="D88" s="120"/>
      <c r="E88" s="120"/>
      <c r="F88" s="120"/>
      <c r="G88" s="121">
        <f t="shared" si="4"/>
        <v>4.2186960980423747</v>
      </c>
      <c r="H88" s="661"/>
      <c r="I88" s="665">
        <f t="shared" si="5"/>
        <v>4.2186960980423747</v>
      </c>
      <c r="J88" s="894"/>
      <c r="K88" s="453"/>
      <c r="L88" s="18"/>
      <c r="M88" s="898"/>
    </row>
    <row r="89" spans="1:13" ht="48" customHeight="1" thickBot="1" x14ac:dyDescent="0.25">
      <c r="A89" s="635" t="s">
        <v>218</v>
      </c>
      <c r="B89" s="636">
        <f>SUM(B71:B88)</f>
        <v>447.13466765074043</v>
      </c>
      <c r="C89" s="636">
        <f>SUM(C70:C84)</f>
        <v>1036.599999999492</v>
      </c>
      <c r="D89" s="636">
        <f>SUM(D70:D84)</f>
        <v>117.70003850970477</v>
      </c>
      <c r="E89" s="636">
        <f>SUM(E70:E84)</f>
        <v>358.5493103760063</v>
      </c>
      <c r="F89" s="636">
        <f>SUM(F72:F84)</f>
        <v>478.74027372208946</v>
      </c>
      <c r="G89" s="637">
        <f>SUM(G70:G88)</f>
        <v>2438.7242902580333</v>
      </c>
      <c r="H89" s="663">
        <f>SUM(H70:H88)</f>
        <v>627.07577791336189</v>
      </c>
      <c r="I89" s="666">
        <f>SUM(I70:I88)</f>
        <v>3065.8000681713952</v>
      </c>
      <c r="J89" s="896"/>
      <c r="K89" s="288"/>
      <c r="L89" s="288"/>
      <c r="M89" s="897"/>
    </row>
    <row r="90" spans="1:13" x14ac:dyDescent="0.2">
      <c r="A90" s="656" t="s">
        <v>401</v>
      </c>
      <c r="B90" s="655"/>
      <c r="G90" s="202"/>
    </row>
  </sheetData>
  <sortState xmlns:xlrd2="http://schemas.microsoft.com/office/spreadsheetml/2017/richdata2" ref="A3:A24">
    <sortCondition ref="A3"/>
  </sortState>
  <mergeCells count="13">
    <mergeCell ref="A2:F2"/>
    <mergeCell ref="A21:F21"/>
    <mergeCell ref="A38:G38"/>
    <mergeCell ref="A68:G68"/>
    <mergeCell ref="A58:F58"/>
    <mergeCell ref="A28:B28"/>
    <mergeCell ref="A29:B29"/>
    <mergeCell ref="A30:B30"/>
    <mergeCell ref="A31:B31"/>
    <mergeCell ref="A33:B33"/>
    <mergeCell ref="A34:B34"/>
    <mergeCell ref="A35:B35"/>
    <mergeCell ref="A36:B36"/>
  </mergeCells>
  <pageMargins left="0.7" right="0.45833333333333298" top="0.75" bottom="0.75" header="0.3" footer="0.3"/>
  <pageSetup orientation="landscape" r:id="rId1"/>
  <headerFooter>
    <oddHeader xml:space="preserve">&amp;C&amp;"Arial,Bold"&amp;12Upper Ocklawaha
Draft Priority Lake Reduction Summary
</oddHeader>
    <oddFooter xml:space="preserve">&amp;LDraft 8/16/16&amp;C&amp;P&amp;R
</oddFooter>
  </headerFooter>
  <rowBreaks count="2" manualBreakCount="2">
    <brk id="26" max="16383" man="1"/>
    <brk id="5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</sheetPr>
  <dimension ref="A1:N108"/>
  <sheetViews>
    <sheetView workbookViewId="0">
      <selection activeCell="B42" sqref="B42"/>
    </sheetView>
  </sheetViews>
  <sheetFormatPr defaultRowHeight="12.75" x14ac:dyDescent="0.2"/>
  <cols>
    <col min="1" max="1" width="31.85546875" customWidth="1"/>
    <col min="2" max="2" width="25.140625" customWidth="1"/>
    <col min="3" max="3" width="13.42578125" customWidth="1"/>
    <col min="4" max="4" width="15" customWidth="1"/>
    <col min="5" max="5" width="15.5703125" customWidth="1"/>
    <col min="6" max="6" width="14.85546875" customWidth="1"/>
    <col min="7" max="7" width="15.140625" customWidth="1"/>
    <col min="8" max="8" width="15.5703125" customWidth="1"/>
    <col min="9" max="9" width="13.5703125" customWidth="1"/>
    <col min="10" max="10" width="15.42578125" customWidth="1"/>
    <col min="11" max="11" width="15" customWidth="1"/>
    <col min="12" max="12" width="13.5703125" customWidth="1"/>
    <col min="13" max="13" width="14" customWidth="1"/>
    <col min="14" max="14" width="13.7109375" customWidth="1"/>
  </cols>
  <sheetData>
    <row r="1" spans="1:11" x14ac:dyDescent="0.2">
      <c r="A1" s="1174" t="s">
        <v>284</v>
      </c>
      <c r="B1" s="1175"/>
      <c r="C1" s="1175"/>
      <c r="D1" s="1175"/>
      <c r="E1" s="1175"/>
      <c r="F1" s="1175"/>
      <c r="G1" s="1176"/>
      <c r="H1" s="247"/>
      <c r="I1" s="258"/>
      <c r="J1" s="254"/>
      <c r="K1" t="s">
        <v>866</v>
      </c>
    </row>
    <row r="2" spans="1:11" x14ac:dyDescent="0.2">
      <c r="A2" s="248"/>
      <c r="B2" s="23"/>
      <c r="C2" s="18"/>
      <c r="D2" s="18"/>
      <c r="E2" s="18"/>
      <c r="F2" s="23"/>
      <c r="G2" s="18"/>
      <c r="H2" s="18"/>
      <c r="I2" s="24"/>
      <c r="J2" s="67"/>
      <c r="K2" t="s">
        <v>865</v>
      </c>
    </row>
    <row r="3" spans="1:11" x14ac:dyDescent="0.2">
      <c r="A3" s="248"/>
      <c r="B3" s="23" t="s">
        <v>5</v>
      </c>
      <c r="C3" s="18"/>
      <c r="D3" s="18"/>
      <c r="E3" s="18"/>
      <c r="F3" s="23"/>
      <c r="G3" s="18"/>
      <c r="H3" s="18"/>
      <c r="I3" s="24"/>
      <c r="J3" s="67"/>
      <c r="K3" t="s">
        <v>864</v>
      </c>
    </row>
    <row r="4" spans="1:11" x14ac:dyDescent="0.2">
      <c r="A4" s="248"/>
      <c r="B4" s="23"/>
      <c r="C4" s="18"/>
      <c r="D4" s="18"/>
      <c r="E4" s="18"/>
      <c r="F4" s="23"/>
      <c r="G4" s="18"/>
      <c r="H4" s="18"/>
      <c r="I4" s="24"/>
      <c r="J4" s="67"/>
      <c r="K4" t="s">
        <v>867</v>
      </c>
    </row>
    <row r="5" spans="1:11" ht="76.5" x14ac:dyDescent="0.2">
      <c r="A5" s="249" t="s">
        <v>1</v>
      </c>
      <c r="B5" s="284" t="s">
        <v>104</v>
      </c>
      <c r="C5" s="20" t="s">
        <v>0</v>
      </c>
      <c r="D5" s="20" t="s">
        <v>9</v>
      </c>
      <c r="E5" s="20" t="s">
        <v>31</v>
      </c>
      <c r="F5" s="284" t="s">
        <v>16</v>
      </c>
      <c r="G5" s="20" t="s">
        <v>99</v>
      </c>
      <c r="H5" s="20" t="s">
        <v>100</v>
      </c>
      <c r="I5" s="285" t="s">
        <v>54</v>
      </c>
      <c r="J5" s="286" t="s">
        <v>53</v>
      </c>
    </row>
    <row r="6" spans="1:11" x14ac:dyDescent="0.2">
      <c r="A6" s="249" t="s">
        <v>23</v>
      </c>
      <c r="B6" s="262" t="s">
        <v>45</v>
      </c>
      <c r="C6" s="246" t="s">
        <v>45</v>
      </c>
      <c r="D6" s="246" t="s">
        <v>45</v>
      </c>
      <c r="E6" s="246" t="s">
        <v>45</v>
      </c>
      <c r="F6" s="262"/>
      <c r="G6" s="246"/>
      <c r="H6" s="250"/>
      <c r="I6" s="259"/>
      <c r="J6" s="255"/>
    </row>
    <row r="7" spans="1:11" x14ac:dyDescent="0.2">
      <c r="A7" s="248" t="s">
        <v>101</v>
      </c>
      <c r="B7" s="262" t="s">
        <v>45</v>
      </c>
      <c r="C7" s="246" t="s">
        <v>45</v>
      </c>
      <c r="D7" s="246" t="s">
        <v>45</v>
      </c>
      <c r="E7" s="246" t="s">
        <v>45</v>
      </c>
      <c r="F7" s="262"/>
      <c r="G7" s="246"/>
      <c r="H7" s="250"/>
      <c r="I7" s="259"/>
      <c r="J7" s="255"/>
    </row>
    <row r="8" spans="1:11" x14ac:dyDescent="0.2">
      <c r="A8" s="248" t="s">
        <v>102</v>
      </c>
      <c r="B8" s="262">
        <v>474.2</v>
      </c>
      <c r="C8" s="246" t="s">
        <v>45</v>
      </c>
      <c r="D8" s="246">
        <v>-19</v>
      </c>
      <c r="E8" s="246" t="s">
        <v>45</v>
      </c>
      <c r="F8" s="262">
        <v>455.2</v>
      </c>
      <c r="G8" s="246">
        <v>455.2</v>
      </c>
      <c r="H8" s="250">
        <v>0.28697516076156854</v>
      </c>
      <c r="I8" s="260">
        <v>423.7</v>
      </c>
      <c r="J8" s="256">
        <v>31.5</v>
      </c>
    </row>
    <row r="9" spans="1:11" x14ac:dyDescent="0.2">
      <c r="A9" s="249" t="s">
        <v>24</v>
      </c>
      <c r="B9" s="262" t="s">
        <v>45</v>
      </c>
      <c r="C9" s="246" t="s">
        <v>45</v>
      </c>
      <c r="D9" s="246" t="s">
        <v>45</v>
      </c>
      <c r="E9" s="246" t="s">
        <v>45</v>
      </c>
      <c r="F9" s="262"/>
      <c r="G9" s="246"/>
      <c r="H9" s="250"/>
      <c r="I9" s="260"/>
      <c r="J9" s="256"/>
    </row>
    <row r="10" spans="1:11" x14ac:dyDescent="0.2">
      <c r="A10" s="248" t="s">
        <v>103</v>
      </c>
      <c r="B10" s="262">
        <v>1265.5</v>
      </c>
      <c r="C10" s="246" t="s">
        <v>45</v>
      </c>
      <c r="D10" s="246">
        <v>-726</v>
      </c>
      <c r="E10" s="246" t="s">
        <v>45</v>
      </c>
      <c r="F10" s="262">
        <v>539.5</v>
      </c>
      <c r="G10" s="246">
        <v>539.5</v>
      </c>
      <c r="H10" s="250">
        <v>0.34012104400453919</v>
      </c>
      <c r="I10" s="260">
        <v>502.2</v>
      </c>
      <c r="J10" s="256">
        <v>37.300000000000011</v>
      </c>
    </row>
    <row r="11" spans="1:11" x14ac:dyDescent="0.2">
      <c r="A11" s="249" t="s">
        <v>26</v>
      </c>
      <c r="B11" s="262">
        <v>29.6</v>
      </c>
      <c r="C11" s="246" t="s">
        <v>45</v>
      </c>
      <c r="D11" s="246">
        <v>0</v>
      </c>
      <c r="E11" s="246" t="s">
        <v>45</v>
      </c>
      <c r="F11" s="262">
        <v>29.6</v>
      </c>
      <c r="G11" s="246"/>
      <c r="H11" s="250"/>
      <c r="I11" s="260"/>
      <c r="J11" s="256">
        <v>29.6</v>
      </c>
    </row>
    <row r="12" spans="1:11" x14ac:dyDescent="0.2">
      <c r="A12" s="249" t="s">
        <v>27</v>
      </c>
      <c r="B12" s="262" t="s">
        <v>45</v>
      </c>
      <c r="C12" s="246" t="s">
        <v>45</v>
      </c>
      <c r="D12" s="246" t="s">
        <v>45</v>
      </c>
      <c r="E12" s="246" t="s">
        <v>45</v>
      </c>
      <c r="F12" s="262"/>
      <c r="G12" s="246"/>
      <c r="H12" s="250"/>
      <c r="I12" s="260"/>
      <c r="J12" s="256"/>
    </row>
    <row r="13" spans="1:11" x14ac:dyDescent="0.2">
      <c r="A13" s="249" t="s">
        <v>19</v>
      </c>
      <c r="B13" s="262" t="s">
        <v>45</v>
      </c>
      <c r="C13" s="246" t="s">
        <v>45</v>
      </c>
      <c r="D13" s="246" t="s">
        <v>45</v>
      </c>
      <c r="E13" s="246" t="s">
        <v>45</v>
      </c>
      <c r="F13" s="262"/>
      <c r="G13" s="246"/>
      <c r="H13" s="250"/>
      <c r="I13" s="260"/>
      <c r="J13" s="256"/>
    </row>
    <row r="14" spans="1:11" x14ac:dyDescent="0.2">
      <c r="A14" s="249" t="s">
        <v>20</v>
      </c>
      <c r="B14" s="262">
        <v>375.6</v>
      </c>
      <c r="C14" s="246" t="s">
        <v>45</v>
      </c>
      <c r="D14" s="246" t="s">
        <v>45</v>
      </c>
      <c r="E14" s="246">
        <v>6.1</v>
      </c>
      <c r="F14" s="262">
        <v>381.70000000000005</v>
      </c>
      <c r="G14" s="246"/>
      <c r="H14" s="250"/>
      <c r="I14" s="260"/>
      <c r="J14" s="256">
        <v>381.70000000000005</v>
      </c>
    </row>
    <row r="15" spans="1:11" x14ac:dyDescent="0.2">
      <c r="A15" s="249" t="s">
        <v>124</v>
      </c>
      <c r="B15" s="262">
        <v>123.5</v>
      </c>
      <c r="C15" s="246"/>
      <c r="D15" s="246"/>
      <c r="E15" s="246">
        <v>-53.7</v>
      </c>
      <c r="F15" s="262">
        <v>69.8</v>
      </c>
      <c r="G15" s="246">
        <v>69.8</v>
      </c>
      <c r="H15" s="250">
        <v>4.4004539150170219E-2</v>
      </c>
      <c r="I15" s="260">
        <v>65</v>
      </c>
      <c r="J15" s="256">
        <v>4.7999999999999972</v>
      </c>
    </row>
    <row r="16" spans="1:11" ht="15.75" customHeight="1" x14ac:dyDescent="0.2">
      <c r="A16" s="249" t="s">
        <v>21</v>
      </c>
      <c r="B16" s="262">
        <v>616.29999999999995</v>
      </c>
      <c r="C16" s="246"/>
      <c r="D16" s="246"/>
      <c r="E16" s="246">
        <v>-102</v>
      </c>
      <c r="F16" s="262">
        <v>514.29999999999995</v>
      </c>
      <c r="G16" s="246">
        <v>514.29999999999995</v>
      </c>
      <c r="H16" s="250">
        <v>0.32423401840877569</v>
      </c>
      <c r="I16" s="260">
        <v>478.73152818055723</v>
      </c>
      <c r="J16" s="256"/>
    </row>
    <row r="17" spans="1:10" ht="16.5" customHeight="1" x14ac:dyDescent="0.2">
      <c r="A17" s="251" t="s">
        <v>274</v>
      </c>
      <c r="B17" s="262">
        <v>332.3</v>
      </c>
      <c r="C17" s="246"/>
      <c r="D17" s="246"/>
      <c r="E17" s="246">
        <v>-51.7</v>
      </c>
      <c r="F17" s="262">
        <v>280.60000000000002</v>
      </c>
      <c r="G17" s="246">
        <v>280.60000000000002</v>
      </c>
      <c r="H17" s="250">
        <v>0.17690076913377889</v>
      </c>
      <c r="I17" s="260">
        <v>261.2</v>
      </c>
      <c r="J17" s="256">
        <v>19.400000000000034</v>
      </c>
    </row>
    <row r="18" spans="1:10" ht="18.75" customHeight="1" x14ac:dyDescent="0.2">
      <c r="A18" s="251" t="s">
        <v>275</v>
      </c>
      <c r="B18" s="262">
        <v>265.3</v>
      </c>
      <c r="C18" s="246"/>
      <c r="D18" s="246"/>
      <c r="E18" s="246">
        <v>-48.8</v>
      </c>
      <c r="F18" s="262">
        <v>216.5</v>
      </c>
      <c r="G18" s="246">
        <v>216.5</v>
      </c>
      <c r="H18" s="250">
        <v>0.13648972386836467</v>
      </c>
      <c r="I18" s="260">
        <v>201.5</v>
      </c>
      <c r="J18" s="256">
        <v>15</v>
      </c>
    </row>
    <row r="19" spans="1:10" ht="12.75" customHeight="1" x14ac:dyDescent="0.2">
      <c r="A19" s="251" t="s">
        <v>276</v>
      </c>
      <c r="B19" s="262">
        <v>18.600000000000001</v>
      </c>
      <c r="C19" s="246" t="s">
        <v>45</v>
      </c>
      <c r="D19" s="246"/>
      <c r="E19" s="246">
        <v>-1.4</v>
      </c>
      <c r="F19" s="262">
        <v>17.200000000000003</v>
      </c>
      <c r="G19" s="246">
        <v>17.200000000000003</v>
      </c>
      <c r="H19" s="250">
        <v>1.0843525406632205E-2</v>
      </c>
      <c r="I19" s="260">
        <v>16</v>
      </c>
      <c r="J19" s="256">
        <v>1.2000000000000028</v>
      </c>
    </row>
    <row r="20" spans="1:10" s="35" customFormat="1" ht="12.75" customHeight="1" x14ac:dyDescent="0.2">
      <c r="A20" s="251" t="s">
        <v>242</v>
      </c>
      <c r="B20" s="262">
        <v>3.9</v>
      </c>
      <c r="C20" s="246"/>
      <c r="D20" s="246"/>
      <c r="E20" s="246">
        <v>3.2</v>
      </c>
      <c r="F20" s="262">
        <f>SUM(B20:E20)</f>
        <v>7.1</v>
      </c>
      <c r="G20" s="246">
        <f>F20</f>
        <v>7.1</v>
      </c>
      <c r="H20" s="250">
        <f>G20/(F$42-F$11-F$14-F$38)</f>
        <v>4.4761064178539907E-3</v>
      </c>
      <c r="I20" s="259">
        <f>ROUND(H20*F$44,1)</f>
        <v>6.6</v>
      </c>
      <c r="J20" s="256">
        <f>F20-I20</f>
        <v>0.5</v>
      </c>
    </row>
    <row r="21" spans="1:10" s="35" customFormat="1" ht="12.75" customHeight="1" x14ac:dyDescent="0.2">
      <c r="A21" s="251" t="s">
        <v>243</v>
      </c>
      <c r="B21" s="262">
        <v>1.8</v>
      </c>
      <c r="C21" s="246"/>
      <c r="D21" s="246"/>
      <c r="E21" s="246">
        <v>9.9</v>
      </c>
      <c r="F21" s="262">
        <f t="shared" ref="F21:F37" si="0">SUM(B21:E21)</f>
        <v>11.700000000000001</v>
      </c>
      <c r="G21" s="246">
        <f t="shared" ref="G21:G36" si="1">F21</f>
        <v>11.700000000000001</v>
      </c>
      <c r="H21" s="250">
        <f t="shared" ref="H21:H37" si="2">G21/(F$42-F$11-F$14-F$38)</f>
        <v>7.3761190266044647E-3</v>
      </c>
      <c r="I21" s="259">
        <f t="shared" ref="I21:I37" si="3">ROUND(H21*F$44,1)</f>
        <v>10.9</v>
      </c>
      <c r="J21" s="256">
        <f t="shared" ref="J21:J37" si="4">F21-I21</f>
        <v>0.80000000000000071</v>
      </c>
    </row>
    <row r="22" spans="1:10" s="35" customFormat="1" ht="12.75" customHeight="1" x14ac:dyDescent="0.2">
      <c r="A22" s="251" t="s">
        <v>247</v>
      </c>
      <c r="B22" s="262">
        <v>4.4000000000000004</v>
      </c>
      <c r="C22" s="246"/>
      <c r="D22" s="246"/>
      <c r="E22" s="246">
        <v>-1</v>
      </c>
      <c r="F22" s="262">
        <f t="shared" si="0"/>
        <v>3.4000000000000004</v>
      </c>
      <c r="G22" s="246">
        <f t="shared" si="1"/>
        <v>3.4000000000000004</v>
      </c>
      <c r="H22" s="250">
        <f t="shared" si="2"/>
        <v>2.1434875803807846E-3</v>
      </c>
      <c r="I22" s="259">
        <f t="shared" si="3"/>
        <v>3.2</v>
      </c>
      <c r="J22" s="256">
        <f t="shared" si="4"/>
        <v>0.20000000000000018</v>
      </c>
    </row>
    <row r="23" spans="1:10" s="35" customFormat="1" ht="12.75" customHeight="1" x14ac:dyDescent="0.2">
      <c r="A23" s="251" t="s">
        <v>244</v>
      </c>
      <c r="B23" s="262">
        <v>175.8</v>
      </c>
      <c r="C23" s="246"/>
      <c r="D23" s="246"/>
      <c r="E23" s="246">
        <v>-39.700000000000003</v>
      </c>
      <c r="F23" s="262">
        <f t="shared" si="0"/>
        <v>136.10000000000002</v>
      </c>
      <c r="G23" s="246">
        <f t="shared" si="1"/>
        <v>136.10000000000002</v>
      </c>
      <c r="H23" s="250">
        <f t="shared" si="2"/>
        <v>8.5802546967595539E-2</v>
      </c>
      <c r="I23" s="259">
        <f t="shared" si="3"/>
        <v>126.7</v>
      </c>
      <c r="J23" s="256">
        <f t="shared" si="4"/>
        <v>9.4000000000000199</v>
      </c>
    </row>
    <row r="24" spans="1:10" s="35" customFormat="1" ht="12.75" customHeight="1" x14ac:dyDescent="0.2">
      <c r="A24" s="251" t="s">
        <v>245</v>
      </c>
      <c r="B24" s="262">
        <v>96</v>
      </c>
      <c r="C24" s="246"/>
      <c r="D24" s="246"/>
      <c r="E24" s="246">
        <v>-20.5</v>
      </c>
      <c r="F24" s="262">
        <f t="shared" si="0"/>
        <v>75.5</v>
      </c>
      <c r="G24" s="246">
        <f t="shared" si="1"/>
        <v>75.5</v>
      </c>
      <c r="H24" s="250">
        <f t="shared" si="2"/>
        <v>4.7598033034926247E-2</v>
      </c>
      <c r="I24" s="259">
        <f t="shared" si="3"/>
        <v>70.3</v>
      </c>
      <c r="J24" s="256">
        <f t="shared" si="4"/>
        <v>5.2000000000000028</v>
      </c>
    </row>
    <row r="25" spans="1:10" s="35" customFormat="1" ht="12.75" customHeight="1" x14ac:dyDescent="0.2">
      <c r="A25" s="251" t="s">
        <v>246</v>
      </c>
      <c r="B25" s="262">
        <v>6.4</v>
      </c>
      <c r="C25" s="246"/>
      <c r="D25" s="246"/>
      <c r="E25" s="246">
        <v>-0.8</v>
      </c>
      <c r="F25" s="262">
        <f t="shared" si="0"/>
        <v>5.6000000000000005</v>
      </c>
      <c r="G25" s="246">
        <f t="shared" si="1"/>
        <v>5.6000000000000005</v>
      </c>
      <c r="H25" s="250">
        <f t="shared" si="2"/>
        <v>3.5304501323918805E-3</v>
      </c>
      <c r="I25" s="259">
        <f t="shared" si="3"/>
        <v>5.2</v>
      </c>
      <c r="J25" s="256">
        <f t="shared" si="4"/>
        <v>0.40000000000000036</v>
      </c>
    </row>
    <row r="26" spans="1:10" s="35" customFormat="1" ht="12.75" customHeight="1" x14ac:dyDescent="0.2">
      <c r="A26" s="251" t="s">
        <v>249</v>
      </c>
      <c r="B26" s="262">
        <v>24.4</v>
      </c>
      <c r="C26" s="246"/>
      <c r="D26" s="246"/>
      <c r="E26" s="246">
        <v>-13.6</v>
      </c>
      <c r="F26" s="262">
        <f t="shared" si="0"/>
        <v>10.799999999999999</v>
      </c>
      <c r="G26" s="246">
        <f t="shared" si="1"/>
        <v>10.799999999999999</v>
      </c>
      <c r="H26" s="250">
        <f t="shared" si="2"/>
        <v>6.8087252553271976E-3</v>
      </c>
      <c r="I26" s="259">
        <f t="shared" si="3"/>
        <v>10.1</v>
      </c>
      <c r="J26" s="256">
        <f t="shared" si="4"/>
        <v>0.69999999999999929</v>
      </c>
    </row>
    <row r="27" spans="1:10" s="35" customFormat="1" ht="12.75" customHeight="1" x14ac:dyDescent="0.2">
      <c r="A27" s="251" t="s">
        <v>248</v>
      </c>
      <c r="B27" s="262">
        <v>39.799999999999997</v>
      </c>
      <c r="C27" s="246"/>
      <c r="D27" s="246"/>
      <c r="E27" s="246">
        <v>-3</v>
      </c>
      <c r="F27" s="262">
        <f t="shared" si="0"/>
        <v>36.799999999999997</v>
      </c>
      <c r="G27" s="246">
        <f t="shared" si="1"/>
        <v>36.799999999999997</v>
      </c>
      <c r="H27" s="250">
        <f t="shared" si="2"/>
        <v>2.3200100870003782E-2</v>
      </c>
      <c r="I27" s="259">
        <f t="shared" si="3"/>
        <v>34.299999999999997</v>
      </c>
      <c r="J27" s="256">
        <f t="shared" si="4"/>
        <v>2.5</v>
      </c>
    </row>
    <row r="28" spans="1:10" s="35" customFormat="1" ht="12.75" customHeight="1" x14ac:dyDescent="0.2">
      <c r="A28" s="251" t="s">
        <v>250</v>
      </c>
      <c r="B28" s="262">
        <v>5.6</v>
      </c>
      <c r="C28" s="246"/>
      <c r="D28" s="246"/>
      <c r="E28" s="246">
        <v>1.1000000000000001</v>
      </c>
      <c r="F28" s="262">
        <f t="shared" si="0"/>
        <v>6.6999999999999993</v>
      </c>
      <c r="G28" s="246">
        <f t="shared" si="1"/>
        <v>6.6999999999999993</v>
      </c>
      <c r="H28" s="250">
        <f t="shared" si="2"/>
        <v>4.2239314083974281E-3</v>
      </c>
      <c r="I28" s="259">
        <f t="shared" si="3"/>
        <v>6.2</v>
      </c>
      <c r="J28" s="256">
        <f t="shared" si="4"/>
        <v>0.49999999999999911</v>
      </c>
    </row>
    <row r="29" spans="1:10" s="35" customFormat="1" ht="12.75" customHeight="1" x14ac:dyDescent="0.2">
      <c r="A29" s="251" t="s">
        <v>251</v>
      </c>
      <c r="B29" s="262">
        <v>10.1</v>
      </c>
      <c r="C29" s="246"/>
      <c r="D29" s="246"/>
      <c r="E29" s="246">
        <v>-2.4</v>
      </c>
      <c r="F29" s="262">
        <f t="shared" si="0"/>
        <v>7.6999999999999993</v>
      </c>
      <c r="G29" s="246">
        <f t="shared" si="1"/>
        <v>7.6999999999999993</v>
      </c>
      <c r="H29" s="250">
        <f t="shared" si="2"/>
        <v>4.8543689320388354E-3</v>
      </c>
      <c r="I29" s="259">
        <f t="shared" si="3"/>
        <v>7.2</v>
      </c>
      <c r="J29" s="256">
        <f t="shared" si="4"/>
        <v>0.49999999999999911</v>
      </c>
    </row>
    <row r="30" spans="1:10" s="35" customFormat="1" ht="12.75" customHeight="1" x14ac:dyDescent="0.2">
      <c r="A30" s="251" t="s">
        <v>252</v>
      </c>
      <c r="B30" s="262">
        <v>29.4</v>
      </c>
      <c r="C30" s="246"/>
      <c r="D30" s="246"/>
      <c r="E30" s="246">
        <v>-16.899999999999999</v>
      </c>
      <c r="F30" s="262">
        <f t="shared" si="0"/>
        <v>12.5</v>
      </c>
      <c r="G30" s="246">
        <f t="shared" si="1"/>
        <v>12.5</v>
      </c>
      <c r="H30" s="250">
        <f t="shared" si="2"/>
        <v>7.8804690455175908E-3</v>
      </c>
      <c r="I30" s="259">
        <f t="shared" si="3"/>
        <v>11.6</v>
      </c>
      <c r="J30" s="256">
        <f t="shared" si="4"/>
        <v>0.90000000000000036</v>
      </c>
    </row>
    <row r="31" spans="1:10" s="35" customFormat="1" ht="12.75" customHeight="1" x14ac:dyDescent="0.2">
      <c r="A31" s="251" t="s">
        <v>253</v>
      </c>
      <c r="B31" s="262">
        <v>0.9</v>
      </c>
      <c r="C31" s="246"/>
      <c r="D31" s="246"/>
      <c r="E31" s="246">
        <v>0.2</v>
      </c>
      <c r="F31" s="262">
        <f t="shared" si="0"/>
        <v>1.1000000000000001</v>
      </c>
      <c r="G31" s="246">
        <f t="shared" si="1"/>
        <v>1.1000000000000001</v>
      </c>
      <c r="H31" s="250">
        <f t="shared" si="2"/>
        <v>6.9348127600554798E-4</v>
      </c>
      <c r="I31" s="259">
        <f t="shared" si="3"/>
        <v>1</v>
      </c>
      <c r="J31" s="256">
        <f t="shared" si="4"/>
        <v>0.10000000000000009</v>
      </c>
    </row>
    <row r="32" spans="1:10" s="35" customFormat="1" ht="12.75" customHeight="1" x14ac:dyDescent="0.2">
      <c r="A32" s="251" t="s">
        <v>254</v>
      </c>
      <c r="B32" s="262">
        <v>35.799999999999997</v>
      </c>
      <c r="C32" s="246"/>
      <c r="D32" s="246"/>
      <c r="E32" s="246">
        <v>1.9</v>
      </c>
      <c r="F32" s="262">
        <f t="shared" si="0"/>
        <v>37.699999999999996</v>
      </c>
      <c r="G32" s="246">
        <f t="shared" si="1"/>
        <v>37.699999999999996</v>
      </c>
      <c r="H32" s="250">
        <f t="shared" si="2"/>
        <v>2.3767494641281049E-2</v>
      </c>
      <c r="I32" s="259">
        <f t="shared" si="3"/>
        <v>35.1</v>
      </c>
      <c r="J32" s="256">
        <f t="shared" si="4"/>
        <v>2.5999999999999943</v>
      </c>
    </row>
    <row r="33" spans="1:10" s="35" customFormat="1" ht="12.75" customHeight="1" x14ac:dyDescent="0.2">
      <c r="A33" s="251" t="s">
        <v>255</v>
      </c>
      <c r="B33" s="262">
        <v>65.599999999999994</v>
      </c>
      <c r="C33" s="246"/>
      <c r="D33" s="246"/>
      <c r="E33" s="246">
        <v>-13.2</v>
      </c>
      <c r="F33" s="262">
        <f t="shared" si="0"/>
        <v>52.399999999999991</v>
      </c>
      <c r="G33" s="246">
        <f t="shared" si="1"/>
        <v>52.399999999999991</v>
      </c>
      <c r="H33" s="250">
        <f t="shared" si="2"/>
        <v>3.3034926238809735E-2</v>
      </c>
      <c r="I33" s="259">
        <f t="shared" si="3"/>
        <v>48.8</v>
      </c>
      <c r="J33" s="256">
        <f t="shared" si="4"/>
        <v>3.5999999999999943</v>
      </c>
    </row>
    <row r="34" spans="1:10" s="35" customFormat="1" ht="12.75" customHeight="1" x14ac:dyDescent="0.2">
      <c r="A34" s="251" t="s">
        <v>256</v>
      </c>
      <c r="B34" s="262">
        <v>0.8</v>
      </c>
      <c r="C34" s="246"/>
      <c r="D34" s="246"/>
      <c r="E34" s="246">
        <v>-0.5</v>
      </c>
      <c r="F34" s="262">
        <f t="shared" si="0"/>
        <v>0.30000000000000004</v>
      </c>
      <c r="G34" s="246">
        <f t="shared" si="1"/>
        <v>0.30000000000000004</v>
      </c>
      <c r="H34" s="250">
        <f t="shared" si="2"/>
        <v>1.8913125709242218E-4</v>
      </c>
      <c r="I34" s="259">
        <f t="shared" si="3"/>
        <v>0.3</v>
      </c>
      <c r="J34" s="256">
        <f t="shared" si="4"/>
        <v>0</v>
      </c>
    </row>
    <row r="35" spans="1:10" s="35" customFormat="1" ht="12.75" customHeight="1" x14ac:dyDescent="0.2">
      <c r="A35" s="251" t="s">
        <v>257</v>
      </c>
      <c r="B35" s="262">
        <v>82.3</v>
      </c>
      <c r="C35" s="246"/>
      <c r="D35" s="246"/>
      <c r="E35" s="246">
        <v>-1.2</v>
      </c>
      <c r="F35" s="262">
        <f t="shared" si="0"/>
        <v>81.099999999999994</v>
      </c>
      <c r="G35" s="246">
        <f t="shared" si="1"/>
        <v>81.099999999999994</v>
      </c>
      <c r="H35" s="250">
        <f t="shared" si="2"/>
        <v>5.112848316731812E-2</v>
      </c>
      <c r="I35" s="259">
        <f t="shared" si="3"/>
        <v>75.5</v>
      </c>
      <c r="J35" s="256">
        <f t="shared" si="4"/>
        <v>5.5999999999999943</v>
      </c>
    </row>
    <row r="36" spans="1:10" s="35" customFormat="1" ht="12.75" customHeight="1" x14ac:dyDescent="0.2">
      <c r="A36" s="251" t="s">
        <v>258</v>
      </c>
      <c r="B36" s="262">
        <v>32.700000000000003</v>
      </c>
      <c r="C36" s="246"/>
      <c r="D36" s="246"/>
      <c r="E36" s="246">
        <v>-5.0999999999999996</v>
      </c>
      <c r="F36" s="262">
        <f t="shared" si="0"/>
        <v>27.6</v>
      </c>
      <c r="G36" s="246">
        <f t="shared" si="1"/>
        <v>27.6</v>
      </c>
      <c r="H36" s="250">
        <f t="shared" si="2"/>
        <v>1.7400075652502841E-2</v>
      </c>
      <c r="I36" s="259">
        <f t="shared" si="3"/>
        <v>25.7</v>
      </c>
      <c r="J36" s="256">
        <f t="shared" si="4"/>
        <v>1.9000000000000021</v>
      </c>
    </row>
    <row r="37" spans="1:10" s="35" customFormat="1" ht="12.75" customHeight="1" x14ac:dyDescent="0.2">
      <c r="A37" s="251" t="s">
        <v>259</v>
      </c>
      <c r="B37" s="262">
        <v>0.4</v>
      </c>
      <c r="C37" s="246"/>
      <c r="D37" s="246"/>
      <c r="E37" s="246">
        <v>-0.4</v>
      </c>
      <c r="F37" s="262">
        <f t="shared" si="0"/>
        <v>0</v>
      </c>
      <c r="G37" s="246">
        <v>0</v>
      </c>
      <c r="H37" s="250">
        <f t="shared" si="2"/>
        <v>0</v>
      </c>
      <c r="I37" s="259">
        <f t="shared" si="3"/>
        <v>0</v>
      </c>
      <c r="J37" s="256">
        <f t="shared" si="4"/>
        <v>0</v>
      </c>
    </row>
    <row r="38" spans="1:10" x14ac:dyDescent="0.2">
      <c r="A38" s="249" t="s">
        <v>28</v>
      </c>
      <c r="B38" s="262" t="s">
        <v>45</v>
      </c>
      <c r="C38" s="246" t="s">
        <v>45</v>
      </c>
      <c r="D38" s="246" t="s">
        <v>45</v>
      </c>
      <c r="E38" s="246" t="s">
        <v>45</v>
      </c>
      <c r="F38" s="262"/>
      <c r="G38" s="246"/>
      <c r="H38" s="250"/>
      <c r="I38" s="259"/>
      <c r="J38" s="255"/>
    </row>
    <row r="39" spans="1:10" x14ac:dyDescent="0.2">
      <c r="A39" s="249" t="s">
        <v>29</v>
      </c>
      <c r="B39" s="262">
        <v>7.4</v>
      </c>
      <c r="C39" s="246" t="s">
        <v>45</v>
      </c>
      <c r="D39" s="246" t="s">
        <v>45</v>
      </c>
      <c r="E39" s="246" t="s">
        <v>45</v>
      </c>
      <c r="F39" s="262">
        <v>7.4</v>
      </c>
      <c r="G39" s="246">
        <v>7.4</v>
      </c>
      <c r="H39" s="250">
        <v>4.6652376749464139E-3</v>
      </c>
      <c r="I39" s="259">
        <v>6.9</v>
      </c>
      <c r="J39" s="255">
        <v>0.5</v>
      </c>
    </row>
    <row r="40" spans="1:10" x14ac:dyDescent="0.2">
      <c r="A40" s="248"/>
      <c r="B40" s="262"/>
      <c r="C40" s="246"/>
      <c r="D40" s="246"/>
      <c r="E40" s="246"/>
      <c r="F40" s="262"/>
      <c r="G40" s="246"/>
      <c r="H40" s="246"/>
      <c r="I40" s="259"/>
      <c r="J40" s="255"/>
    </row>
    <row r="41" spans="1:10" x14ac:dyDescent="0.2">
      <c r="A41" s="249" t="s">
        <v>30</v>
      </c>
      <c r="B41" s="262"/>
      <c r="C41" s="246"/>
      <c r="D41" s="246"/>
      <c r="E41" s="246"/>
      <c r="F41" s="262"/>
      <c r="G41" s="246"/>
      <c r="H41" s="246"/>
      <c r="I41" s="259"/>
      <c r="J41" s="255"/>
    </row>
    <row r="42" spans="1:10" x14ac:dyDescent="0.2">
      <c r="A42" s="248" t="s">
        <v>3</v>
      </c>
      <c r="B42" s="262">
        <v>2892</v>
      </c>
      <c r="C42" s="246">
        <v>0</v>
      </c>
      <c r="D42" s="246">
        <v>-745</v>
      </c>
      <c r="E42" s="246">
        <v>-149.50000000000003</v>
      </c>
      <c r="F42" s="262">
        <v>1997.4999999999998</v>
      </c>
      <c r="G42" s="246"/>
      <c r="H42" s="246"/>
      <c r="I42" s="259"/>
      <c r="J42" s="255"/>
    </row>
    <row r="43" spans="1:10" x14ac:dyDescent="0.2">
      <c r="A43" s="248" t="s">
        <v>17</v>
      </c>
      <c r="B43" s="262">
        <v>521</v>
      </c>
      <c r="C43" s="246"/>
      <c r="D43" s="246"/>
      <c r="E43" s="246"/>
      <c r="F43" s="262">
        <v>521</v>
      </c>
      <c r="G43" s="246"/>
      <c r="H43" s="246"/>
      <c r="I43" s="259"/>
      <c r="J43" s="255"/>
    </row>
    <row r="44" spans="1:10" ht="25.5" x14ac:dyDescent="0.2">
      <c r="A44" s="248" t="s">
        <v>2</v>
      </c>
      <c r="B44" s="262">
        <v>2371</v>
      </c>
      <c r="C44" s="246"/>
      <c r="D44" s="246"/>
      <c r="E44" s="246"/>
      <c r="F44" s="262">
        <v>1476.4999999999998</v>
      </c>
      <c r="G44" s="246"/>
      <c r="H44" s="246"/>
      <c r="I44" s="260">
        <f>I8+I10+I15+I16+I39</f>
        <v>1476.5315281805574</v>
      </c>
      <c r="J44" s="255"/>
    </row>
    <row r="45" spans="1:10" ht="25.5" x14ac:dyDescent="0.2">
      <c r="A45" s="248" t="s">
        <v>7</v>
      </c>
      <c r="B45" s="262"/>
      <c r="C45" s="246"/>
      <c r="D45" s="246"/>
      <c r="E45" s="246"/>
      <c r="F45" s="262"/>
      <c r="G45" s="246"/>
      <c r="H45" s="246">
        <v>1</v>
      </c>
      <c r="I45" s="259"/>
      <c r="J45" s="255"/>
    </row>
    <row r="46" spans="1:10" ht="25.5" x14ac:dyDescent="0.2">
      <c r="A46" s="248" t="s">
        <v>115</v>
      </c>
      <c r="B46" s="262"/>
      <c r="C46" s="246"/>
      <c r="D46" s="246"/>
      <c r="E46" s="246"/>
      <c r="F46" s="262"/>
      <c r="G46" s="246"/>
      <c r="H46" s="246"/>
      <c r="I46" s="259"/>
      <c r="J46" s="255">
        <v>521.00000000000011</v>
      </c>
    </row>
    <row r="47" spans="1:10" ht="39" thickBot="1" x14ac:dyDescent="0.25">
      <c r="A47" s="252" t="s">
        <v>227</v>
      </c>
      <c r="B47" s="263"/>
      <c r="C47" s="253"/>
      <c r="D47" s="253"/>
      <c r="E47" s="253"/>
      <c r="F47" s="263"/>
      <c r="G47" s="253"/>
      <c r="H47" s="253"/>
      <c r="I47" s="261"/>
      <c r="J47" s="257">
        <v>36.100000000000037</v>
      </c>
    </row>
    <row r="50" spans="1:14" ht="21" customHeight="1" thickBot="1" x14ac:dyDescent="0.25"/>
    <row r="51" spans="1:14" ht="38.25" x14ac:dyDescent="0.2">
      <c r="A51" s="274" t="s">
        <v>268</v>
      </c>
      <c r="B51" s="275" t="s">
        <v>237</v>
      </c>
      <c r="C51" s="275" t="s">
        <v>239</v>
      </c>
      <c r="D51" s="275" t="s">
        <v>88</v>
      </c>
      <c r="E51" s="275" t="s">
        <v>240</v>
      </c>
      <c r="F51" s="275" t="s">
        <v>238</v>
      </c>
      <c r="G51" s="276" t="s">
        <v>241</v>
      </c>
      <c r="J51" s="1177" t="s">
        <v>262</v>
      </c>
      <c r="K51" s="1179" t="s">
        <v>261</v>
      </c>
      <c r="L51" s="1180"/>
      <c r="M51" s="1181"/>
    </row>
    <row r="52" spans="1:14" x14ac:dyDescent="0.2">
      <c r="A52" s="39" t="s">
        <v>269</v>
      </c>
      <c r="B52" s="18">
        <v>359.9644607981038</v>
      </c>
      <c r="C52" s="18"/>
      <c r="D52" s="18">
        <v>772.9758702902011</v>
      </c>
      <c r="E52" s="18"/>
      <c r="F52" s="18">
        <v>1391.32713474821</v>
      </c>
      <c r="G52" s="37"/>
      <c r="J52" s="1178"/>
      <c r="K52" s="266" t="s">
        <v>65</v>
      </c>
      <c r="L52" s="266" t="s">
        <v>263</v>
      </c>
      <c r="M52" s="267" t="s">
        <v>264</v>
      </c>
    </row>
    <row r="53" spans="1:14" x14ac:dyDescent="0.2">
      <c r="A53" s="39" t="s">
        <v>270</v>
      </c>
      <c r="B53" s="18">
        <v>28.78446430536</v>
      </c>
      <c r="C53" s="271">
        <f>B53/B$52</f>
        <v>7.996473941216263E-2</v>
      </c>
      <c r="D53" s="18">
        <v>90.492402508200001</v>
      </c>
      <c r="E53" s="30">
        <f>D53/D$52</f>
        <v>0.11707015184604161</v>
      </c>
      <c r="F53" s="18">
        <v>97.46691685559999</v>
      </c>
      <c r="G53" s="231">
        <f>F53/F$52</f>
        <v>7.005319915164214E-2</v>
      </c>
      <c r="J53" s="26">
        <v>39</v>
      </c>
      <c r="K53" s="31">
        <v>7.1524257538406539</v>
      </c>
      <c r="L53" s="31">
        <v>11.670096650939449</v>
      </c>
      <c r="M53" s="28">
        <v>3.3953117829856052</v>
      </c>
    </row>
    <row r="54" spans="1:14" x14ac:dyDescent="0.2">
      <c r="A54" s="39" t="s">
        <v>271</v>
      </c>
      <c r="B54" s="18">
        <v>136.887056303782</v>
      </c>
      <c r="C54" s="271">
        <f t="shared" ref="C54:C58" si="5">B54/B$52</f>
        <v>0.38027936424690256</v>
      </c>
      <c r="D54" s="18">
        <v>200.693735541395</v>
      </c>
      <c r="E54" s="30">
        <f t="shared" ref="E54:E58" si="6">D54/D$52</f>
        <v>0.25963777558288831</v>
      </c>
      <c r="F54" s="18">
        <v>534.08864889869005</v>
      </c>
      <c r="G54" s="231">
        <f t="shared" ref="G54:G58" si="7">F54/F$52</f>
        <v>0.38386992933573788</v>
      </c>
      <c r="J54" s="26">
        <v>40</v>
      </c>
      <c r="K54" s="31">
        <v>136.11196581598219</v>
      </c>
      <c r="L54" s="31">
        <v>75.568949103894084</v>
      </c>
      <c r="M54" s="28">
        <v>5.6232380463364109</v>
      </c>
    </row>
    <row r="55" spans="1:14" x14ac:dyDescent="0.2">
      <c r="A55" s="39" t="s">
        <v>272</v>
      </c>
      <c r="B55" s="18">
        <v>19.961024890964801</v>
      </c>
      <c r="C55" s="271">
        <f t="shared" si="5"/>
        <v>5.5452765661109259E-2</v>
      </c>
      <c r="D55" s="18">
        <v>361.31779781571998</v>
      </c>
      <c r="E55" s="30">
        <f t="shared" si="6"/>
        <v>0.46743735697735189</v>
      </c>
      <c r="F55" s="18">
        <v>273.96177014147997</v>
      </c>
      <c r="G55" s="231">
        <f t="shared" si="7"/>
        <v>0.19690679732991703</v>
      </c>
      <c r="J55" s="26">
        <v>41</v>
      </c>
      <c r="K55" s="31">
        <v>10.824126158229801</v>
      </c>
      <c r="L55" s="31">
        <v>36.764724938360708</v>
      </c>
      <c r="M55" s="28">
        <v>6.7424490733929066</v>
      </c>
    </row>
    <row r="56" spans="1:14" x14ac:dyDescent="0.2">
      <c r="A56" s="39" t="s">
        <v>273</v>
      </c>
      <c r="B56" s="18">
        <v>15.855377417749999</v>
      </c>
      <c r="C56" s="271">
        <f t="shared" si="5"/>
        <v>4.4047063375634E-2</v>
      </c>
      <c r="D56" s="18">
        <v>58.069062473700001</v>
      </c>
      <c r="E56" s="30">
        <f t="shared" si="6"/>
        <v>7.5124030006135795E-2</v>
      </c>
      <c r="F56" s="18">
        <v>84.079920425300003</v>
      </c>
      <c r="G56" s="231">
        <f t="shared" si="7"/>
        <v>6.0431453053286448E-2</v>
      </c>
      <c r="J56" s="26">
        <v>42</v>
      </c>
      <c r="K56" s="31">
        <v>7.741990747409238</v>
      </c>
      <c r="L56" s="31">
        <v>12.541768502810509</v>
      </c>
      <c r="M56" s="28">
        <v>1.070720510265337</v>
      </c>
    </row>
    <row r="57" spans="1:14" x14ac:dyDescent="0.2">
      <c r="A57" s="39" t="s">
        <v>277</v>
      </c>
      <c r="B57" s="18">
        <v>47.238896564850002</v>
      </c>
      <c r="C57" s="271">
        <f t="shared" si="5"/>
        <v>0.13123211235940668</v>
      </c>
      <c r="D57" s="18">
        <v>37.813316186430001</v>
      </c>
      <c r="E57" s="30">
        <f t="shared" si="6"/>
        <v>4.8919141773770519E-2</v>
      </c>
      <c r="F57" s="18">
        <v>281.89880755359997</v>
      </c>
      <c r="G57" s="231">
        <f t="shared" si="7"/>
        <v>0.20261144953851237</v>
      </c>
      <c r="J57" s="26">
        <v>43</v>
      </c>
      <c r="K57" s="31">
        <v>37.683127245169807</v>
      </c>
      <c r="L57" s="31">
        <v>52.389486068057387</v>
      </c>
      <c r="M57" s="28">
        <v>0.28980144842430827</v>
      </c>
    </row>
    <row r="58" spans="1:14" ht="13.5" thickBot="1" x14ac:dyDescent="0.25">
      <c r="A58" s="277" t="s">
        <v>278</v>
      </c>
      <c r="B58" s="42">
        <v>111.23764131539701</v>
      </c>
      <c r="C58" s="272">
        <f t="shared" si="5"/>
        <v>0.30902395494478491</v>
      </c>
      <c r="D58" s="42">
        <v>24.589555764756</v>
      </c>
      <c r="E58" s="273">
        <f t="shared" si="6"/>
        <v>3.1811543813811752E-2</v>
      </c>
      <c r="F58" s="42">
        <v>119.83107087354</v>
      </c>
      <c r="G58" s="232">
        <f t="shared" si="7"/>
        <v>8.6127171590904078E-2</v>
      </c>
      <c r="J58" s="26">
        <v>44</v>
      </c>
      <c r="K58" s="31">
        <v>81.102186903686686</v>
      </c>
      <c r="L58" s="31">
        <v>27.56891181078187</v>
      </c>
      <c r="M58" s="28">
        <v>4.7993949136864611E-2</v>
      </c>
    </row>
    <row r="59" spans="1:14" ht="13.5" thickBot="1" x14ac:dyDescent="0.25">
      <c r="J59" s="268" t="s">
        <v>265</v>
      </c>
      <c r="K59" s="269">
        <v>280.61582262431835</v>
      </c>
      <c r="L59" s="269">
        <v>216.50393707484398</v>
      </c>
      <c r="M59" s="270">
        <v>17.169514810541433</v>
      </c>
    </row>
    <row r="60" spans="1:14" ht="13.5" thickBot="1" x14ac:dyDescent="0.25"/>
    <row r="61" spans="1:14" ht="25.5" x14ac:dyDescent="0.2">
      <c r="A61" s="281" t="s">
        <v>33</v>
      </c>
      <c r="B61" s="282" t="s">
        <v>232</v>
      </c>
      <c r="C61" s="282" t="s">
        <v>233</v>
      </c>
      <c r="D61" s="282" t="s">
        <v>234</v>
      </c>
      <c r="E61" s="282" t="s">
        <v>235</v>
      </c>
      <c r="F61" s="282" t="s">
        <v>236</v>
      </c>
      <c r="G61" s="283" t="s">
        <v>267</v>
      </c>
      <c r="J61" s="287" t="s">
        <v>279</v>
      </c>
      <c r="K61" s="282" t="s">
        <v>65</v>
      </c>
      <c r="L61" s="282" t="s">
        <v>66</v>
      </c>
      <c r="M61" s="282" t="s">
        <v>67</v>
      </c>
      <c r="N61" s="283" t="s">
        <v>280</v>
      </c>
    </row>
    <row r="62" spans="1:14" x14ac:dyDescent="0.2">
      <c r="A62" s="26" t="s">
        <v>40</v>
      </c>
      <c r="B62" s="82" t="s">
        <v>56</v>
      </c>
      <c r="C62" s="18">
        <v>39</v>
      </c>
      <c r="D62" s="18">
        <v>26.2374001558</v>
      </c>
      <c r="E62" s="18">
        <v>0.91151253945394051</v>
      </c>
      <c r="F62" s="30">
        <v>0.91151253945394051</v>
      </c>
      <c r="G62" s="278">
        <f>F62*I$20</f>
        <v>6.0159827603960068</v>
      </c>
      <c r="J62" s="39" t="s">
        <v>40</v>
      </c>
      <c r="K62" s="31">
        <f>G62+G65+G68+G71+G74</f>
        <v>110.07854883762758</v>
      </c>
      <c r="L62" s="31">
        <f>G63+G66+G69+G72+G75</f>
        <v>89.264228514894256</v>
      </c>
      <c r="M62" s="31">
        <f>G64+G67+G70+G73+G76</f>
        <v>1.9927798109894046</v>
      </c>
      <c r="N62" s="28">
        <f>SUM(K62:M62)</f>
        <v>201.33555716351125</v>
      </c>
    </row>
    <row r="63" spans="1:14" x14ac:dyDescent="0.2">
      <c r="A63" s="26" t="s">
        <v>40</v>
      </c>
      <c r="B63" s="18" t="s">
        <v>238</v>
      </c>
      <c r="C63" s="18">
        <v>39</v>
      </c>
      <c r="D63" s="18">
        <v>67.111885185199995</v>
      </c>
      <c r="E63" s="18">
        <v>0.68856066602197097</v>
      </c>
      <c r="F63" s="30">
        <v>0.68856066602197097</v>
      </c>
      <c r="G63" s="278">
        <f>F63*I$21</f>
        <v>7.505311259639484</v>
      </c>
      <c r="J63" s="265" t="s">
        <v>41</v>
      </c>
      <c r="K63" s="31">
        <f>G77+G80+G81</f>
        <v>31.107746790496513</v>
      </c>
      <c r="L63" s="31">
        <f>G78+G82</f>
        <v>1.0097241088839242</v>
      </c>
      <c r="M63" s="31">
        <f>G79+G83</f>
        <v>5.4174247133376308E-3</v>
      </c>
      <c r="N63" s="28">
        <f t="shared" ref="N63:N65" si="8">SUM(K63:M63)</f>
        <v>32.122888324093772</v>
      </c>
    </row>
    <row r="64" spans="1:14" x14ac:dyDescent="0.2">
      <c r="A64" s="26" t="s">
        <v>40</v>
      </c>
      <c r="B64" s="18" t="s">
        <v>88</v>
      </c>
      <c r="C64" s="18">
        <v>39</v>
      </c>
      <c r="D64" s="18">
        <v>11.242236952000001</v>
      </c>
      <c r="E64" s="18">
        <v>0.12423404220018672</v>
      </c>
      <c r="F64" s="30">
        <v>0.12423404220018672</v>
      </c>
      <c r="G64" s="278">
        <f>F64*I$22</f>
        <v>0.39754893504059752</v>
      </c>
      <c r="J64" s="265" t="s">
        <v>36</v>
      </c>
      <c r="K64" s="31">
        <f>G84+G87+G90+G93+G96+G99</f>
        <v>5.617343816371104</v>
      </c>
      <c r="L64" s="31">
        <f>G85+G88+G91+G94+G97+G100</f>
        <v>48.81255449981564</v>
      </c>
      <c r="M64" s="31">
        <f>G86+G89+G92+G95+G98+G101</f>
        <v>10.649470601866998</v>
      </c>
      <c r="N64" s="28">
        <f t="shared" si="8"/>
        <v>65.079368918053746</v>
      </c>
    </row>
    <row r="65" spans="1:14" x14ac:dyDescent="0.2">
      <c r="A65" s="26" t="s">
        <v>40</v>
      </c>
      <c r="B65" s="82" t="s">
        <v>56</v>
      </c>
      <c r="C65" s="18">
        <v>41</v>
      </c>
      <c r="D65" s="18">
        <v>5.7158500699400001</v>
      </c>
      <c r="E65" s="18">
        <v>0.28635053065472776</v>
      </c>
      <c r="F65" s="30">
        <v>0.28635053065472776</v>
      </c>
      <c r="G65" s="278">
        <f>F65*I$26</f>
        <v>2.8921403596127502</v>
      </c>
      <c r="J65" s="265" t="s">
        <v>43</v>
      </c>
      <c r="K65" s="31">
        <f>G102+G105</f>
        <v>114.48976592818057</v>
      </c>
      <c r="L65" s="31">
        <f>G103+G106</f>
        <v>62.513492876406161</v>
      </c>
      <c r="M65" s="31">
        <f>G104+G107</f>
        <v>3.2523321624302612</v>
      </c>
      <c r="N65" s="28">
        <f t="shared" si="8"/>
        <v>180.25559096701699</v>
      </c>
    </row>
    <row r="66" spans="1:14" ht="13.5" thickBot="1" x14ac:dyDescent="0.25">
      <c r="A66" s="26" t="s">
        <v>40</v>
      </c>
      <c r="B66" s="18" t="s">
        <v>238</v>
      </c>
      <c r="C66" s="18">
        <v>41</v>
      </c>
      <c r="D66" s="18">
        <v>44.727791092399997</v>
      </c>
      <c r="E66" s="18">
        <v>0.16326289273609806</v>
      </c>
      <c r="F66" s="30">
        <v>0.16326289273609806</v>
      </c>
      <c r="G66" s="278">
        <f>F66*I$27</f>
        <v>5.5999172208481633</v>
      </c>
      <c r="J66" s="63"/>
      <c r="K66" s="42"/>
      <c r="L66" s="42"/>
      <c r="M66" s="279" t="s">
        <v>15</v>
      </c>
      <c r="N66" s="317">
        <f>SUM(N62:N65)</f>
        <v>478.79340537267575</v>
      </c>
    </row>
    <row r="67" spans="1:14" ht="13.5" thickBot="1" x14ac:dyDescent="0.25">
      <c r="A67" s="26" t="s">
        <v>40</v>
      </c>
      <c r="B67" s="18" t="s">
        <v>88</v>
      </c>
      <c r="C67" s="18">
        <v>41</v>
      </c>
      <c r="D67" s="18">
        <v>42.244646755799998</v>
      </c>
      <c r="E67" s="18">
        <v>0.11691825592645091</v>
      </c>
      <c r="F67" s="30">
        <v>0.11691825592645091</v>
      </c>
      <c r="G67" s="278">
        <f>F67*I$28</f>
        <v>0.72489318674399572</v>
      </c>
    </row>
    <row r="68" spans="1:14" ht="16.899999999999999" customHeight="1" x14ac:dyDescent="0.2">
      <c r="A68" s="26" t="s">
        <v>40</v>
      </c>
      <c r="B68" s="82" t="s">
        <v>56</v>
      </c>
      <c r="C68" s="18">
        <v>42</v>
      </c>
      <c r="D68" s="18">
        <v>10.4390713203</v>
      </c>
      <c r="E68" s="18">
        <v>0.65839311454128635</v>
      </c>
      <c r="F68" s="30">
        <v>0.65839311454128635</v>
      </c>
      <c r="G68" s="278">
        <f>F68*I$29</f>
        <v>4.7404304246972622</v>
      </c>
      <c r="J68" s="318" t="s">
        <v>279</v>
      </c>
      <c r="K68" s="319" t="s">
        <v>326</v>
      </c>
      <c r="L68" s="320" t="s">
        <v>281</v>
      </c>
      <c r="M68" s="321" t="s">
        <v>325</v>
      </c>
    </row>
    <row r="69" spans="1:14" x14ac:dyDescent="0.2">
      <c r="A69" s="26" t="s">
        <v>40</v>
      </c>
      <c r="B69" s="18" t="s">
        <v>238</v>
      </c>
      <c r="C69" s="18">
        <v>42</v>
      </c>
      <c r="D69" s="18">
        <v>57.358128529600002</v>
      </c>
      <c r="E69" s="18">
        <v>0.68218580892401393</v>
      </c>
      <c r="F69" s="30">
        <v>0.68218580892401393</v>
      </c>
      <c r="G69" s="278">
        <f>F69*I$30</f>
        <v>7.913355383518561</v>
      </c>
      <c r="J69" s="36" t="s">
        <v>40</v>
      </c>
      <c r="K69" s="31">
        <v>211.89429373246139</v>
      </c>
      <c r="L69" s="40">
        <f>N62</f>
        <v>201.33555716351125</v>
      </c>
      <c r="M69" s="28">
        <f>L69-K69</f>
        <v>-10.558736568950138</v>
      </c>
    </row>
    <row r="70" spans="1:14" x14ac:dyDescent="0.2">
      <c r="A70" s="26" t="s">
        <v>40</v>
      </c>
      <c r="B70" s="18" t="s">
        <v>88</v>
      </c>
      <c r="C70" s="18">
        <v>42</v>
      </c>
      <c r="D70" s="18">
        <v>34.059983723400002</v>
      </c>
      <c r="E70" s="18">
        <v>0.58654268335787363</v>
      </c>
      <c r="F70" s="30">
        <v>0.58654268335787363</v>
      </c>
      <c r="G70" s="278">
        <f>F70*I$31</f>
        <v>0.58654268335787363</v>
      </c>
      <c r="J70" s="36" t="s">
        <v>41</v>
      </c>
      <c r="K70" s="31">
        <v>28.985280656211735</v>
      </c>
      <c r="L70" s="40">
        <f>N63</f>
        <v>32.122888324093772</v>
      </c>
      <c r="M70" s="28">
        <f t="shared" ref="M70:M72" si="9">L70-K70</f>
        <v>3.1376076678820368</v>
      </c>
    </row>
    <row r="71" spans="1:14" x14ac:dyDescent="0.2">
      <c r="A71" s="26" t="s">
        <v>40</v>
      </c>
      <c r="B71" s="82" t="s">
        <v>56</v>
      </c>
      <c r="C71" s="18">
        <v>43</v>
      </c>
      <c r="D71" s="18">
        <v>44.810395880400002</v>
      </c>
      <c r="E71" s="18">
        <v>0.94859107936367371</v>
      </c>
      <c r="F71" s="30">
        <v>0.94859107936367371</v>
      </c>
      <c r="G71" s="278">
        <f>F71*I$32</f>
        <v>33.295546885664947</v>
      </c>
      <c r="J71" s="36" t="s">
        <v>36</v>
      </c>
      <c r="K71" s="31">
        <v>72.339687089196588</v>
      </c>
      <c r="L71" s="40">
        <f>N64</f>
        <v>65.079368918053746</v>
      </c>
      <c r="M71" s="28">
        <f t="shared" si="9"/>
        <v>-7.2603181711428419</v>
      </c>
    </row>
    <row r="72" spans="1:14" x14ac:dyDescent="0.2">
      <c r="A72" s="26" t="s">
        <v>40</v>
      </c>
      <c r="B72" s="18" t="s">
        <v>238</v>
      </c>
      <c r="C72" s="18">
        <v>43</v>
      </c>
      <c r="D72" s="18">
        <v>264.47106836299997</v>
      </c>
      <c r="E72" s="18">
        <v>0.93817732206161852</v>
      </c>
      <c r="F72" s="30">
        <v>0.93817732206161852</v>
      </c>
      <c r="G72" s="278">
        <f>F72*I$33</f>
        <v>45.783053316606981</v>
      </c>
      <c r="J72" s="36" t="s">
        <v>43</v>
      </c>
      <c r="K72" s="31">
        <v>165.52101224421969</v>
      </c>
      <c r="L72" s="40">
        <f>N65</f>
        <v>180.25559096701699</v>
      </c>
      <c r="M72" s="28">
        <f t="shared" si="9"/>
        <v>14.734578722797295</v>
      </c>
    </row>
    <row r="73" spans="1:14" ht="13.5" thickBot="1" x14ac:dyDescent="0.25">
      <c r="A73" s="26" t="s">
        <v>40</v>
      </c>
      <c r="B73" s="18" t="s">
        <v>88</v>
      </c>
      <c r="C73" s="18">
        <v>43</v>
      </c>
      <c r="D73" s="18">
        <v>35.770767627399998</v>
      </c>
      <c r="E73" s="18">
        <v>0.94598335282312507</v>
      </c>
      <c r="F73" s="30">
        <v>0.94598335282312507</v>
      </c>
      <c r="G73" s="278">
        <f>F73*I$34</f>
        <v>0.28379500584693751</v>
      </c>
      <c r="J73" s="59" t="s">
        <v>15</v>
      </c>
      <c r="K73" s="46">
        <v>478.74027372208946</v>
      </c>
      <c r="L73" s="191">
        <f>SUM(L69:L72)</f>
        <v>478.79340537267575</v>
      </c>
      <c r="M73" s="233"/>
    </row>
    <row r="74" spans="1:14" x14ac:dyDescent="0.2">
      <c r="A74" s="26" t="s">
        <v>40</v>
      </c>
      <c r="B74" s="82" t="s">
        <v>56</v>
      </c>
      <c r="C74" s="18">
        <v>44</v>
      </c>
      <c r="D74" s="18">
        <v>93.018902338700002</v>
      </c>
      <c r="E74" s="18">
        <v>0.83621785969876317</v>
      </c>
      <c r="F74" s="30">
        <v>0.83621785969876317</v>
      </c>
      <c r="G74" s="278">
        <f>F74*I$35</f>
        <v>63.13444840725662</v>
      </c>
      <c r="J74" s="303" t="s">
        <v>283</v>
      </c>
    </row>
    <row r="75" spans="1:14" x14ac:dyDescent="0.2">
      <c r="A75" s="26" t="s">
        <v>40</v>
      </c>
      <c r="B75" s="18" t="s">
        <v>238</v>
      </c>
      <c r="C75" s="18">
        <v>44</v>
      </c>
      <c r="D75" s="18">
        <v>104.736045688</v>
      </c>
      <c r="E75" s="18">
        <v>0.87403079121716221</v>
      </c>
      <c r="F75" s="30">
        <v>0.87403079121716221</v>
      </c>
      <c r="G75" s="278">
        <f>F75*I$36</f>
        <v>22.462591334281068</v>
      </c>
    </row>
    <row r="76" spans="1:14" x14ac:dyDescent="0.2">
      <c r="A76" s="26" t="s">
        <v>40</v>
      </c>
      <c r="B76" s="18" t="s">
        <v>88</v>
      </c>
      <c r="C76" s="18">
        <v>44</v>
      </c>
      <c r="D76" s="18">
        <v>24.029177715700001</v>
      </c>
      <c r="E76" s="18">
        <v>0.97721072904215767</v>
      </c>
      <c r="F76" s="30">
        <v>0.97721072904215767</v>
      </c>
      <c r="G76" s="278">
        <f>F76*I$37</f>
        <v>0</v>
      </c>
    </row>
    <row r="77" spans="1:14" x14ac:dyDescent="0.2">
      <c r="A77" s="26" t="s">
        <v>41</v>
      </c>
      <c r="B77" s="18" t="s">
        <v>237</v>
      </c>
      <c r="C77" s="18">
        <v>40</v>
      </c>
      <c r="D77" s="18">
        <v>20.139705663099999</v>
      </c>
      <c r="E77" s="18">
        <v>0.14712644282747694</v>
      </c>
      <c r="F77" s="30">
        <v>0.14712644282747694</v>
      </c>
      <c r="G77" s="278">
        <f>F77*I$23</f>
        <v>18.64092030624133</v>
      </c>
    </row>
    <row r="78" spans="1:14" x14ac:dyDescent="0.2">
      <c r="A78" s="26" t="s">
        <v>41</v>
      </c>
      <c r="B78" s="18" t="s">
        <v>238</v>
      </c>
      <c r="C78" s="18">
        <v>40</v>
      </c>
      <c r="D78" s="18">
        <v>2.8491218461900001</v>
      </c>
      <c r="E78" s="18">
        <v>5.3345485848931475E-3</v>
      </c>
      <c r="F78" s="30">
        <v>5.3345485848931475E-3</v>
      </c>
      <c r="G78" s="278">
        <f>F78*I$24</f>
        <v>0.37501876551798824</v>
      </c>
    </row>
    <row r="79" spans="1:14" x14ac:dyDescent="0.2">
      <c r="A79" s="26" t="s">
        <v>41</v>
      </c>
      <c r="B79" s="18" t="s">
        <v>88</v>
      </c>
      <c r="C79" s="18">
        <v>40</v>
      </c>
      <c r="D79" s="18">
        <v>0.20908523129500001</v>
      </c>
      <c r="E79" s="18">
        <v>1.0418124448726212E-3</v>
      </c>
      <c r="F79" s="30">
        <v>1.0418124448726212E-3</v>
      </c>
      <c r="G79" s="278">
        <f>F79*I$25</f>
        <v>5.4174247133376308E-3</v>
      </c>
    </row>
    <row r="80" spans="1:14" x14ac:dyDescent="0.2">
      <c r="A80" s="26" t="s">
        <v>41</v>
      </c>
      <c r="B80" s="82" t="s">
        <v>56</v>
      </c>
      <c r="C80" s="18">
        <v>41</v>
      </c>
      <c r="D80" s="18">
        <v>1.03007960477</v>
      </c>
      <c r="E80" s="18">
        <v>5.1604544876663994E-2</v>
      </c>
      <c r="F80" s="30">
        <v>5.1604544876663994E-2</v>
      </c>
      <c r="G80" s="278">
        <f>F80*I$26</f>
        <v>0.52120590325430627</v>
      </c>
    </row>
    <row r="81" spans="1:7" x14ac:dyDescent="0.2">
      <c r="A81" s="26" t="s">
        <v>41</v>
      </c>
      <c r="B81" s="82" t="s">
        <v>56</v>
      </c>
      <c r="C81" s="18">
        <v>44</v>
      </c>
      <c r="D81" s="18">
        <v>17.600035198400001</v>
      </c>
      <c r="E81" s="18">
        <v>0.15822014014570698</v>
      </c>
      <c r="F81" s="30">
        <v>0.15822014014570698</v>
      </c>
      <c r="G81" s="278">
        <f>F81*I$35</f>
        <v>11.945620581000878</v>
      </c>
    </row>
    <row r="82" spans="1:7" x14ac:dyDescent="0.2">
      <c r="A82" s="26" t="s">
        <v>41</v>
      </c>
      <c r="B82" s="18" t="s">
        <v>238</v>
      </c>
      <c r="C82" s="18">
        <v>44</v>
      </c>
      <c r="D82" s="18">
        <v>2.9594327231399999</v>
      </c>
      <c r="E82" s="18">
        <v>2.4696705967546143E-2</v>
      </c>
      <c r="F82" s="30">
        <v>2.4696705967546143E-2</v>
      </c>
      <c r="G82" s="278">
        <f>F82*I$36</f>
        <v>0.63470534336593587</v>
      </c>
    </row>
    <row r="83" spans="1:7" x14ac:dyDescent="0.2">
      <c r="A83" s="26" t="s">
        <v>41</v>
      </c>
      <c r="B83" s="18" t="s">
        <v>88</v>
      </c>
      <c r="C83" s="18">
        <v>44</v>
      </c>
      <c r="D83" s="18">
        <v>0.35226587290799999</v>
      </c>
      <c r="E83" s="18">
        <v>1.4325833141438841E-2</v>
      </c>
      <c r="F83" s="30">
        <v>1.4325833141438841E-2</v>
      </c>
      <c r="G83" s="278">
        <f>F83*I$37</f>
        <v>0</v>
      </c>
    </row>
    <row r="84" spans="1:7" x14ac:dyDescent="0.2">
      <c r="A84" s="26" t="s">
        <v>36</v>
      </c>
      <c r="B84" s="82" t="s">
        <v>56</v>
      </c>
      <c r="C84" s="18">
        <v>39</v>
      </c>
      <c r="D84" s="18">
        <v>2.5470641495600002</v>
      </c>
      <c r="E84" s="18">
        <v>8.8487460546059465E-2</v>
      </c>
      <c r="F84" s="30">
        <v>8.8487460546059465E-2</v>
      </c>
      <c r="G84" s="278">
        <f>F84*I$20</f>
        <v>0.58401723960399243</v>
      </c>
    </row>
    <row r="85" spans="1:7" x14ac:dyDescent="0.2">
      <c r="A85" s="26" t="s">
        <v>36</v>
      </c>
      <c r="B85" s="18" t="s">
        <v>238</v>
      </c>
      <c r="C85" s="18">
        <v>39</v>
      </c>
      <c r="D85" s="18">
        <v>30.355031670399999</v>
      </c>
      <c r="E85" s="18">
        <v>0.31143933397802909</v>
      </c>
      <c r="F85" s="30">
        <v>0.31143933397802909</v>
      </c>
      <c r="G85" s="278">
        <f>F85*I$21</f>
        <v>3.3946887403605173</v>
      </c>
    </row>
    <row r="86" spans="1:7" x14ac:dyDescent="0.2">
      <c r="A86" s="26" t="s">
        <v>36</v>
      </c>
      <c r="B86" s="18" t="s">
        <v>88</v>
      </c>
      <c r="C86" s="18">
        <v>39</v>
      </c>
      <c r="D86" s="18">
        <v>79.250165556200002</v>
      </c>
      <c r="E86" s="18">
        <v>0.87576595779981325</v>
      </c>
      <c r="F86" s="30">
        <v>0.87576595779981325</v>
      </c>
      <c r="G86" s="278">
        <f>F86*I$22</f>
        <v>2.8024510649594028</v>
      </c>
    </row>
    <row r="87" spans="1:7" x14ac:dyDescent="0.2">
      <c r="A87" s="26" t="s">
        <v>36</v>
      </c>
      <c r="B87" s="82" t="s">
        <v>56</v>
      </c>
      <c r="C87" s="18">
        <v>40</v>
      </c>
      <c r="D87" s="18">
        <v>0.26369505368200002</v>
      </c>
      <c r="E87" s="18">
        <v>1.9263695253757495E-3</v>
      </c>
      <c r="F87" s="30">
        <v>1.9263695253757495E-3</v>
      </c>
      <c r="G87" s="278">
        <f>F87*I$23</f>
        <v>0.24407101886510746</v>
      </c>
    </row>
    <row r="88" spans="1:7" x14ac:dyDescent="0.2">
      <c r="A88" s="26" t="s">
        <v>36</v>
      </c>
      <c r="B88" s="18" t="s">
        <v>238</v>
      </c>
      <c r="C88" s="18">
        <v>40</v>
      </c>
      <c r="D88" s="18">
        <v>61.026888508500001</v>
      </c>
      <c r="E88" s="18">
        <v>0.11426359394519923</v>
      </c>
      <c r="F88" s="30">
        <v>0.11426359394519923</v>
      </c>
      <c r="G88" s="278">
        <f>F88*I$24</f>
        <v>8.0327306543475068</v>
      </c>
    </row>
    <row r="89" spans="1:7" x14ac:dyDescent="0.2">
      <c r="A89" s="26" t="s">
        <v>36</v>
      </c>
      <c r="B89" s="18" t="s">
        <v>88</v>
      </c>
      <c r="C89" s="18">
        <v>40</v>
      </c>
      <c r="D89" s="18">
        <v>75.849250211099999</v>
      </c>
      <c r="E89" s="18">
        <v>0.37793531525280405</v>
      </c>
      <c r="F89" s="30">
        <v>0.37793531525280405</v>
      </c>
      <c r="G89" s="278">
        <f>F89*I$25</f>
        <v>1.965263639314581</v>
      </c>
    </row>
    <row r="90" spans="1:7" x14ac:dyDescent="0.2">
      <c r="A90" s="26" t="s">
        <v>36</v>
      </c>
      <c r="B90" s="82" t="s">
        <v>56</v>
      </c>
      <c r="C90" s="18">
        <v>41</v>
      </c>
      <c r="D90" s="18">
        <v>2.3511486154800001E-2</v>
      </c>
      <c r="E90" s="18">
        <v>1.0425926388288827E-2</v>
      </c>
      <c r="F90" s="30">
        <v>1.0425926388288827E-2</v>
      </c>
      <c r="G90" s="278">
        <f>F90*I$26</f>
        <v>0.10530185652171714</v>
      </c>
    </row>
    <row r="91" spans="1:7" x14ac:dyDescent="0.2">
      <c r="A91" s="26" t="s">
        <v>36</v>
      </c>
      <c r="B91" s="18" t="s">
        <v>238</v>
      </c>
      <c r="C91" s="18">
        <v>41</v>
      </c>
      <c r="D91" s="18">
        <v>224.27197790700001</v>
      </c>
      <c r="E91" s="18">
        <v>0.81862508696443648</v>
      </c>
      <c r="F91" s="30">
        <v>0.81862508696443648</v>
      </c>
      <c r="G91" s="278">
        <f>F91*I$27</f>
        <v>28.078840482880167</v>
      </c>
    </row>
    <row r="92" spans="1:7" x14ac:dyDescent="0.2">
      <c r="A92" s="26" t="s">
        <v>36</v>
      </c>
      <c r="B92" s="18" t="s">
        <v>88</v>
      </c>
      <c r="C92" s="18">
        <v>41</v>
      </c>
      <c r="D92" s="18">
        <v>317.73200778500001</v>
      </c>
      <c r="E92" s="18">
        <v>0.87936993335448788</v>
      </c>
      <c r="F92" s="30">
        <v>0.87936993335448788</v>
      </c>
      <c r="G92" s="278">
        <f>F92*I$28</f>
        <v>5.4520935867978251</v>
      </c>
    </row>
    <row r="93" spans="1:7" x14ac:dyDescent="0.2">
      <c r="A93" s="26" t="s">
        <v>36</v>
      </c>
      <c r="B93" s="82" t="s">
        <v>56</v>
      </c>
      <c r="C93" s="18">
        <v>42</v>
      </c>
      <c r="D93" s="18">
        <v>5.4163060974499997</v>
      </c>
      <c r="E93" s="18">
        <v>0.3416068854587137</v>
      </c>
      <c r="F93" s="30">
        <v>0.3416068854587137</v>
      </c>
      <c r="G93" s="278">
        <f>F93*I$29</f>
        <v>2.4595695753027389</v>
      </c>
    </row>
    <row r="94" spans="1:7" x14ac:dyDescent="0.2">
      <c r="A94" s="26" t="s">
        <v>36</v>
      </c>
      <c r="B94" s="18" t="s">
        <v>238</v>
      </c>
      <c r="C94" s="18">
        <v>42</v>
      </c>
      <c r="D94" s="18">
        <v>26.721791895700001</v>
      </c>
      <c r="E94" s="18">
        <v>0.31781419107598607</v>
      </c>
      <c r="F94" s="30">
        <v>0.31781419107598607</v>
      </c>
      <c r="G94" s="278">
        <f>F94*I$30</f>
        <v>3.6866446164814382</v>
      </c>
    </row>
    <row r="95" spans="1:7" x14ac:dyDescent="0.2">
      <c r="A95" s="26" t="s">
        <v>36</v>
      </c>
      <c r="B95" s="18" t="s">
        <v>88</v>
      </c>
      <c r="C95" s="18">
        <v>42</v>
      </c>
      <c r="D95" s="18">
        <v>24.009078750299999</v>
      </c>
      <c r="E95" s="18">
        <v>0.41345731664212637</v>
      </c>
      <c r="F95" s="30">
        <v>0.41345731664212637</v>
      </c>
      <c r="G95" s="278">
        <f>F95*I$31</f>
        <v>0.41345731664212637</v>
      </c>
    </row>
    <row r="96" spans="1:7" x14ac:dyDescent="0.2">
      <c r="A96" s="26" t="s">
        <v>36</v>
      </c>
      <c r="B96" s="82" t="s">
        <v>56</v>
      </c>
      <c r="C96" s="18">
        <v>43</v>
      </c>
      <c r="D96" s="18">
        <v>2.4285006844499999</v>
      </c>
      <c r="E96" s="18">
        <v>5.140892063632628E-2</v>
      </c>
      <c r="F96" s="30">
        <v>5.140892063632628E-2</v>
      </c>
      <c r="G96" s="278">
        <f>F96*I$32</f>
        <v>1.8044531143350524</v>
      </c>
    </row>
    <row r="97" spans="1:7" x14ac:dyDescent="0.2">
      <c r="A97" s="26" t="s">
        <v>36</v>
      </c>
      <c r="B97" s="18" t="s">
        <v>238</v>
      </c>
      <c r="C97" s="18">
        <v>43</v>
      </c>
      <c r="D97" s="18">
        <v>17.427739190600001</v>
      </c>
      <c r="E97" s="18">
        <v>6.1822677938381511E-2</v>
      </c>
      <c r="F97" s="30">
        <v>6.1822677938381511E-2</v>
      </c>
      <c r="G97" s="278">
        <f>F97*I$33</f>
        <v>3.0169466833930176</v>
      </c>
    </row>
    <row r="98" spans="1:7" x14ac:dyDescent="0.2">
      <c r="A98" s="26" t="s">
        <v>36</v>
      </c>
      <c r="B98" s="18" t="s">
        <v>88</v>
      </c>
      <c r="C98" s="18">
        <v>43</v>
      </c>
      <c r="D98" s="18">
        <v>2.0425485590300001</v>
      </c>
      <c r="E98" s="18">
        <v>5.4016647176874849E-2</v>
      </c>
      <c r="F98" s="30">
        <v>5.4016647176874849E-2</v>
      </c>
      <c r="G98" s="278">
        <f>F98*I$34</f>
        <v>1.6204994153062455E-2</v>
      </c>
    </row>
    <row r="99" spans="1:7" x14ac:dyDescent="0.2">
      <c r="A99" s="26" t="s">
        <v>36</v>
      </c>
      <c r="B99" s="82" t="s">
        <v>56</v>
      </c>
      <c r="C99" s="18">
        <v>44</v>
      </c>
      <c r="D99" s="18">
        <v>0.61870377829699996</v>
      </c>
      <c r="E99" s="18">
        <v>5.5620001555297428E-3</v>
      </c>
      <c r="F99" s="30">
        <v>5.5620001555297428E-3</v>
      </c>
      <c r="G99" s="278">
        <f>F99*I$35</f>
        <v>0.41993101174249559</v>
      </c>
    </row>
    <row r="100" spans="1:7" x14ac:dyDescent="0.2">
      <c r="A100" s="26" t="s">
        <v>36</v>
      </c>
      <c r="B100" s="18" t="s">
        <v>238</v>
      </c>
      <c r="C100" s="18">
        <v>44</v>
      </c>
      <c r="D100" s="18">
        <v>12.1355924624</v>
      </c>
      <c r="E100" s="18">
        <v>0.10127250281529171</v>
      </c>
      <c r="F100" s="30">
        <v>0.10127250281529171</v>
      </c>
      <c r="G100" s="278">
        <f>F100*I$36</f>
        <v>2.6027033223529967</v>
      </c>
    </row>
    <row r="101" spans="1:7" x14ac:dyDescent="0.2">
      <c r="A101" s="26" t="s">
        <v>36</v>
      </c>
      <c r="B101" s="18" t="s">
        <v>88</v>
      </c>
      <c r="C101" s="18">
        <v>44</v>
      </c>
      <c r="D101" s="18">
        <v>0.20811217614800001</v>
      </c>
      <c r="E101" s="18">
        <v>8.4634378164035566E-3</v>
      </c>
      <c r="F101" s="30">
        <v>8.4634378164035566E-3</v>
      </c>
      <c r="G101" s="278">
        <f>F101*I$37</f>
        <v>0</v>
      </c>
    </row>
    <row r="102" spans="1:7" x14ac:dyDescent="0.2">
      <c r="A102" s="26" t="s">
        <v>43</v>
      </c>
      <c r="B102" s="82" t="s">
        <v>56</v>
      </c>
      <c r="C102" s="18">
        <v>40</v>
      </c>
      <c r="D102" s="18">
        <v>116.483655587</v>
      </c>
      <c r="E102" s="18">
        <v>0.85094718764714727</v>
      </c>
      <c r="F102" s="30">
        <v>0.85094718764714727</v>
      </c>
      <c r="G102" s="278">
        <f>F102*I$23</f>
        <v>107.81500867489356</v>
      </c>
    </row>
    <row r="103" spans="1:7" x14ac:dyDescent="0.2">
      <c r="A103" s="26" t="s">
        <v>43</v>
      </c>
      <c r="B103" s="18" t="s">
        <v>238</v>
      </c>
      <c r="C103" s="18">
        <v>40</v>
      </c>
      <c r="D103" s="18">
        <v>470.21263854400001</v>
      </c>
      <c r="E103" s="18">
        <v>0.88040185746990751</v>
      </c>
      <c r="F103" s="30">
        <v>0.88040185746990751</v>
      </c>
      <c r="G103" s="278">
        <f>F103*I$24</f>
        <v>61.892250580134494</v>
      </c>
    </row>
    <row r="104" spans="1:7" x14ac:dyDescent="0.2">
      <c r="A104" s="26" t="s">
        <v>43</v>
      </c>
      <c r="B104" s="18" t="s">
        <v>88</v>
      </c>
      <c r="C104" s="18">
        <v>40</v>
      </c>
      <c r="D104" s="18">
        <v>124.63540009899999</v>
      </c>
      <c r="E104" s="18">
        <v>0.62102287230232334</v>
      </c>
      <c r="F104" s="30">
        <v>0.62102287230232334</v>
      </c>
      <c r="G104" s="278">
        <f>F104*I$25</f>
        <v>3.2293189359720813</v>
      </c>
    </row>
    <row r="105" spans="1:7" x14ac:dyDescent="0.2">
      <c r="A105" s="26" t="s">
        <v>43</v>
      </c>
      <c r="B105" s="82" t="s">
        <v>56</v>
      </c>
      <c r="C105" s="18">
        <v>41</v>
      </c>
      <c r="D105" s="18">
        <v>13.1915837301</v>
      </c>
      <c r="E105" s="18">
        <v>0.6608670547808928</v>
      </c>
      <c r="F105" s="30">
        <v>0.6608670547808928</v>
      </c>
      <c r="G105" s="278">
        <f>F105*I$26</f>
        <v>6.6747572532870167</v>
      </c>
    </row>
    <row r="106" spans="1:7" x14ac:dyDescent="0.2">
      <c r="A106" s="26" t="s">
        <v>43</v>
      </c>
      <c r="B106" s="18" t="s">
        <v>238</v>
      </c>
      <c r="C106" s="18">
        <v>41</v>
      </c>
      <c r="D106" s="18">
        <v>4.9620011420800001</v>
      </c>
      <c r="E106" s="18">
        <v>1.8112020299465549E-2</v>
      </c>
      <c r="F106" s="30">
        <v>1.8112020299465549E-2</v>
      </c>
      <c r="G106" s="278">
        <f>F106*I$27</f>
        <v>0.62124229627166827</v>
      </c>
    </row>
    <row r="107" spans="1:7" x14ac:dyDescent="0.2">
      <c r="A107" s="26" t="s">
        <v>43</v>
      </c>
      <c r="B107" s="18" t="s">
        <v>88</v>
      </c>
      <c r="C107" s="18">
        <v>41</v>
      </c>
      <c r="D107" s="18">
        <v>1.3411432749200001</v>
      </c>
      <c r="E107" s="18">
        <v>3.7118107190612644E-3</v>
      </c>
      <c r="F107" s="30">
        <v>3.7118107190612644E-3</v>
      </c>
      <c r="G107" s="278">
        <f>F107*I$28</f>
        <v>2.3013226458179839E-2</v>
      </c>
    </row>
    <row r="108" spans="1:7" ht="13.5" thickBot="1" x14ac:dyDescent="0.25">
      <c r="A108" s="63"/>
      <c r="B108" s="42"/>
      <c r="C108" s="279" t="s">
        <v>15</v>
      </c>
      <c r="D108" s="42"/>
      <c r="E108" s="42"/>
      <c r="F108" s="42"/>
      <c r="G108" s="280">
        <f>SUM(G62:G107)</f>
        <v>478.79340537267569</v>
      </c>
    </row>
  </sheetData>
  <mergeCells count="3">
    <mergeCell ref="A1:G1"/>
    <mergeCell ref="J51:J52"/>
    <mergeCell ref="K51:M5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5B82-5216-4FB5-92B4-E92D593BF5C4}">
  <dimension ref="A1:L33"/>
  <sheetViews>
    <sheetView workbookViewId="0">
      <selection activeCell="I33" sqref="I33"/>
    </sheetView>
  </sheetViews>
  <sheetFormatPr defaultRowHeight="12.75" x14ac:dyDescent="0.2"/>
  <cols>
    <col min="1" max="1" width="20.7109375" customWidth="1"/>
    <col min="2" max="2" width="26" customWidth="1"/>
    <col min="3" max="3" width="22.42578125" customWidth="1"/>
    <col min="4" max="4" width="18.42578125" customWidth="1"/>
    <col min="5" max="5" width="16" customWidth="1"/>
    <col min="6" max="6" width="16.42578125" customWidth="1"/>
    <col min="7" max="7" width="12.28515625" customWidth="1"/>
    <col min="8" max="8" width="20.7109375" customWidth="1"/>
    <col min="9" max="9" width="22.28515625" customWidth="1"/>
    <col min="10" max="10" width="11.140625" customWidth="1"/>
  </cols>
  <sheetData>
    <row r="1" spans="1:11" ht="48.75" customHeight="1" x14ac:dyDescent="0.2">
      <c r="A1" s="1006" t="s">
        <v>611</v>
      </c>
      <c r="B1" s="1007" t="s">
        <v>612</v>
      </c>
      <c r="C1" s="1008" t="s">
        <v>613</v>
      </c>
      <c r="D1" s="20" t="s">
        <v>739</v>
      </c>
      <c r="E1" s="1009" t="s">
        <v>740</v>
      </c>
      <c r="F1" s="1009" t="s">
        <v>744</v>
      </c>
      <c r="G1" s="21" t="s">
        <v>743</v>
      </c>
      <c r="I1" s="21" t="s">
        <v>716</v>
      </c>
      <c r="J1" s="141"/>
      <c r="K1" s="141"/>
    </row>
    <row r="2" spans="1:11" x14ac:dyDescent="0.2">
      <c r="A2" s="774" t="s">
        <v>607</v>
      </c>
      <c r="B2" s="928">
        <v>10</v>
      </c>
      <c r="C2" s="869">
        <f>C12</f>
        <v>50.642918999999999</v>
      </c>
      <c r="D2" s="27">
        <f>C12</f>
        <v>50.642918999999999</v>
      </c>
      <c r="E2" s="188">
        <f>C12</f>
        <v>50.642918999999999</v>
      </c>
      <c r="F2">
        <f>K2</f>
        <v>0</v>
      </c>
    </row>
    <row r="3" spans="1:11" x14ac:dyDescent="0.2">
      <c r="A3" s="774" t="s">
        <v>608</v>
      </c>
      <c r="B3" s="928">
        <v>13</v>
      </c>
      <c r="C3" s="869">
        <f>C13+C14</f>
        <v>73.363634999999988</v>
      </c>
      <c r="D3" s="27">
        <f>C13+C14</f>
        <v>73.363634999999988</v>
      </c>
      <c r="E3" s="188">
        <f>C13</f>
        <v>72.464744999999994</v>
      </c>
      <c r="F3" s="188">
        <f>C14</f>
        <v>0.89888999999999997</v>
      </c>
    </row>
    <row r="4" spans="1:11" x14ac:dyDescent="0.2">
      <c r="A4" s="774" t="s">
        <v>40</v>
      </c>
      <c r="B4" s="928">
        <v>6</v>
      </c>
      <c r="C4" s="869">
        <f>C15+C16+C17+C18+C19</f>
        <v>85.106144999999998</v>
      </c>
      <c r="D4" s="27">
        <f>C15+C16+C18+C19</f>
        <v>81.462299999999999</v>
      </c>
      <c r="E4" s="188">
        <f>C16</f>
        <v>80.716862000000006</v>
      </c>
      <c r="F4" s="188">
        <f>C15+C18+C19</f>
        <v>0.74543800000000005</v>
      </c>
      <c r="G4">
        <v>3.6438449999999998</v>
      </c>
    </row>
    <row r="5" spans="1:11" x14ac:dyDescent="0.2">
      <c r="A5" s="774" t="s">
        <v>609</v>
      </c>
      <c r="B5" s="928">
        <v>3</v>
      </c>
      <c r="C5" s="869">
        <f>C20+C21</f>
        <v>102.15174400000001</v>
      </c>
      <c r="D5" s="27">
        <f>C20</f>
        <v>96.307935000000001</v>
      </c>
      <c r="E5">
        <v>96.307935000000001</v>
      </c>
      <c r="G5">
        <v>5.8438090000000003</v>
      </c>
    </row>
    <row r="6" spans="1:11" x14ac:dyDescent="0.2">
      <c r="A6" s="774" t="s">
        <v>610</v>
      </c>
      <c r="B6" s="928">
        <v>18</v>
      </c>
      <c r="C6" s="869">
        <f>C22+C23+C24+C25+C26</f>
        <v>240.90845300000001</v>
      </c>
      <c r="D6" s="27">
        <f>C22+C23+C24+C25+C26</f>
        <v>240.90845300000001</v>
      </c>
      <c r="E6">
        <f>K24</f>
        <v>0</v>
      </c>
      <c r="F6">
        <f>K20+K21+K27+K28+K29</f>
        <v>0</v>
      </c>
    </row>
    <row r="7" spans="1:11" x14ac:dyDescent="0.2">
      <c r="A7" s="774" t="s">
        <v>614</v>
      </c>
      <c r="B7" s="453"/>
      <c r="C7" s="869">
        <f>SUM(C2:C6)</f>
        <v>552.17289600000004</v>
      </c>
      <c r="D7" s="18">
        <f>SUM(D2:D6)</f>
        <v>542.68524200000002</v>
      </c>
      <c r="E7">
        <f>SUM(E2:E6)</f>
        <v>300.13246099999998</v>
      </c>
      <c r="F7">
        <f>SUM(F2:F6)</f>
        <v>1.644328</v>
      </c>
    </row>
    <row r="8" spans="1:11" x14ac:dyDescent="0.2">
      <c r="A8" s="82" t="s">
        <v>741</v>
      </c>
      <c r="B8" s="18"/>
      <c r="C8" s="18"/>
      <c r="D8" s="18"/>
    </row>
    <row r="9" spans="1:11" x14ac:dyDescent="0.2">
      <c r="A9" s="962"/>
      <c r="B9" s="18"/>
      <c r="C9" s="18"/>
      <c r="D9" s="18"/>
    </row>
    <row r="10" spans="1:11" x14ac:dyDescent="0.2">
      <c r="A10" s="18"/>
      <c r="B10" s="18"/>
      <c r="C10" s="18"/>
      <c r="D10" s="79" t="s">
        <v>655</v>
      </c>
      <c r="E10" s="6"/>
      <c r="F10" s="6" t="s">
        <v>821</v>
      </c>
      <c r="G10" s="929"/>
    </row>
    <row r="11" spans="1:11" x14ac:dyDescent="0.2">
      <c r="A11" s="924" t="s">
        <v>611</v>
      </c>
      <c r="B11" s="926" t="s">
        <v>612</v>
      </c>
      <c r="C11" s="927" t="s">
        <v>613</v>
      </c>
      <c r="D11" s="931" t="s">
        <v>738</v>
      </c>
      <c r="E11" s="6" t="s">
        <v>742</v>
      </c>
      <c r="F11" s="6" t="s">
        <v>819</v>
      </c>
      <c r="G11" s="141"/>
    </row>
    <row r="12" spans="1:11" x14ac:dyDescent="0.2">
      <c r="A12" s="82" t="s">
        <v>607</v>
      </c>
      <c r="B12" s="453">
        <v>10</v>
      </c>
      <c r="C12" s="869">
        <v>50.642918999999999</v>
      </c>
      <c r="D12" s="453">
        <v>1820</v>
      </c>
      <c r="E12" s="141" t="s">
        <v>449</v>
      </c>
      <c r="F12" t="s">
        <v>820</v>
      </c>
    </row>
    <row r="13" spans="1:11" x14ac:dyDescent="0.2">
      <c r="A13" s="82" t="s">
        <v>608</v>
      </c>
      <c r="B13" s="453">
        <v>13</v>
      </c>
      <c r="C13" s="869">
        <v>72.464744999999994</v>
      </c>
      <c r="D13" s="453">
        <v>1820</v>
      </c>
      <c r="E13" s="141" t="s">
        <v>449</v>
      </c>
      <c r="F13" t="s">
        <v>820</v>
      </c>
    </row>
    <row r="14" spans="1:11" s="35" customFormat="1" x14ac:dyDescent="0.2">
      <c r="A14" s="82" t="s">
        <v>608</v>
      </c>
      <c r="B14" s="453">
        <v>5</v>
      </c>
      <c r="C14" s="869">
        <v>0.89888999999999997</v>
      </c>
      <c r="D14" s="453">
        <v>6410</v>
      </c>
      <c r="E14" s="141" t="s">
        <v>449</v>
      </c>
    </row>
    <row r="15" spans="1:11" x14ac:dyDescent="0.2">
      <c r="A15" s="964" t="s">
        <v>40</v>
      </c>
      <c r="B15" s="831">
        <v>1</v>
      </c>
      <c r="C15" s="869">
        <v>6.9950000000000003E-3</v>
      </c>
      <c r="D15" s="831">
        <v>1200</v>
      </c>
      <c r="E15" s="141" t="s">
        <v>449</v>
      </c>
      <c r="F15" s="1046" t="s">
        <v>822</v>
      </c>
    </row>
    <row r="16" spans="1:11" s="35" customFormat="1" x14ac:dyDescent="0.2">
      <c r="A16" s="964" t="s">
        <v>40</v>
      </c>
      <c r="B16" s="831">
        <v>4</v>
      </c>
      <c r="C16" s="869">
        <v>80.716862000000006</v>
      </c>
      <c r="D16" s="831">
        <v>1820</v>
      </c>
      <c r="E16" s="141" t="s">
        <v>449</v>
      </c>
      <c r="F16" s="35" t="s">
        <v>820</v>
      </c>
    </row>
    <row r="17" spans="1:12" s="35" customFormat="1" x14ac:dyDescent="0.2">
      <c r="A17" s="964" t="s">
        <v>40</v>
      </c>
      <c r="B17" s="831">
        <v>2</v>
      </c>
      <c r="C17" s="869">
        <v>3.6438449999999998</v>
      </c>
      <c r="D17" s="831">
        <v>2150</v>
      </c>
      <c r="E17" s="141" t="s">
        <v>447</v>
      </c>
      <c r="F17" s="35" t="s">
        <v>447</v>
      </c>
    </row>
    <row r="18" spans="1:12" s="35" customFormat="1" x14ac:dyDescent="0.2">
      <c r="A18" s="964" t="s">
        <v>40</v>
      </c>
      <c r="B18" s="831">
        <v>1</v>
      </c>
      <c r="C18" s="869">
        <v>0.51111300000000004</v>
      </c>
      <c r="D18" s="831">
        <v>8140</v>
      </c>
      <c r="E18" s="141" t="s">
        <v>449</v>
      </c>
    </row>
    <row r="19" spans="1:12" s="35" customFormat="1" x14ac:dyDescent="0.2">
      <c r="A19" s="964" t="s">
        <v>40</v>
      </c>
      <c r="B19" s="831">
        <v>1</v>
      </c>
      <c r="C19" s="869">
        <v>0.22733</v>
      </c>
      <c r="D19" s="831">
        <v>8310</v>
      </c>
      <c r="E19" s="141" t="s">
        <v>449</v>
      </c>
    </row>
    <row r="20" spans="1:12" x14ac:dyDescent="0.2">
      <c r="A20" s="964" t="s">
        <v>609</v>
      </c>
      <c r="B20" s="831">
        <v>2</v>
      </c>
      <c r="C20" s="869">
        <v>96.307935000000001</v>
      </c>
      <c r="D20" s="831">
        <v>1820</v>
      </c>
      <c r="E20" s="141" t="s">
        <v>449</v>
      </c>
      <c r="F20" t="s">
        <v>820</v>
      </c>
      <c r="L20">
        <f>K20+K21+K22+K23+K24+K25+K26+K27+K28+K29</f>
        <v>0</v>
      </c>
    </row>
    <row r="21" spans="1:12" s="35" customFormat="1" x14ac:dyDescent="0.2">
      <c r="A21" s="964" t="s">
        <v>609</v>
      </c>
      <c r="B21" s="831">
        <v>1</v>
      </c>
      <c r="C21" s="869">
        <v>5.8438090000000003</v>
      </c>
      <c r="D21" s="831">
        <v>2120</v>
      </c>
      <c r="E21" s="141" t="s">
        <v>446</v>
      </c>
      <c r="F21" s="141" t="s">
        <v>446</v>
      </c>
    </row>
    <row r="22" spans="1:12" x14ac:dyDescent="0.2">
      <c r="A22" s="964" t="s">
        <v>610</v>
      </c>
      <c r="B22" s="831">
        <v>1</v>
      </c>
      <c r="C22" s="869">
        <v>22.89</v>
      </c>
      <c r="D22" s="831">
        <v>1200</v>
      </c>
      <c r="E22" s="141" t="s">
        <v>447</v>
      </c>
      <c r="F22" t="s">
        <v>666</v>
      </c>
    </row>
    <row r="23" spans="1:12" x14ac:dyDescent="0.2">
      <c r="A23" s="964" t="s">
        <v>610</v>
      </c>
      <c r="B23" s="831">
        <v>20</v>
      </c>
      <c r="C23" s="869">
        <v>193.53299699999999</v>
      </c>
      <c r="D23" s="831">
        <v>1820</v>
      </c>
      <c r="E23" s="141" t="s">
        <v>449</v>
      </c>
      <c r="F23" t="s">
        <v>820</v>
      </c>
    </row>
    <row r="24" spans="1:12" x14ac:dyDescent="0.2">
      <c r="A24" s="964" t="s">
        <v>610</v>
      </c>
      <c r="B24" s="831">
        <v>5</v>
      </c>
      <c r="C24" s="869">
        <v>13.270135</v>
      </c>
      <c r="D24" s="831">
        <v>4430</v>
      </c>
      <c r="E24" s="141" t="s">
        <v>449</v>
      </c>
      <c r="F24" s="141" t="s">
        <v>823</v>
      </c>
    </row>
    <row r="25" spans="1:12" x14ac:dyDescent="0.2">
      <c r="A25" s="964" t="s">
        <v>610</v>
      </c>
      <c r="B25" s="831">
        <v>5</v>
      </c>
      <c r="C25" s="869">
        <v>3.5923210000000001</v>
      </c>
      <c r="D25" s="831">
        <v>5300</v>
      </c>
      <c r="E25" s="141" t="s">
        <v>449</v>
      </c>
      <c r="F25" t="s">
        <v>451</v>
      </c>
    </row>
    <row r="26" spans="1:12" x14ac:dyDescent="0.2">
      <c r="A26" s="1010" t="s">
        <v>610</v>
      </c>
      <c r="B26" s="1011">
        <v>2</v>
      </c>
      <c r="C26" s="1012">
        <v>7.6230000000000002</v>
      </c>
      <c r="D26" s="1011">
        <v>1200</v>
      </c>
      <c r="E26" s="141" t="s">
        <v>449</v>
      </c>
      <c r="F26" t="s">
        <v>666</v>
      </c>
    </row>
    <row r="27" spans="1:12" x14ac:dyDescent="0.2">
      <c r="A27" s="141" t="s">
        <v>737</v>
      </c>
    </row>
    <row r="28" spans="1:12" x14ac:dyDescent="0.2">
      <c r="A28" s="929" t="s">
        <v>828</v>
      </c>
    </row>
    <row r="29" spans="1:12" x14ac:dyDescent="0.2">
      <c r="B29" s="6" t="s">
        <v>824</v>
      </c>
      <c r="C29" s="1047" t="s">
        <v>234</v>
      </c>
      <c r="D29" s="6" t="s">
        <v>826</v>
      </c>
      <c r="E29" s="6" t="s">
        <v>825</v>
      </c>
    </row>
    <row r="30" spans="1:12" x14ac:dyDescent="0.2">
      <c r="B30" s="6" t="s">
        <v>447</v>
      </c>
      <c r="C30" s="188">
        <f>C22</f>
        <v>22.89</v>
      </c>
      <c r="D30" s="89">
        <f>C30/('Basin Acreages_032917'!Q4+'Basin Acreages_032917'!R4)</f>
        <v>1.3153676541151092E-2</v>
      </c>
      <c r="E30" s="188">
        <f>D30*'Basin Acreages_032917'!AB4</f>
        <v>2.5612403197185056</v>
      </c>
    </row>
    <row r="31" spans="1:12" x14ac:dyDescent="0.2">
      <c r="B31" s="6" t="s">
        <v>483</v>
      </c>
      <c r="C31" s="188">
        <f>C26</f>
        <v>7.6230000000000002</v>
      </c>
      <c r="D31" s="89">
        <f>C31/('Basin Acreages_032917'!Q6+'Basin Acreages_032917'!R6)</f>
        <v>1.0001057387154903E-2</v>
      </c>
      <c r="E31" s="188">
        <f>D31*'Basin Acreages_032917'!AB6</f>
        <v>0.49662536445237498</v>
      </c>
    </row>
    <row r="32" spans="1:12" x14ac:dyDescent="0.2">
      <c r="I32">
        <f>38.93*4125</f>
        <v>160586.25</v>
      </c>
    </row>
    <row r="33" spans="2:5" x14ac:dyDescent="0.2">
      <c r="B33" s="6" t="s">
        <v>827</v>
      </c>
      <c r="E33" s="188">
        <f>SUM(E30:E31)</f>
        <v>3.0578656841708804</v>
      </c>
    </row>
  </sheetData>
  <pageMargins left="0.7" right="0.7" top="0.75" bottom="0.75" header="0.3" footer="0.3"/>
  <pageSetup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8A82-A5FC-45C0-8C27-E1F7CE6F9F6D}">
  <dimension ref="A1:O36"/>
  <sheetViews>
    <sheetView workbookViewId="0">
      <selection activeCell="B29" sqref="B29"/>
    </sheetView>
  </sheetViews>
  <sheetFormatPr defaultRowHeight="12.75" x14ac:dyDescent="0.2"/>
  <cols>
    <col min="1" max="1" width="28" customWidth="1"/>
    <col min="2" max="2" width="21.140625" customWidth="1"/>
    <col min="3" max="3" width="14.7109375" customWidth="1"/>
    <col min="4" max="4" width="26.28515625" customWidth="1"/>
    <col min="6" max="6" width="15.5703125" customWidth="1"/>
    <col min="10" max="10" width="19.42578125" customWidth="1"/>
    <col min="11" max="11" width="32.5703125" customWidth="1"/>
    <col min="12" max="12" width="14.85546875" customWidth="1"/>
    <col min="13" max="13" width="20.28515625" customWidth="1"/>
    <col min="14" max="14" width="17.5703125" customWidth="1"/>
    <col min="15" max="15" width="20.28515625" style="925" customWidth="1"/>
    <col min="18" max="18" width="28" customWidth="1"/>
    <col min="19" max="19" width="9.5703125" bestFit="1" customWidth="1"/>
  </cols>
  <sheetData>
    <row r="1" spans="1:15" ht="24.75" customHeight="1" x14ac:dyDescent="0.2">
      <c r="A1" s="933" t="s">
        <v>615</v>
      </c>
      <c r="B1" s="934"/>
      <c r="C1" s="934"/>
      <c r="D1" s="934"/>
      <c r="E1" s="935"/>
      <c r="F1" s="935"/>
      <c r="G1" s="254"/>
    </row>
    <row r="2" spans="1:15" x14ac:dyDescent="0.2">
      <c r="A2" s="936" t="s">
        <v>616</v>
      </c>
      <c r="B2" s="937" t="s">
        <v>617</v>
      </c>
      <c r="C2" s="937" t="s">
        <v>622</v>
      </c>
      <c r="D2" s="937" t="s">
        <v>618</v>
      </c>
      <c r="E2" s="938"/>
      <c r="F2" s="939" t="s">
        <v>630</v>
      </c>
      <c r="G2" s="940"/>
    </row>
    <row r="3" spans="1:15" x14ac:dyDescent="0.2">
      <c r="A3" s="26" t="s">
        <v>629</v>
      </c>
      <c r="B3" s="453">
        <v>10</v>
      </c>
      <c r="C3" s="453" t="s">
        <v>623</v>
      </c>
      <c r="D3" s="869">
        <v>72.47</v>
      </c>
      <c r="E3" s="18"/>
      <c r="F3" s="79" t="s">
        <v>623</v>
      </c>
      <c r="G3" s="278">
        <f>D3+D8+D11</f>
        <v>101.75</v>
      </c>
    </row>
    <row r="4" spans="1:15" s="35" customFormat="1" x14ac:dyDescent="0.2">
      <c r="A4" s="26" t="s">
        <v>629</v>
      </c>
      <c r="B4" s="453">
        <v>15</v>
      </c>
      <c r="C4" s="453" t="s">
        <v>859</v>
      </c>
      <c r="D4" s="869">
        <v>107.69</v>
      </c>
      <c r="E4" s="18"/>
      <c r="F4" s="453" t="s">
        <v>859</v>
      </c>
      <c r="G4" s="278">
        <f>D4+D9+D12</f>
        <v>116.26</v>
      </c>
      <c r="O4" s="925"/>
    </row>
    <row r="5" spans="1:15" s="35" customFormat="1" x14ac:dyDescent="0.2">
      <c r="A5" s="26" t="s">
        <v>629</v>
      </c>
      <c r="B5" s="453">
        <v>25</v>
      </c>
      <c r="C5" s="453" t="s">
        <v>625</v>
      </c>
      <c r="D5" s="869">
        <v>37.92</v>
      </c>
      <c r="E5" s="18"/>
      <c r="F5" s="79"/>
      <c r="G5" s="278"/>
      <c r="O5" s="925"/>
    </row>
    <row r="6" spans="1:15" s="35" customFormat="1" x14ac:dyDescent="0.2">
      <c r="A6" s="26" t="s">
        <v>629</v>
      </c>
      <c r="B6" s="453">
        <v>15</v>
      </c>
      <c r="C6" s="453" t="s">
        <v>860</v>
      </c>
      <c r="D6" s="869">
        <v>28.75</v>
      </c>
      <c r="E6" s="18"/>
      <c r="F6" s="79"/>
      <c r="G6" s="278"/>
      <c r="O6" s="925"/>
    </row>
    <row r="7" spans="1:15" s="35" customFormat="1" x14ac:dyDescent="0.2">
      <c r="A7" s="26" t="s">
        <v>629</v>
      </c>
      <c r="B7" s="453">
        <v>109</v>
      </c>
      <c r="C7" s="453" t="s">
        <v>626</v>
      </c>
      <c r="D7" s="869">
        <v>579.04999999999995</v>
      </c>
      <c r="E7" s="18"/>
      <c r="F7" s="79"/>
      <c r="G7" s="278"/>
      <c r="O7" s="925"/>
    </row>
    <row r="8" spans="1:15" x14ac:dyDescent="0.2">
      <c r="A8" s="26" t="s">
        <v>627</v>
      </c>
      <c r="B8" s="453">
        <v>5</v>
      </c>
      <c r="C8" s="453" t="s">
        <v>624</v>
      </c>
      <c r="D8" s="869">
        <v>4.0199999999999996</v>
      </c>
      <c r="E8" s="18"/>
      <c r="F8" s="79" t="s">
        <v>625</v>
      </c>
      <c r="G8" s="278">
        <f>D5+D13</f>
        <v>106.9</v>
      </c>
    </row>
    <row r="9" spans="1:15" s="35" customFormat="1" x14ac:dyDescent="0.2">
      <c r="A9" s="26" t="s">
        <v>627</v>
      </c>
      <c r="B9" s="453">
        <v>4</v>
      </c>
      <c r="C9" s="453" t="s">
        <v>859</v>
      </c>
      <c r="D9" s="869">
        <v>0.15</v>
      </c>
      <c r="E9" s="18"/>
      <c r="F9" s="453" t="s">
        <v>860</v>
      </c>
      <c r="G9" s="278">
        <f>D6+D14</f>
        <v>56.66</v>
      </c>
      <c r="O9" s="925"/>
    </row>
    <row r="10" spans="1:15" s="35" customFormat="1" x14ac:dyDescent="0.2">
      <c r="A10" s="26" t="s">
        <v>627</v>
      </c>
      <c r="B10" s="453">
        <v>20</v>
      </c>
      <c r="C10" s="453" t="s">
        <v>626</v>
      </c>
      <c r="D10" s="869">
        <v>1.0960000000000001</v>
      </c>
      <c r="E10" s="18"/>
      <c r="F10" s="79"/>
      <c r="G10" s="278"/>
      <c r="O10" s="925"/>
    </row>
    <row r="11" spans="1:15" x14ac:dyDescent="0.2">
      <c r="A11" s="26" t="s">
        <v>628</v>
      </c>
      <c r="B11" s="453">
        <v>28</v>
      </c>
      <c r="C11" s="453" t="s">
        <v>623</v>
      </c>
      <c r="D11" s="869">
        <v>25.26</v>
      </c>
      <c r="E11" s="18"/>
      <c r="F11" s="79" t="s">
        <v>626</v>
      </c>
      <c r="G11" s="278">
        <f>D7+D10+D15</f>
        <v>655.9559999999999</v>
      </c>
    </row>
    <row r="12" spans="1:15" x14ac:dyDescent="0.2">
      <c r="A12" s="26" t="s">
        <v>628</v>
      </c>
      <c r="B12" s="453">
        <v>20</v>
      </c>
      <c r="C12" s="453" t="s">
        <v>859</v>
      </c>
      <c r="D12" s="869">
        <v>8.42</v>
      </c>
      <c r="E12" s="18"/>
      <c r="F12" s="18"/>
      <c r="G12" s="37"/>
    </row>
    <row r="13" spans="1:15" x14ac:dyDescent="0.2">
      <c r="A13" s="26" t="s">
        <v>628</v>
      </c>
      <c r="B13" s="453">
        <v>21</v>
      </c>
      <c r="C13" s="453" t="s">
        <v>625</v>
      </c>
      <c r="D13" s="869">
        <v>68.98</v>
      </c>
      <c r="E13" s="18"/>
      <c r="F13" s="18"/>
      <c r="G13" s="37"/>
    </row>
    <row r="14" spans="1:15" s="35" customFormat="1" x14ac:dyDescent="0.2">
      <c r="A14" s="26" t="s">
        <v>628</v>
      </c>
      <c r="B14" s="453">
        <v>30</v>
      </c>
      <c r="C14" s="453" t="s">
        <v>860</v>
      </c>
      <c r="D14" s="869">
        <v>27.91</v>
      </c>
      <c r="E14" s="18"/>
      <c r="F14" s="18"/>
      <c r="G14" s="37"/>
      <c r="O14" s="925"/>
    </row>
    <row r="15" spans="1:15" s="35" customFormat="1" x14ac:dyDescent="0.2">
      <c r="A15" s="26" t="s">
        <v>628</v>
      </c>
      <c r="B15" s="453">
        <v>57</v>
      </c>
      <c r="C15" s="453" t="s">
        <v>626</v>
      </c>
      <c r="D15" s="869">
        <v>75.81</v>
      </c>
      <c r="E15" s="18"/>
      <c r="F15" s="18"/>
      <c r="G15" s="37"/>
      <c r="O15" s="925"/>
    </row>
    <row r="16" spans="1:15" x14ac:dyDescent="0.2">
      <c r="A16" s="39" t="s">
        <v>632</v>
      </c>
      <c r="B16" s="18"/>
      <c r="C16" s="18"/>
      <c r="D16" s="27">
        <f>SUM(D3:D15)</f>
        <v>1037.5259999999998</v>
      </c>
      <c r="E16" s="18"/>
      <c r="F16" s="18"/>
      <c r="G16" s="37"/>
    </row>
    <row r="17" spans="1:8" x14ac:dyDescent="0.2">
      <c r="A17" s="39" t="s">
        <v>631</v>
      </c>
      <c r="B17" s="18"/>
      <c r="C17" s="18"/>
      <c r="D17" s="27">
        <f>D3+D4+D5+D6+D7</f>
        <v>825.87999999999988</v>
      </c>
      <c r="E17" s="18"/>
      <c r="F17" s="18"/>
      <c r="G17" s="37"/>
    </row>
    <row r="18" spans="1:8" x14ac:dyDescent="0.2">
      <c r="A18" s="26" t="s">
        <v>619</v>
      </c>
      <c r="B18" s="18"/>
      <c r="C18" s="18"/>
      <c r="D18" s="18"/>
      <c r="E18" s="18"/>
      <c r="F18" s="18"/>
      <c r="G18" s="37"/>
    </row>
    <row r="19" spans="1:8" x14ac:dyDescent="0.2">
      <c r="A19" s="26" t="s">
        <v>620</v>
      </c>
      <c r="B19" s="18"/>
      <c r="C19" s="18"/>
      <c r="D19" s="18"/>
      <c r="E19" s="18"/>
      <c r="F19" s="18"/>
      <c r="G19" s="37"/>
    </row>
    <row r="20" spans="1:8" x14ac:dyDescent="0.2">
      <c r="A20" s="26" t="s">
        <v>621</v>
      </c>
      <c r="B20" s="18"/>
      <c r="C20" s="18"/>
      <c r="D20" s="18"/>
      <c r="E20" s="18"/>
      <c r="F20" s="18"/>
      <c r="G20" s="37"/>
    </row>
    <row r="21" spans="1:8" x14ac:dyDescent="0.2">
      <c r="A21" s="26"/>
      <c r="B21" s="18"/>
      <c r="C21" s="18"/>
      <c r="D21" s="18"/>
      <c r="E21" s="18"/>
      <c r="F21" s="18"/>
      <c r="G21" s="37"/>
    </row>
    <row r="22" spans="1:8" x14ac:dyDescent="0.2">
      <c r="A22" s="26"/>
      <c r="B22" s="82" t="s">
        <v>656</v>
      </c>
      <c r="C22" s="18"/>
      <c r="D22" s="18"/>
      <c r="E22" s="18"/>
      <c r="F22" s="18"/>
      <c r="G22" s="37"/>
    </row>
    <row r="23" spans="1:8" x14ac:dyDescent="0.2">
      <c r="A23" s="39" t="s">
        <v>633</v>
      </c>
      <c r="B23" s="932">
        <v>6019.9</v>
      </c>
      <c r="C23" s="18"/>
      <c r="D23" s="18"/>
      <c r="E23" s="18"/>
      <c r="F23" s="18"/>
      <c r="G23" s="37"/>
    </row>
    <row r="24" spans="1:8" x14ac:dyDescent="0.2">
      <c r="A24" s="39" t="s">
        <v>634</v>
      </c>
      <c r="B24" s="19">
        <f>D17/B23</f>
        <v>0.13719164770178904</v>
      </c>
      <c r="C24" s="18"/>
      <c r="D24" s="18"/>
      <c r="E24" s="18"/>
      <c r="F24" s="18"/>
      <c r="G24" s="37"/>
    </row>
    <row r="25" spans="1:8" x14ac:dyDescent="0.2">
      <c r="A25" s="39" t="s">
        <v>635</v>
      </c>
      <c r="B25" s="18">
        <f>' Palatlakaha allocation TP'!F9</f>
        <v>414</v>
      </c>
      <c r="C25" s="18"/>
      <c r="D25" s="18"/>
      <c r="E25" s="18"/>
      <c r="F25" s="18"/>
      <c r="G25" s="37"/>
    </row>
    <row r="26" spans="1:8" x14ac:dyDescent="0.2">
      <c r="A26" s="39" t="s">
        <v>637</v>
      </c>
      <c r="B26" s="31">
        <f>B25*B24</f>
        <v>56.797342148540665</v>
      </c>
      <c r="C26" s="18"/>
      <c r="D26" s="18"/>
      <c r="E26" s="18"/>
      <c r="F26" s="18"/>
      <c r="G26" s="37"/>
    </row>
    <row r="27" spans="1:8" ht="13.5" thickBot="1" x14ac:dyDescent="0.25">
      <c r="A27" s="277" t="s">
        <v>636</v>
      </c>
      <c r="B27" s="1053">
        <f>B26*0.3</f>
        <v>17.039202644562199</v>
      </c>
      <c r="C27" s="42"/>
      <c r="D27" s="42"/>
      <c r="E27" s="42"/>
      <c r="F27" s="42"/>
      <c r="G27" s="759"/>
    </row>
    <row r="28" spans="1:8" x14ac:dyDescent="0.2">
      <c r="A28" s="64" t="s">
        <v>888</v>
      </c>
    </row>
    <row r="29" spans="1:8" x14ac:dyDescent="0.2">
      <c r="A29" t="s">
        <v>851</v>
      </c>
      <c r="B29">
        <f>6019-5885</f>
        <v>134</v>
      </c>
      <c r="H29">
        <f>2254+134</f>
        <v>2388</v>
      </c>
    </row>
    <row r="30" spans="1:8" x14ac:dyDescent="0.2">
      <c r="A30" t="s">
        <v>852</v>
      </c>
    </row>
    <row r="31" spans="1:8" x14ac:dyDescent="0.2">
      <c r="A31" t="s">
        <v>853</v>
      </c>
    </row>
    <row r="32" spans="1:8" x14ac:dyDescent="0.2">
      <c r="A32" t="s">
        <v>854</v>
      </c>
      <c r="B32">
        <v>414.5</v>
      </c>
      <c r="F32" s="1048">
        <f>B23-B29</f>
        <v>5885.9</v>
      </c>
    </row>
    <row r="33" spans="1:3" x14ac:dyDescent="0.2">
      <c r="A33" t="s">
        <v>855</v>
      </c>
      <c r="B33" s="1048">
        <v>2795.3</v>
      </c>
    </row>
    <row r="34" spans="1:3" x14ac:dyDescent="0.2">
      <c r="A34" t="s">
        <v>856</v>
      </c>
      <c r="B34">
        <v>405.2</v>
      </c>
    </row>
    <row r="35" spans="1:3" x14ac:dyDescent="0.2">
      <c r="A35" t="s">
        <v>857</v>
      </c>
      <c r="B35" s="3">
        <v>2733</v>
      </c>
      <c r="C35" t="s">
        <v>889</v>
      </c>
    </row>
    <row r="36" spans="1:3" x14ac:dyDescent="0.2">
      <c r="A36" t="s">
        <v>858</v>
      </c>
      <c r="B36">
        <f>B32-B34</f>
        <v>9.3000000000000114</v>
      </c>
    </row>
  </sheetData>
  <pageMargins left="0.7" right="0.7" top="0.75" bottom="0.75" header="0.3" footer="0.3"/>
  <pageSetup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0364-D8A8-4D5B-BF98-399501CA4965}">
  <dimension ref="A1:EK203"/>
  <sheetViews>
    <sheetView topLeftCell="AM1" workbookViewId="0">
      <selection activeCell="K132" sqref="K132"/>
    </sheetView>
  </sheetViews>
  <sheetFormatPr defaultRowHeight="12.75" x14ac:dyDescent="0.2"/>
  <cols>
    <col min="1" max="1" width="24" customWidth="1"/>
    <col min="2" max="2" width="13.42578125" customWidth="1"/>
    <col min="3" max="3" width="18.28515625" customWidth="1"/>
    <col min="4" max="4" width="13.85546875" customWidth="1"/>
    <col min="5" max="5" width="10.28515625" customWidth="1"/>
    <col min="6" max="7" width="3.42578125" customWidth="1"/>
    <col min="8" max="8" width="32.42578125" customWidth="1"/>
    <col min="9" max="9" width="11.5703125" customWidth="1"/>
    <col min="10" max="10" width="17.85546875" customWidth="1"/>
    <col min="11" max="11" width="13.140625" customWidth="1"/>
    <col min="13" max="13" width="16.28515625" customWidth="1"/>
    <col min="14" max="14" width="22.85546875" customWidth="1"/>
    <col min="15" max="15" width="19.42578125" customWidth="1"/>
    <col min="16" max="16" width="21" customWidth="1"/>
    <col min="17" max="17" width="14" customWidth="1"/>
    <col min="18" max="18" width="16.28515625" style="35" customWidth="1"/>
    <col min="19" max="19" width="14.5703125" style="35" customWidth="1"/>
    <col min="20" max="20" width="18.28515625" customWidth="1"/>
    <col min="21" max="21" width="18.28515625" style="35" customWidth="1"/>
    <col min="22" max="22" width="15" customWidth="1"/>
    <col min="23" max="23" width="19.42578125" customWidth="1"/>
    <col min="24" max="24" width="13" customWidth="1"/>
    <col min="27" max="27" width="36.140625" bestFit="1" customWidth="1"/>
    <col min="28" max="28" width="17" bestFit="1" customWidth="1"/>
    <col min="29" max="30" width="12" bestFit="1" customWidth="1"/>
    <col min="31" max="31" width="15.140625" bestFit="1" customWidth="1"/>
    <col min="32" max="32" width="12" bestFit="1" customWidth="1"/>
    <col min="33" max="33" width="15" bestFit="1" customWidth="1"/>
    <col min="34" max="35" width="12" bestFit="1" customWidth="1"/>
    <col min="36" max="36" width="12.7109375" bestFit="1" customWidth="1"/>
    <col min="37" max="42" width="12" bestFit="1" customWidth="1"/>
    <col min="43" max="43" width="15.140625" bestFit="1" customWidth="1"/>
    <col min="44" max="54" width="12" bestFit="1" customWidth="1"/>
    <col min="55" max="55" width="13.28515625" bestFit="1" customWidth="1"/>
    <col min="56" max="64" width="12" bestFit="1" customWidth="1"/>
    <col min="65" max="65" width="15.140625" bestFit="1" customWidth="1"/>
    <col min="66" max="71" width="12" bestFit="1" customWidth="1"/>
    <col min="72" max="72" width="27.7109375" bestFit="1" customWidth="1"/>
    <col min="73" max="73" width="28" bestFit="1" customWidth="1"/>
    <col min="74" max="78" width="12" bestFit="1" customWidth="1"/>
    <col min="79" max="79" width="31.28515625" bestFit="1" customWidth="1"/>
    <col min="80" max="80" width="12" bestFit="1" customWidth="1"/>
    <col min="81" max="81" width="12.28515625" bestFit="1" customWidth="1"/>
    <col min="82" max="82" width="13" bestFit="1" customWidth="1"/>
    <col min="83" max="83" width="16.28515625" bestFit="1" customWidth="1"/>
    <col min="84" max="84" width="22.5703125" bestFit="1" customWidth="1"/>
    <col min="85" max="89" width="12" bestFit="1" customWidth="1"/>
    <col min="90" max="90" width="26" bestFit="1" customWidth="1"/>
    <col min="91" max="91" width="18.5703125" bestFit="1" customWidth="1"/>
    <col min="92" max="99" width="12" bestFit="1" customWidth="1"/>
    <col min="100" max="100" width="22" bestFit="1" customWidth="1"/>
    <col min="101" max="109" width="12" bestFit="1" customWidth="1"/>
    <col min="110" max="110" width="13.140625" bestFit="1" customWidth="1"/>
    <col min="111" max="111" width="12.28515625" bestFit="1" customWidth="1"/>
    <col min="112" max="112" width="15.5703125" bestFit="1" customWidth="1"/>
    <col min="113" max="113" width="12.5703125" bestFit="1" customWidth="1"/>
    <col min="114" max="121" width="12" bestFit="1" customWidth="1"/>
    <col min="122" max="122" width="15.85546875" bestFit="1" customWidth="1"/>
    <col min="123" max="135" width="12" bestFit="1" customWidth="1"/>
    <col min="136" max="136" width="11" bestFit="1" customWidth="1"/>
    <col min="137" max="139" width="12" bestFit="1" customWidth="1"/>
    <col min="140" max="140" width="14.7109375" bestFit="1" customWidth="1"/>
    <col min="141" max="141" width="12" bestFit="1" customWidth="1"/>
  </cols>
  <sheetData>
    <row r="1" spans="1:141" s="35" customFormat="1" ht="26.25" thickBot="1" x14ac:dyDescent="0.25">
      <c r="A1" s="1182" t="s">
        <v>657</v>
      </c>
      <c r="B1" s="1183"/>
      <c r="C1" s="1183"/>
      <c r="D1" s="1183"/>
      <c r="E1" s="1183"/>
      <c r="M1" s="1013" t="s">
        <v>668</v>
      </c>
      <c r="N1" s="1014" t="s">
        <v>622</v>
      </c>
      <c r="O1" s="1014" t="s">
        <v>659</v>
      </c>
      <c r="P1" s="1014" t="s">
        <v>638</v>
      </c>
      <c r="Q1" s="1015" t="s">
        <v>234</v>
      </c>
      <c r="R1" s="1016" t="s">
        <v>713</v>
      </c>
      <c r="S1" s="1016" t="s">
        <v>714</v>
      </c>
      <c r="T1" s="1016" t="s">
        <v>752</v>
      </c>
      <c r="U1" s="1016" t="s">
        <v>753</v>
      </c>
      <c r="V1" s="958" t="s">
        <v>669</v>
      </c>
      <c r="W1" s="247"/>
      <c r="X1" s="930"/>
      <c r="AA1" s="965" t="s">
        <v>682</v>
      </c>
      <c r="AB1" s="965" t="s">
        <v>681</v>
      </c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</row>
    <row r="2" spans="1:141" s="35" customFormat="1" x14ac:dyDescent="0.2">
      <c r="A2" s="941" t="s">
        <v>660</v>
      </c>
      <c r="B2" s="942"/>
      <c r="C2" s="942"/>
      <c r="D2" s="942"/>
      <c r="E2" s="942"/>
      <c r="F2" s="247"/>
      <c r="G2" s="247"/>
      <c r="H2" s="247"/>
      <c r="I2" s="930"/>
      <c r="M2" s="954" t="s">
        <v>607</v>
      </c>
      <c r="N2" s="774" t="s">
        <v>623</v>
      </c>
      <c r="O2" s="774" t="s">
        <v>447</v>
      </c>
      <c r="P2" s="774" t="s">
        <v>639</v>
      </c>
      <c r="Q2" s="947">
        <v>0.31301437130300003</v>
      </c>
      <c r="R2" s="973">
        <f>'Basin Acreages_032917'!L4</f>
        <v>397.26434758699997</v>
      </c>
      <c r="S2" s="51">
        <f>Q2/R2</f>
        <v>7.8792464817007172E-4</v>
      </c>
      <c r="T2" s="35">
        <f>S2*'Basin Acreages_032917'!W4</f>
        <v>0.14231052880272285</v>
      </c>
      <c r="U2" s="35">
        <f>T2*0.3</f>
        <v>4.2693158640816853E-2</v>
      </c>
      <c r="V2" s="959" t="s">
        <v>668</v>
      </c>
      <c r="W2" s="960" t="s">
        <v>622</v>
      </c>
      <c r="X2" s="961" t="s">
        <v>234</v>
      </c>
      <c r="AA2"/>
      <c r="AB2" s="35" t="s">
        <v>607</v>
      </c>
      <c r="AC2"/>
      <c r="AD2"/>
      <c r="AE2"/>
      <c r="AF2"/>
      <c r="AG2" s="35" t="s">
        <v>672</v>
      </c>
      <c r="AH2" s="35" t="s">
        <v>46</v>
      </c>
      <c r="AI2"/>
      <c r="AJ2" s="35" t="s">
        <v>673</v>
      </c>
      <c r="AK2" s="35" t="s">
        <v>608</v>
      </c>
      <c r="AL2"/>
      <c r="AM2"/>
      <c r="AN2" s="35" t="s">
        <v>674</v>
      </c>
      <c r="AO2" s="35" t="s">
        <v>40</v>
      </c>
      <c r="AP2"/>
      <c r="AQ2"/>
      <c r="AR2" s="35" t="s">
        <v>675</v>
      </c>
      <c r="AS2" s="35" t="s">
        <v>609</v>
      </c>
      <c r="AT2"/>
      <c r="AU2"/>
      <c r="AV2" s="35" t="s">
        <v>676</v>
      </c>
      <c r="AW2" s="35" t="s">
        <v>610</v>
      </c>
      <c r="AX2"/>
      <c r="AY2"/>
      <c r="AZ2" s="35" t="s">
        <v>677</v>
      </c>
      <c r="BA2" s="35" t="s">
        <v>643</v>
      </c>
      <c r="BB2"/>
      <c r="BC2" s="35" t="s">
        <v>678</v>
      </c>
      <c r="BD2" s="35" t="s">
        <v>644</v>
      </c>
      <c r="BE2"/>
      <c r="BF2"/>
      <c r="BG2"/>
      <c r="BH2"/>
      <c r="BI2" s="35" t="s">
        <v>679</v>
      </c>
      <c r="BJ2" s="35" t="s">
        <v>645</v>
      </c>
      <c r="BK2"/>
      <c r="BL2"/>
      <c r="BM2"/>
      <c r="BN2" s="35" t="s">
        <v>680</v>
      </c>
      <c r="BO2" s="35" t="s">
        <v>671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</row>
    <row r="3" spans="1:141" ht="43.5" customHeight="1" x14ac:dyDescent="0.2">
      <c r="A3" s="943" t="s">
        <v>638</v>
      </c>
      <c r="B3" s="944" t="s">
        <v>658</v>
      </c>
      <c r="C3" s="944" t="s">
        <v>622</v>
      </c>
      <c r="D3" s="944" t="s">
        <v>617</v>
      </c>
      <c r="E3" s="945" t="s">
        <v>649</v>
      </c>
      <c r="F3" s="18"/>
      <c r="G3" s="18"/>
      <c r="H3" s="951" t="s">
        <v>613</v>
      </c>
      <c r="I3" s="952" t="s">
        <v>234</v>
      </c>
      <c r="M3" s="954" t="s">
        <v>607</v>
      </c>
      <c r="N3" s="774" t="s">
        <v>623</v>
      </c>
      <c r="O3" s="774" t="s">
        <v>449</v>
      </c>
      <c r="P3" s="774" t="s">
        <v>639</v>
      </c>
      <c r="Q3" s="947">
        <v>6.3331479115599998E-2</v>
      </c>
      <c r="R3" s="973">
        <f>'Basin Acreages_032917'!L6</f>
        <v>137.27926485120003</v>
      </c>
      <c r="S3" s="51">
        <f t="shared" ref="S3:S14" si="0">Q3/R3</f>
        <v>4.6133317500094686E-4</v>
      </c>
      <c r="T3">
        <f>S3*'Basin Acreages_032917'!W6</f>
        <v>1.2449959738647697E-2</v>
      </c>
      <c r="U3" s="35">
        <f t="shared" ref="U3:U14" si="1">T3*0.3</f>
        <v>3.7349879215943091E-3</v>
      </c>
      <c r="V3" s="39" t="s">
        <v>607</v>
      </c>
      <c r="W3" s="82" t="s">
        <v>623</v>
      </c>
      <c r="X3" s="947">
        <f>SUM(Q2:Q5)</f>
        <v>93.440901159188599</v>
      </c>
      <c r="AA3" s="965" t="s">
        <v>670</v>
      </c>
      <c r="AB3" s="35" t="s">
        <v>623</v>
      </c>
      <c r="AC3" s="35" t="s">
        <v>642</v>
      </c>
      <c r="AD3" s="35" t="s">
        <v>626</v>
      </c>
      <c r="AE3" s="35" t="s">
        <v>640</v>
      </c>
      <c r="AF3" s="35" t="s">
        <v>641</v>
      </c>
      <c r="AH3" s="35" t="s">
        <v>623</v>
      </c>
      <c r="AI3" s="35" t="s">
        <v>626</v>
      </c>
      <c r="AK3" s="35" t="s">
        <v>623</v>
      </c>
      <c r="AL3" s="35" t="s">
        <v>642</v>
      </c>
      <c r="AM3" s="35" t="s">
        <v>626</v>
      </c>
      <c r="AO3" s="35" t="s">
        <v>623</v>
      </c>
      <c r="AP3" s="35" t="s">
        <v>626</v>
      </c>
      <c r="AQ3" s="35" t="s">
        <v>640</v>
      </c>
      <c r="AS3" s="35" t="s">
        <v>623</v>
      </c>
      <c r="AT3" s="35" t="s">
        <v>625</v>
      </c>
      <c r="AU3" s="35" t="s">
        <v>642</v>
      </c>
      <c r="AW3" s="35" t="s">
        <v>623</v>
      </c>
      <c r="AX3" s="35" t="s">
        <v>625</v>
      </c>
      <c r="AY3" s="35" t="s">
        <v>642</v>
      </c>
      <c r="BA3" s="35" t="s">
        <v>623</v>
      </c>
      <c r="BB3" s="35" t="s">
        <v>626</v>
      </c>
      <c r="BD3" s="35" t="s">
        <v>623</v>
      </c>
      <c r="BE3" s="35" t="s">
        <v>625</v>
      </c>
      <c r="BF3" s="35" t="s">
        <v>642</v>
      </c>
      <c r="BG3" s="35" t="s">
        <v>626</v>
      </c>
      <c r="BH3" s="35" t="s">
        <v>641</v>
      </c>
      <c r="BJ3" s="35" t="s">
        <v>623</v>
      </c>
      <c r="BK3" s="35" t="s">
        <v>625</v>
      </c>
      <c r="BL3" s="35" t="s">
        <v>642</v>
      </c>
      <c r="BM3" s="35" t="s">
        <v>640</v>
      </c>
    </row>
    <row r="4" spans="1:141" x14ac:dyDescent="0.2">
      <c r="A4" s="26" t="s">
        <v>639</v>
      </c>
      <c r="B4" s="18" t="s">
        <v>607</v>
      </c>
      <c r="C4" s="18" t="s">
        <v>623</v>
      </c>
      <c r="D4" s="18">
        <v>15</v>
      </c>
      <c r="E4" s="946">
        <v>93.440901159199996</v>
      </c>
      <c r="F4" s="18"/>
      <c r="G4" s="18"/>
      <c r="H4" s="949" t="s">
        <v>650</v>
      </c>
      <c r="I4" s="950">
        <f>SUM(E4:E30)</f>
        <v>3497.9943493082797</v>
      </c>
      <c r="M4" s="954" t="s">
        <v>607</v>
      </c>
      <c r="N4" s="774" t="s">
        <v>623</v>
      </c>
      <c r="O4" s="774" t="s">
        <v>446</v>
      </c>
      <c r="P4" s="774" t="s">
        <v>639</v>
      </c>
      <c r="Q4" s="947">
        <v>1.7885541516700001</v>
      </c>
      <c r="R4" s="973">
        <f>'Basin Acreages_032917'!L7</f>
        <v>924.50905443779993</v>
      </c>
      <c r="S4" s="51">
        <f t="shared" si="0"/>
        <v>1.93459884798817E-3</v>
      </c>
      <c r="T4">
        <f>S4*'Basin Acreages_032917'!W7</f>
        <v>0.26787230466595829</v>
      </c>
      <c r="U4" s="35">
        <f t="shared" si="1"/>
        <v>8.036169139978748E-2</v>
      </c>
      <c r="V4" s="39" t="s">
        <v>607</v>
      </c>
      <c r="W4" s="82" t="s">
        <v>626</v>
      </c>
      <c r="X4" s="947">
        <f>SUM(Q6:Q8)</f>
        <v>27.162446863806803</v>
      </c>
      <c r="AA4" s="966" t="s">
        <v>639</v>
      </c>
      <c r="AB4" s="968"/>
      <c r="AC4" s="968"/>
      <c r="AD4" s="968"/>
      <c r="AE4" s="968"/>
      <c r="AF4" s="968"/>
      <c r="AG4" s="968"/>
      <c r="AH4" s="968"/>
      <c r="AI4" s="968"/>
      <c r="AJ4" s="968"/>
      <c r="AK4" s="968"/>
      <c r="AL4" s="968"/>
      <c r="AM4" s="968"/>
      <c r="AN4" s="968"/>
      <c r="AO4" s="968"/>
      <c r="AP4" s="968"/>
      <c r="AQ4" s="968"/>
      <c r="AR4" s="968"/>
      <c r="AS4" s="968"/>
      <c r="AT4" s="968"/>
      <c r="AU4" s="968"/>
      <c r="AV4" s="968"/>
      <c r="AW4" s="968"/>
      <c r="AX4" s="968"/>
      <c r="AY4" s="968"/>
      <c r="AZ4" s="968"/>
      <c r="BA4" s="968"/>
      <c r="BB4" s="968"/>
      <c r="BC4" s="968"/>
      <c r="BD4" s="968"/>
      <c r="BE4" s="968"/>
      <c r="BF4" s="968"/>
      <c r="BG4" s="968"/>
      <c r="BH4" s="968"/>
      <c r="BI4" s="968"/>
      <c r="BJ4" s="968"/>
      <c r="BK4" s="968"/>
      <c r="BL4" s="968"/>
      <c r="BM4" s="968"/>
      <c r="BN4" s="968"/>
      <c r="BO4" s="968"/>
    </row>
    <row r="5" spans="1:141" x14ac:dyDescent="0.2">
      <c r="A5" s="26" t="s">
        <v>639</v>
      </c>
      <c r="B5" s="18" t="s">
        <v>607</v>
      </c>
      <c r="C5" s="18" t="s">
        <v>626</v>
      </c>
      <c r="D5" s="18">
        <v>19</v>
      </c>
      <c r="E5" s="946">
        <v>27.1624468638</v>
      </c>
      <c r="F5" s="18"/>
      <c r="G5" s="18"/>
      <c r="H5" s="949" t="s">
        <v>651</v>
      </c>
      <c r="I5" s="950">
        <f>SUM(E31:E38)</f>
        <v>11.982754517591598</v>
      </c>
      <c r="M5" s="954" t="s">
        <v>607</v>
      </c>
      <c r="N5" s="774" t="s">
        <v>623</v>
      </c>
      <c r="O5" s="774" t="s">
        <v>448</v>
      </c>
      <c r="P5" s="774" t="s">
        <v>639</v>
      </c>
      <c r="Q5" s="947">
        <v>91.276001157099998</v>
      </c>
      <c r="R5" s="973">
        <f>'Basin Acreages_032917'!L8</f>
        <v>344.598525757</v>
      </c>
      <c r="S5" s="51">
        <f t="shared" si="0"/>
        <v>0.26487635417646838</v>
      </c>
      <c r="T5">
        <f>S5*'Basin Acreages_032917'!W8</f>
        <v>13.728553376121731</v>
      </c>
      <c r="U5" s="35">
        <f t="shared" si="1"/>
        <v>4.1185660128365189</v>
      </c>
      <c r="V5" s="39" t="s">
        <v>607</v>
      </c>
      <c r="W5" s="82" t="s">
        <v>640</v>
      </c>
      <c r="X5" s="947">
        <f>SUM(Q9:Q11)</f>
        <v>221.929823013853</v>
      </c>
      <c r="AA5" s="967" t="s">
        <v>447</v>
      </c>
      <c r="AB5" s="968">
        <v>0.31301437130300003</v>
      </c>
      <c r="AC5" s="968"/>
      <c r="AD5" s="968">
        <v>25.887937773400001</v>
      </c>
      <c r="AE5" s="968">
        <v>204.472433024</v>
      </c>
      <c r="AF5" s="968">
        <v>98.9157876501</v>
      </c>
      <c r="AG5" s="968">
        <v>329.58917281880298</v>
      </c>
      <c r="AH5" s="968">
        <v>108.190185872</v>
      </c>
      <c r="AI5" s="968">
        <v>9.5636737501900004</v>
      </c>
      <c r="AJ5" s="968">
        <v>117.75385962219001</v>
      </c>
      <c r="AK5" s="968"/>
      <c r="AL5" s="968">
        <v>80.732850969699996</v>
      </c>
      <c r="AM5" s="968"/>
      <c r="AN5" s="968">
        <v>80.732850969699996</v>
      </c>
      <c r="AO5" s="968">
        <v>1.4335276498499999E-2</v>
      </c>
      <c r="AP5" s="968"/>
      <c r="AQ5" s="968">
        <v>8.8416185369400005E-2</v>
      </c>
      <c r="AR5" s="968">
        <v>0.1027514618679</v>
      </c>
      <c r="AS5" s="968">
        <v>10.2905842734</v>
      </c>
      <c r="AT5" s="968">
        <v>35.3853025716</v>
      </c>
      <c r="AU5" s="968">
        <v>45.748230393999997</v>
      </c>
      <c r="AV5" s="968">
        <v>91.424117238999997</v>
      </c>
      <c r="AW5" s="968">
        <v>18.533200493300001</v>
      </c>
      <c r="AX5" s="968">
        <v>2.7340888053599999</v>
      </c>
      <c r="AY5" s="968"/>
      <c r="AZ5" s="968">
        <v>21.26728929866</v>
      </c>
      <c r="BA5" s="968"/>
      <c r="BB5" s="968"/>
      <c r="BC5" s="968"/>
      <c r="BD5" s="968"/>
      <c r="BE5" s="968">
        <v>21.918633996099999</v>
      </c>
      <c r="BF5" s="968"/>
      <c r="BG5" s="968"/>
      <c r="BH5" s="968"/>
      <c r="BI5" s="968">
        <v>21.918633996099999</v>
      </c>
      <c r="BJ5" s="968">
        <v>17.0105680084</v>
      </c>
      <c r="BK5" s="968"/>
      <c r="BL5" s="968"/>
      <c r="BM5" s="968"/>
      <c r="BN5" s="968">
        <v>17.0105680084</v>
      </c>
      <c r="BO5" s="968">
        <v>679.79924341472088</v>
      </c>
    </row>
    <row r="6" spans="1:141" x14ac:dyDescent="0.2">
      <c r="A6" s="26" t="s">
        <v>639</v>
      </c>
      <c r="B6" s="18" t="s">
        <v>607</v>
      </c>
      <c r="C6" s="18" t="s">
        <v>640</v>
      </c>
      <c r="D6" s="18">
        <v>51</v>
      </c>
      <c r="E6" s="946">
        <v>221.929823013</v>
      </c>
      <c r="F6" s="18"/>
      <c r="G6" s="18"/>
      <c r="H6" s="949" t="s">
        <v>627</v>
      </c>
      <c r="I6" s="950">
        <f>SUM(E39:E63)</f>
        <v>322.38602407093686</v>
      </c>
      <c r="M6" s="954" t="s">
        <v>607</v>
      </c>
      <c r="N6" s="774" t="s">
        <v>626</v>
      </c>
      <c r="O6" s="774" t="s">
        <v>447</v>
      </c>
      <c r="P6" s="774" t="s">
        <v>639</v>
      </c>
      <c r="Q6" s="947">
        <v>25.887937773400001</v>
      </c>
      <c r="R6" s="973">
        <f>'Basin Acreages_032917'!I3</f>
        <v>397.26434758599999</v>
      </c>
      <c r="S6" s="51">
        <f t="shared" si="0"/>
        <v>6.5165519963494248E-2</v>
      </c>
      <c r="T6">
        <f>S6*'Basin Acreages_032917'!W4</f>
        <v>11.769830563426597</v>
      </c>
      <c r="U6" s="35">
        <f t="shared" si="1"/>
        <v>3.5309491690279788</v>
      </c>
      <c r="V6" s="39" t="s">
        <v>607</v>
      </c>
      <c r="W6" s="82" t="s">
        <v>641</v>
      </c>
      <c r="X6" s="947">
        <f>SUM(Q12:Q14)</f>
        <v>112.65112929771001</v>
      </c>
      <c r="AA6" s="967" t="s">
        <v>449</v>
      </c>
      <c r="AB6" s="968">
        <v>6.3331479115599998E-2</v>
      </c>
      <c r="AC6" s="968"/>
      <c r="AD6" s="968">
        <v>1.27057461868</v>
      </c>
      <c r="AE6" s="968">
        <v>0.13141225865299999</v>
      </c>
      <c r="AF6" s="968">
        <v>11.424158712800001</v>
      </c>
      <c r="AG6" s="968">
        <v>12.889477069248601</v>
      </c>
      <c r="AH6" s="968">
        <v>5.0590937153600004</v>
      </c>
      <c r="AI6" s="968">
        <v>64.426263867299994</v>
      </c>
      <c r="AJ6" s="968">
        <v>69.485357582660001</v>
      </c>
      <c r="AK6" s="968"/>
      <c r="AL6" s="968">
        <v>5.6420824782799999</v>
      </c>
      <c r="AM6" s="968"/>
      <c r="AN6" s="968">
        <v>5.6420824782799999</v>
      </c>
      <c r="AO6" s="968"/>
      <c r="AP6" s="968">
        <v>3.2255728447699998</v>
      </c>
      <c r="AQ6" s="968"/>
      <c r="AR6" s="968">
        <v>3.2255728447699998</v>
      </c>
      <c r="AS6" s="968">
        <v>53.337276847600002</v>
      </c>
      <c r="AT6" s="968"/>
      <c r="AU6" s="968"/>
      <c r="AV6" s="968">
        <v>53.337276847600002</v>
      </c>
      <c r="AW6" s="968">
        <v>0.26089490478400001</v>
      </c>
      <c r="AX6" s="968"/>
      <c r="AY6" s="968"/>
      <c r="AZ6" s="968">
        <v>0.26089490478400001</v>
      </c>
      <c r="BA6" s="968">
        <v>0.14884580494300001</v>
      </c>
      <c r="BB6" s="968">
        <v>74.798975136699994</v>
      </c>
      <c r="BC6" s="968">
        <v>74.947820941642988</v>
      </c>
      <c r="BD6" s="968"/>
      <c r="BE6" s="968"/>
      <c r="BF6" s="968"/>
      <c r="BG6" s="968">
        <v>3.5996354038899998</v>
      </c>
      <c r="BH6" s="968"/>
      <c r="BI6" s="968">
        <v>3.5996354038899998</v>
      </c>
      <c r="BJ6" s="968">
        <v>0.13547536554199999</v>
      </c>
      <c r="BK6" s="968"/>
      <c r="BL6" s="968">
        <v>47.316782160099997</v>
      </c>
      <c r="BM6" s="968"/>
      <c r="BN6" s="968">
        <v>47.452257525641997</v>
      </c>
      <c r="BO6" s="968">
        <v>270.8403755985176</v>
      </c>
    </row>
    <row r="7" spans="1:141" x14ac:dyDescent="0.2">
      <c r="A7" s="26" t="s">
        <v>639</v>
      </c>
      <c r="B7" s="18" t="s">
        <v>607</v>
      </c>
      <c r="C7" s="18" t="s">
        <v>641</v>
      </c>
      <c r="D7" s="18">
        <v>31</v>
      </c>
      <c r="E7" s="946">
        <v>112.651129298</v>
      </c>
      <c r="F7" s="18"/>
      <c r="G7" s="18"/>
      <c r="H7" s="949" t="s">
        <v>87</v>
      </c>
      <c r="I7" s="950">
        <f>SUM(E64:E73)</f>
        <v>2.7236149366276998</v>
      </c>
      <c r="M7" s="954" t="s">
        <v>607</v>
      </c>
      <c r="N7" s="774" t="s">
        <v>626</v>
      </c>
      <c r="O7" s="774" t="s">
        <v>449</v>
      </c>
      <c r="P7" s="774" t="s">
        <v>639</v>
      </c>
      <c r="Q7" s="947">
        <v>1.27057461868</v>
      </c>
      <c r="R7" s="973">
        <f>'Basin Acreages_032917'!I4</f>
        <v>137.27926485099999</v>
      </c>
      <c r="S7" s="51">
        <f t="shared" si="0"/>
        <v>9.2554008069540197E-3</v>
      </c>
      <c r="T7">
        <f>S7*'Basin Acreages_032917'!W6</f>
        <v>0.24977472606731227</v>
      </c>
      <c r="U7" s="35">
        <f t="shared" si="1"/>
        <v>7.4932417820193678E-2</v>
      </c>
      <c r="V7" s="39" t="s">
        <v>46</v>
      </c>
      <c r="W7" s="82" t="s">
        <v>623</v>
      </c>
      <c r="X7" s="947">
        <f>SUM(Q15:Q18)</f>
        <v>272.90093382226001</v>
      </c>
      <c r="AA7" s="967" t="s">
        <v>446</v>
      </c>
      <c r="AB7" s="968">
        <v>1.7885541516700001</v>
      </c>
      <c r="AC7" s="968"/>
      <c r="AD7" s="968">
        <v>3.9344717267999997E-3</v>
      </c>
      <c r="AE7" s="968">
        <v>17.325977731199998</v>
      </c>
      <c r="AF7" s="968">
        <v>2.3111829348100001</v>
      </c>
      <c r="AG7" s="968">
        <v>21.429649289406797</v>
      </c>
      <c r="AH7" s="968">
        <v>19.559328540900001</v>
      </c>
      <c r="AI7" s="968">
        <v>0.65842821353500003</v>
      </c>
      <c r="AJ7" s="968">
        <v>20.217756754435001</v>
      </c>
      <c r="AK7" s="968">
        <v>0.69440190192200002</v>
      </c>
      <c r="AL7" s="968"/>
      <c r="AM7" s="968"/>
      <c r="AN7" s="968">
        <v>0.69440190192200002</v>
      </c>
      <c r="AO7" s="968">
        <v>5.4770158884900004</v>
      </c>
      <c r="AP7" s="968"/>
      <c r="AQ7" s="968">
        <v>20.612120800700001</v>
      </c>
      <c r="AR7" s="968">
        <v>26.089136689190003</v>
      </c>
      <c r="AS7" s="968">
        <v>0.29618941725499998</v>
      </c>
      <c r="AT7" s="968">
        <v>254.40159224499999</v>
      </c>
      <c r="AU7" s="968">
        <v>155.34141772500001</v>
      </c>
      <c r="AV7" s="968">
        <v>410.039199387255</v>
      </c>
      <c r="AW7" s="968">
        <v>65.404546392100002</v>
      </c>
      <c r="AX7" s="968">
        <v>5.4377879822999997</v>
      </c>
      <c r="AY7" s="968"/>
      <c r="AZ7" s="968">
        <v>70.842334374399996</v>
      </c>
      <c r="BA7" s="968">
        <v>3.6018873035699999</v>
      </c>
      <c r="BB7" s="968">
        <v>5.1006676646500004</v>
      </c>
      <c r="BC7" s="968">
        <v>8.7025549682199994</v>
      </c>
      <c r="BD7" s="968">
        <v>0.50631428130599998</v>
      </c>
      <c r="BE7" s="968">
        <v>53.9253527917</v>
      </c>
      <c r="BF7" s="968"/>
      <c r="BG7" s="968"/>
      <c r="BH7" s="968">
        <v>6.8118055528900001</v>
      </c>
      <c r="BI7" s="968">
        <v>61.243472625895997</v>
      </c>
      <c r="BJ7" s="968">
        <v>30.911021936400001</v>
      </c>
      <c r="BK7" s="968">
        <v>77.274747833399999</v>
      </c>
      <c r="BL7" s="968">
        <v>21.0243767314</v>
      </c>
      <c r="BM7" s="968">
        <v>53.183809558999997</v>
      </c>
      <c r="BN7" s="968">
        <v>182.3939560602</v>
      </c>
      <c r="BO7" s="968">
        <v>801.65246205092478</v>
      </c>
    </row>
    <row r="8" spans="1:141" x14ac:dyDescent="0.2">
      <c r="A8" s="26" t="s">
        <v>639</v>
      </c>
      <c r="B8" s="18" t="s">
        <v>46</v>
      </c>
      <c r="C8" s="18" t="s">
        <v>623</v>
      </c>
      <c r="D8" s="18">
        <v>59</v>
      </c>
      <c r="E8" s="946">
        <v>272.90093382200001</v>
      </c>
      <c r="F8" s="18"/>
      <c r="G8" s="18"/>
      <c r="H8" s="949" t="s">
        <v>652</v>
      </c>
      <c r="I8" s="950">
        <f>SUM(E74:E101)</f>
        <v>2610.7830623925679</v>
      </c>
      <c r="M8" s="954" t="s">
        <v>607</v>
      </c>
      <c r="N8" s="774" t="s">
        <v>626</v>
      </c>
      <c r="O8" s="774" t="s">
        <v>446</v>
      </c>
      <c r="P8" s="774" t="s">
        <v>639</v>
      </c>
      <c r="Q8" s="947">
        <v>3.9344717267999997E-3</v>
      </c>
      <c r="R8" s="973">
        <f>'Basin Acreages_032917'!I5</f>
        <v>924.50905443900001</v>
      </c>
      <c r="S8" s="51">
        <f t="shared" si="0"/>
        <v>4.2557416911265089E-6</v>
      </c>
      <c r="T8">
        <f>S8*'Basin Acreages_032917'!W7</f>
        <v>5.8926703903011517E-4</v>
      </c>
      <c r="U8" s="35">
        <f t="shared" si="1"/>
        <v>1.7678011170903454E-4</v>
      </c>
      <c r="V8" s="39" t="s">
        <v>46</v>
      </c>
      <c r="W8" s="82" t="s">
        <v>626</v>
      </c>
      <c r="X8" s="947">
        <f>SUM(Q19:Q22)</f>
        <v>96.761265805725003</v>
      </c>
      <c r="AA8" s="967" t="s">
        <v>448</v>
      </c>
      <c r="AB8" s="968">
        <v>91.276001157099998</v>
      </c>
      <c r="AC8" s="968"/>
      <c r="AD8" s="968"/>
      <c r="AE8" s="968"/>
      <c r="AF8" s="968"/>
      <c r="AG8" s="968">
        <v>91.276001157099998</v>
      </c>
      <c r="AH8" s="968">
        <v>140.09232569400001</v>
      </c>
      <c r="AI8" s="968">
        <v>22.112899974699999</v>
      </c>
      <c r="AJ8" s="968">
        <v>162.2052256687</v>
      </c>
      <c r="AK8" s="968">
        <v>26.622331862199999</v>
      </c>
      <c r="AL8" s="968"/>
      <c r="AM8" s="968"/>
      <c r="AN8" s="968">
        <v>26.622331862199999</v>
      </c>
      <c r="AO8" s="968">
        <v>22.894305567499998</v>
      </c>
      <c r="AP8" s="968"/>
      <c r="AQ8" s="968">
        <v>9.6953236485400005</v>
      </c>
      <c r="AR8" s="968">
        <v>32.589629216039995</v>
      </c>
      <c r="AS8" s="968">
        <v>11.0810499867</v>
      </c>
      <c r="AT8" s="968"/>
      <c r="AU8" s="968"/>
      <c r="AV8" s="968">
        <v>11.0810499867</v>
      </c>
      <c r="AW8" s="968">
        <v>601.90271756200002</v>
      </c>
      <c r="AX8" s="968">
        <v>0.40390478193899998</v>
      </c>
      <c r="AY8" s="968"/>
      <c r="AZ8" s="968">
        <v>602.30662234393901</v>
      </c>
      <c r="BA8" s="968">
        <v>256.58837348899999</v>
      </c>
      <c r="BB8" s="968">
        <v>1.0305516368200001</v>
      </c>
      <c r="BC8" s="968">
        <v>257.61892512582</v>
      </c>
      <c r="BD8" s="968">
        <v>89.788554385400005</v>
      </c>
      <c r="BE8" s="968">
        <v>25.673212359699999</v>
      </c>
      <c r="BF8" s="968">
        <v>5.2525070835300003</v>
      </c>
      <c r="BG8" s="968"/>
      <c r="BH8" s="968"/>
      <c r="BI8" s="968">
        <v>120.71427382863001</v>
      </c>
      <c r="BJ8" s="968">
        <v>374.433412008</v>
      </c>
      <c r="BK8" s="968">
        <v>40.857649300200002</v>
      </c>
      <c r="BL8" s="968">
        <v>0.59165811157199999</v>
      </c>
      <c r="BM8" s="968">
        <v>25.405489635599999</v>
      </c>
      <c r="BN8" s="968">
        <v>441.28820905537202</v>
      </c>
      <c r="BO8" s="968">
        <v>1745.7022682445011</v>
      </c>
    </row>
    <row r="9" spans="1:141" x14ac:dyDescent="0.2">
      <c r="A9" s="26" t="s">
        <v>639</v>
      </c>
      <c r="B9" s="18" t="s">
        <v>46</v>
      </c>
      <c r="C9" s="18" t="s">
        <v>626</v>
      </c>
      <c r="D9" s="18">
        <v>88</v>
      </c>
      <c r="E9" s="946">
        <v>96.761265805799994</v>
      </c>
      <c r="F9" s="18"/>
      <c r="G9" s="18"/>
      <c r="H9" s="949" t="s">
        <v>653</v>
      </c>
      <c r="I9" s="950">
        <f>SUM(E102:E103)</f>
        <v>760.76868254300007</v>
      </c>
      <c r="M9" s="954" t="s">
        <v>607</v>
      </c>
      <c r="N9" s="774" t="s">
        <v>640</v>
      </c>
      <c r="O9" s="774" t="s">
        <v>447</v>
      </c>
      <c r="P9" s="774" t="s">
        <v>639</v>
      </c>
      <c r="Q9" s="947">
        <v>204.472433024</v>
      </c>
      <c r="R9" s="973">
        <f>'Basin Acreages_032917'!I3</f>
        <v>397.26434758599999</v>
      </c>
      <c r="S9" s="51">
        <f t="shared" si="0"/>
        <v>0.51470119145221227</v>
      </c>
      <c r="T9">
        <f>S9*'Basin Acreages_032917'!W4</f>
        <v>92.962441143414438</v>
      </c>
      <c r="U9" s="35">
        <f t="shared" si="1"/>
        <v>27.88873234302433</v>
      </c>
      <c r="V9" s="39" t="s">
        <v>608</v>
      </c>
      <c r="W9" s="82" t="s">
        <v>623</v>
      </c>
      <c r="X9" s="947">
        <f>Q23+Q24</f>
        <v>27.316733764121999</v>
      </c>
      <c r="AA9" s="966" t="s">
        <v>698</v>
      </c>
      <c r="AB9" s="968">
        <v>93.440901159188599</v>
      </c>
      <c r="AC9" s="968"/>
      <c r="AD9" s="968">
        <v>27.162446863806803</v>
      </c>
      <c r="AE9" s="968">
        <v>221.929823013853</v>
      </c>
      <c r="AF9" s="968">
        <v>112.65112929771001</v>
      </c>
      <c r="AG9" s="968">
        <v>455.18430033455837</v>
      </c>
      <c r="AH9" s="968">
        <v>272.90093382226001</v>
      </c>
      <c r="AI9" s="968">
        <v>96.761265805725003</v>
      </c>
      <c r="AJ9" s="968">
        <v>369.66219962798499</v>
      </c>
      <c r="AK9" s="968">
        <v>27.316733764121999</v>
      </c>
      <c r="AL9" s="968">
        <v>86.374933447979998</v>
      </c>
      <c r="AM9" s="968"/>
      <c r="AN9" s="968">
        <v>113.691667212102</v>
      </c>
      <c r="AO9" s="968">
        <v>28.385656732488499</v>
      </c>
      <c r="AP9" s="968">
        <v>3.2255728447699998</v>
      </c>
      <c r="AQ9" s="968">
        <v>30.395860634609402</v>
      </c>
      <c r="AR9" s="968">
        <v>62.007090211867897</v>
      </c>
      <c r="AS9" s="968">
        <v>75.005100524954997</v>
      </c>
      <c r="AT9" s="968">
        <v>289.78689481660001</v>
      </c>
      <c r="AU9" s="968">
        <v>201.089648119</v>
      </c>
      <c r="AV9" s="968">
        <v>565.88164346055498</v>
      </c>
      <c r="AW9" s="968">
        <v>686.10135935218398</v>
      </c>
      <c r="AX9" s="968">
        <v>8.5757815695990001</v>
      </c>
      <c r="AY9" s="968"/>
      <c r="AZ9" s="968">
        <v>694.67714092178301</v>
      </c>
      <c r="BA9" s="968">
        <v>260.33910659751297</v>
      </c>
      <c r="BB9" s="968">
        <v>80.930194438169991</v>
      </c>
      <c r="BC9" s="968">
        <v>341.26930103568299</v>
      </c>
      <c r="BD9" s="968">
        <v>90.294868666706009</v>
      </c>
      <c r="BE9" s="968">
        <v>101.51719914749999</v>
      </c>
      <c r="BF9" s="968">
        <v>5.2525070835300003</v>
      </c>
      <c r="BG9" s="968">
        <v>3.5996354038899998</v>
      </c>
      <c r="BH9" s="968">
        <v>6.8118055528900001</v>
      </c>
      <c r="BI9" s="968">
        <v>207.47601585451599</v>
      </c>
      <c r="BJ9" s="968">
        <v>422.49047731834202</v>
      </c>
      <c r="BK9" s="968">
        <v>118.13239713359999</v>
      </c>
      <c r="BL9" s="968">
        <v>68.932817003072003</v>
      </c>
      <c r="BM9" s="968">
        <v>78.589299194599988</v>
      </c>
      <c r="BN9" s="968">
        <v>688.14499064961399</v>
      </c>
      <c r="BO9" s="968">
        <v>3497.9943493086639</v>
      </c>
    </row>
    <row r="10" spans="1:141" x14ac:dyDescent="0.2">
      <c r="A10" s="26" t="s">
        <v>639</v>
      </c>
      <c r="B10" s="18" t="s">
        <v>608</v>
      </c>
      <c r="C10" s="18" t="s">
        <v>623</v>
      </c>
      <c r="D10" s="18">
        <v>5</v>
      </c>
      <c r="E10" s="946">
        <v>27.3167337641</v>
      </c>
      <c r="F10" s="18"/>
      <c r="G10" s="18"/>
      <c r="H10" s="949" t="s">
        <v>654</v>
      </c>
      <c r="I10" s="950">
        <f>SUM(E104:E126)</f>
        <v>2469.4448599226912</v>
      </c>
      <c r="M10" s="954" t="s">
        <v>607</v>
      </c>
      <c r="N10" s="774" t="s">
        <v>640</v>
      </c>
      <c r="O10" s="774" t="s">
        <v>449</v>
      </c>
      <c r="P10" s="774" t="s">
        <v>639</v>
      </c>
      <c r="Q10" s="947">
        <v>0.13141225865299999</v>
      </c>
      <c r="R10" s="973">
        <f>'Basin Acreages_032917'!I4</f>
        <v>137.27926485099999</v>
      </c>
      <c r="S10" s="51">
        <f t="shared" si="0"/>
        <v>9.5726225512375866E-4</v>
      </c>
      <c r="T10">
        <f>S10*'Basin Acreages_032917'!W6</f>
        <v>2.5833556270028563E-2</v>
      </c>
      <c r="U10" s="35">
        <f t="shared" si="1"/>
        <v>7.7500668810085681E-3</v>
      </c>
      <c r="V10" s="39" t="s">
        <v>608</v>
      </c>
      <c r="W10" s="82" t="s">
        <v>642</v>
      </c>
      <c r="X10" s="947">
        <f>Q25+Q26</f>
        <v>86.374933447979998</v>
      </c>
      <c r="AA10" s="966" t="s">
        <v>237</v>
      </c>
      <c r="AB10" s="968"/>
      <c r="AC10" s="968"/>
      <c r="AD10" s="968"/>
      <c r="AE10" s="968"/>
      <c r="AF10" s="968"/>
      <c r="AG10" s="968"/>
      <c r="AH10" s="968"/>
      <c r="AI10" s="968"/>
      <c r="AJ10" s="968"/>
      <c r="AK10" s="968"/>
      <c r="AL10" s="968"/>
      <c r="AM10" s="968"/>
      <c r="AN10" s="968"/>
      <c r="AO10" s="968"/>
      <c r="AP10" s="968"/>
      <c r="AQ10" s="968"/>
      <c r="AR10" s="968"/>
      <c r="AS10" s="968"/>
      <c r="AT10" s="968"/>
      <c r="AU10" s="968"/>
      <c r="AV10" s="968"/>
      <c r="AW10" s="968"/>
      <c r="AX10" s="968"/>
      <c r="AY10" s="968"/>
      <c r="AZ10" s="968"/>
      <c r="BA10" s="968"/>
      <c r="BB10" s="968"/>
      <c r="BC10" s="968"/>
      <c r="BD10" s="968"/>
      <c r="BE10" s="968"/>
      <c r="BF10" s="968"/>
      <c r="BG10" s="968"/>
      <c r="BH10" s="968"/>
      <c r="BI10" s="968"/>
      <c r="BJ10" s="968"/>
      <c r="BK10" s="968"/>
      <c r="BL10" s="968"/>
      <c r="BM10" s="968"/>
      <c r="BN10" s="968"/>
      <c r="BO10" s="968"/>
    </row>
    <row r="11" spans="1:141" x14ac:dyDescent="0.2">
      <c r="A11" s="26" t="s">
        <v>639</v>
      </c>
      <c r="B11" s="18" t="s">
        <v>608</v>
      </c>
      <c r="C11" s="18" t="s">
        <v>642</v>
      </c>
      <c r="D11" s="18">
        <v>15</v>
      </c>
      <c r="E11" s="946">
        <v>86.374933447999993</v>
      </c>
      <c r="F11" s="18"/>
      <c r="G11" s="18"/>
      <c r="H11" s="949" t="s">
        <v>15</v>
      </c>
      <c r="I11" s="950">
        <f>SUM(I4:I10)</f>
        <v>9676.083347691696</v>
      </c>
      <c r="M11" s="954" t="s">
        <v>607</v>
      </c>
      <c r="N11" s="774" t="s">
        <v>640</v>
      </c>
      <c r="O11" s="774" t="s">
        <v>446</v>
      </c>
      <c r="P11" s="774" t="s">
        <v>639</v>
      </c>
      <c r="Q11" s="947">
        <v>17.325977731199998</v>
      </c>
      <c r="R11" s="973">
        <f>'Basin Acreages_032917'!I5</f>
        <v>924.50905443900001</v>
      </c>
      <c r="S11" s="51">
        <f t="shared" si="0"/>
        <v>1.8740733417385025E-2</v>
      </c>
      <c r="T11">
        <f>'Harris Chain Ag BMPs_032017'!S11*'Basin Acreages_032917'!W7</f>
        <v>2.5949170066268774</v>
      </c>
      <c r="U11" s="35">
        <f t="shared" si="1"/>
        <v>0.77847510198806324</v>
      </c>
      <c r="V11" s="39" t="s">
        <v>40</v>
      </c>
      <c r="W11" s="82" t="s">
        <v>623</v>
      </c>
      <c r="X11" s="947">
        <f>Q27+Q28+Q29</f>
        <v>28.385656732488499</v>
      </c>
      <c r="AA11" s="967" t="s">
        <v>661</v>
      </c>
      <c r="AB11" s="968"/>
      <c r="AC11" s="968"/>
      <c r="AD11" s="968"/>
      <c r="AE11" s="968"/>
      <c r="AF11" s="968"/>
      <c r="AG11" s="968"/>
      <c r="AH11" s="968"/>
      <c r="AI11" s="968"/>
      <c r="AJ11" s="968"/>
      <c r="AK11" s="968">
        <v>0.491306062534</v>
      </c>
      <c r="AL11" s="968"/>
      <c r="AM11" s="968">
        <v>0.15495914851500001</v>
      </c>
      <c r="AN11" s="968">
        <v>0.64626521104900003</v>
      </c>
      <c r="AO11" s="968"/>
      <c r="AP11" s="968"/>
      <c r="AQ11" s="968"/>
      <c r="AR11" s="968"/>
      <c r="AS11" s="968"/>
      <c r="AT11" s="968"/>
      <c r="AU11" s="968"/>
      <c r="AV11" s="968"/>
      <c r="AW11" s="968">
        <v>2.4370507408300001E-2</v>
      </c>
      <c r="AX11" s="968"/>
      <c r="AY11" s="968"/>
      <c r="AZ11" s="968">
        <v>2.4370507408300001E-2</v>
      </c>
      <c r="BA11" s="968"/>
      <c r="BB11" s="968"/>
      <c r="BC11" s="968"/>
      <c r="BD11" s="968">
        <v>0.18785477590499999</v>
      </c>
      <c r="BE11" s="968"/>
      <c r="BF11" s="968"/>
      <c r="BG11" s="968"/>
      <c r="BH11" s="968"/>
      <c r="BI11" s="968">
        <v>0.18785477590499999</v>
      </c>
      <c r="BJ11" s="968">
        <v>0.26937567510100002</v>
      </c>
      <c r="BK11" s="968"/>
      <c r="BL11" s="968"/>
      <c r="BM11" s="968"/>
      <c r="BN11" s="968">
        <v>0.26937567510100002</v>
      </c>
      <c r="BO11" s="968">
        <v>1.1278661694633001</v>
      </c>
    </row>
    <row r="12" spans="1:141" x14ac:dyDescent="0.2">
      <c r="A12" s="26" t="s">
        <v>639</v>
      </c>
      <c r="B12" s="18" t="s">
        <v>40</v>
      </c>
      <c r="C12" s="18" t="s">
        <v>623</v>
      </c>
      <c r="D12" s="18">
        <v>8</v>
      </c>
      <c r="E12" s="946">
        <v>28.385656732400001</v>
      </c>
      <c r="F12" s="18"/>
      <c r="G12" s="18"/>
      <c r="H12" s="82" t="s">
        <v>705</v>
      </c>
      <c r="I12" s="969">
        <v>22425.95</v>
      </c>
      <c r="M12" s="954" t="s">
        <v>607</v>
      </c>
      <c r="N12" s="774" t="s">
        <v>641</v>
      </c>
      <c r="O12" s="774" t="s">
        <v>447</v>
      </c>
      <c r="P12" s="774" t="s">
        <v>639</v>
      </c>
      <c r="Q12" s="947">
        <v>98.9157876501</v>
      </c>
      <c r="R12" s="973">
        <f>'Basin Acreages_032917'!I3</f>
        <v>397.26434758599999</v>
      </c>
      <c r="S12" s="51">
        <f t="shared" si="0"/>
        <v>0.24899236050546081</v>
      </c>
      <c r="T12">
        <f>S12*'Basin Acreages_032917'!W4</f>
        <v>44.971603025321187</v>
      </c>
      <c r="U12" s="35">
        <f t="shared" si="1"/>
        <v>13.491480907596356</v>
      </c>
      <c r="V12" s="39" t="s">
        <v>40</v>
      </c>
      <c r="W12" s="82" t="s">
        <v>626</v>
      </c>
      <c r="X12" s="947">
        <f>Q30</f>
        <v>3.2255728447699998</v>
      </c>
      <c r="AA12" s="967" t="s">
        <v>14</v>
      </c>
      <c r="AB12" s="968"/>
      <c r="AC12" s="968"/>
      <c r="AD12" s="968"/>
      <c r="AE12" s="968"/>
      <c r="AF12" s="968"/>
      <c r="AG12" s="968"/>
      <c r="AH12" s="968"/>
      <c r="AI12" s="968"/>
      <c r="AJ12" s="968"/>
      <c r="AK12" s="968"/>
      <c r="AL12" s="968"/>
      <c r="AM12" s="968"/>
      <c r="AN12" s="968"/>
      <c r="AO12" s="968"/>
      <c r="AP12" s="968"/>
      <c r="AQ12" s="968"/>
      <c r="AR12" s="968"/>
      <c r="AS12" s="968"/>
      <c r="AT12" s="968"/>
      <c r="AU12" s="968"/>
      <c r="AV12" s="968"/>
      <c r="AW12" s="968">
        <v>1.17028849167</v>
      </c>
      <c r="AX12" s="968"/>
      <c r="AY12" s="968"/>
      <c r="AZ12" s="968">
        <v>1.17028849167</v>
      </c>
      <c r="BA12" s="968"/>
      <c r="BB12" s="968"/>
      <c r="BC12" s="968"/>
      <c r="BD12" s="968">
        <v>1.10047609591E-2</v>
      </c>
      <c r="BE12" s="968"/>
      <c r="BF12" s="968"/>
      <c r="BG12" s="968"/>
      <c r="BH12" s="968"/>
      <c r="BI12" s="968">
        <v>1.10047609591E-2</v>
      </c>
      <c r="BJ12" s="968">
        <v>9.1268484152300003E-2</v>
      </c>
      <c r="BK12" s="968">
        <v>0.71876800619900005</v>
      </c>
      <c r="BL12" s="968"/>
      <c r="BM12" s="968"/>
      <c r="BN12" s="968">
        <v>0.8100364903513001</v>
      </c>
      <c r="BO12" s="968">
        <v>1.9913297429804</v>
      </c>
    </row>
    <row r="13" spans="1:141" x14ac:dyDescent="0.2">
      <c r="A13" s="26" t="s">
        <v>639</v>
      </c>
      <c r="B13" s="18" t="s">
        <v>40</v>
      </c>
      <c r="C13" s="18" t="s">
        <v>626</v>
      </c>
      <c r="D13" s="18">
        <v>3</v>
      </c>
      <c r="E13" s="946">
        <v>3.2255728447699998</v>
      </c>
      <c r="F13" s="18"/>
      <c r="G13" s="18"/>
      <c r="H13" s="82" t="s">
        <v>732</v>
      </c>
      <c r="I13" s="970">
        <f>I4/I12</f>
        <v>0.15597976225347329</v>
      </c>
      <c r="M13" s="954" t="s">
        <v>607</v>
      </c>
      <c r="N13" s="774" t="s">
        <v>641</v>
      </c>
      <c r="O13" s="774" t="s">
        <v>449</v>
      </c>
      <c r="P13" s="774" t="s">
        <v>639</v>
      </c>
      <c r="Q13" s="947">
        <v>11.424158712800001</v>
      </c>
      <c r="R13" s="973">
        <f>'Basin Acreages_032917'!I4</f>
        <v>137.27926485099999</v>
      </c>
      <c r="S13" s="51">
        <f t="shared" si="0"/>
        <v>8.3218384984793878E-2</v>
      </c>
      <c r="T13">
        <f>S13*'Basin Acreages_032917'!W6</f>
        <v>2.2458075827168535</v>
      </c>
      <c r="U13" s="35">
        <f t="shared" si="1"/>
        <v>0.673742274815056</v>
      </c>
      <c r="V13" s="39" t="s">
        <v>40</v>
      </c>
      <c r="W13" s="82" t="s">
        <v>640</v>
      </c>
      <c r="X13" s="947">
        <f>Q31+Q32+Q33</f>
        <v>30.395860634609402</v>
      </c>
      <c r="AA13" s="967" t="s">
        <v>443</v>
      </c>
      <c r="AB13" s="968"/>
      <c r="AC13" s="968"/>
      <c r="AD13" s="968"/>
      <c r="AE13" s="968">
        <v>8.8319452862199999</v>
      </c>
      <c r="AF13" s="968"/>
      <c r="AG13" s="968">
        <v>8.8319452862199999</v>
      </c>
      <c r="AH13" s="968"/>
      <c r="AI13" s="968"/>
      <c r="AJ13" s="968"/>
      <c r="AK13" s="968"/>
      <c r="AL13" s="968">
        <v>3.1613318925600001E-2</v>
      </c>
      <c r="AM13" s="968"/>
      <c r="AN13" s="968">
        <v>3.1613318925600001E-2</v>
      </c>
      <c r="AO13" s="968"/>
      <c r="AP13" s="968"/>
      <c r="AQ13" s="968"/>
      <c r="AR13" s="968"/>
      <c r="AS13" s="968"/>
      <c r="AT13" s="968"/>
      <c r="AU13" s="968"/>
      <c r="AV13" s="968"/>
      <c r="AW13" s="968"/>
      <c r="AX13" s="968"/>
      <c r="AY13" s="968"/>
      <c r="AZ13" s="968"/>
      <c r="BA13" s="968"/>
      <c r="BB13" s="968"/>
      <c r="BC13" s="968"/>
      <c r="BD13" s="968"/>
      <c r="BE13" s="968"/>
      <c r="BF13" s="968"/>
      <c r="BG13" s="968"/>
      <c r="BH13" s="968"/>
      <c r="BI13" s="968"/>
      <c r="BJ13" s="968"/>
      <c r="BK13" s="968"/>
      <c r="BL13" s="968"/>
      <c r="BM13" s="968"/>
      <c r="BN13" s="968"/>
      <c r="BO13" s="968">
        <v>8.8635586051456006</v>
      </c>
    </row>
    <row r="14" spans="1:141" x14ac:dyDescent="0.2">
      <c r="A14" s="26" t="s">
        <v>639</v>
      </c>
      <c r="B14" s="18" t="s">
        <v>40</v>
      </c>
      <c r="C14" s="18" t="s">
        <v>640</v>
      </c>
      <c r="D14" s="18">
        <v>8</v>
      </c>
      <c r="E14" s="946">
        <v>30.3958606347</v>
      </c>
      <c r="F14" s="18"/>
      <c r="G14" s="18"/>
      <c r="H14" s="1001" t="s">
        <v>733</v>
      </c>
      <c r="I14" s="165">
        <f>I11/I12</f>
        <v>0.43146815843661901</v>
      </c>
      <c r="M14" s="954" t="s">
        <v>607</v>
      </c>
      <c r="N14" s="774" t="s">
        <v>641</v>
      </c>
      <c r="O14" s="774" t="s">
        <v>446</v>
      </c>
      <c r="P14" s="774" t="s">
        <v>639</v>
      </c>
      <c r="Q14" s="947">
        <v>2.3111829348100001</v>
      </c>
      <c r="R14" s="973">
        <f>'Basin Acreages_032917'!I5</f>
        <v>924.50905443900001</v>
      </c>
      <c r="S14" s="51">
        <f t="shared" si="0"/>
        <v>2.4999029741384691E-3</v>
      </c>
      <c r="T14">
        <f>S14*'Basin Acreages_032917'!W7</f>
        <v>0.34614657804647375</v>
      </c>
      <c r="U14" s="35">
        <f t="shared" si="1"/>
        <v>0.10384397341394212</v>
      </c>
      <c r="V14" s="39" t="s">
        <v>609</v>
      </c>
      <c r="W14" s="82" t="s">
        <v>623</v>
      </c>
      <c r="X14" s="947">
        <f>Q34+Q35+Q36+Q37</f>
        <v>75.005100524954997</v>
      </c>
      <c r="AA14" s="966" t="s">
        <v>699</v>
      </c>
      <c r="AB14" s="968"/>
      <c r="AC14" s="968"/>
      <c r="AD14" s="968"/>
      <c r="AE14" s="968">
        <v>8.8319452862199999</v>
      </c>
      <c r="AF14" s="968"/>
      <c r="AG14" s="968">
        <v>8.8319452862199999</v>
      </c>
      <c r="AH14" s="968"/>
      <c r="AI14" s="968"/>
      <c r="AJ14" s="968"/>
      <c r="AK14" s="968">
        <v>0.491306062534</v>
      </c>
      <c r="AL14" s="968">
        <v>3.1613318925600001E-2</v>
      </c>
      <c r="AM14" s="968">
        <v>0.15495914851500001</v>
      </c>
      <c r="AN14" s="968">
        <v>0.67787852997460007</v>
      </c>
      <c r="AO14" s="968"/>
      <c r="AP14" s="968"/>
      <c r="AQ14" s="968"/>
      <c r="AR14" s="968"/>
      <c r="AS14" s="968"/>
      <c r="AT14" s="968"/>
      <c r="AU14" s="968"/>
      <c r="AV14" s="968"/>
      <c r="AW14" s="968">
        <v>1.1946589990783001</v>
      </c>
      <c r="AX14" s="968"/>
      <c r="AY14" s="968"/>
      <c r="AZ14" s="968">
        <v>1.1946589990783001</v>
      </c>
      <c r="BA14" s="968"/>
      <c r="BB14" s="968"/>
      <c r="BC14" s="968"/>
      <c r="BD14" s="968">
        <v>0.19885953686409999</v>
      </c>
      <c r="BE14" s="968"/>
      <c r="BF14" s="968"/>
      <c r="BG14" s="968"/>
      <c r="BH14" s="968"/>
      <c r="BI14" s="968">
        <v>0.19885953686409999</v>
      </c>
      <c r="BJ14" s="968">
        <v>0.36064415925330001</v>
      </c>
      <c r="BK14" s="968">
        <v>0.71876800619900005</v>
      </c>
      <c r="BL14" s="968"/>
      <c r="BM14" s="968"/>
      <c r="BN14" s="968">
        <v>1.0794121654523001</v>
      </c>
      <c r="BO14" s="968">
        <v>11.982754517589301</v>
      </c>
    </row>
    <row r="15" spans="1:141" x14ac:dyDescent="0.2">
      <c r="A15" s="26" t="s">
        <v>639</v>
      </c>
      <c r="B15" s="18" t="s">
        <v>609</v>
      </c>
      <c r="C15" s="18" t="s">
        <v>623</v>
      </c>
      <c r="D15" s="18">
        <v>19</v>
      </c>
      <c r="E15" s="946">
        <v>75.005100525000003</v>
      </c>
      <c r="F15" s="18"/>
      <c r="G15" s="18"/>
      <c r="M15" s="954" t="s">
        <v>46</v>
      </c>
      <c r="N15" s="774" t="s">
        <v>623</v>
      </c>
      <c r="O15" s="774" t="s">
        <v>447</v>
      </c>
      <c r="P15" s="774" t="s">
        <v>639</v>
      </c>
      <c r="Q15" s="947">
        <v>108.190185872</v>
      </c>
      <c r="R15" s="973">
        <f>'Basin Acreages_032917'!M4</f>
        <v>175.76768877410001</v>
      </c>
      <c r="S15" s="51">
        <f>Q15/R15</f>
        <v>0.61552943334794652</v>
      </c>
      <c r="V15" s="39" t="s">
        <v>609</v>
      </c>
      <c r="W15" s="82" t="s">
        <v>625</v>
      </c>
      <c r="X15" s="947">
        <f>Q38+Q39</f>
        <v>289.78689481660001</v>
      </c>
      <c r="AA15" s="966" t="s">
        <v>88</v>
      </c>
      <c r="AB15" s="968"/>
      <c r="AC15" s="968"/>
      <c r="AD15" s="968"/>
      <c r="AE15" s="968"/>
      <c r="AF15" s="968"/>
      <c r="AG15" s="968"/>
      <c r="AH15" s="968"/>
      <c r="AI15" s="968"/>
      <c r="AJ15" s="968"/>
      <c r="AK15" s="968"/>
      <c r="AL15" s="968"/>
      <c r="AM15" s="968"/>
      <c r="AN15" s="968"/>
      <c r="AO15" s="968"/>
      <c r="AP15" s="968"/>
      <c r="AQ15" s="968"/>
      <c r="AR15" s="968"/>
      <c r="AS15" s="968"/>
      <c r="AT15" s="968"/>
      <c r="AU15" s="968"/>
      <c r="AV15" s="968"/>
      <c r="AW15" s="968"/>
      <c r="AX15" s="968"/>
      <c r="AY15" s="968"/>
      <c r="AZ15" s="968"/>
      <c r="BA15" s="968"/>
      <c r="BB15" s="968"/>
      <c r="BC15" s="968"/>
      <c r="BD15" s="968"/>
      <c r="BE15" s="968"/>
      <c r="BF15" s="968"/>
      <c r="BG15" s="968"/>
      <c r="BH15" s="968"/>
      <c r="BI15" s="968"/>
      <c r="BJ15" s="968"/>
      <c r="BK15" s="968"/>
      <c r="BL15" s="968"/>
      <c r="BM15" s="968"/>
      <c r="BN15" s="968"/>
      <c r="BO15" s="968"/>
    </row>
    <row r="16" spans="1:141" x14ac:dyDescent="0.2">
      <c r="A16" s="26" t="s">
        <v>639</v>
      </c>
      <c r="B16" s="18" t="s">
        <v>609</v>
      </c>
      <c r="C16" s="18" t="s">
        <v>625</v>
      </c>
      <c r="D16" s="18">
        <v>27</v>
      </c>
      <c r="E16" s="946">
        <v>289.78689481599997</v>
      </c>
      <c r="F16" s="18"/>
      <c r="G16" s="18"/>
      <c r="H16" s="1003" t="s">
        <v>734</v>
      </c>
      <c r="I16" s="1004" t="s">
        <v>234</v>
      </c>
      <c r="M16" s="954" t="s">
        <v>46</v>
      </c>
      <c r="N16" s="774" t="s">
        <v>623</v>
      </c>
      <c r="O16" s="774" t="s">
        <v>449</v>
      </c>
      <c r="P16" s="774" t="s">
        <v>639</v>
      </c>
      <c r="Q16" s="947">
        <v>5.0590937153600004</v>
      </c>
      <c r="R16" s="973">
        <f>'Basin Acreages_032917'!I22</f>
        <v>94.859855993599993</v>
      </c>
      <c r="S16" s="51">
        <f t="shared" ref="S16:S22" si="2">Q16/R16</f>
        <v>5.333229385991612E-2</v>
      </c>
      <c r="V16" s="39" t="s">
        <v>609</v>
      </c>
      <c r="W16" s="82" t="s">
        <v>642</v>
      </c>
      <c r="X16" s="947">
        <f>Q40+Q41</f>
        <v>201.089648119</v>
      </c>
      <c r="AA16" s="967" t="s">
        <v>662</v>
      </c>
      <c r="AB16" s="968">
        <v>0.54125666277899998</v>
      </c>
      <c r="AC16" s="968">
        <v>0.30044777033699999</v>
      </c>
      <c r="AD16" s="968">
        <v>2.1388166207700001E-3</v>
      </c>
      <c r="AE16" s="968">
        <v>2.0379300413300001</v>
      </c>
      <c r="AF16" s="968">
        <v>6.1687329583099998E-2</v>
      </c>
      <c r="AG16" s="968">
        <v>2.9434606206498701</v>
      </c>
      <c r="AH16" s="968">
        <v>3.2370504314300002</v>
      </c>
      <c r="AI16" s="968">
        <v>8.4851958808099995E-2</v>
      </c>
      <c r="AJ16" s="968">
        <v>3.3219023902381002</v>
      </c>
      <c r="AK16" s="968">
        <v>2.7316301381699999</v>
      </c>
      <c r="AL16" s="968">
        <v>1.49005127385</v>
      </c>
      <c r="AM16" s="968"/>
      <c r="AN16" s="968">
        <v>4.2216814120199997</v>
      </c>
      <c r="AO16" s="968"/>
      <c r="AP16" s="968"/>
      <c r="AQ16" s="968"/>
      <c r="AR16" s="968"/>
      <c r="AS16" s="968">
        <v>6.2880631458499998</v>
      </c>
      <c r="AT16" s="968">
        <v>4.1109200038899996</v>
      </c>
      <c r="AU16" s="968">
        <v>3.42636351716</v>
      </c>
      <c r="AV16" s="968">
        <v>13.8253466669</v>
      </c>
      <c r="AW16" s="968">
        <v>5.1084742186499996</v>
      </c>
      <c r="AX16" s="968"/>
      <c r="AY16" s="968">
        <v>7.50186041429E-2</v>
      </c>
      <c r="AZ16" s="968">
        <v>5.1834928227928998</v>
      </c>
      <c r="BA16" s="968">
        <v>2.4502288655000002</v>
      </c>
      <c r="BB16" s="968">
        <v>5.14189478613</v>
      </c>
      <c r="BC16" s="968">
        <v>7.5921236516300006</v>
      </c>
      <c r="BD16" s="968">
        <v>4.5837068653699999</v>
      </c>
      <c r="BE16" s="968">
        <v>0.26310418181599998</v>
      </c>
      <c r="BF16" s="968">
        <v>1.1173721749700001</v>
      </c>
      <c r="BG16" s="968"/>
      <c r="BH16" s="968">
        <v>0.16300666862099999</v>
      </c>
      <c r="BI16" s="968">
        <v>6.1271898907769993</v>
      </c>
      <c r="BJ16" s="968">
        <v>0.47361709694100002</v>
      </c>
      <c r="BK16" s="968">
        <v>4.0123258927899998</v>
      </c>
      <c r="BL16" s="968">
        <v>3.6296941618299998</v>
      </c>
      <c r="BM16" s="968"/>
      <c r="BN16" s="968">
        <v>8.1156371515609997</v>
      </c>
      <c r="BO16" s="968">
        <v>51.330834606568871</v>
      </c>
    </row>
    <row r="17" spans="1:67" x14ac:dyDescent="0.2">
      <c r="A17" s="26" t="s">
        <v>639</v>
      </c>
      <c r="B17" s="18" t="s">
        <v>609</v>
      </c>
      <c r="C17" s="18" t="s">
        <v>642</v>
      </c>
      <c r="D17" s="18">
        <v>23</v>
      </c>
      <c r="E17" s="946">
        <v>201.089648119</v>
      </c>
      <c r="F17" s="18"/>
      <c r="G17" s="18"/>
      <c r="H17" s="1003" t="s">
        <v>622</v>
      </c>
      <c r="I17" s="1002"/>
      <c r="M17" s="954" t="s">
        <v>46</v>
      </c>
      <c r="N17" s="774" t="s">
        <v>623</v>
      </c>
      <c r="O17" s="774" t="s">
        <v>446</v>
      </c>
      <c r="P17" s="774" t="s">
        <v>639</v>
      </c>
      <c r="Q17" s="947">
        <v>19.559328540900001</v>
      </c>
      <c r="R17" s="973">
        <f>'Basin Acreages_032917'!I23</f>
        <v>111.856859551</v>
      </c>
      <c r="S17" s="51">
        <f t="shared" si="2"/>
        <v>0.17486034043341012</v>
      </c>
      <c r="V17" s="39" t="s">
        <v>610</v>
      </c>
      <c r="W17" s="82" t="s">
        <v>623</v>
      </c>
      <c r="X17" s="947">
        <f>Q42+Q43+Q44+Q45+Q49+Q50+Q51</f>
        <v>946.440465949697</v>
      </c>
      <c r="AA17" s="967" t="s">
        <v>444</v>
      </c>
      <c r="AB17" s="968"/>
      <c r="AC17" s="968"/>
      <c r="AD17" s="968"/>
      <c r="AE17" s="968"/>
      <c r="AF17" s="968"/>
      <c r="AG17" s="968"/>
      <c r="AH17" s="968"/>
      <c r="AI17" s="968"/>
      <c r="AJ17" s="968"/>
      <c r="AK17" s="968"/>
      <c r="AL17" s="968"/>
      <c r="AM17" s="968"/>
      <c r="AN17" s="968"/>
      <c r="AO17" s="968"/>
      <c r="AP17" s="968"/>
      <c r="AQ17" s="968"/>
      <c r="AR17" s="968"/>
      <c r="AS17" s="968"/>
      <c r="AT17" s="968"/>
      <c r="AU17" s="968">
        <v>4.18911772871E-4</v>
      </c>
      <c r="AV17" s="968">
        <v>4.18911772871E-4</v>
      </c>
      <c r="AW17" s="968"/>
      <c r="AX17" s="968"/>
      <c r="AY17" s="968"/>
      <c r="AZ17" s="968"/>
      <c r="BA17" s="968"/>
      <c r="BB17" s="968"/>
      <c r="BC17" s="968"/>
      <c r="BD17" s="968"/>
      <c r="BE17" s="968"/>
      <c r="BF17" s="968"/>
      <c r="BG17" s="968"/>
      <c r="BH17" s="968"/>
      <c r="BI17" s="968"/>
      <c r="BJ17" s="968"/>
      <c r="BK17" s="968"/>
      <c r="BL17" s="968"/>
      <c r="BM17" s="968"/>
      <c r="BN17" s="968"/>
      <c r="BO17" s="968">
        <v>4.18911772871E-4</v>
      </c>
    </row>
    <row r="18" spans="1:67" x14ac:dyDescent="0.2">
      <c r="A18" s="26" t="s">
        <v>639</v>
      </c>
      <c r="B18" s="18" t="s">
        <v>610</v>
      </c>
      <c r="C18" s="18" t="s">
        <v>623</v>
      </c>
      <c r="D18" s="18">
        <v>73</v>
      </c>
      <c r="E18" s="946">
        <v>686.10135935200003</v>
      </c>
      <c r="F18" s="18"/>
      <c r="G18" s="18"/>
      <c r="H18" s="1003" t="s">
        <v>623</v>
      </c>
      <c r="I18" s="1005">
        <f>E4+E8+E10+E12+E15+E18+E20+E22+E27</f>
        <v>1956.2751379373999</v>
      </c>
      <c r="M18" s="954" t="s">
        <v>46</v>
      </c>
      <c r="N18" s="774" t="s">
        <v>623</v>
      </c>
      <c r="O18" s="774" t="s">
        <v>448</v>
      </c>
      <c r="P18" s="774" t="s">
        <v>639</v>
      </c>
      <c r="Q18" s="947">
        <v>140.09232569400001</v>
      </c>
      <c r="R18" s="973">
        <f>'Basin Acreages_032917'!I24</f>
        <v>543.11001382100005</v>
      </c>
      <c r="S18" s="51">
        <f t="shared" si="2"/>
        <v>0.25794465601617889</v>
      </c>
      <c r="V18" s="39" t="s">
        <v>610</v>
      </c>
      <c r="W18" s="82" t="s">
        <v>625</v>
      </c>
      <c r="X18" s="947">
        <f>Q47+Q46+Q48</f>
        <v>8.5757815695990001</v>
      </c>
      <c r="AA18" s="967" t="s">
        <v>663</v>
      </c>
      <c r="AB18" s="968"/>
      <c r="AC18" s="968"/>
      <c r="AD18" s="968"/>
      <c r="AE18" s="968"/>
      <c r="AF18" s="968"/>
      <c r="AG18" s="968"/>
      <c r="AH18" s="968"/>
      <c r="AI18" s="968"/>
      <c r="AJ18" s="968"/>
      <c r="AK18" s="968"/>
      <c r="AL18" s="968">
        <v>2.2926837940399998</v>
      </c>
      <c r="AM18" s="968"/>
      <c r="AN18" s="968">
        <v>2.2926837940399998</v>
      </c>
      <c r="AO18" s="968">
        <v>4.7858185392800001</v>
      </c>
      <c r="AP18" s="968"/>
      <c r="AQ18" s="968"/>
      <c r="AR18" s="968">
        <v>4.7858185392800001</v>
      </c>
      <c r="AS18" s="968">
        <v>77.165210749799996</v>
      </c>
      <c r="AT18" s="968"/>
      <c r="AU18" s="968"/>
      <c r="AV18" s="968">
        <v>77.165210749799996</v>
      </c>
      <c r="AW18" s="968"/>
      <c r="AX18" s="968"/>
      <c r="AY18" s="968"/>
      <c r="AZ18" s="968"/>
      <c r="BA18" s="968">
        <v>7.7539354754300002E-2</v>
      </c>
      <c r="BB18" s="968"/>
      <c r="BC18" s="968">
        <v>7.7539354754300002E-2</v>
      </c>
      <c r="BD18" s="968">
        <v>4.1144395129999997E-2</v>
      </c>
      <c r="BE18" s="968"/>
      <c r="BF18" s="968"/>
      <c r="BG18" s="968"/>
      <c r="BH18" s="968">
        <v>145.47542724300001</v>
      </c>
      <c r="BI18" s="968">
        <v>145.51657163813002</v>
      </c>
      <c r="BJ18" s="968">
        <v>10.884784829000001</v>
      </c>
      <c r="BK18" s="968"/>
      <c r="BL18" s="968"/>
      <c r="BM18" s="968"/>
      <c r="BN18" s="968">
        <v>10.884784829000001</v>
      </c>
      <c r="BO18" s="968">
        <v>240.72260890500434</v>
      </c>
    </row>
    <row r="19" spans="1:67" x14ac:dyDescent="0.2">
      <c r="A19" s="26" t="s">
        <v>639</v>
      </c>
      <c r="B19" s="18" t="s">
        <v>610</v>
      </c>
      <c r="C19" s="18" t="s">
        <v>625</v>
      </c>
      <c r="D19" s="18">
        <v>8</v>
      </c>
      <c r="E19" s="946">
        <v>8.5757815696000002</v>
      </c>
      <c r="F19" s="18"/>
      <c r="G19" s="18"/>
      <c r="H19" s="1003" t="s">
        <v>626</v>
      </c>
      <c r="I19" s="1005">
        <f>E5+E9+E13+E21+E25</f>
        <v>211.67911535646002</v>
      </c>
      <c r="M19" s="954" t="s">
        <v>46</v>
      </c>
      <c r="N19" s="774" t="s">
        <v>626</v>
      </c>
      <c r="O19" s="774" t="s">
        <v>447</v>
      </c>
      <c r="P19" s="774" t="s">
        <v>639</v>
      </c>
      <c r="Q19" s="947">
        <v>9.5636737501900004</v>
      </c>
      <c r="R19" s="973">
        <f>'Basin Acreages_032917'!M4</f>
        <v>175.76768877410001</v>
      </c>
      <c r="S19" s="51">
        <f t="shared" si="2"/>
        <v>5.441087504132467E-2</v>
      </c>
      <c r="V19" s="39" t="s">
        <v>610</v>
      </c>
      <c r="W19" s="82" t="s">
        <v>626</v>
      </c>
      <c r="X19" s="947">
        <f>Q52+Q53+Q54</f>
        <v>80.930194438169991</v>
      </c>
      <c r="AA19" s="967" t="s">
        <v>664</v>
      </c>
      <c r="AB19" s="968"/>
      <c r="AC19" s="968"/>
      <c r="AD19" s="968"/>
      <c r="AE19" s="968"/>
      <c r="AF19" s="968"/>
      <c r="AG19" s="968"/>
      <c r="AH19" s="968"/>
      <c r="AI19" s="968"/>
      <c r="AJ19" s="968"/>
      <c r="AK19" s="968"/>
      <c r="AL19" s="968"/>
      <c r="AM19" s="968"/>
      <c r="AN19" s="968"/>
      <c r="AO19" s="968"/>
      <c r="AP19" s="968"/>
      <c r="AQ19" s="968"/>
      <c r="AR19" s="968"/>
      <c r="AS19" s="968"/>
      <c r="AT19" s="968"/>
      <c r="AU19" s="968"/>
      <c r="AV19" s="968"/>
      <c r="AW19" s="968"/>
      <c r="AX19" s="968">
        <v>30.332161647100001</v>
      </c>
      <c r="AY19" s="968"/>
      <c r="AZ19" s="968">
        <v>30.332161647100001</v>
      </c>
      <c r="BA19" s="968"/>
      <c r="BB19" s="968"/>
      <c r="BC19" s="968"/>
      <c r="BD19" s="968"/>
      <c r="BE19" s="968"/>
      <c r="BF19" s="968"/>
      <c r="BG19" s="968"/>
      <c r="BH19" s="968"/>
      <c r="BI19" s="968"/>
      <c r="BJ19" s="968"/>
      <c r="BK19" s="968"/>
      <c r="BL19" s="968"/>
      <c r="BM19" s="968"/>
      <c r="BN19" s="968"/>
      <c r="BO19" s="968">
        <v>30.332161647100001</v>
      </c>
    </row>
    <row r="20" spans="1:67" x14ac:dyDescent="0.2">
      <c r="A20" s="26" t="s">
        <v>639</v>
      </c>
      <c r="B20" s="18" t="s">
        <v>643</v>
      </c>
      <c r="C20" s="18" t="s">
        <v>623</v>
      </c>
      <c r="D20" s="18">
        <v>38</v>
      </c>
      <c r="E20" s="946">
        <v>260.339106598</v>
      </c>
      <c r="F20" s="18"/>
      <c r="G20" s="18"/>
      <c r="H20" s="1003" t="s">
        <v>640</v>
      </c>
      <c r="I20" s="1005">
        <f>E6+E14+E30</f>
        <v>330.91498284229999</v>
      </c>
      <c r="M20" s="954" t="s">
        <v>46</v>
      </c>
      <c r="N20" s="774" t="s">
        <v>626</v>
      </c>
      <c r="O20" s="774" t="s">
        <v>449</v>
      </c>
      <c r="P20" s="774" t="s">
        <v>639</v>
      </c>
      <c r="Q20" s="947">
        <v>64.426263867299994</v>
      </c>
      <c r="R20" s="973">
        <f>'Basin Acreages_032917'!I22</f>
        <v>94.859855993599993</v>
      </c>
      <c r="S20" s="51">
        <f t="shared" si="2"/>
        <v>0.67917311482790688</v>
      </c>
      <c r="V20" s="39" t="s">
        <v>644</v>
      </c>
      <c r="W20" s="82" t="s">
        <v>623</v>
      </c>
      <c r="X20" s="947">
        <f>Q55+Q56</f>
        <v>90.294868666706009</v>
      </c>
      <c r="AA20" s="966" t="s">
        <v>700</v>
      </c>
      <c r="AB20" s="968">
        <v>0.54125666277899998</v>
      </c>
      <c r="AC20" s="968">
        <v>0.30044777033699999</v>
      </c>
      <c r="AD20" s="968">
        <v>2.1388166207700001E-3</v>
      </c>
      <c r="AE20" s="968">
        <v>2.0379300413300001</v>
      </c>
      <c r="AF20" s="968">
        <v>6.1687329583099998E-2</v>
      </c>
      <c r="AG20" s="968">
        <v>2.9434606206498701</v>
      </c>
      <c r="AH20" s="968">
        <v>3.2370504314300002</v>
      </c>
      <c r="AI20" s="968">
        <v>8.4851958808099995E-2</v>
      </c>
      <c r="AJ20" s="968">
        <v>3.3219023902381002</v>
      </c>
      <c r="AK20" s="968">
        <v>2.7316301381699999</v>
      </c>
      <c r="AL20" s="968">
        <v>3.78273506789</v>
      </c>
      <c r="AM20" s="968"/>
      <c r="AN20" s="968">
        <v>6.514365206059999</v>
      </c>
      <c r="AO20" s="968">
        <v>4.7858185392800001</v>
      </c>
      <c r="AP20" s="968"/>
      <c r="AQ20" s="968"/>
      <c r="AR20" s="968">
        <v>4.7858185392800001</v>
      </c>
      <c r="AS20" s="968">
        <v>83.45327389565</v>
      </c>
      <c r="AT20" s="968">
        <v>4.1109200038899996</v>
      </c>
      <c r="AU20" s="968">
        <v>3.4267824289328708</v>
      </c>
      <c r="AV20" s="968">
        <v>90.990976328472868</v>
      </c>
      <c r="AW20" s="968">
        <v>5.1084742186499996</v>
      </c>
      <c r="AX20" s="968">
        <v>30.332161647100001</v>
      </c>
      <c r="AY20" s="968">
        <v>7.50186041429E-2</v>
      </c>
      <c r="AZ20" s="968">
        <v>35.515654469892901</v>
      </c>
      <c r="BA20" s="968">
        <v>2.5277682202543001</v>
      </c>
      <c r="BB20" s="968">
        <v>5.14189478613</v>
      </c>
      <c r="BC20" s="968">
        <v>7.669663006384301</v>
      </c>
      <c r="BD20" s="968">
        <v>4.6248512604999998</v>
      </c>
      <c r="BE20" s="968">
        <v>0.26310418181599998</v>
      </c>
      <c r="BF20" s="968">
        <v>1.1173721749700001</v>
      </c>
      <c r="BG20" s="968"/>
      <c r="BH20" s="968">
        <v>145.63843391162101</v>
      </c>
      <c r="BI20" s="968">
        <v>151.64376152890702</v>
      </c>
      <c r="BJ20" s="968">
        <v>11.358401925941001</v>
      </c>
      <c r="BK20" s="968">
        <v>4.0123258927899998</v>
      </c>
      <c r="BL20" s="968">
        <v>3.6296941618299998</v>
      </c>
      <c r="BM20" s="968"/>
      <c r="BN20" s="968">
        <v>19.000421980561001</v>
      </c>
      <c r="BO20" s="968">
        <v>322.38602407044607</v>
      </c>
    </row>
    <row r="21" spans="1:67" x14ac:dyDescent="0.2">
      <c r="A21" s="26" t="s">
        <v>639</v>
      </c>
      <c r="B21" s="18" t="s">
        <v>643</v>
      </c>
      <c r="C21" s="18" t="s">
        <v>626</v>
      </c>
      <c r="D21" s="18">
        <v>30</v>
      </c>
      <c r="E21" s="946">
        <v>80.930194438200004</v>
      </c>
      <c r="F21" s="18"/>
      <c r="G21" s="18"/>
      <c r="H21" s="1003" t="s">
        <v>625</v>
      </c>
      <c r="I21" s="1005">
        <f>E16+E19+E23+E28</f>
        <v>518.01227266759997</v>
      </c>
      <c r="M21" s="954" t="s">
        <v>46</v>
      </c>
      <c r="N21" s="774" t="s">
        <v>626</v>
      </c>
      <c r="O21" s="774" t="s">
        <v>446</v>
      </c>
      <c r="P21" s="774" t="s">
        <v>639</v>
      </c>
      <c r="Q21" s="947">
        <v>0.65842821353500003</v>
      </c>
      <c r="R21" s="973">
        <f>'Basin Acreages_032917'!I23</f>
        <v>111.856859551</v>
      </c>
      <c r="S21" s="51">
        <f t="shared" si="2"/>
        <v>5.8863463195549161E-3</v>
      </c>
      <c r="V21" s="39" t="s">
        <v>644</v>
      </c>
      <c r="W21" s="82" t="s">
        <v>625</v>
      </c>
      <c r="X21" s="947">
        <f>Q57+Q58+Q59</f>
        <v>101.51719914749999</v>
      </c>
      <c r="AA21" s="966" t="s">
        <v>238</v>
      </c>
      <c r="AB21" s="968"/>
      <c r="AC21" s="968"/>
      <c r="AD21" s="968"/>
      <c r="AE21" s="968"/>
      <c r="AF21" s="968"/>
      <c r="AG21" s="968"/>
      <c r="AH21" s="968"/>
      <c r="AI21" s="968"/>
      <c r="AJ21" s="968"/>
      <c r="AK21" s="968"/>
      <c r="AL21" s="968"/>
      <c r="AM21" s="968"/>
      <c r="AN21" s="968"/>
      <c r="AO21" s="968"/>
      <c r="AP21" s="968"/>
      <c r="AQ21" s="968"/>
      <c r="AR21" s="968"/>
      <c r="AS21" s="968"/>
      <c r="AT21" s="968"/>
      <c r="AU21" s="968"/>
      <c r="AV21" s="968"/>
      <c r="AW21" s="968"/>
      <c r="AX21" s="968"/>
      <c r="AY21" s="968"/>
      <c r="AZ21" s="968"/>
      <c r="BA21" s="968"/>
      <c r="BB21" s="968"/>
      <c r="BC21" s="968"/>
      <c r="BD21" s="968"/>
      <c r="BE21" s="968"/>
      <c r="BF21" s="968"/>
      <c r="BG21" s="968"/>
      <c r="BH21" s="968"/>
      <c r="BI21" s="968"/>
      <c r="BJ21" s="968"/>
      <c r="BK21" s="968"/>
      <c r="BL21" s="968"/>
      <c r="BM21" s="968"/>
      <c r="BN21" s="968"/>
      <c r="BO21" s="968"/>
    </row>
    <row r="22" spans="1:67" x14ac:dyDescent="0.2">
      <c r="A22" s="26" t="s">
        <v>639</v>
      </c>
      <c r="B22" s="18" t="s">
        <v>644</v>
      </c>
      <c r="C22" s="18" t="s">
        <v>623</v>
      </c>
      <c r="D22" s="18">
        <v>33</v>
      </c>
      <c r="E22" s="946">
        <v>90.294868666699998</v>
      </c>
      <c r="F22" s="18"/>
      <c r="G22" s="18"/>
      <c r="H22" s="1003" t="s">
        <v>642</v>
      </c>
      <c r="I22" s="1005">
        <f>E11+E17+E24+E29</f>
        <v>361.64990565363001</v>
      </c>
      <c r="M22" s="954" t="s">
        <v>46</v>
      </c>
      <c r="N22" s="774" t="s">
        <v>626</v>
      </c>
      <c r="O22" s="774" t="s">
        <v>448</v>
      </c>
      <c r="P22" s="774" t="s">
        <v>639</v>
      </c>
      <c r="Q22" s="947">
        <v>22.112899974699999</v>
      </c>
      <c r="R22" s="973">
        <f>'Basin Acreages_032917'!I24</f>
        <v>543.11001382100005</v>
      </c>
      <c r="S22" s="51">
        <f t="shared" si="2"/>
        <v>4.0715323621317065E-2</v>
      </c>
      <c r="V22" s="39" t="s">
        <v>644</v>
      </c>
      <c r="W22" s="774" t="s">
        <v>642</v>
      </c>
      <c r="X22" s="947">
        <f>Q60</f>
        <v>5.2525070835300003</v>
      </c>
      <c r="AA22" s="967" t="s">
        <v>665</v>
      </c>
      <c r="AB22" s="968">
        <v>6.2622346344099994E-2</v>
      </c>
      <c r="AC22" s="968"/>
      <c r="AD22" s="968"/>
      <c r="AE22" s="968"/>
      <c r="AF22" s="968"/>
      <c r="AG22" s="968">
        <v>6.2622346344099994E-2</v>
      </c>
      <c r="AH22" s="968"/>
      <c r="AI22" s="968"/>
      <c r="AJ22" s="968"/>
      <c r="AK22" s="968"/>
      <c r="AL22" s="968"/>
      <c r="AM22" s="968"/>
      <c r="AN22" s="968"/>
      <c r="AO22" s="968"/>
      <c r="AP22" s="968">
        <v>1.8384414069400001E-2</v>
      </c>
      <c r="AQ22" s="968"/>
      <c r="AR22" s="968">
        <v>1.8384414069400001E-2</v>
      </c>
      <c r="AS22" s="968"/>
      <c r="AT22" s="968"/>
      <c r="AU22" s="968"/>
      <c r="AV22" s="968"/>
      <c r="AW22" s="968">
        <v>0.14845799041900001</v>
      </c>
      <c r="AX22" s="968"/>
      <c r="AY22" s="968"/>
      <c r="AZ22" s="968">
        <v>0.14845799041900001</v>
      </c>
      <c r="BA22" s="968"/>
      <c r="BB22" s="968"/>
      <c r="BC22" s="968"/>
      <c r="BD22" s="968">
        <v>5.4313574755400003E-2</v>
      </c>
      <c r="BE22" s="968"/>
      <c r="BF22" s="968"/>
      <c r="BG22" s="968"/>
      <c r="BH22" s="968"/>
      <c r="BI22" s="968">
        <v>5.4313574755400003E-2</v>
      </c>
      <c r="BJ22" s="968"/>
      <c r="BK22" s="968"/>
      <c r="BL22" s="968"/>
      <c r="BM22" s="968"/>
      <c r="BN22" s="968"/>
      <c r="BO22" s="968">
        <v>0.2837783255879</v>
      </c>
    </row>
    <row r="23" spans="1:67" x14ac:dyDescent="0.2">
      <c r="A23" s="26" t="s">
        <v>639</v>
      </c>
      <c r="B23" s="18" t="s">
        <v>644</v>
      </c>
      <c r="C23" s="18" t="s">
        <v>625</v>
      </c>
      <c r="D23" s="18">
        <v>32</v>
      </c>
      <c r="E23" s="946">
        <v>101.517199148</v>
      </c>
      <c r="F23" s="18"/>
      <c r="G23" s="18"/>
      <c r="H23" s="1003" t="s">
        <v>641</v>
      </c>
      <c r="I23" s="1005">
        <f>E7+E26</f>
        <v>119.46293485089001</v>
      </c>
      <c r="M23" s="954" t="s">
        <v>608</v>
      </c>
      <c r="N23" s="774" t="s">
        <v>623</v>
      </c>
      <c r="O23" s="774" t="s">
        <v>446</v>
      </c>
      <c r="P23" s="774" t="s">
        <v>639</v>
      </c>
      <c r="Q23" s="947">
        <v>0.69440190192200002</v>
      </c>
      <c r="R23" s="973">
        <f>'Basin Acreages_032917'!I35</f>
        <v>135.102260589</v>
      </c>
      <c r="S23" s="51">
        <f>Q23/R23</f>
        <v>5.1398244477527128E-3</v>
      </c>
      <c r="V23" s="39" t="s">
        <v>644</v>
      </c>
      <c r="W23" s="774" t="s">
        <v>626</v>
      </c>
      <c r="X23" s="947">
        <f>Q61</f>
        <v>3.5996354038899998</v>
      </c>
      <c r="AA23" s="967" t="s">
        <v>666</v>
      </c>
      <c r="AB23" s="968"/>
      <c r="AC23" s="968"/>
      <c r="AD23" s="968"/>
      <c r="AE23" s="968"/>
      <c r="AF23" s="968"/>
      <c r="AG23" s="968"/>
      <c r="AH23" s="968"/>
      <c r="AI23" s="968">
        <v>0.19472820911899999</v>
      </c>
      <c r="AJ23" s="968">
        <v>0.19472820911899999</v>
      </c>
      <c r="AK23" s="968"/>
      <c r="AL23" s="968">
        <v>0.211659626711</v>
      </c>
      <c r="AM23" s="968"/>
      <c r="AN23" s="968">
        <v>0.211659626711</v>
      </c>
      <c r="AO23" s="968">
        <v>9.3020521017499996E-2</v>
      </c>
      <c r="AP23" s="968"/>
      <c r="AQ23" s="968"/>
      <c r="AR23" s="968">
        <v>9.3020521017499996E-2</v>
      </c>
      <c r="AS23" s="968"/>
      <c r="AT23" s="968"/>
      <c r="AU23" s="968"/>
      <c r="AV23" s="968"/>
      <c r="AW23" s="968"/>
      <c r="AX23" s="968"/>
      <c r="AY23" s="968"/>
      <c r="AZ23" s="968"/>
      <c r="BA23" s="968">
        <v>1.1793411473099999</v>
      </c>
      <c r="BB23" s="968"/>
      <c r="BC23" s="968">
        <v>1.1793411473099999</v>
      </c>
      <c r="BD23" s="968">
        <v>0.72602886855799997</v>
      </c>
      <c r="BE23" s="968"/>
      <c r="BF23" s="968"/>
      <c r="BG23" s="968"/>
      <c r="BH23" s="968">
        <v>1.55446557707E-2</v>
      </c>
      <c r="BI23" s="968">
        <v>0.74157352432869994</v>
      </c>
      <c r="BJ23" s="968">
        <v>1.9513582554E-2</v>
      </c>
      <c r="BK23" s="968"/>
      <c r="BL23" s="968"/>
      <c r="BM23" s="968"/>
      <c r="BN23" s="968">
        <v>1.9513582554E-2</v>
      </c>
      <c r="BO23" s="968">
        <v>2.4398366110402003</v>
      </c>
    </row>
    <row r="24" spans="1:67" x14ac:dyDescent="0.2">
      <c r="A24" s="26" t="s">
        <v>639</v>
      </c>
      <c r="B24" s="18" t="s">
        <v>644</v>
      </c>
      <c r="C24" s="18" t="s">
        <v>642</v>
      </c>
      <c r="D24" s="18">
        <v>6</v>
      </c>
      <c r="E24" s="946">
        <v>5.2525070835300003</v>
      </c>
      <c r="F24" s="18"/>
      <c r="G24" s="18"/>
      <c r="H24" s="79" t="s">
        <v>735</v>
      </c>
      <c r="I24" s="925">
        <f>E102</f>
        <v>356.82666214599999</v>
      </c>
      <c r="M24" s="954" t="s">
        <v>608</v>
      </c>
      <c r="N24" s="774" t="s">
        <v>623</v>
      </c>
      <c r="O24" s="774" t="s">
        <v>448</v>
      </c>
      <c r="P24" s="774" t="s">
        <v>639</v>
      </c>
      <c r="Q24" s="947">
        <v>26.622331862199999</v>
      </c>
      <c r="R24" s="973">
        <f>'Basin Acreages_032917'!I36</f>
        <v>214.74095601799999</v>
      </c>
      <c r="S24" s="51">
        <f t="shared" ref="S24:S73" si="3">Q24/R24</f>
        <v>0.12397417034861513</v>
      </c>
      <c r="V24" s="39" t="s">
        <v>644</v>
      </c>
      <c r="W24" s="774" t="s">
        <v>641</v>
      </c>
      <c r="X24" s="947">
        <f>Q62</f>
        <v>6.8118055528900001</v>
      </c>
      <c r="AA24" s="966" t="s">
        <v>701</v>
      </c>
      <c r="AB24" s="968">
        <v>6.2622346344099994E-2</v>
      </c>
      <c r="AC24" s="968"/>
      <c r="AD24" s="968"/>
      <c r="AE24" s="968"/>
      <c r="AF24" s="968"/>
      <c r="AG24" s="968">
        <v>6.2622346344099994E-2</v>
      </c>
      <c r="AH24" s="968"/>
      <c r="AI24" s="968">
        <v>0.19472820911899999</v>
      </c>
      <c r="AJ24" s="968">
        <v>0.19472820911899999</v>
      </c>
      <c r="AK24" s="968"/>
      <c r="AL24" s="968">
        <v>0.211659626711</v>
      </c>
      <c r="AM24" s="968"/>
      <c r="AN24" s="968">
        <v>0.211659626711</v>
      </c>
      <c r="AO24" s="968">
        <v>9.3020521017499996E-2</v>
      </c>
      <c r="AP24" s="968">
        <v>1.8384414069400001E-2</v>
      </c>
      <c r="AQ24" s="968"/>
      <c r="AR24" s="968">
        <v>0.1114049350869</v>
      </c>
      <c r="AS24" s="968"/>
      <c r="AT24" s="968"/>
      <c r="AU24" s="968"/>
      <c r="AV24" s="968"/>
      <c r="AW24" s="968">
        <v>0.14845799041900001</v>
      </c>
      <c r="AX24" s="968"/>
      <c r="AY24" s="968"/>
      <c r="AZ24" s="968">
        <v>0.14845799041900001</v>
      </c>
      <c r="BA24" s="968">
        <v>1.1793411473099999</v>
      </c>
      <c r="BB24" s="968"/>
      <c r="BC24" s="968">
        <v>1.1793411473099999</v>
      </c>
      <c r="BD24" s="968">
        <v>0.78034244331339997</v>
      </c>
      <c r="BE24" s="968"/>
      <c r="BF24" s="968"/>
      <c r="BG24" s="968"/>
      <c r="BH24" s="968">
        <v>1.55446557707E-2</v>
      </c>
      <c r="BI24" s="968">
        <v>0.79588709908409994</v>
      </c>
      <c r="BJ24" s="968">
        <v>1.9513582554E-2</v>
      </c>
      <c r="BK24" s="968"/>
      <c r="BL24" s="968"/>
      <c r="BM24" s="968"/>
      <c r="BN24" s="968">
        <v>1.9513582554E-2</v>
      </c>
      <c r="BO24" s="968">
        <v>2.7236149366281004</v>
      </c>
    </row>
    <row r="25" spans="1:67" x14ac:dyDescent="0.2">
      <c r="A25" s="26" t="s">
        <v>639</v>
      </c>
      <c r="B25" s="18" t="s">
        <v>644</v>
      </c>
      <c r="C25" s="18" t="s">
        <v>626</v>
      </c>
      <c r="D25" s="18">
        <v>1</v>
      </c>
      <c r="E25" s="946">
        <v>3.5996354038899998</v>
      </c>
      <c r="F25" s="18"/>
      <c r="G25" s="18"/>
      <c r="H25" s="1003" t="s">
        <v>736</v>
      </c>
      <c r="I25" s="947">
        <f>E103</f>
        <v>403.94202039700002</v>
      </c>
      <c r="M25" s="954" t="s">
        <v>608</v>
      </c>
      <c r="N25" s="774" t="s">
        <v>642</v>
      </c>
      <c r="O25" s="774" t="s">
        <v>447</v>
      </c>
      <c r="P25" s="774" t="s">
        <v>639</v>
      </c>
      <c r="Q25" s="947">
        <v>80.732850969699996</v>
      </c>
      <c r="R25" s="973">
        <f>'Basin Acreages_032917'!I33</f>
        <v>221.293275661</v>
      </c>
      <c r="S25" s="51">
        <f t="shared" si="3"/>
        <v>0.36482288369835042</v>
      </c>
      <c r="V25" s="265" t="s">
        <v>645</v>
      </c>
      <c r="W25" s="962" t="s">
        <v>623</v>
      </c>
      <c r="X25" s="947">
        <f>Q63+Q64+Q65+Q66</f>
        <v>422.49047731834202</v>
      </c>
      <c r="AA25" s="966" t="s">
        <v>646</v>
      </c>
      <c r="AB25" s="968"/>
      <c r="AC25" s="968"/>
      <c r="AD25" s="968"/>
      <c r="AE25" s="968"/>
      <c r="AF25" s="968"/>
      <c r="AG25" s="968"/>
      <c r="AH25" s="968"/>
      <c r="AI25" s="968"/>
      <c r="AJ25" s="968"/>
      <c r="AK25" s="968"/>
      <c r="AL25" s="968"/>
      <c r="AM25" s="968"/>
      <c r="AN25" s="968"/>
      <c r="AO25" s="968"/>
      <c r="AP25" s="968"/>
      <c r="AQ25" s="968"/>
      <c r="AR25" s="968"/>
      <c r="AS25" s="968"/>
      <c r="AT25" s="968"/>
      <c r="AU25" s="968"/>
      <c r="AV25" s="968"/>
      <c r="AW25" s="968"/>
      <c r="AX25" s="968"/>
      <c r="AY25" s="968"/>
      <c r="AZ25" s="968"/>
      <c r="BA25" s="968"/>
      <c r="BB25" s="968"/>
      <c r="BC25" s="968"/>
      <c r="BD25" s="968"/>
      <c r="BE25" s="968"/>
      <c r="BF25" s="968"/>
      <c r="BG25" s="968"/>
      <c r="BH25" s="968"/>
      <c r="BI25" s="968"/>
      <c r="BJ25" s="968"/>
      <c r="BK25" s="968"/>
      <c r="BL25" s="968"/>
      <c r="BM25" s="968"/>
      <c r="BN25" s="968"/>
      <c r="BO25" s="968"/>
    </row>
    <row r="26" spans="1:67" x14ac:dyDescent="0.2">
      <c r="A26" s="26" t="s">
        <v>639</v>
      </c>
      <c r="B26" s="18" t="s">
        <v>644</v>
      </c>
      <c r="C26" s="18" t="s">
        <v>641</v>
      </c>
      <c r="D26" s="18">
        <v>8</v>
      </c>
      <c r="E26" s="946">
        <v>6.8118055528900001</v>
      </c>
      <c r="F26" s="18"/>
      <c r="G26" s="18"/>
      <c r="H26" s="18"/>
      <c r="I26" s="37"/>
      <c r="M26" s="954" t="s">
        <v>608</v>
      </c>
      <c r="N26" s="774" t="s">
        <v>642</v>
      </c>
      <c r="O26" s="774" t="s">
        <v>449</v>
      </c>
      <c r="P26" s="774" t="s">
        <v>639</v>
      </c>
      <c r="Q26" s="947">
        <v>5.6420824782799999</v>
      </c>
      <c r="R26" s="973">
        <f>'Basin Acreages_032917'!I34</f>
        <v>135.94092854600001</v>
      </c>
      <c r="S26" s="51">
        <f t="shared" si="3"/>
        <v>4.1503927762055991E-2</v>
      </c>
      <c r="V26" s="265" t="s">
        <v>645</v>
      </c>
      <c r="W26" s="962" t="s">
        <v>625</v>
      </c>
      <c r="X26" s="947">
        <f>Q67+Q68</f>
        <v>118.13239713359999</v>
      </c>
      <c r="AA26" s="967" t="s">
        <v>667</v>
      </c>
      <c r="AB26" s="968">
        <v>0.84293337233800003</v>
      </c>
      <c r="AC26" s="968">
        <v>11.306869280200001</v>
      </c>
      <c r="AD26" s="968">
        <v>39.5444414388</v>
      </c>
      <c r="AE26" s="968">
        <v>0.28188639531300003</v>
      </c>
      <c r="AF26" s="968">
        <v>60.5155283191</v>
      </c>
      <c r="AG26" s="968">
        <v>112.491658805751</v>
      </c>
      <c r="AH26" s="968">
        <v>9.9829870743599995E-3</v>
      </c>
      <c r="AI26" s="968">
        <v>2.1922856088299998</v>
      </c>
      <c r="AJ26" s="968">
        <v>2.2022685959043597</v>
      </c>
      <c r="AK26" s="968">
        <v>1.1471453624300001</v>
      </c>
      <c r="AL26" s="968">
        <v>420.51684609199998</v>
      </c>
      <c r="AM26" s="968"/>
      <c r="AN26" s="968">
        <v>421.66399145443</v>
      </c>
      <c r="AO26" s="968">
        <v>3.1646774987500001E-2</v>
      </c>
      <c r="AP26" s="968">
        <v>2.8053647222600002</v>
      </c>
      <c r="AQ26" s="968"/>
      <c r="AR26" s="968">
        <v>2.8370114972475</v>
      </c>
      <c r="AS26" s="968">
        <v>1473.3000875</v>
      </c>
      <c r="AT26" s="968">
        <v>249.051449867</v>
      </c>
      <c r="AU26" s="968">
        <v>80.9526701355</v>
      </c>
      <c r="AV26" s="968">
        <v>1803.3042075025</v>
      </c>
      <c r="AW26" s="968">
        <v>5.3908935624399996</v>
      </c>
      <c r="AX26" s="968">
        <v>3.3193452997600001</v>
      </c>
      <c r="AY26" s="968">
        <v>3.4313954606400001</v>
      </c>
      <c r="AZ26" s="968">
        <v>12.141634322840002</v>
      </c>
      <c r="BA26" s="968">
        <v>6.4830635815699997</v>
      </c>
      <c r="BB26" s="968">
        <v>53.281132100800001</v>
      </c>
      <c r="BC26" s="968">
        <v>59.764195682370001</v>
      </c>
      <c r="BD26" s="968">
        <v>0.57128898940200001</v>
      </c>
      <c r="BE26" s="968">
        <v>1.6436622518499999</v>
      </c>
      <c r="BF26" s="968">
        <v>51.110931740300003</v>
      </c>
      <c r="BG26" s="968">
        <v>3.62409747869</v>
      </c>
      <c r="BH26" s="968">
        <v>22.408470621199999</v>
      </c>
      <c r="BI26" s="968">
        <v>79.358451081441999</v>
      </c>
      <c r="BJ26" s="968">
        <v>40.460535841400002</v>
      </c>
      <c r="BK26" s="968">
        <v>76.247673649299998</v>
      </c>
      <c r="BL26" s="968">
        <v>0.30000262331100003</v>
      </c>
      <c r="BM26" s="968">
        <v>1.14313360719E-2</v>
      </c>
      <c r="BN26" s="968">
        <v>117.0196434500829</v>
      </c>
      <c r="BO26" s="968">
        <v>2610.7830623925679</v>
      </c>
    </row>
    <row r="27" spans="1:67" x14ac:dyDescent="0.2">
      <c r="A27" s="26" t="s">
        <v>639</v>
      </c>
      <c r="B27" s="18" t="s">
        <v>645</v>
      </c>
      <c r="C27" s="18" t="s">
        <v>623</v>
      </c>
      <c r="D27" s="18">
        <v>85</v>
      </c>
      <c r="E27" s="946">
        <v>422.49047731799999</v>
      </c>
      <c r="F27" s="18"/>
      <c r="G27" s="18"/>
      <c r="H27" s="18"/>
      <c r="I27" s="37"/>
      <c r="M27" s="954" t="s">
        <v>40</v>
      </c>
      <c r="N27" s="774" t="s">
        <v>623</v>
      </c>
      <c r="O27" s="774" t="s">
        <v>447</v>
      </c>
      <c r="P27" s="774" t="s">
        <v>639</v>
      </c>
      <c r="Q27" s="947">
        <v>1.4335276498499999E-2</v>
      </c>
      <c r="R27" s="973">
        <f>'Basin Acreages_032917'!I49</f>
        <v>249.167648794</v>
      </c>
      <c r="S27" s="51">
        <f t="shared" si="3"/>
        <v>5.7532655494741722E-5</v>
      </c>
      <c r="V27" s="265" t="s">
        <v>645</v>
      </c>
      <c r="W27" s="962" t="s">
        <v>642</v>
      </c>
      <c r="X27" s="947">
        <f>Q69+Q70+Q71</f>
        <v>68.932817003072003</v>
      </c>
      <c r="AA27" s="966" t="s">
        <v>702</v>
      </c>
      <c r="AB27" s="968">
        <v>0.84293337233800003</v>
      </c>
      <c r="AC27" s="968">
        <v>11.306869280200001</v>
      </c>
      <c r="AD27" s="968">
        <v>39.5444414388</v>
      </c>
      <c r="AE27" s="968">
        <v>0.28188639531300003</v>
      </c>
      <c r="AF27" s="968">
        <v>60.5155283191</v>
      </c>
      <c r="AG27" s="968">
        <v>112.491658805751</v>
      </c>
      <c r="AH27" s="968">
        <v>9.9829870743599995E-3</v>
      </c>
      <c r="AI27" s="968">
        <v>2.1922856088299998</v>
      </c>
      <c r="AJ27" s="968">
        <v>2.2022685959043597</v>
      </c>
      <c r="AK27" s="968">
        <v>1.1471453624300001</v>
      </c>
      <c r="AL27" s="968">
        <v>420.51684609199998</v>
      </c>
      <c r="AM27" s="968"/>
      <c r="AN27" s="968">
        <v>421.66399145443</v>
      </c>
      <c r="AO27" s="968">
        <v>3.1646774987500001E-2</v>
      </c>
      <c r="AP27" s="968">
        <v>2.8053647222600002</v>
      </c>
      <c r="AQ27" s="968"/>
      <c r="AR27" s="968">
        <v>2.8370114972475</v>
      </c>
      <c r="AS27" s="968">
        <v>1473.3000875</v>
      </c>
      <c r="AT27" s="968">
        <v>249.051449867</v>
      </c>
      <c r="AU27" s="968">
        <v>80.9526701355</v>
      </c>
      <c r="AV27" s="968">
        <v>1803.3042075025</v>
      </c>
      <c r="AW27" s="968">
        <v>5.3908935624399996</v>
      </c>
      <c r="AX27" s="968">
        <v>3.3193452997600001</v>
      </c>
      <c r="AY27" s="968">
        <v>3.4313954606400001</v>
      </c>
      <c r="AZ27" s="968">
        <v>12.141634322840002</v>
      </c>
      <c r="BA27" s="968">
        <v>6.4830635815699997</v>
      </c>
      <c r="BB27" s="968">
        <v>53.281132100800001</v>
      </c>
      <c r="BC27" s="968">
        <v>59.764195682370001</v>
      </c>
      <c r="BD27" s="968">
        <v>0.57128898940200001</v>
      </c>
      <c r="BE27" s="968">
        <v>1.6436622518499999</v>
      </c>
      <c r="BF27" s="968">
        <v>51.110931740300003</v>
      </c>
      <c r="BG27" s="968">
        <v>3.62409747869</v>
      </c>
      <c r="BH27" s="968">
        <v>22.408470621199999</v>
      </c>
      <c r="BI27" s="968">
        <v>79.358451081441999</v>
      </c>
      <c r="BJ27" s="968">
        <v>40.460535841400002</v>
      </c>
      <c r="BK27" s="968">
        <v>76.247673649299998</v>
      </c>
      <c r="BL27" s="968">
        <v>0.30000262331100003</v>
      </c>
      <c r="BM27" s="968">
        <v>1.14313360719E-2</v>
      </c>
      <c r="BN27" s="968">
        <v>117.0196434500829</v>
      </c>
      <c r="BO27" s="968">
        <v>2610.7830623925679</v>
      </c>
    </row>
    <row r="28" spans="1:67" ht="13.5" thickBot="1" x14ac:dyDescent="0.25">
      <c r="A28" s="26" t="s">
        <v>639</v>
      </c>
      <c r="B28" s="18" t="s">
        <v>645</v>
      </c>
      <c r="C28" s="18" t="s">
        <v>625</v>
      </c>
      <c r="D28" s="18">
        <v>31</v>
      </c>
      <c r="E28" s="946">
        <v>118.132397134</v>
      </c>
      <c r="F28" s="18"/>
      <c r="G28" s="18"/>
      <c r="H28" s="18"/>
      <c r="I28" s="37"/>
      <c r="M28" s="954" t="s">
        <v>40</v>
      </c>
      <c r="N28" s="774" t="s">
        <v>623</v>
      </c>
      <c r="O28" s="774" t="s">
        <v>446</v>
      </c>
      <c r="P28" s="774" t="s">
        <v>639</v>
      </c>
      <c r="Q28" s="947">
        <v>5.4770158884900004</v>
      </c>
      <c r="R28" s="973">
        <f>'Basin Acreages_032917'!I51</f>
        <v>275.492880501</v>
      </c>
      <c r="S28" s="51">
        <f t="shared" si="3"/>
        <v>1.9880789218689517E-2</v>
      </c>
      <c r="V28" s="359" t="s">
        <v>645</v>
      </c>
      <c r="W28" s="963" t="s">
        <v>640</v>
      </c>
      <c r="X28" s="957">
        <f>Q72+Q73</f>
        <v>78.589299194599988</v>
      </c>
      <c r="AA28" s="966" t="s">
        <v>647</v>
      </c>
      <c r="AB28" s="968"/>
      <c r="AC28" s="968"/>
      <c r="AD28" s="968"/>
      <c r="AE28" s="968"/>
      <c r="AF28" s="968"/>
      <c r="AG28" s="968"/>
      <c r="AH28" s="968"/>
      <c r="AI28" s="968"/>
      <c r="AJ28" s="968"/>
      <c r="AK28" s="968"/>
      <c r="AL28" s="968"/>
      <c r="AM28" s="968"/>
      <c r="AN28" s="968"/>
      <c r="AO28" s="968"/>
      <c r="AP28" s="968"/>
      <c r="AQ28" s="968"/>
      <c r="AR28" s="968"/>
      <c r="AS28" s="968"/>
      <c r="AT28" s="968"/>
      <c r="AU28" s="968"/>
      <c r="AV28" s="968"/>
      <c r="AW28" s="968"/>
      <c r="AX28" s="968"/>
      <c r="AY28" s="968"/>
      <c r="AZ28" s="968"/>
      <c r="BA28" s="968"/>
      <c r="BB28" s="968"/>
      <c r="BC28" s="968"/>
      <c r="BD28" s="968"/>
      <c r="BE28" s="968"/>
      <c r="BF28" s="968"/>
      <c r="BG28" s="968"/>
      <c r="BH28" s="968"/>
      <c r="BI28" s="968"/>
      <c r="BJ28" s="968"/>
      <c r="BK28" s="968"/>
      <c r="BL28" s="968"/>
      <c r="BM28" s="968"/>
      <c r="BN28" s="968"/>
      <c r="BO28" s="968"/>
    </row>
    <row r="29" spans="1:67" x14ac:dyDescent="0.2">
      <c r="A29" s="26" t="s">
        <v>639</v>
      </c>
      <c r="B29" s="18" t="s">
        <v>645</v>
      </c>
      <c r="C29" s="18" t="s">
        <v>642</v>
      </c>
      <c r="D29" s="18">
        <v>21</v>
      </c>
      <c r="E29" s="946">
        <v>68.932817003099998</v>
      </c>
      <c r="F29" s="18"/>
      <c r="G29" s="18"/>
      <c r="H29" s="18"/>
      <c r="I29" s="37"/>
      <c r="M29" s="954" t="s">
        <v>40</v>
      </c>
      <c r="N29" s="774" t="s">
        <v>623</v>
      </c>
      <c r="O29" s="774" t="s">
        <v>448</v>
      </c>
      <c r="P29" s="774" t="s">
        <v>639</v>
      </c>
      <c r="Q29" s="947">
        <v>22.894305567499998</v>
      </c>
      <c r="R29" s="973">
        <f>'Basin Acreages_032917'!I52</f>
        <v>348.80254647499999</v>
      </c>
      <c r="S29" s="51">
        <f t="shared" si="3"/>
        <v>6.5636864750185875E-2</v>
      </c>
      <c r="AA29" s="967" t="s">
        <v>458</v>
      </c>
      <c r="AB29" s="968"/>
      <c r="AC29" s="968"/>
      <c r="AD29" s="968">
        <v>356.82666214599999</v>
      </c>
      <c r="AE29" s="968"/>
      <c r="AF29" s="968">
        <v>403.94202039700002</v>
      </c>
      <c r="AG29" s="968">
        <v>760.76868254300007</v>
      </c>
      <c r="AH29" s="968"/>
      <c r="AI29" s="968"/>
      <c r="AJ29" s="968"/>
      <c r="AK29" s="968"/>
      <c r="AL29" s="968"/>
      <c r="AM29" s="968"/>
      <c r="AN29" s="968"/>
      <c r="AO29" s="968"/>
      <c r="AP29" s="968"/>
      <c r="AQ29" s="968"/>
      <c r="AR29" s="968"/>
      <c r="AS29" s="968"/>
      <c r="AT29" s="968"/>
      <c r="AU29" s="968"/>
      <c r="AV29" s="968"/>
      <c r="AW29" s="968"/>
      <c r="AX29" s="968"/>
      <c r="AY29" s="968"/>
      <c r="AZ29" s="968"/>
      <c r="BA29" s="968"/>
      <c r="BB29" s="968"/>
      <c r="BC29" s="968"/>
      <c r="BD29" s="968"/>
      <c r="BE29" s="968"/>
      <c r="BF29" s="968"/>
      <c r="BG29" s="968"/>
      <c r="BH29" s="968"/>
      <c r="BI29" s="968"/>
      <c r="BJ29" s="968"/>
      <c r="BK29" s="968"/>
      <c r="BL29" s="968"/>
      <c r="BM29" s="968"/>
      <c r="BN29" s="968"/>
      <c r="BO29" s="968">
        <v>760.76868254300007</v>
      </c>
    </row>
    <row r="30" spans="1:67" x14ac:dyDescent="0.2">
      <c r="A30" s="26" t="s">
        <v>639</v>
      </c>
      <c r="B30" s="18" t="s">
        <v>645</v>
      </c>
      <c r="C30" s="18" t="s">
        <v>640</v>
      </c>
      <c r="D30" s="18">
        <v>12</v>
      </c>
      <c r="E30" s="946">
        <v>78.589299194600002</v>
      </c>
      <c r="F30" s="18"/>
      <c r="G30" s="18"/>
      <c r="H30" s="18"/>
      <c r="I30" s="37"/>
      <c r="M30" s="954" t="s">
        <v>40</v>
      </c>
      <c r="N30" s="774" t="s">
        <v>626</v>
      </c>
      <c r="O30" s="774" t="s">
        <v>449</v>
      </c>
      <c r="P30" s="774" t="s">
        <v>639</v>
      </c>
      <c r="Q30" s="947">
        <v>3.2255728447699998</v>
      </c>
      <c r="R30" s="973">
        <f>'Basin Acreages_032917'!I50</f>
        <v>86.458749980199997</v>
      </c>
      <c r="S30" s="51">
        <f t="shared" si="3"/>
        <v>3.7307650706362182E-2</v>
      </c>
      <c r="W30" s="141" t="s">
        <v>755</v>
      </c>
      <c r="X30" s="141"/>
      <c r="AA30" s="966" t="s">
        <v>703</v>
      </c>
      <c r="AB30" s="968"/>
      <c r="AC30" s="968"/>
      <c r="AD30" s="968">
        <v>356.82666214599999</v>
      </c>
      <c r="AE30" s="968"/>
      <c r="AF30" s="968">
        <v>403.94202039700002</v>
      </c>
      <c r="AG30" s="968">
        <v>760.76868254300007</v>
      </c>
      <c r="AH30" s="968"/>
      <c r="AI30" s="968"/>
      <c r="AJ30" s="968"/>
      <c r="AK30" s="968"/>
      <c r="AL30" s="968"/>
      <c r="AM30" s="968"/>
      <c r="AN30" s="968"/>
      <c r="AO30" s="968"/>
      <c r="AP30" s="968"/>
      <c r="AQ30" s="968"/>
      <c r="AR30" s="968"/>
      <c r="AS30" s="968"/>
      <c r="AT30" s="968"/>
      <c r="AU30" s="968"/>
      <c r="AV30" s="968"/>
      <c r="AW30" s="968"/>
      <c r="AX30" s="968"/>
      <c r="AY30" s="968"/>
      <c r="AZ30" s="968"/>
      <c r="BA30" s="968"/>
      <c r="BB30" s="968"/>
      <c r="BC30" s="968"/>
      <c r="BD30" s="968"/>
      <c r="BE30" s="968"/>
      <c r="BF30" s="968"/>
      <c r="BG30" s="968"/>
      <c r="BH30" s="968"/>
      <c r="BI30" s="968"/>
      <c r="BJ30" s="968"/>
      <c r="BK30" s="968"/>
      <c r="BL30" s="968"/>
      <c r="BM30" s="968"/>
      <c r="BN30" s="968"/>
      <c r="BO30" s="968">
        <v>760.76868254300007</v>
      </c>
    </row>
    <row r="31" spans="1:67" x14ac:dyDescent="0.2">
      <c r="A31" s="26" t="s">
        <v>237</v>
      </c>
      <c r="B31" s="18" t="s">
        <v>607</v>
      </c>
      <c r="C31" s="18" t="s">
        <v>640</v>
      </c>
      <c r="D31" s="18">
        <v>5</v>
      </c>
      <c r="E31" s="946">
        <v>8.8319452862199999</v>
      </c>
      <c r="F31" s="18"/>
      <c r="G31" s="18"/>
      <c r="H31" s="18"/>
      <c r="I31" s="37"/>
      <c r="M31" s="954" t="s">
        <v>40</v>
      </c>
      <c r="N31" s="774" t="s">
        <v>640</v>
      </c>
      <c r="O31" s="774" t="s">
        <v>447</v>
      </c>
      <c r="P31" s="774" t="s">
        <v>639</v>
      </c>
      <c r="Q31" s="947">
        <v>8.8416185369400005E-2</v>
      </c>
      <c r="R31" s="973">
        <f>'Basin Acreages_032917'!I49</f>
        <v>249.167648794</v>
      </c>
      <c r="S31" s="51">
        <f t="shared" si="3"/>
        <v>3.548461680211877E-4</v>
      </c>
      <c r="V31" s="929" t="s">
        <v>133</v>
      </c>
      <c r="W31">
        <f>SUM(T2:T14)</f>
        <v>169.31812961825784</v>
      </c>
      <c r="X31">
        <f>SUM(U2:U14)</f>
        <v>50.79543888547736</v>
      </c>
      <c r="AA31" s="966" t="s">
        <v>648</v>
      </c>
      <c r="AB31" s="968"/>
      <c r="AC31" s="968"/>
      <c r="AD31" s="968"/>
      <c r="AE31" s="968"/>
      <c r="AF31" s="968"/>
      <c r="AG31" s="968"/>
      <c r="AH31" s="968"/>
      <c r="AI31" s="968"/>
      <c r="AJ31" s="968"/>
      <c r="AK31" s="968"/>
      <c r="AL31" s="968"/>
      <c r="AM31" s="968"/>
      <c r="AN31" s="968"/>
      <c r="AO31" s="968"/>
      <c r="AP31" s="968"/>
      <c r="AQ31" s="968"/>
      <c r="AR31" s="968"/>
      <c r="AS31" s="968"/>
      <c r="AT31" s="968"/>
      <c r="AU31" s="968"/>
      <c r="AV31" s="968"/>
      <c r="AW31" s="968"/>
      <c r="AX31" s="968"/>
      <c r="AY31" s="968"/>
      <c r="AZ31" s="968"/>
      <c r="BA31" s="968"/>
      <c r="BB31" s="968"/>
      <c r="BC31" s="968"/>
      <c r="BD31" s="968"/>
      <c r="BE31" s="968"/>
      <c r="BF31" s="968"/>
      <c r="BG31" s="968"/>
      <c r="BH31" s="968"/>
      <c r="BI31" s="968"/>
      <c r="BJ31" s="968"/>
      <c r="BK31" s="968"/>
      <c r="BL31" s="968"/>
      <c r="BM31" s="968"/>
      <c r="BN31" s="968"/>
      <c r="BO31" s="968"/>
    </row>
    <row r="32" spans="1:67" x14ac:dyDescent="0.2">
      <c r="A32" s="26" t="s">
        <v>237</v>
      </c>
      <c r="B32" s="18" t="s">
        <v>608</v>
      </c>
      <c r="C32" s="18" t="s">
        <v>623</v>
      </c>
      <c r="D32" s="18">
        <v>3</v>
      </c>
      <c r="E32" s="946">
        <v>0.491306062534</v>
      </c>
      <c r="F32" s="18"/>
      <c r="G32" s="18"/>
      <c r="H32" s="18"/>
      <c r="I32" s="37"/>
      <c r="M32" s="954" t="s">
        <v>40</v>
      </c>
      <c r="N32" s="774" t="s">
        <v>640</v>
      </c>
      <c r="O32" s="774" t="s">
        <v>446</v>
      </c>
      <c r="P32" s="774" t="s">
        <v>639</v>
      </c>
      <c r="Q32" s="947">
        <v>20.612120800700001</v>
      </c>
      <c r="R32" s="973">
        <f>'Basin Acreages_032917'!I51</f>
        <v>275.492880501</v>
      </c>
      <c r="S32" s="51">
        <f t="shared" si="3"/>
        <v>7.481906887472245E-2</v>
      </c>
      <c r="V32" s="929" t="s">
        <v>13</v>
      </c>
      <c r="AA32" s="967" t="s">
        <v>451</v>
      </c>
      <c r="AB32" s="968">
        <v>2.2527471626900002E-3</v>
      </c>
      <c r="AC32" s="968"/>
      <c r="AD32" s="968"/>
      <c r="AE32" s="968">
        <v>4.5092679677599996</v>
      </c>
      <c r="AF32" s="968">
        <v>7.55316525859</v>
      </c>
      <c r="AG32" s="968">
        <v>12.06468597351269</v>
      </c>
      <c r="AH32" s="968">
        <v>2.8580873678399999E-2</v>
      </c>
      <c r="AI32" s="968"/>
      <c r="AJ32" s="968">
        <v>2.8580873678399999E-2</v>
      </c>
      <c r="AK32" s="968">
        <v>1.8370661084600001E-2</v>
      </c>
      <c r="AL32" s="968">
        <v>60.512099202500004</v>
      </c>
      <c r="AM32" s="968"/>
      <c r="AN32" s="968">
        <v>60.530469863584607</v>
      </c>
      <c r="AO32" s="968"/>
      <c r="AP32" s="968"/>
      <c r="AQ32" s="968"/>
      <c r="AR32" s="968"/>
      <c r="AS32" s="968">
        <v>18.896861184399999</v>
      </c>
      <c r="AT32" s="968">
        <v>5.0167318510800003</v>
      </c>
      <c r="AU32" s="968"/>
      <c r="AV32" s="968">
        <v>23.913593035479998</v>
      </c>
      <c r="AW32" s="968">
        <v>3.31174890602</v>
      </c>
      <c r="AX32" s="968"/>
      <c r="AY32" s="968"/>
      <c r="AZ32" s="968">
        <v>3.31174890602</v>
      </c>
      <c r="BA32" s="968">
        <v>1.5159431709500001E-3</v>
      </c>
      <c r="BB32" s="968">
        <v>3.5055631736400001</v>
      </c>
      <c r="BC32" s="968">
        <v>3.5070791168109503</v>
      </c>
      <c r="BD32" s="968">
        <v>0.19825017375699999</v>
      </c>
      <c r="BE32" s="968">
        <v>18.0659631469</v>
      </c>
      <c r="BF32" s="968"/>
      <c r="BG32" s="968"/>
      <c r="BH32" s="968">
        <v>0.80550256822900002</v>
      </c>
      <c r="BI32" s="968">
        <v>19.069715888885998</v>
      </c>
      <c r="BJ32" s="968">
        <v>23.354749535900002</v>
      </c>
      <c r="BK32" s="968">
        <v>55.376257047300001</v>
      </c>
      <c r="BL32" s="968"/>
      <c r="BM32" s="968"/>
      <c r="BN32" s="968">
        <v>78.731006583199999</v>
      </c>
      <c r="BO32" s="968">
        <v>201.15688024117264</v>
      </c>
    </row>
    <row r="33" spans="1:67" x14ac:dyDescent="0.2">
      <c r="A33" s="26" t="s">
        <v>237</v>
      </c>
      <c r="B33" s="18" t="s">
        <v>608</v>
      </c>
      <c r="C33" s="18" t="s">
        <v>642</v>
      </c>
      <c r="D33" s="18">
        <v>1</v>
      </c>
      <c r="E33" s="946">
        <v>3.1613318925600001E-2</v>
      </c>
      <c r="F33" s="18"/>
      <c r="G33" s="18"/>
      <c r="H33" s="18"/>
      <c r="I33" s="37"/>
      <c r="M33" s="954" t="s">
        <v>40</v>
      </c>
      <c r="N33" s="774" t="s">
        <v>640</v>
      </c>
      <c r="O33" s="774" t="s">
        <v>448</v>
      </c>
      <c r="P33" s="774" t="s">
        <v>639</v>
      </c>
      <c r="Q33" s="947">
        <v>9.6953236485400005</v>
      </c>
      <c r="R33" s="973">
        <f>'Basin Acreages_032917'!I52</f>
        <v>348.80254647499999</v>
      </c>
      <c r="S33" s="51">
        <f t="shared" si="3"/>
        <v>2.779602312689796E-2</v>
      </c>
      <c r="V33" s="929" t="s">
        <v>134</v>
      </c>
      <c r="AA33" s="967" t="s">
        <v>452</v>
      </c>
      <c r="AB33" s="968">
        <v>8.4507066103199993</v>
      </c>
      <c r="AC33" s="968"/>
      <c r="AD33" s="968">
        <v>3.2052403425599998</v>
      </c>
      <c r="AE33" s="968">
        <v>13.2886042895</v>
      </c>
      <c r="AF33" s="968">
        <v>27.890113448099999</v>
      </c>
      <c r="AG33" s="968">
        <v>52.834664690479997</v>
      </c>
      <c r="AH33" s="968">
        <v>57.546505642200003</v>
      </c>
      <c r="AI33" s="968">
        <v>8.8989191745399996</v>
      </c>
      <c r="AJ33" s="968">
        <v>66.445424816740001</v>
      </c>
      <c r="AK33" s="968">
        <v>2.6468811182900001</v>
      </c>
      <c r="AL33" s="968">
        <v>758.114710941</v>
      </c>
      <c r="AM33" s="968"/>
      <c r="AN33" s="968">
        <v>760.76159205929002</v>
      </c>
      <c r="AO33" s="968"/>
      <c r="AP33" s="968"/>
      <c r="AQ33" s="968"/>
      <c r="AR33" s="968"/>
      <c r="AS33" s="968">
        <v>799.02063325899996</v>
      </c>
      <c r="AT33" s="968">
        <v>34.453769588599997</v>
      </c>
      <c r="AU33" s="968">
        <v>3.2844038712399999</v>
      </c>
      <c r="AV33" s="968">
        <v>836.75880671883999</v>
      </c>
      <c r="AW33" s="968">
        <v>85.4031809831</v>
      </c>
      <c r="AX33" s="968">
        <v>15.840399313400001</v>
      </c>
      <c r="AY33" s="968">
        <v>0.33000672882999998</v>
      </c>
      <c r="AZ33" s="968">
        <v>101.57358702533</v>
      </c>
      <c r="BA33" s="968">
        <v>83.994522113200006</v>
      </c>
      <c r="BB33" s="968">
        <v>32.234231678100002</v>
      </c>
      <c r="BC33" s="968">
        <v>116.22875379130001</v>
      </c>
      <c r="BD33" s="968">
        <v>0.603455875265</v>
      </c>
      <c r="BE33" s="968">
        <v>25.626755998</v>
      </c>
      <c r="BF33" s="968">
        <v>28.366971083999999</v>
      </c>
      <c r="BG33" s="968">
        <v>2.0991475998400002</v>
      </c>
      <c r="BH33" s="968">
        <v>55.660334709200001</v>
      </c>
      <c r="BI33" s="968">
        <v>112.356665266305</v>
      </c>
      <c r="BJ33" s="968">
        <v>41.036567506399997</v>
      </c>
      <c r="BK33" s="968">
        <v>180.29191780599999</v>
      </c>
      <c r="BL33" s="968"/>
      <c r="BM33" s="968"/>
      <c r="BN33" s="968">
        <v>221.32848531239998</v>
      </c>
      <c r="BO33" s="968">
        <v>2268.2879796806851</v>
      </c>
    </row>
    <row r="34" spans="1:67" x14ac:dyDescent="0.2">
      <c r="A34" s="26" t="s">
        <v>237</v>
      </c>
      <c r="B34" s="18" t="s">
        <v>608</v>
      </c>
      <c r="C34" s="18" t="s">
        <v>626</v>
      </c>
      <c r="D34" s="18">
        <v>1</v>
      </c>
      <c r="E34" s="946">
        <v>0.15495914851500001</v>
      </c>
      <c r="F34" s="18"/>
      <c r="G34" s="18"/>
      <c r="H34" s="18"/>
      <c r="I34" s="37"/>
      <c r="M34" s="954" t="s">
        <v>609</v>
      </c>
      <c r="N34" s="774" t="s">
        <v>623</v>
      </c>
      <c r="O34" s="774" t="s">
        <v>447</v>
      </c>
      <c r="P34" s="774" t="s">
        <v>639</v>
      </c>
      <c r="Q34" s="947">
        <v>10.2905842734</v>
      </c>
      <c r="R34" s="973">
        <f>'Basin Acreages_032917'!I65</f>
        <v>494.19203333299998</v>
      </c>
      <c r="S34" s="51">
        <f t="shared" si="3"/>
        <v>2.082304768046701E-2</v>
      </c>
      <c r="V34" s="929" t="s">
        <v>135</v>
      </c>
      <c r="AA34" s="966" t="s">
        <v>704</v>
      </c>
      <c r="AB34" s="968">
        <v>8.4529593574826887</v>
      </c>
      <c r="AC34" s="968"/>
      <c r="AD34" s="968">
        <v>3.2052403425599998</v>
      </c>
      <c r="AE34" s="968">
        <v>17.79787225726</v>
      </c>
      <c r="AF34" s="968">
        <v>35.443278706690002</v>
      </c>
      <c r="AG34" s="968">
        <v>64.899350663992692</v>
      </c>
      <c r="AH34" s="968">
        <v>57.575086515878404</v>
      </c>
      <c r="AI34" s="968">
        <v>8.8989191745399996</v>
      </c>
      <c r="AJ34" s="968">
        <v>66.474005690418394</v>
      </c>
      <c r="AK34" s="968">
        <v>2.6652517793746</v>
      </c>
      <c r="AL34" s="968">
        <v>818.62681014350005</v>
      </c>
      <c r="AM34" s="968"/>
      <c r="AN34" s="968">
        <v>821.29206192287461</v>
      </c>
      <c r="AO34" s="968"/>
      <c r="AP34" s="968"/>
      <c r="AQ34" s="968"/>
      <c r="AR34" s="968"/>
      <c r="AS34" s="968">
        <v>817.91749444339996</v>
      </c>
      <c r="AT34" s="968">
        <v>39.47050143968</v>
      </c>
      <c r="AU34" s="968">
        <v>3.2844038712399999</v>
      </c>
      <c r="AV34" s="968">
        <v>860.67239975431994</v>
      </c>
      <c r="AW34" s="968">
        <v>88.71492988912</v>
      </c>
      <c r="AX34" s="968">
        <v>15.840399313400001</v>
      </c>
      <c r="AY34" s="968">
        <v>0.33000672882999998</v>
      </c>
      <c r="AZ34" s="968">
        <v>104.88533593135</v>
      </c>
      <c r="BA34" s="968">
        <v>83.996038056370949</v>
      </c>
      <c r="BB34" s="968">
        <v>35.739794851740001</v>
      </c>
      <c r="BC34" s="968">
        <v>119.73583290811096</v>
      </c>
      <c r="BD34" s="968">
        <v>0.80170604902200004</v>
      </c>
      <c r="BE34" s="968">
        <v>43.692719144899996</v>
      </c>
      <c r="BF34" s="968">
        <v>28.366971083999999</v>
      </c>
      <c r="BG34" s="968">
        <v>2.0991475998400002</v>
      </c>
      <c r="BH34" s="968">
        <v>56.465837277429003</v>
      </c>
      <c r="BI34" s="968">
        <v>131.426381155191</v>
      </c>
      <c r="BJ34" s="968">
        <v>64.391317042300003</v>
      </c>
      <c r="BK34" s="968">
        <v>235.6681748533</v>
      </c>
      <c r="BL34" s="968"/>
      <c r="BM34" s="968"/>
      <c r="BN34" s="968">
        <v>300.05949189559999</v>
      </c>
      <c r="BO34" s="968">
        <v>2469.4448599218576</v>
      </c>
    </row>
    <row r="35" spans="1:67" x14ac:dyDescent="0.2">
      <c r="A35" s="26" t="s">
        <v>237</v>
      </c>
      <c r="B35" s="18" t="s">
        <v>610</v>
      </c>
      <c r="C35" s="18" t="s">
        <v>623</v>
      </c>
      <c r="D35" s="18">
        <v>5</v>
      </c>
      <c r="E35" s="946">
        <v>1.1946589990800001</v>
      </c>
      <c r="F35" s="18"/>
      <c r="G35" s="18"/>
      <c r="H35" s="18"/>
      <c r="I35" s="37"/>
      <c r="M35" s="954" t="s">
        <v>609</v>
      </c>
      <c r="N35" s="774" t="s">
        <v>623</v>
      </c>
      <c r="O35" s="774" t="s">
        <v>449</v>
      </c>
      <c r="P35" s="774" t="s">
        <v>639</v>
      </c>
      <c r="Q35" s="947">
        <v>53.337276847600002</v>
      </c>
      <c r="R35" s="973">
        <f>'Basin Acreages_032917'!I66</f>
        <v>212.99513225000001</v>
      </c>
      <c r="S35" s="51">
        <f t="shared" si="3"/>
        <v>0.25041547327474195</v>
      </c>
      <c r="V35" s="929" t="s">
        <v>136</v>
      </c>
      <c r="AA35" s="966" t="s">
        <v>671</v>
      </c>
      <c r="AB35" s="968">
        <v>103.34067289813238</v>
      </c>
      <c r="AC35" s="968">
        <v>11.607317050537</v>
      </c>
      <c r="AD35" s="968">
        <v>426.74092960778756</v>
      </c>
      <c r="AE35" s="968">
        <v>250.87945699397596</v>
      </c>
      <c r="AF35" s="968">
        <v>612.61364405008305</v>
      </c>
      <c r="AG35" s="968">
        <v>1405.1820206005161</v>
      </c>
      <c r="AH35" s="968">
        <v>333.7230537566428</v>
      </c>
      <c r="AI35" s="968">
        <v>108.13205075702211</v>
      </c>
      <c r="AJ35" s="968">
        <v>441.8551045136648</v>
      </c>
      <c r="AK35" s="968">
        <v>34.352067106630599</v>
      </c>
      <c r="AL35" s="968">
        <v>1329.5445976970066</v>
      </c>
      <c r="AM35" s="968">
        <v>0.15495914851500001</v>
      </c>
      <c r="AN35" s="968">
        <v>1364.0516239521521</v>
      </c>
      <c r="AO35" s="968">
        <v>33.296142567773501</v>
      </c>
      <c r="AP35" s="968">
        <v>6.0493219810993999</v>
      </c>
      <c r="AQ35" s="968">
        <v>30.395860634609402</v>
      </c>
      <c r="AR35" s="968">
        <v>69.741325183482289</v>
      </c>
      <c r="AS35" s="968">
        <v>2449.6759563640048</v>
      </c>
      <c r="AT35" s="968">
        <v>582.41976612716996</v>
      </c>
      <c r="AU35" s="968">
        <v>288.75350455467287</v>
      </c>
      <c r="AV35" s="968">
        <v>3320.8492270458478</v>
      </c>
      <c r="AW35" s="968">
        <v>786.65877401189152</v>
      </c>
      <c r="AX35" s="968">
        <v>58.067687829859004</v>
      </c>
      <c r="AY35" s="968">
        <v>3.8364207936129002</v>
      </c>
      <c r="AZ35" s="968">
        <v>848.56288263536317</v>
      </c>
      <c r="BA35" s="968">
        <v>354.52531760301821</v>
      </c>
      <c r="BB35" s="968">
        <v>175.09301617684</v>
      </c>
      <c r="BC35" s="968">
        <v>529.61833377985829</v>
      </c>
      <c r="BD35" s="968">
        <v>97.271916945807519</v>
      </c>
      <c r="BE35" s="968">
        <v>147.11668472606601</v>
      </c>
      <c r="BF35" s="968">
        <v>85.847782082799995</v>
      </c>
      <c r="BG35" s="968">
        <v>9.3228804824200004</v>
      </c>
      <c r="BH35" s="968">
        <v>231.3400920189107</v>
      </c>
      <c r="BI35" s="968">
        <v>570.89935625600424</v>
      </c>
      <c r="BJ35" s="968">
        <v>539.08088986979033</v>
      </c>
      <c r="BK35" s="968">
        <v>434.77933953518902</v>
      </c>
      <c r="BL35" s="968">
        <v>72.862513788213008</v>
      </c>
      <c r="BM35" s="968">
        <v>78.600730530671882</v>
      </c>
      <c r="BN35" s="968">
        <v>1125.3234737238643</v>
      </c>
      <c r="BO35" s="968">
        <v>9676.0833476907537</v>
      </c>
    </row>
    <row r="36" spans="1:67" x14ac:dyDescent="0.2">
      <c r="A36" s="26" t="s">
        <v>237</v>
      </c>
      <c r="B36" s="18" t="s">
        <v>644</v>
      </c>
      <c r="C36" s="18" t="s">
        <v>623</v>
      </c>
      <c r="D36" s="18">
        <v>8</v>
      </c>
      <c r="E36" s="946">
        <v>0.19885953686400001</v>
      </c>
      <c r="F36" s="18"/>
      <c r="G36" s="18"/>
      <c r="H36" s="18"/>
      <c r="I36" s="37"/>
      <c r="M36" s="954" t="s">
        <v>609</v>
      </c>
      <c r="N36" s="774" t="s">
        <v>623</v>
      </c>
      <c r="O36" s="774" t="s">
        <v>446</v>
      </c>
      <c r="P36" s="774" t="s">
        <v>639</v>
      </c>
      <c r="Q36" s="947">
        <v>0.29618941725499998</v>
      </c>
      <c r="R36" s="973">
        <f>'Basin Acreages_032917'!I67</f>
        <v>4016.9105238699999</v>
      </c>
      <c r="S36" s="51">
        <f t="shared" si="3"/>
        <v>7.3735627292400611E-5</v>
      </c>
      <c r="V36" s="929" t="s">
        <v>11</v>
      </c>
    </row>
    <row r="37" spans="1:67" x14ac:dyDescent="0.2">
      <c r="A37" s="26" t="s">
        <v>237</v>
      </c>
      <c r="B37" s="18" t="s">
        <v>645</v>
      </c>
      <c r="C37" s="18" t="s">
        <v>623</v>
      </c>
      <c r="D37" s="18">
        <v>4</v>
      </c>
      <c r="E37" s="946">
        <v>0.36064415925400001</v>
      </c>
      <c r="F37" s="18"/>
      <c r="G37" s="18"/>
      <c r="H37" s="18"/>
      <c r="I37" s="37"/>
      <c r="M37" s="954" t="s">
        <v>609</v>
      </c>
      <c r="N37" s="774" t="s">
        <v>623</v>
      </c>
      <c r="O37" s="774" t="s">
        <v>448</v>
      </c>
      <c r="P37" s="774" t="s">
        <v>639</v>
      </c>
      <c r="Q37" s="947">
        <v>11.0810499867</v>
      </c>
      <c r="R37" s="973">
        <f>'Basin Acreages_032917'!I68</f>
        <v>288.28125291800001</v>
      </c>
      <c r="S37" s="51">
        <f t="shared" si="3"/>
        <v>3.8438330188095664E-2</v>
      </c>
      <c r="V37" s="929" t="s">
        <v>10</v>
      </c>
      <c r="W37">
        <f>SUM(T55:T62)</f>
        <v>6.8393289969254489</v>
      </c>
      <c r="X37">
        <f>0.3*W37</f>
        <v>2.0517986990776347</v>
      </c>
    </row>
    <row r="38" spans="1:67" x14ac:dyDescent="0.2">
      <c r="A38" s="26" t="s">
        <v>237</v>
      </c>
      <c r="B38" s="18" t="s">
        <v>645</v>
      </c>
      <c r="C38" s="18" t="s">
        <v>625</v>
      </c>
      <c r="D38" s="18">
        <v>4</v>
      </c>
      <c r="E38" s="946">
        <v>0.71876800619900005</v>
      </c>
      <c r="F38" s="18"/>
      <c r="G38" s="18"/>
      <c r="H38" s="18"/>
      <c r="I38" s="37"/>
      <c r="M38" s="954" t="s">
        <v>609</v>
      </c>
      <c r="N38" s="774" t="s">
        <v>625</v>
      </c>
      <c r="O38" s="774" t="s">
        <v>447</v>
      </c>
      <c r="P38" s="774" t="s">
        <v>639</v>
      </c>
      <c r="Q38" s="947">
        <v>35.3853025716</v>
      </c>
      <c r="R38" s="973">
        <f>'Basin Acreages_032917'!I65</f>
        <v>494.19203333299998</v>
      </c>
      <c r="S38" s="51">
        <f t="shared" si="3"/>
        <v>7.1602333070708207E-2</v>
      </c>
      <c r="V38" s="929" t="s">
        <v>12</v>
      </c>
    </row>
    <row r="39" spans="1:67" x14ac:dyDescent="0.2">
      <c r="A39" s="26" t="s">
        <v>88</v>
      </c>
      <c r="B39" s="18" t="s">
        <v>607</v>
      </c>
      <c r="C39" s="18" t="s">
        <v>623</v>
      </c>
      <c r="D39" s="18">
        <v>3</v>
      </c>
      <c r="E39" s="946">
        <v>0.54125666277899998</v>
      </c>
      <c r="F39" s="18"/>
      <c r="G39" s="18"/>
      <c r="H39" s="18"/>
      <c r="I39" s="37"/>
      <c r="M39" s="954" t="s">
        <v>609</v>
      </c>
      <c r="N39" s="774" t="s">
        <v>625</v>
      </c>
      <c r="O39" s="774" t="s">
        <v>446</v>
      </c>
      <c r="P39" s="774" t="s">
        <v>639</v>
      </c>
      <c r="Q39" s="947">
        <v>254.40159224499999</v>
      </c>
      <c r="R39" s="973">
        <f>'Basin Acreages_032917'!I67</f>
        <v>4016.9105238699999</v>
      </c>
      <c r="S39" s="51">
        <f t="shared" si="3"/>
        <v>6.3332650984693234E-2</v>
      </c>
    </row>
    <row r="40" spans="1:67" x14ac:dyDescent="0.2">
      <c r="A40" s="26" t="s">
        <v>88</v>
      </c>
      <c r="B40" s="18" t="s">
        <v>607</v>
      </c>
      <c r="C40" s="18" t="s">
        <v>642</v>
      </c>
      <c r="D40" s="18">
        <v>2</v>
      </c>
      <c r="E40" s="946">
        <v>0.30044777033699999</v>
      </c>
      <c r="F40" s="18"/>
      <c r="G40" s="18"/>
      <c r="H40" s="18"/>
      <c r="I40" s="37"/>
      <c r="M40" s="954" t="s">
        <v>609</v>
      </c>
      <c r="N40" s="774" t="s">
        <v>642</v>
      </c>
      <c r="O40" s="774" t="s">
        <v>447</v>
      </c>
      <c r="P40" s="774" t="s">
        <v>639</v>
      </c>
      <c r="Q40" s="947">
        <v>45.748230393999997</v>
      </c>
      <c r="R40" s="973">
        <f>'Basin Acreages_032917'!I65</f>
        <v>494.19203333299998</v>
      </c>
      <c r="S40" s="51">
        <f t="shared" si="3"/>
        <v>9.2571768276915142E-2</v>
      </c>
    </row>
    <row r="41" spans="1:67" x14ac:dyDescent="0.2">
      <c r="A41" s="26" t="s">
        <v>88</v>
      </c>
      <c r="B41" s="18" t="s">
        <v>607</v>
      </c>
      <c r="C41" s="18" t="s">
        <v>626</v>
      </c>
      <c r="D41" s="18">
        <v>2</v>
      </c>
      <c r="E41" s="946">
        <v>2.1388166207700001E-3</v>
      </c>
      <c r="F41" s="18"/>
      <c r="G41" s="18"/>
      <c r="H41" s="18"/>
      <c r="I41" s="37"/>
      <c r="M41" s="954" t="s">
        <v>609</v>
      </c>
      <c r="N41" s="774" t="s">
        <v>642</v>
      </c>
      <c r="O41" s="774" t="s">
        <v>446</v>
      </c>
      <c r="P41" s="774" t="s">
        <v>639</v>
      </c>
      <c r="Q41" s="947">
        <v>155.34141772500001</v>
      </c>
      <c r="R41" s="973">
        <f>'Basin Acreages_032917'!I67</f>
        <v>4016.9105238699999</v>
      </c>
      <c r="S41" s="51">
        <f t="shared" si="3"/>
        <v>3.8671864061174031E-2</v>
      </c>
    </row>
    <row r="42" spans="1:67" x14ac:dyDescent="0.2">
      <c r="A42" s="26" t="s">
        <v>88</v>
      </c>
      <c r="B42" s="18" t="s">
        <v>607</v>
      </c>
      <c r="C42" s="18" t="s">
        <v>640</v>
      </c>
      <c r="D42" s="18">
        <v>6</v>
      </c>
      <c r="E42" s="946">
        <v>2.0379300413300001</v>
      </c>
      <c r="F42" s="18"/>
      <c r="G42" s="18"/>
      <c r="H42" s="18"/>
      <c r="I42" s="37"/>
      <c r="M42" s="954" t="s">
        <v>610</v>
      </c>
      <c r="N42" s="774" t="s">
        <v>623</v>
      </c>
      <c r="O42" s="774" t="s">
        <v>447</v>
      </c>
      <c r="P42" s="774" t="s">
        <v>639</v>
      </c>
      <c r="Q42" s="947">
        <v>18.533200493300001</v>
      </c>
      <c r="R42" s="973">
        <f>'Basin Acreages_032917'!I82</f>
        <v>1472.0851461499999</v>
      </c>
      <c r="S42" s="51">
        <f t="shared" si="3"/>
        <v>1.2589761225273268E-2</v>
      </c>
    </row>
    <row r="43" spans="1:67" x14ac:dyDescent="0.2">
      <c r="A43" s="26" t="s">
        <v>88</v>
      </c>
      <c r="B43" s="18" t="s">
        <v>607</v>
      </c>
      <c r="C43" s="18" t="s">
        <v>641</v>
      </c>
      <c r="D43" s="18">
        <v>5</v>
      </c>
      <c r="E43" s="946">
        <v>6.1687329583099998E-2</v>
      </c>
      <c r="F43" s="18"/>
      <c r="G43" s="18"/>
      <c r="H43" s="18"/>
      <c r="I43" s="37"/>
      <c r="M43" s="954" t="s">
        <v>610</v>
      </c>
      <c r="N43" s="774" t="s">
        <v>623</v>
      </c>
      <c r="O43" s="774" t="s">
        <v>449</v>
      </c>
      <c r="P43" s="774" t="s">
        <v>639</v>
      </c>
      <c r="Q43" s="947">
        <v>0.26089490478400001</v>
      </c>
      <c r="R43" s="973">
        <f>'Basin Acreages_032917'!I84</f>
        <v>559.05144803300004</v>
      </c>
      <c r="S43" s="51">
        <f t="shared" si="3"/>
        <v>4.6667423132870547E-4</v>
      </c>
    </row>
    <row r="44" spans="1:67" x14ac:dyDescent="0.2">
      <c r="A44" s="26" t="s">
        <v>88</v>
      </c>
      <c r="B44" s="18" t="s">
        <v>46</v>
      </c>
      <c r="C44" s="18" t="s">
        <v>623</v>
      </c>
      <c r="D44" s="18">
        <v>21</v>
      </c>
      <c r="E44" s="946">
        <v>3.2370504314300002</v>
      </c>
      <c r="F44" s="18"/>
      <c r="G44" s="18"/>
      <c r="H44" s="18"/>
      <c r="I44" s="37"/>
      <c r="M44" s="954" t="s">
        <v>610</v>
      </c>
      <c r="N44" s="774" t="s">
        <v>623</v>
      </c>
      <c r="O44" s="774" t="s">
        <v>446</v>
      </c>
      <c r="P44" s="774" t="s">
        <v>639</v>
      </c>
      <c r="Q44" s="947">
        <v>65.404546392100002</v>
      </c>
      <c r="R44" s="973">
        <f>'Basin Acreages_032917'!I85</f>
        <v>1168.66819248</v>
      </c>
      <c r="S44" s="51">
        <f t="shared" si="3"/>
        <v>5.5965026525883907E-2</v>
      </c>
    </row>
    <row r="45" spans="1:67" x14ac:dyDescent="0.2">
      <c r="A45" s="26" t="s">
        <v>88</v>
      </c>
      <c r="B45" s="18" t="s">
        <v>46</v>
      </c>
      <c r="C45" s="18" t="s">
        <v>626</v>
      </c>
      <c r="D45" s="18">
        <v>5</v>
      </c>
      <c r="E45" s="946">
        <v>8.4851958808099995E-2</v>
      </c>
      <c r="F45" s="18"/>
      <c r="G45" s="18"/>
      <c r="H45" s="18"/>
      <c r="I45" s="37"/>
      <c r="M45" s="954" t="s">
        <v>610</v>
      </c>
      <c r="N45" s="774" t="s">
        <v>623</v>
      </c>
      <c r="O45" s="774" t="s">
        <v>448</v>
      </c>
      <c r="P45" s="774" t="s">
        <v>639</v>
      </c>
      <c r="Q45" s="947">
        <v>601.90271756200002</v>
      </c>
      <c r="R45" s="973">
        <f>'Basin Acreages_032917'!I86</f>
        <v>1206.2034814900001</v>
      </c>
      <c r="S45" s="51">
        <f t="shared" si="3"/>
        <v>0.49900595280862653</v>
      </c>
    </row>
    <row r="46" spans="1:67" x14ac:dyDescent="0.2">
      <c r="A46" s="26" t="s">
        <v>88</v>
      </c>
      <c r="B46" s="18" t="s">
        <v>608</v>
      </c>
      <c r="C46" s="18" t="s">
        <v>623</v>
      </c>
      <c r="D46" s="18">
        <v>6</v>
      </c>
      <c r="E46" s="946">
        <v>2.7316301381699999</v>
      </c>
      <c r="F46" s="18"/>
      <c r="G46" s="18"/>
      <c r="H46" s="18"/>
      <c r="I46" s="37"/>
      <c r="M46" s="954" t="s">
        <v>610</v>
      </c>
      <c r="N46" s="774" t="s">
        <v>625</v>
      </c>
      <c r="O46" s="774" t="s">
        <v>447</v>
      </c>
      <c r="P46" s="774" t="s">
        <v>639</v>
      </c>
      <c r="Q46" s="947">
        <v>2.7340888053599999</v>
      </c>
      <c r="R46" s="973">
        <f>'Basin Acreages_032917'!I82</f>
        <v>1472.0851461499999</v>
      </c>
      <c r="S46" s="51">
        <f t="shared" si="3"/>
        <v>1.8572898534507775E-3</v>
      </c>
    </row>
    <row r="47" spans="1:67" x14ac:dyDescent="0.2">
      <c r="A47" s="26" t="s">
        <v>88</v>
      </c>
      <c r="B47" s="18" t="s">
        <v>608</v>
      </c>
      <c r="C47" s="18" t="s">
        <v>642</v>
      </c>
      <c r="D47" s="18">
        <v>12</v>
      </c>
      <c r="E47" s="946">
        <v>3.78273506789</v>
      </c>
      <c r="F47" s="18"/>
      <c r="G47" s="18"/>
      <c r="H47" s="18"/>
      <c r="I47" s="37"/>
      <c r="M47" s="954" t="s">
        <v>610</v>
      </c>
      <c r="N47" s="774" t="s">
        <v>625</v>
      </c>
      <c r="O47" s="774" t="s">
        <v>446</v>
      </c>
      <c r="P47" s="774" t="s">
        <v>639</v>
      </c>
      <c r="Q47" s="947">
        <v>5.4377879822999997</v>
      </c>
      <c r="R47" s="973">
        <f>'Basin Acreages_032917'!I85</f>
        <v>1168.66819248</v>
      </c>
      <c r="S47" s="51">
        <f t="shared" si="3"/>
        <v>4.6529785077495892E-3</v>
      </c>
    </row>
    <row r="48" spans="1:67" x14ac:dyDescent="0.2">
      <c r="A48" s="26" t="s">
        <v>88</v>
      </c>
      <c r="B48" s="18" t="s">
        <v>40</v>
      </c>
      <c r="C48" s="18" t="s">
        <v>623</v>
      </c>
      <c r="D48" s="18">
        <v>2</v>
      </c>
      <c r="E48" s="946">
        <v>4.7858185392800001</v>
      </c>
      <c r="F48" s="18"/>
      <c r="G48" s="18"/>
      <c r="H48" s="18"/>
      <c r="I48" s="37"/>
      <c r="M48" s="954" t="s">
        <v>610</v>
      </c>
      <c r="N48" s="774" t="s">
        <v>625</v>
      </c>
      <c r="O48" s="774" t="s">
        <v>448</v>
      </c>
      <c r="P48" s="774" t="s">
        <v>639</v>
      </c>
      <c r="Q48" s="947">
        <v>0.40390478193899998</v>
      </c>
      <c r="R48" s="973">
        <f>'Basin Acreages_032917'!I86</f>
        <v>1206.2034814900001</v>
      </c>
      <c r="S48" s="51">
        <f t="shared" si="3"/>
        <v>3.3485625612692156E-4</v>
      </c>
    </row>
    <row r="49" spans="1:20" x14ac:dyDescent="0.2">
      <c r="A49" s="26" t="s">
        <v>88</v>
      </c>
      <c r="B49" s="18" t="s">
        <v>609</v>
      </c>
      <c r="C49" s="18" t="s">
        <v>623</v>
      </c>
      <c r="D49" s="18">
        <v>26</v>
      </c>
      <c r="E49" s="946">
        <v>83.453273895699994</v>
      </c>
      <c r="F49" s="18"/>
      <c r="G49" s="18"/>
      <c r="H49" s="18"/>
      <c r="I49" s="37"/>
      <c r="M49" s="954" t="s">
        <v>643</v>
      </c>
      <c r="N49" s="774" t="s">
        <v>623</v>
      </c>
      <c r="O49" s="774" t="s">
        <v>449</v>
      </c>
      <c r="P49" s="774" t="s">
        <v>639</v>
      </c>
      <c r="Q49" s="947">
        <v>0.14884580494300001</v>
      </c>
      <c r="R49" s="973">
        <f>'Basin Acreages_032917'!I101</f>
        <v>203.16795586699999</v>
      </c>
      <c r="S49" s="51">
        <f t="shared" si="3"/>
        <v>7.3262441563589416E-4</v>
      </c>
    </row>
    <row r="50" spans="1:20" x14ac:dyDescent="0.2">
      <c r="A50" s="26" t="s">
        <v>88</v>
      </c>
      <c r="B50" s="18" t="s">
        <v>609</v>
      </c>
      <c r="C50" s="18" t="s">
        <v>625</v>
      </c>
      <c r="D50" s="18">
        <v>5</v>
      </c>
      <c r="E50" s="946">
        <v>4.1109200038899996</v>
      </c>
      <c r="F50" s="18"/>
      <c r="G50" s="18"/>
      <c r="H50" s="18"/>
      <c r="I50" s="37"/>
      <c r="M50" s="954" t="s">
        <v>643</v>
      </c>
      <c r="N50" s="774" t="s">
        <v>623</v>
      </c>
      <c r="O50" s="774" t="s">
        <v>446</v>
      </c>
      <c r="P50" s="774" t="s">
        <v>639</v>
      </c>
      <c r="Q50" s="947">
        <v>3.6018873035699999</v>
      </c>
      <c r="R50" s="973">
        <f>'Basin Acreages_032917'!I102</f>
        <v>1583.66493846</v>
      </c>
      <c r="S50" s="51">
        <f t="shared" si="3"/>
        <v>2.2743998532117377E-3</v>
      </c>
    </row>
    <row r="51" spans="1:20" x14ac:dyDescent="0.2">
      <c r="A51" s="26" t="s">
        <v>88</v>
      </c>
      <c r="B51" s="18" t="s">
        <v>609</v>
      </c>
      <c r="C51" s="18" t="s">
        <v>642</v>
      </c>
      <c r="D51" s="18">
        <v>10</v>
      </c>
      <c r="E51" s="946">
        <v>3.4267824289300002</v>
      </c>
      <c r="F51" s="18"/>
      <c r="G51" s="18"/>
      <c r="H51" s="18"/>
      <c r="I51" s="37"/>
      <c r="M51" s="954" t="s">
        <v>643</v>
      </c>
      <c r="N51" s="774" t="s">
        <v>623</v>
      </c>
      <c r="O51" s="774" t="s">
        <v>448</v>
      </c>
      <c r="P51" s="774" t="s">
        <v>639</v>
      </c>
      <c r="Q51" s="947">
        <v>256.58837348899999</v>
      </c>
      <c r="R51" s="973">
        <f>'Basin Acreages_032917'!I103</f>
        <v>818.54460149600004</v>
      </c>
      <c r="S51" s="51">
        <f t="shared" si="3"/>
        <v>0.31346901930579019</v>
      </c>
    </row>
    <row r="52" spans="1:20" x14ac:dyDescent="0.2">
      <c r="A52" s="26" t="s">
        <v>88</v>
      </c>
      <c r="B52" s="18" t="s">
        <v>610</v>
      </c>
      <c r="C52" s="18" t="s">
        <v>623</v>
      </c>
      <c r="D52" s="18">
        <v>7</v>
      </c>
      <c r="E52" s="946">
        <v>5.1084742186499996</v>
      </c>
      <c r="F52" s="18"/>
      <c r="G52" s="18"/>
      <c r="H52" s="18"/>
      <c r="I52" s="37"/>
      <c r="M52" s="954" t="s">
        <v>643</v>
      </c>
      <c r="N52" s="774" t="s">
        <v>626</v>
      </c>
      <c r="O52" s="774" t="s">
        <v>449</v>
      </c>
      <c r="P52" s="774" t="s">
        <v>639</v>
      </c>
      <c r="Q52" s="947">
        <v>74.798975136699994</v>
      </c>
      <c r="R52" s="973">
        <f>'Basin Acreages_032917'!I101</f>
        <v>203.16795586699999</v>
      </c>
      <c r="S52" s="51">
        <f t="shared" si="3"/>
        <v>0.36816325102796088</v>
      </c>
    </row>
    <row r="53" spans="1:20" x14ac:dyDescent="0.2">
      <c r="A53" s="26" t="s">
        <v>88</v>
      </c>
      <c r="B53" s="18" t="s">
        <v>610</v>
      </c>
      <c r="C53" s="18" t="s">
        <v>625</v>
      </c>
      <c r="D53" s="18">
        <v>10</v>
      </c>
      <c r="E53" s="946">
        <v>30.332161647100001</v>
      </c>
      <c r="F53" s="18"/>
      <c r="G53" s="18"/>
      <c r="H53" s="18"/>
      <c r="I53" s="37"/>
      <c r="M53" s="954" t="s">
        <v>643</v>
      </c>
      <c r="N53" s="774" t="s">
        <v>626</v>
      </c>
      <c r="O53" s="774" t="s">
        <v>446</v>
      </c>
      <c r="P53" s="774" t="s">
        <v>639</v>
      </c>
      <c r="Q53" s="947">
        <v>5.1006676646500004</v>
      </c>
      <c r="R53" s="973">
        <f>'Basin Acreages_032917'!I102</f>
        <v>1583.66493846</v>
      </c>
      <c r="S53" s="51">
        <f t="shared" si="3"/>
        <v>3.2207997669065225E-3</v>
      </c>
    </row>
    <row r="54" spans="1:20" x14ac:dyDescent="0.2">
      <c r="A54" s="26" t="s">
        <v>88</v>
      </c>
      <c r="B54" s="18" t="s">
        <v>610</v>
      </c>
      <c r="C54" s="18" t="s">
        <v>642</v>
      </c>
      <c r="D54" s="18">
        <v>2</v>
      </c>
      <c r="E54" s="946">
        <v>7.50186041429E-2</v>
      </c>
      <c r="F54" s="18"/>
      <c r="G54" s="18"/>
      <c r="H54" s="18"/>
      <c r="I54" s="37"/>
      <c r="M54" s="954" t="s">
        <v>643</v>
      </c>
      <c r="N54" s="774" t="s">
        <v>626</v>
      </c>
      <c r="O54" s="774" t="s">
        <v>448</v>
      </c>
      <c r="P54" s="774" t="s">
        <v>639</v>
      </c>
      <c r="Q54" s="947">
        <v>1.0305516368200001</v>
      </c>
      <c r="R54" s="973">
        <f>'Basin Acreages_032917'!I103</f>
        <v>818.54460149600004</v>
      </c>
      <c r="S54" s="51">
        <f t="shared" si="3"/>
        <v>1.2590048666090139E-3</v>
      </c>
    </row>
    <row r="55" spans="1:20" x14ac:dyDescent="0.2">
      <c r="A55" s="26" t="s">
        <v>88</v>
      </c>
      <c r="B55" s="18" t="s">
        <v>643</v>
      </c>
      <c r="C55" s="18" t="s">
        <v>623</v>
      </c>
      <c r="D55" s="18">
        <v>7</v>
      </c>
      <c r="E55" s="946">
        <v>2.52776822026</v>
      </c>
      <c r="F55" s="18"/>
      <c r="G55" s="18"/>
      <c r="H55" s="18"/>
      <c r="I55" s="37"/>
      <c r="M55" s="954" t="s">
        <v>644</v>
      </c>
      <c r="N55" s="774" t="s">
        <v>623</v>
      </c>
      <c r="O55" s="774" t="s">
        <v>446</v>
      </c>
      <c r="P55" s="774" t="s">
        <v>639</v>
      </c>
      <c r="Q55" s="947">
        <v>0.50631428130599998</v>
      </c>
      <c r="R55" s="973">
        <f>'Basin Acreages_032917'!I119</f>
        <v>940.70052658500003</v>
      </c>
      <c r="S55" s="51">
        <f t="shared" si="3"/>
        <v>5.3823110224468474E-4</v>
      </c>
      <c r="T55">
        <f>S55*'Basin Acreages_032917'!AA7</f>
        <v>2.4742483770188155E-2</v>
      </c>
    </row>
    <row r="56" spans="1:20" x14ac:dyDescent="0.2">
      <c r="A56" s="26" t="s">
        <v>88</v>
      </c>
      <c r="B56" s="18" t="s">
        <v>643</v>
      </c>
      <c r="C56" s="18" t="s">
        <v>626</v>
      </c>
      <c r="D56" s="18">
        <v>5</v>
      </c>
      <c r="E56" s="946">
        <v>5.14189478613</v>
      </c>
      <c r="F56" s="18"/>
      <c r="G56" s="18"/>
      <c r="H56" s="18"/>
      <c r="I56" s="37"/>
      <c r="M56" s="954" t="s">
        <v>644</v>
      </c>
      <c r="N56" s="774" t="s">
        <v>623</v>
      </c>
      <c r="O56" s="774" t="s">
        <v>448</v>
      </c>
      <c r="P56" s="774" t="s">
        <v>639</v>
      </c>
      <c r="Q56" s="947">
        <v>89.788554385400005</v>
      </c>
      <c r="R56" s="973">
        <f>'Basin Acreages_032917'!I120</f>
        <v>373.14555568200001</v>
      </c>
      <c r="S56" s="51">
        <f t="shared" si="3"/>
        <v>0.2406260854997804</v>
      </c>
      <c r="T56">
        <f>S56*'Basin Acreages_032917'!AA8</f>
        <v>1.4076626001737154</v>
      </c>
    </row>
    <row r="57" spans="1:20" x14ac:dyDescent="0.2">
      <c r="A57" s="26" t="s">
        <v>88</v>
      </c>
      <c r="B57" s="18" t="s">
        <v>644</v>
      </c>
      <c r="C57" s="18" t="s">
        <v>623</v>
      </c>
      <c r="D57" s="18">
        <v>32</v>
      </c>
      <c r="E57" s="946">
        <v>4.6248512604999998</v>
      </c>
      <c r="F57" s="18"/>
      <c r="G57" s="18"/>
      <c r="H57" s="18"/>
      <c r="I57" s="37"/>
      <c r="M57" s="954" t="s">
        <v>644</v>
      </c>
      <c r="N57" s="774" t="s">
        <v>625</v>
      </c>
      <c r="O57" s="774" t="s">
        <v>447</v>
      </c>
      <c r="P57" s="774" t="s">
        <v>639</v>
      </c>
      <c r="Q57" s="947">
        <v>21.918633996099999</v>
      </c>
      <c r="R57" s="973">
        <f>'Basin Acreages_032917'!I116</f>
        <v>196.14783945100001</v>
      </c>
      <c r="S57" s="51">
        <f t="shared" si="3"/>
        <v>0.11174547758184981</v>
      </c>
      <c r="T57">
        <f>S57*'Basin Acreages_032917'!AA4</f>
        <v>1.7577563623624977</v>
      </c>
    </row>
    <row r="58" spans="1:20" x14ac:dyDescent="0.2">
      <c r="A58" s="26" t="s">
        <v>88</v>
      </c>
      <c r="B58" s="18" t="s">
        <v>644</v>
      </c>
      <c r="C58" s="18" t="s">
        <v>625</v>
      </c>
      <c r="D58" s="18">
        <v>4</v>
      </c>
      <c r="E58" s="946">
        <v>0.26310418181599998</v>
      </c>
      <c r="F58" s="18"/>
      <c r="G58" s="18"/>
      <c r="H58" s="18"/>
      <c r="I58" s="37"/>
      <c r="M58" s="954" t="s">
        <v>644</v>
      </c>
      <c r="N58" s="774" t="s">
        <v>625</v>
      </c>
      <c r="O58" s="774" t="s">
        <v>446</v>
      </c>
      <c r="P58" s="774" t="s">
        <v>639</v>
      </c>
      <c r="Q58" s="947">
        <v>53.9253527917</v>
      </c>
      <c r="R58" s="973">
        <f>'Basin Acreages_032917'!I119</f>
        <v>940.70052658500003</v>
      </c>
      <c r="S58" s="51">
        <f t="shared" si="3"/>
        <v>5.7324675885389122E-2</v>
      </c>
      <c r="T58">
        <f>S58*'Basin Acreages_032917'!AA7</f>
        <v>2.6352153504513378</v>
      </c>
    </row>
    <row r="59" spans="1:20" x14ac:dyDescent="0.2">
      <c r="A59" s="26" t="s">
        <v>88</v>
      </c>
      <c r="B59" s="18" t="s">
        <v>644</v>
      </c>
      <c r="C59" s="18" t="s">
        <v>642</v>
      </c>
      <c r="D59" s="18">
        <v>1</v>
      </c>
      <c r="E59" s="946">
        <v>1.1173721749700001</v>
      </c>
      <c r="F59" s="18"/>
      <c r="G59" s="18"/>
      <c r="H59" s="18"/>
      <c r="I59" s="37"/>
      <c r="M59" s="954" t="s">
        <v>644</v>
      </c>
      <c r="N59" s="774" t="s">
        <v>625</v>
      </c>
      <c r="O59" s="774" t="s">
        <v>448</v>
      </c>
      <c r="P59" s="774" t="s">
        <v>639</v>
      </c>
      <c r="Q59" s="947">
        <v>25.673212359699999</v>
      </c>
      <c r="R59" s="973">
        <f>'Basin Acreages_032917'!I120</f>
        <v>373.14555568200001</v>
      </c>
      <c r="S59" s="51">
        <f t="shared" si="3"/>
        <v>6.8802138920767628E-2</v>
      </c>
      <c r="T59">
        <f>S59*'Basin Acreages_032917'!AA8</f>
        <v>0.40249251268649061</v>
      </c>
    </row>
    <row r="60" spans="1:20" x14ac:dyDescent="0.2">
      <c r="A60" s="26" t="s">
        <v>88</v>
      </c>
      <c r="B60" s="18" t="s">
        <v>644</v>
      </c>
      <c r="C60" s="18" t="s">
        <v>641</v>
      </c>
      <c r="D60" s="18">
        <v>16</v>
      </c>
      <c r="E60" s="946">
        <v>145.63843391200001</v>
      </c>
      <c r="F60" s="18"/>
      <c r="G60" s="18"/>
      <c r="H60" s="18"/>
      <c r="I60" s="37"/>
      <c r="M60" s="954" t="s">
        <v>644</v>
      </c>
      <c r="N60" s="774" t="s">
        <v>642</v>
      </c>
      <c r="O60" s="774" t="s">
        <v>448</v>
      </c>
      <c r="P60" s="774" t="s">
        <v>639</v>
      </c>
      <c r="Q60" s="947">
        <v>5.2525070835300003</v>
      </c>
      <c r="R60" s="973">
        <f>'Basin Acreages_032917'!I120</f>
        <v>373.14555568200001</v>
      </c>
      <c r="S60" s="51">
        <f t="shared" si="3"/>
        <v>1.407629543900092E-2</v>
      </c>
      <c r="T60">
        <f>S60*'Basin Acreages_032917'!AA8</f>
        <v>8.2346328318155373E-2</v>
      </c>
    </row>
    <row r="61" spans="1:20" x14ac:dyDescent="0.2">
      <c r="A61" s="26" t="s">
        <v>88</v>
      </c>
      <c r="B61" s="18" t="s">
        <v>645</v>
      </c>
      <c r="C61" s="18" t="s">
        <v>623</v>
      </c>
      <c r="D61" s="18">
        <v>18</v>
      </c>
      <c r="E61" s="946">
        <v>11.358401926000001</v>
      </c>
      <c r="F61" s="18"/>
      <c r="G61" s="18"/>
      <c r="H61" s="18"/>
      <c r="I61" s="37"/>
      <c r="M61" s="954" t="s">
        <v>644</v>
      </c>
      <c r="N61" s="774" t="s">
        <v>626</v>
      </c>
      <c r="O61" s="774" t="s">
        <v>449</v>
      </c>
      <c r="P61" s="774" t="s">
        <v>639</v>
      </c>
      <c r="Q61" s="947">
        <v>3.5996354038899998</v>
      </c>
      <c r="R61" s="973">
        <f>'Basin Acreages_032917'!I118</f>
        <v>40.905957554700002</v>
      </c>
      <c r="S61" s="51">
        <f t="shared" si="3"/>
        <v>8.7997827677704851E-2</v>
      </c>
      <c r="T61">
        <f>S61*'Basin Acreages_032917'!AA6</f>
        <v>0.19623515572128181</v>
      </c>
    </row>
    <row r="62" spans="1:20" x14ac:dyDescent="0.2">
      <c r="A62" s="26" t="s">
        <v>88</v>
      </c>
      <c r="B62" s="18" t="s">
        <v>645</v>
      </c>
      <c r="C62" s="18" t="s">
        <v>625</v>
      </c>
      <c r="D62" s="18">
        <v>2</v>
      </c>
      <c r="E62" s="946">
        <v>4.0123258927899998</v>
      </c>
      <c r="F62" s="18"/>
      <c r="G62" s="18"/>
      <c r="H62" s="18"/>
      <c r="I62" s="37"/>
      <c r="M62" s="954" t="s">
        <v>644</v>
      </c>
      <c r="N62" s="774" t="s">
        <v>641</v>
      </c>
      <c r="O62" s="774" t="s">
        <v>446</v>
      </c>
      <c r="P62" s="774" t="s">
        <v>639</v>
      </c>
      <c r="Q62" s="947">
        <v>6.8118055528900001</v>
      </c>
      <c r="R62" s="973">
        <f>'Basin Acreages_032917'!I119</f>
        <v>940.70052658500003</v>
      </c>
      <c r="S62" s="51">
        <f t="shared" si="3"/>
        <v>7.2412052086530832E-3</v>
      </c>
      <c r="T62">
        <f>S62*'Basin Acreages_032917'!AA7</f>
        <v>0.33287820344178221</v>
      </c>
    </row>
    <row r="63" spans="1:20" x14ac:dyDescent="0.2">
      <c r="A63" s="26" t="s">
        <v>88</v>
      </c>
      <c r="B63" s="18" t="s">
        <v>645</v>
      </c>
      <c r="C63" s="18" t="s">
        <v>642</v>
      </c>
      <c r="D63" s="18">
        <v>6</v>
      </c>
      <c r="E63" s="946">
        <v>3.6296941618299998</v>
      </c>
      <c r="F63" s="18"/>
      <c r="G63" s="18"/>
      <c r="H63" s="18"/>
      <c r="I63" s="37"/>
      <c r="M63" s="954" t="s">
        <v>645</v>
      </c>
      <c r="N63" s="774" t="s">
        <v>623</v>
      </c>
      <c r="O63" s="774" t="s">
        <v>447</v>
      </c>
      <c r="P63" s="774" t="s">
        <v>639</v>
      </c>
      <c r="Q63" s="947">
        <v>17.0105680084</v>
      </c>
      <c r="R63" s="973">
        <f>'Basin Acreages_032917'!I133</f>
        <v>280.62464302299998</v>
      </c>
      <c r="S63" s="51">
        <f t="shared" si="3"/>
        <v>6.0616800524556265E-2</v>
      </c>
    </row>
    <row r="64" spans="1:20" x14ac:dyDescent="0.2">
      <c r="A64" s="26" t="s">
        <v>238</v>
      </c>
      <c r="B64" s="18" t="s">
        <v>607</v>
      </c>
      <c r="C64" s="18" t="s">
        <v>623</v>
      </c>
      <c r="D64" s="18">
        <v>1</v>
      </c>
      <c r="E64" s="946">
        <v>6.2622346344099994E-2</v>
      </c>
      <c r="F64" s="18"/>
      <c r="G64" s="18"/>
      <c r="H64" s="18"/>
      <c r="I64" s="37"/>
      <c r="M64" s="954" t="s">
        <v>645</v>
      </c>
      <c r="N64" s="774" t="s">
        <v>623</v>
      </c>
      <c r="O64" s="774" t="s">
        <v>449</v>
      </c>
      <c r="P64" s="774" t="s">
        <v>639</v>
      </c>
      <c r="Q64" s="947">
        <v>0.13547536554199999</v>
      </c>
      <c r="R64" s="973">
        <f>'Basin Acreages_032917'!I135</f>
        <v>248.732978645</v>
      </c>
      <c r="S64" s="51">
        <f t="shared" si="3"/>
        <v>5.4466185497402397E-4</v>
      </c>
    </row>
    <row r="65" spans="1:19" x14ac:dyDescent="0.2">
      <c r="A65" s="26" t="s">
        <v>238</v>
      </c>
      <c r="B65" s="18" t="s">
        <v>46</v>
      </c>
      <c r="C65" s="18" t="s">
        <v>626</v>
      </c>
      <c r="D65" s="18">
        <v>3</v>
      </c>
      <c r="E65" s="946">
        <v>0.19472820911899999</v>
      </c>
      <c r="F65" s="18"/>
      <c r="G65" s="18"/>
      <c r="H65" s="18"/>
      <c r="I65" s="37"/>
      <c r="M65" s="954" t="s">
        <v>645</v>
      </c>
      <c r="N65" s="774" t="s">
        <v>623</v>
      </c>
      <c r="O65" s="774" t="s">
        <v>446</v>
      </c>
      <c r="P65" s="774" t="s">
        <v>639</v>
      </c>
      <c r="Q65" s="947">
        <v>30.911021936400001</v>
      </c>
      <c r="R65" s="973">
        <f>'Basin Acreages_032917'!I136</f>
        <v>2075.8873085099999</v>
      </c>
      <c r="S65" s="51">
        <f t="shared" si="3"/>
        <v>1.4890510582959758E-2</v>
      </c>
    </row>
    <row r="66" spans="1:19" x14ac:dyDescent="0.2">
      <c r="A66" s="26" t="s">
        <v>238</v>
      </c>
      <c r="B66" s="18" t="s">
        <v>608</v>
      </c>
      <c r="C66" s="18" t="s">
        <v>642</v>
      </c>
      <c r="D66" s="18">
        <v>3</v>
      </c>
      <c r="E66" s="946">
        <v>0.211659626711</v>
      </c>
      <c r="F66" s="18"/>
      <c r="G66" s="18"/>
      <c r="H66" s="18"/>
      <c r="I66" s="37"/>
      <c r="M66" s="954" t="s">
        <v>645</v>
      </c>
      <c r="N66" s="774" t="s">
        <v>623</v>
      </c>
      <c r="O66" s="774" t="s">
        <v>448</v>
      </c>
      <c r="P66" s="774" t="s">
        <v>639</v>
      </c>
      <c r="Q66" s="947">
        <v>374.433412008</v>
      </c>
      <c r="R66" s="973">
        <f>'Basin Acreages_032917'!I137</f>
        <v>1434.0721534500001</v>
      </c>
      <c r="S66" s="51">
        <f t="shared" si="3"/>
        <v>0.26109802851077735</v>
      </c>
    </row>
    <row r="67" spans="1:19" x14ac:dyDescent="0.2">
      <c r="A67" s="26" t="s">
        <v>238</v>
      </c>
      <c r="B67" s="18" t="s">
        <v>40</v>
      </c>
      <c r="C67" s="18" t="s">
        <v>623</v>
      </c>
      <c r="D67" s="18">
        <v>1</v>
      </c>
      <c r="E67" s="946">
        <v>9.3020521017499996E-2</v>
      </c>
      <c r="F67" s="18"/>
      <c r="G67" s="18"/>
      <c r="H67" s="18"/>
      <c r="I67" s="37"/>
      <c r="M67" s="954" t="s">
        <v>645</v>
      </c>
      <c r="N67" s="774" t="s">
        <v>625</v>
      </c>
      <c r="O67" s="774" t="s">
        <v>446</v>
      </c>
      <c r="P67" s="774" t="s">
        <v>639</v>
      </c>
      <c r="Q67" s="947">
        <v>77.274747833399999</v>
      </c>
      <c r="R67" s="973">
        <f>'Basin Acreages_032917'!I136</f>
        <v>2075.8873085099999</v>
      </c>
      <c r="S67" s="51">
        <f t="shared" si="3"/>
        <v>3.7224924260876736E-2</v>
      </c>
    </row>
    <row r="68" spans="1:19" x14ac:dyDescent="0.2">
      <c r="A68" s="26" t="s">
        <v>238</v>
      </c>
      <c r="B68" s="18" t="s">
        <v>40</v>
      </c>
      <c r="C68" s="18" t="s">
        <v>626</v>
      </c>
      <c r="D68" s="18">
        <v>2</v>
      </c>
      <c r="E68" s="946">
        <v>1.8384414069400001E-2</v>
      </c>
      <c r="F68" s="18"/>
      <c r="G68" s="18"/>
      <c r="H68" s="18"/>
      <c r="I68" s="37"/>
      <c r="M68" s="954" t="s">
        <v>645</v>
      </c>
      <c r="N68" s="774" t="s">
        <v>625</v>
      </c>
      <c r="O68" s="774" t="s">
        <v>448</v>
      </c>
      <c r="P68" s="774" t="s">
        <v>639</v>
      </c>
      <c r="Q68" s="947">
        <v>40.857649300200002</v>
      </c>
      <c r="R68" s="973">
        <f>'Basin Acreages_032917'!I137</f>
        <v>1434.0721534500001</v>
      </c>
      <c r="S68" s="51">
        <f t="shared" si="3"/>
        <v>2.8490651047025251E-2</v>
      </c>
    </row>
    <row r="69" spans="1:19" x14ac:dyDescent="0.2">
      <c r="A69" s="26" t="s">
        <v>238</v>
      </c>
      <c r="B69" s="18" t="s">
        <v>610</v>
      </c>
      <c r="C69" s="18" t="s">
        <v>623</v>
      </c>
      <c r="D69" s="18">
        <v>3</v>
      </c>
      <c r="E69" s="946">
        <v>0.14845799041900001</v>
      </c>
      <c r="F69" s="18"/>
      <c r="G69" s="18"/>
      <c r="H69" s="18"/>
      <c r="I69" s="37"/>
      <c r="M69" s="954" t="s">
        <v>645</v>
      </c>
      <c r="N69" s="774" t="s">
        <v>642</v>
      </c>
      <c r="O69" s="774" t="s">
        <v>449</v>
      </c>
      <c r="P69" s="774" t="s">
        <v>639</v>
      </c>
      <c r="Q69" s="947">
        <v>47.316782160099997</v>
      </c>
      <c r="R69" s="973">
        <f>'Basin Acreages_032917'!I135</f>
        <v>248.732978645</v>
      </c>
      <c r="S69" s="51">
        <f t="shared" si="3"/>
        <v>0.19023123679804471</v>
      </c>
    </row>
    <row r="70" spans="1:19" x14ac:dyDescent="0.2">
      <c r="A70" s="26" t="s">
        <v>238</v>
      </c>
      <c r="B70" s="18" t="s">
        <v>643</v>
      </c>
      <c r="C70" s="18" t="s">
        <v>623</v>
      </c>
      <c r="D70" s="18">
        <v>3</v>
      </c>
      <c r="E70" s="946">
        <v>1.1793411473099999</v>
      </c>
      <c r="F70" s="18"/>
      <c r="G70" s="18"/>
      <c r="H70" s="18"/>
      <c r="I70" s="37"/>
      <c r="M70" s="954" t="s">
        <v>645</v>
      </c>
      <c r="N70" s="774" t="s">
        <v>642</v>
      </c>
      <c r="O70" s="774" t="s">
        <v>446</v>
      </c>
      <c r="P70" s="774" t="s">
        <v>639</v>
      </c>
      <c r="Q70" s="947">
        <v>21.0243767314</v>
      </c>
      <c r="R70" s="973">
        <f>'Basin Acreages_032917'!I136</f>
        <v>2075.8873085099999</v>
      </c>
      <c r="S70" s="51">
        <f t="shared" si="3"/>
        <v>1.0127898872550346E-2</v>
      </c>
    </row>
    <row r="71" spans="1:19" x14ac:dyDescent="0.2">
      <c r="A71" s="26" t="s">
        <v>238</v>
      </c>
      <c r="B71" s="18" t="s">
        <v>644</v>
      </c>
      <c r="C71" s="18" t="s">
        <v>623</v>
      </c>
      <c r="D71" s="18">
        <v>4</v>
      </c>
      <c r="E71" s="946">
        <v>0.78034244331299996</v>
      </c>
      <c r="F71" s="18"/>
      <c r="G71" s="18"/>
      <c r="H71" s="18"/>
      <c r="I71" s="37"/>
      <c r="M71" s="954" t="s">
        <v>645</v>
      </c>
      <c r="N71" s="774" t="s">
        <v>642</v>
      </c>
      <c r="O71" s="774" t="s">
        <v>448</v>
      </c>
      <c r="P71" s="774" t="s">
        <v>639</v>
      </c>
      <c r="Q71" s="947">
        <v>0.59165811157199999</v>
      </c>
      <c r="R71" s="973">
        <f>'Basin Acreages_032917'!I137</f>
        <v>1434.0721534500001</v>
      </c>
      <c r="S71" s="51">
        <f t="shared" si="3"/>
        <v>4.1257206629989038E-4</v>
      </c>
    </row>
    <row r="72" spans="1:19" x14ac:dyDescent="0.2">
      <c r="A72" s="26" t="s">
        <v>238</v>
      </c>
      <c r="B72" s="18" t="s">
        <v>644</v>
      </c>
      <c r="C72" s="18" t="s">
        <v>641</v>
      </c>
      <c r="D72" s="18">
        <v>1</v>
      </c>
      <c r="E72" s="946">
        <v>1.55446557707E-2</v>
      </c>
      <c r="F72" s="18"/>
      <c r="G72" s="18"/>
      <c r="H72" s="18"/>
      <c r="I72" s="37"/>
      <c r="M72" s="954" t="s">
        <v>645</v>
      </c>
      <c r="N72" s="774" t="s">
        <v>640</v>
      </c>
      <c r="O72" s="774" t="s">
        <v>446</v>
      </c>
      <c r="P72" s="774" t="s">
        <v>639</v>
      </c>
      <c r="Q72" s="947">
        <v>53.183809558999997</v>
      </c>
      <c r="R72" s="973">
        <f>'Basin Acreages_032917'!I136</f>
        <v>2075.8873085099999</v>
      </c>
      <c r="S72" s="51">
        <f t="shared" si="3"/>
        <v>2.5619796094410102E-2</v>
      </c>
    </row>
    <row r="73" spans="1:19" x14ac:dyDescent="0.2">
      <c r="A73" s="26" t="s">
        <v>238</v>
      </c>
      <c r="B73" s="18" t="s">
        <v>645</v>
      </c>
      <c r="C73" s="18" t="s">
        <v>623</v>
      </c>
      <c r="D73" s="18">
        <v>1</v>
      </c>
      <c r="E73" s="946">
        <v>1.9513582554E-2</v>
      </c>
      <c r="F73" s="18"/>
      <c r="G73" s="18"/>
      <c r="H73" s="18"/>
      <c r="I73" s="37"/>
      <c r="M73" s="954" t="s">
        <v>645</v>
      </c>
      <c r="N73" s="774" t="s">
        <v>640</v>
      </c>
      <c r="O73" s="774" t="s">
        <v>448</v>
      </c>
      <c r="P73" s="774" t="s">
        <v>639</v>
      </c>
      <c r="Q73" s="947">
        <v>25.405489635599999</v>
      </c>
      <c r="R73" s="973">
        <f>'Basin Acreages_032917'!I137</f>
        <v>1434.0721534500001</v>
      </c>
      <c r="S73" s="51">
        <f t="shared" si="3"/>
        <v>1.7715628585689414E-2</v>
      </c>
    </row>
    <row r="74" spans="1:19" x14ac:dyDescent="0.2">
      <c r="A74" s="26" t="s">
        <v>646</v>
      </c>
      <c r="B74" s="18" t="s">
        <v>607</v>
      </c>
      <c r="C74" s="18" t="s">
        <v>623</v>
      </c>
      <c r="D74" s="18">
        <v>3</v>
      </c>
      <c r="E74" s="946">
        <v>0.84293337233800003</v>
      </c>
      <c r="F74" s="18"/>
      <c r="G74" s="18"/>
      <c r="H74" s="18"/>
      <c r="I74" s="37"/>
      <c r="M74" s="954" t="s">
        <v>607</v>
      </c>
      <c r="N74" s="774" t="s">
        <v>640</v>
      </c>
      <c r="O74" s="774" t="s">
        <v>443</v>
      </c>
      <c r="P74" s="774" t="s">
        <v>237</v>
      </c>
      <c r="Q74" s="947">
        <v>8.8319452862199999</v>
      </c>
      <c r="R74" s="973"/>
      <c r="S74" s="973"/>
    </row>
    <row r="75" spans="1:19" x14ac:dyDescent="0.2">
      <c r="A75" s="26" t="s">
        <v>646</v>
      </c>
      <c r="B75" s="18" t="s">
        <v>607</v>
      </c>
      <c r="C75" s="18" t="s">
        <v>642</v>
      </c>
      <c r="D75" s="18">
        <v>17</v>
      </c>
      <c r="E75" s="946">
        <v>11.306869280200001</v>
      </c>
      <c r="F75" s="18"/>
      <c r="G75" s="18"/>
      <c r="H75" s="18"/>
      <c r="I75" s="37"/>
      <c r="M75" s="954" t="s">
        <v>608</v>
      </c>
      <c r="N75" s="774" t="s">
        <v>623</v>
      </c>
      <c r="O75" s="774" t="s">
        <v>661</v>
      </c>
      <c r="P75" s="774" t="s">
        <v>237</v>
      </c>
      <c r="Q75" s="947">
        <v>0.491306062534</v>
      </c>
      <c r="R75" s="973"/>
      <c r="S75" s="973"/>
    </row>
    <row r="76" spans="1:19" x14ac:dyDescent="0.2">
      <c r="A76" s="26" t="s">
        <v>646</v>
      </c>
      <c r="B76" s="18" t="s">
        <v>607</v>
      </c>
      <c r="C76" s="18" t="s">
        <v>626</v>
      </c>
      <c r="D76" s="18">
        <v>9</v>
      </c>
      <c r="E76" s="946">
        <v>39.5444414388</v>
      </c>
      <c r="F76" s="18"/>
      <c r="G76" s="18"/>
      <c r="H76" s="18"/>
      <c r="I76" s="37"/>
      <c r="M76" s="954" t="s">
        <v>608</v>
      </c>
      <c r="N76" s="774" t="s">
        <v>642</v>
      </c>
      <c r="O76" s="774" t="s">
        <v>443</v>
      </c>
      <c r="P76" s="774" t="s">
        <v>237</v>
      </c>
      <c r="Q76" s="947">
        <v>3.1613318925600001E-2</v>
      </c>
      <c r="R76" s="973"/>
      <c r="S76" s="973"/>
    </row>
    <row r="77" spans="1:19" x14ac:dyDescent="0.2">
      <c r="A77" s="26" t="s">
        <v>646</v>
      </c>
      <c r="B77" s="18" t="s">
        <v>607</v>
      </c>
      <c r="C77" s="18" t="s">
        <v>640</v>
      </c>
      <c r="D77" s="18">
        <v>3</v>
      </c>
      <c r="E77" s="946">
        <v>0.28188639531300003</v>
      </c>
      <c r="F77" s="18"/>
      <c r="G77" s="18"/>
      <c r="H77" s="18"/>
      <c r="I77" s="37"/>
      <c r="M77" s="954" t="s">
        <v>608</v>
      </c>
      <c r="N77" s="774" t="s">
        <v>626</v>
      </c>
      <c r="O77" s="774" t="s">
        <v>661</v>
      </c>
      <c r="P77" s="774" t="s">
        <v>237</v>
      </c>
      <c r="Q77" s="947">
        <v>0.15495914851500001</v>
      </c>
      <c r="R77" s="973"/>
      <c r="S77" s="973"/>
    </row>
    <row r="78" spans="1:19" x14ac:dyDescent="0.2">
      <c r="A78" s="26" t="s">
        <v>646</v>
      </c>
      <c r="B78" s="18" t="s">
        <v>607</v>
      </c>
      <c r="C78" s="18" t="s">
        <v>641</v>
      </c>
      <c r="D78" s="18">
        <v>14</v>
      </c>
      <c r="E78" s="946">
        <v>60.5155283191</v>
      </c>
      <c r="F78" s="18"/>
      <c r="G78" s="18"/>
      <c r="H78" s="18"/>
      <c r="I78" s="37"/>
      <c r="M78" s="954" t="s">
        <v>610</v>
      </c>
      <c r="N78" s="774" t="s">
        <v>623</v>
      </c>
      <c r="O78" s="774" t="s">
        <v>661</v>
      </c>
      <c r="P78" s="774" t="s">
        <v>237</v>
      </c>
      <c r="Q78" s="947">
        <v>2.4370507408300001E-2</v>
      </c>
      <c r="R78" s="973"/>
      <c r="S78" s="973"/>
    </row>
    <row r="79" spans="1:19" x14ac:dyDescent="0.2">
      <c r="A79" s="26" t="s">
        <v>646</v>
      </c>
      <c r="B79" s="18" t="s">
        <v>46</v>
      </c>
      <c r="C79" s="18" t="s">
        <v>623</v>
      </c>
      <c r="D79" s="18">
        <v>1</v>
      </c>
      <c r="E79" s="946">
        <v>9.9829870743599995E-3</v>
      </c>
      <c r="F79" s="18"/>
      <c r="G79" s="18"/>
      <c r="H79" s="18"/>
      <c r="I79" s="37"/>
      <c r="M79" s="954" t="s">
        <v>610</v>
      </c>
      <c r="N79" s="774" t="s">
        <v>623</v>
      </c>
      <c r="O79" s="774" t="s">
        <v>14</v>
      </c>
      <c r="P79" s="774" t="s">
        <v>237</v>
      </c>
      <c r="Q79" s="947">
        <v>1.17028849167</v>
      </c>
      <c r="R79" s="973"/>
      <c r="S79" s="973"/>
    </row>
    <row r="80" spans="1:19" x14ac:dyDescent="0.2">
      <c r="A80" s="26" t="s">
        <v>646</v>
      </c>
      <c r="B80" s="18" t="s">
        <v>46</v>
      </c>
      <c r="C80" s="18" t="s">
        <v>626</v>
      </c>
      <c r="D80" s="18">
        <v>15</v>
      </c>
      <c r="E80" s="946">
        <v>2.1922856088299998</v>
      </c>
      <c r="F80" s="18"/>
      <c r="G80" s="18"/>
      <c r="H80" s="18"/>
      <c r="I80" s="37"/>
      <c r="M80" s="954" t="s">
        <v>644</v>
      </c>
      <c r="N80" s="774" t="s">
        <v>623</v>
      </c>
      <c r="O80" s="774" t="s">
        <v>661</v>
      </c>
      <c r="P80" s="774" t="s">
        <v>237</v>
      </c>
      <c r="Q80" s="947">
        <v>0.18785477590499999</v>
      </c>
      <c r="R80" s="973"/>
      <c r="S80" s="973"/>
    </row>
    <row r="81" spans="1:19" x14ac:dyDescent="0.2">
      <c r="A81" s="26" t="s">
        <v>646</v>
      </c>
      <c r="B81" s="18" t="s">
        <v>608</v>
      </c>
      <c r="C81" s="18" t="s">
        <v>623</v>
      </c>
      <c r="D81" s="18">
        <v>2</v>
      </c>
      <c r="E81" s="946">
        <v>1.1471453624300001</v>
      </c>
      <c r="F81" s="18"/>
      <c r="G81" s="18"/>
      <c r="H81" s="18"/>
      <c r="I81" s="37"/>
      <c r="M81" s="954" t="s">
        <v>644</v>
      </c>
      <c r="N81" s="774" t="s">
        <v>623</v>
      </c>
      <c r="O81" s="774" t="s">
        <v>14</v>
      </c>
      <c r="P81" s="774" t="s">
        <v>237</v>
      </c>
      <c r="Q81" s="947">
        <v>1.10047609591E-2</v>
      </c>
      <c r="R81" s="973"/>
      <c r="S81" s="973"/>
    </row>
    <row r="82" spans="1:19" x14ac:dyDescent="0.2">
      <c r="A82" s="26" t="s">
        <v>646</v>
      </c>
      <c r="B82" s="18" t="s">
        <v>608</v>
      </c>
      <c r="C82" s="18" t="s">
        <v>642</v>
      </c>
      <c r="D82" s="18">
        <v>55</v>
      </c>
      <c r="E82" s="946">
        <v>420.51684609199998</v>
      </c>
      <c r="F82" s="18"/>
      <c r="G82" s="18"/>
      <c r="H82" s="18"/>
      <c r="I82" s="37"/>
      <c r="M82" s="954" t="s">
        <v>645</v>
      </c>
      <c r="N82" s="774" t="s">
        <v>623</v>
      </c>
      <c r="O82" s="774" t="s">
        <v>661</v>
      </c>
      <c r="P82" s="774" t="s">
        <v>237</v>
      </c>
      <c r="Q82" s="947">
        <v>0.26937567510100002</v>
      </c>
      <c r="R82" s="973"/>
      <c r="S82" s="973"/>
    </row>
    <row r="83" spans="1:19" x14ac:dyDescent="0.2">
      <c r="A83" s="26" t="s">
        <v>646</v>
      </c>
      <c r="B83" s="18" t="s">
        <v>40</v>
      </c>
      <c r="C83" s="18" t="s">
        <v>623</v>
      </c>
      <c r="D83" s="18">
        <v>2</v>
      </c>
      <c r="E83" s="946">
        <v>3.1646774987500001E-2</v>
      </c>
      <c r="F83" s="18"/>
      <c r="G83" s="18"/>
      <c r="H83" s="18"/>
      <c r="I83" s="37"/>
      <c r="M83" s="954" t="s">
        <v>645</v>
      </c>
      <c r="N83" s="774" t="s">
        <v>623</v>
      </c>
      <c r="O83" s="774" t="s">
        <v>14</v>
      </c>
      <c r="P83" s="774" t="s">
        <v>237</v>
      </c>
      <c r="Q83" s="947">
        <v>9.1268484152300003E-2</v>
      </c>
      <c r="R83" s="973"/>
      <c r="S83" s="973"/>
    </row>
    <row r="84" spans="1:19" x14ac:dyDescent="0.2">
      <c r="A84" s="26" t="s">
        <v>646</v>
      </c>
      <c r="B84" s="18" t="s">
        <v>40</v>
      </c>
      <c r="C84" s="18" t="s">
        <v>626</v>
      </c>
      <c r="D84" s="18">
        <v>3</v>
      </c>
      <c r="E84" s="946">
        <v>2.8053647222600002</v>
      </c>
      <c r="F84" s="18"/>
      <c r="G84" s="18"/>
      <c r="H84" s="18"/>
      <c r="I84" s="37"/>
      <c r="M84" s="954" t="s">
        <v>645</v>
      </c>
      <c r="N84" s="774" t="s">
        <v>625</v>
      </c>
      <c r="O84" s="774" t="s">
        <v>14</v>
      </c>
      <c r="P84" s="774" t="s">
        <v>237</v>
      </c>
      <c r="Q84" s="947">
        <v>0.71876800619900005</v>
      </c>
      <c r="R84" s="973"/>
      <c r="S84" s="973"/>
    </row>
    <row r="85" spans="1:19" x14ac:dyDescent="0.2">
      <c r="A85" s="26" t="s">
        <v>646</v>
      </c>
      <c r="B85" s="18" t="s">
        <v>609</v>
      </c>
      <c r="C85" s="18" t="s">
        <v>623</v>
      </c>
      <c r="D85" s="18">
        <v>87</v>
      </c>
      <c r="E85" s="946">
        <v>1473.3000875</v>
      </c>
      <c r="F85" s="18"/>
      <c r="G85" s="18"/>
      <c r="H85" s="18"/>
      <c r="I85" s="37"/>
      <c r="M85" s="954" t="s">
        <v>607</v>
      </c>
      <c r="N85" s="774" t="s">
        <v>623</v>
      </c>
      <c r="O85" s="774" t="s">
        <v>662</v>
      </c>
      <c r="P85" s="774" t="s">
        <v>88</v>
      </c>
      <c r="Q85" s="947">
        <v>0.54125666277899998</v>
      </c>
      <c r="R85" s="973"/>
      <c r="S85" s="973"/>
    </row>
    <row r="86" spans="1:19" x14ac:dyDescent="0.2">
      <c r="A86" s="26" t="s">
        <v>646</v>
      </c>
      <c r="B86" s="18" t="s">
        <v>609</v>
      </c>
      <c r="C86" s="18" t="s">
        <v>625</v>
      </c>
      <c r="D86" s="18">
        <v>49</v>
      </c>
      <c r="E86" s="946">
        <v>249.051449867</v>
      </c>
      <c r="F86" s="18"/>
      <c r="G86" s="18"/>
      <c r="H86" s="18"/>
      <c r="I86" s="37"/>
      <c r="M86" s="954" t="s">
        <v>607</v>
      </c>
      <c r="N86" s="774" t="s">
        <v>642</v>
      </c>
      <c r="O86" s="774" t="s">
        <v>662</v>
      </c>
      <c r="P86" s="774" t="s">
        <v>88</v>
      </c>
      <c r="Q86" s="947">
        <v>0.30044777033699999</v>
      </c>
      <c r="R86" s="973"/>
      <c r="S86" s="973"/>
    </row>
    <row r="87" spans="1:19" x14ac:dyDescent="0.2">
      <c r="A87" s="26" t="s">
        <v>646</v>
      </c>
      <c r="B87" s="18" t="s">
        <v>609</v>
      </c>
      <c r="C87" s="18" t="s">
        <v>642</v>
      </c>
      <c r="D87" s="18">
        <v>13</v>
      </c>
      <c r="E87" s="946">
        <v>80.9526701355</v>
      </c>
      <c r="F87" s="18"/>
      <c r="G87" s="18"/>
      <c r="H87" s="18"/>
      <c r="I87" s="37"/>
      <c r="M87" s="954" t="s">
        <v>607</v>
      </c>
      <c r="N87" s="774" t="s">
        <v>626</v>
      </c>
      <c r="O87" s="774" t="s">
        <v>662</v>
      </c>
      <c r="P87" s="774" t="s">
        <v>88</v>
      </c>
      <c r="Q87" s="947">
        <v>2.1388166207700001E-3</v>
      </c>
      <c r="R87" s="973"/>
      <c r="S87" s="973"/>
    </row>
    <row r="88" spans="1:19" x14ac:dyDescent="0.2">
      <c r="A88" s="26" t="s">
        <v>646</v>
      </c>
      <c r="B88" s="18" t="s">
        <v>610</v>
      </c>
      <c r="C88" s="18" t="s">
        <v>623</v>
      </c>
      <c r="D88" s="18">
        <v>20</v>
      </c>
      <c r="E88" s="946">
        <v>5.3908935624399996</v>
      </c>
      <c r="F88" s="18"/>
      <c r="G88" s="18"/>
      <c r="H88" s="18"/>
      <c r="I88" s="37"/>
      <c r="M88" s="954" t="s">
        <v>607</v>
      </c>
      <c r="N88" s="774" t="s">
        <v>640</v>
      </c>
      <c r="O88" s="774" t="s">
        <v>662</v>
      </c>
      <c r="P88" s="774" t="s">
        <v>88</v>
      </c>
      <c r="Q88" s="947">
        <v>2.0379300413300001</v>
      </c>
      <c r="R88" s="973"/>
      <c r="S88" s="973"/>
    </row>
    <row r="89" spans="1:19" x14ac:dyDescent="0.2">
      <c r="A89" s="26" t="s">
        <v>646</v>
      </c>
      <c r="B89" s="18" t="s">
        <v>610</v>
      </c>
      <c r="C89" s="18" t="s">
        <v>625</v>
      </c>
      <c r="D89" s="18">
        <v>7</v>
      </c>
      <c r="E89" s="946">
        <v>3.3193452997600001</v>
      </c>
      <c r="F89" s="18"/>
      <c r="G89" s="18"/>
      <c r="H89" s="18"/>
      <c r="I89" s="37"/>
      <c r="M89" s="954" t="s">
        <v>607</v>
      </c>
      <c r="N89" s="774" t="s">
        <v>641</v>
      </c>
      <c r="O89" s="774" t="s">
        <v>662</v>
      </c>
      <c r="P89" s="774" t="s">
        <v>88</v>
      </c>
      <c r="Q89" s="947">
        <v>6.1687329583099998E-2</v>
      </c>
      <c r="R89" s="973"/>
      <c r="S89" s="973"/>
    </row>
    <row r="90" spans="1:19" x14ac:dyDescent="0.2">
      <c r="A90" s="26" t="s">
        <v>646</v>
      </c>
      <c r="B90" s="18" t="s">
        <v>610</v>
      </c>
      <c r="C90" s="18" t="s">
        <v>642</v>
      </c>
      <c r="D90" s="18">
        <v>1</v>
      </c>
      <c r="E90" s="946">
        <v>3.4313954606400001</v>
      </c>
      <c r="F90" s="18"/>
      <c r="G90" s="18"/>
      <c r="H90" s="18"/>
      <c r="I90" s="37"/>
      <c r="M90" s="954" t="s">
        <v>46</v>
      </c>
      <c r="N90" s="774" t="s">
        <v>623</v>
      </c>
      <c r="O90" s="774" t="s">
        <v>662</v>
      </c>
      <c r="P90" s="774" t="s">
        <v>88</v>
      </c>
      <c r="Q90" s="947">
        <v>3.2370504314300002</v>
      </c>
      <c r="R90" s="973"/>
      <c r="S90" s="973"/>
    </row>
    <row r="91" spans="1:19" x14ac:dyDescent="0.2">
      <c r="A91" s="26" t="s">
        <v>646</v>
      </c>
      <c r="B91" s="18" t="s">
        <v>643</v>
      </c>
      <c r="C91" s="18" t="s">
        <v>623</v>
      </c>
      <c r="D91" s="18">
        <v>10</v>
      </c>
      <c r="E91" s="946">
        <v>6.4830635815699997</v>
      </c>
      <c r="F91" s="18"/>
      <c r="G91" s="18"/>
      <c r="H91" s="18"/>
      <c r="I91" s="37"/>
      <c r="M91" s="954" t="s">
        <v>46</v>
      </c>
      <c r="N91" s="774" t="s">
        <v>626</v>
      </c>
      <c r="O91" s="774" t="s">
        <v>662</v>
      </c>
      <c r="P91" s="774" t="s">
        <v>88</v>
      </c>
      <c r="Q91" s="947">
        <v>8.4851958808099995E-2</v>
      </c>
      <c r="R91" s="973"/>
      <c r="S91" s="973"/>
    </row>
    <row r="92" spans="1:19" x14ac:dyDescent="0.2">
      <c r="A92" s="26" t="s">
        <v>646</v>
      </c>
      <c r="B92" s="18" t="s">
        <v>643</v>
      </c>
      <c r="C92" s="18" t="s">
        <v>626</v>
      </c>
      <c r="D92" s="18">
        <v>7</v>
      </c>
      <c r="E92" s="946">
        <v>53.281132100800001</v>
      </c>
      <c r="F92" s="18"/>
      <c r="G92" s="18"/>
      <c r="H92" s="18"/>
      <c r="I92" s="37"/>
      <c r="M92" s="954" t="s">
        <v>608</v>
      </c>
      <c r="N92" s="774" t="s">
        <v>623</v>
      </c>
      <c r="O92" s="774" t="s">
        <v>662</v>
      </c>
      <c r="P92" s="774" t="s">
        <v>88</v>
      </c>
      <c r="Q92" s="947">
        <v>2.7316301381699999</v>
      </c>
      <c r="R92" s="973"/>
      <c r="S92" s="973"/>
    </row>
    <row r="93" spans="1:19" x14ac:dyDescent="0.2">
      <c r="A93" s="26" t="s">
        <v>646</v>
      </c>
      <c r="B93" s="18" t="s">
        <v>644</v>
      </c>
      <c r="C93" s="18" t="s">
        <v>623</v>
      </c>
      <c r="D93" s="18">
        <v>2</v>
      </c>
      <c r="E93" s="946">
        <v>0.57128898940200001</v>
      </c>
      <c r="F93" s="18"/>
      <c r="G93" s="18"/>
      <c r="H93" s="18"/>
      <c r="I93" s="37"/>
      <c r="M93" s="954" t="s">
        <v>608</v>
      </c>
      <c r="N93" s="774" t="s">
        <v>642</v>
      </c>
      <c r="O93" s="774" t="s">
        <v>662</v>
      </c>
      <c r="P93" s="774" t="s">
        <v>88</v>
      </c>
      <c r="Q93" s="947">
        <v>1.49005127385</v>
      </c>
      <c r="R93" s="973"/>
      <c r="S93" s="973"/>
    </row>
    <row r="94" spans="1:19" x14ac:dyDescent="0.2">
      <c r="A94" s="26" t="s">
        <v>646</v>
      </c>
      <c r="B94" s="18" t="s">
        <v>644</v>
      </c>
      <c r="C94" s="18" t="s">
        <v>625</v>
      </c>
      <c r="D94" s="18">
        <v>8</v>
      </c>
      <c r="E94" s="946">
        <v>1.6436622518499999</v>
      </c>
      <c r="F94" s="18"/>
      <c r="G94" s="18"/>
      <c r="H94" s="18"/>
      <c r="I94" s="37"/>
      <c r="M94" s="954" t="s">
        <v>608</v>
      </c>
      <c r="N94" s="774" t="s">
        <v>642</v>
      </c>
      <c r="O94" s="774" t="s">
        <v>663</v>
      </c>
      <c r="P94" s="774" t="s">
        <v>88</v>
      </c>
      <c r="Q94" s="947">
        <v>2.2926837940399998</v>
      </c>
      <c r="R94" s="973"/>
      <c r="S94" s="973"/>
    </row>
    <row r="95" spans="1:19" x14ac:dyDescent="0.2">
      <c r="A95" s="26" t="s">
        <v>646</v>
      </c>
      <c r="B95" s="18" t="s">
        <v>644</v>
      </c>
      <c r="C95" s="18" t="s">
        <v>642</v>
      </c>
      <c r="D95" s="18">
        <v>15</v>
      </c>
      <c r="E95" s="946">
        <v>51.110931740300003</v>
      </c>
      <c r="F95" s="18"/>
      <c r="G95" s="18"/>
      <c r="H95" s="18"/>
      <c r="I95" s="37"/>
      <c r="M95" s="954" t="s">
        <v>40</v>
      </c>
      <c r="N95" s="774" t="s">
        <v>623</v>
      </c>
      <c r="O95" s="774" t="s">
        <v>663</v>
      </c>
      <c r="P95" s="774" t="s">
        <v>88</v>
      </c>
      <c r="Q95" s="947">
        <v>4.7858185392800001</v>
      </c>
      <c r="R95" s="973"/>
      <c r="S95" s="973"/>
    </row>
    <row r="96" spans="1:19" x14ac:dyDescent="0.2">
      <c r="A96" s="26" t="s">
        <v>646</v>
      </c>
      <c r="B96" s="18" t="s">
        <v>644</v>
      </c>
      <c r="C96" s="18" t="s">
        <v>626</v>
      </c>
      <c r="D96" s="18">
        <v>7</v>
      </c>
      <c r="E96" s="946">
        <v>3.62409747869</v>
      </c>
      <c r="F96" s="18"/>
      <c r="G96" s="18"/>
      <c r="H96" s="18"/>
      <c r="I96" s="37"/>
      <c r="M96" s="954" t="s">
        <v>609</v>
      </c>
      <c r="N96" s="774" t="s">
        <v>623</v>
      </c>
      <c r="O96" s="774" t="s">
        <v>662</v>
      </c>
      <c r="P96" s="774" t="s">
        <v>88</v>
      </c>
      <c r="Q96" s="947">
        <v>6.2880631458499998</v>
      </c>
      <c r="R96" s="973"/>
      <c r="S96" s="973"/>
    </row>
    <row r="97" spans="1:19" x14ac:dyDescent="0.2">
      <c r="A97" s="26" t="s">
        <v>646</v>
      </c>
      <c r="B97" s="18" t="s">
        <v>644</v>
      </c>
      <c r="C97" s="18" t="s">
        <v>641</v>
      </c>
      <c r="D97" s="18">
        <v>30</v>
      </c>
      <c r="E97" s="946">
        <v>22.408470621199999</v>
      </c>
      <c r="F97" s="18"/>
      <c r="G97" s="18"/>
      <c r="H97" s="18"/>
      <c r="I97" s="37"/>
      <c r="M97" s="954" t="s">
        <v>609</v>
      </c>
      <c r="N97" s="774" t="s">
        <v>623</v>
      </c>
      <c r="O97" s="774" t="s">
        <v>663</v>
      </c>
      <c r="P97" s="774" t="s">
        <v>88</v>
      </c>
      <c r="Q97" s="947">
        <v>77.165210749799996</v>
      </c>
      <c r="R97" s="973"/>
      <c r="S97" s="973"/>
    </row>
    <row r="98" spans="1:19" x14ac:dyDescent="0.2">
      <c r="A98" s="26" t="s">
        <v>646</v>
      </c>
      <c r="B98" s="18" t="s">
        <v>645</v>
      </c>
      <c r="C98" s="18" t="s">
        <v>623</v>
      </c>
      <c r="D98" s="18">
        <v>60</v>
      </c>
      <c r="E98" s="946">
        <v>40.460535841400002</v>
      </c>
      <c r="F98" s="18"/>
      <c r="G98" s="18"/>
      <c r="H98" s="18"/>
      <c r="I98" s="37"/>
      <c r="M98" s="954" t="s">
        <v>609</v>
      </c>
      <c r="N98" s="774" t="s">
        <v>625</v>
      </c>
      <c r="O98" s="774" t="s">
        <v>662</v>
      </c>
      <c r="P98" s="774" t="s">
        <v>88</v>
      </c>
      <c r="Q98" s="947">
        <v>4.1109200038899996</v>
      </c>
      <c r="R98" s="973"/>
      <c r="S98" s="973"/>
    </row>
    <row r="99" spans="1:19" x14ac:dyDescent="0.2">
      <c r="A99" s="26" t="s">
        <v>646</v>
      </c>
      <c r="B99" s="18" t="s">
        <v>645</v>
      </c>
      <c r="C99" s="18" t="s">
        <v>625</v>
      </c>
      <c r="D99" s="18">
        <v>41</v>
      </c>
      <c r="E99" s="946">
        <v>76.247673649299998</v>
      </c>
      <c r="F99" s="18"/>
      <c r="G99" s="18"/>
      <c r="H99" s="18"/>
      <c r="I99" s="37"/>
      <c r="M99" s="954" t="s">
        <v>609</v>
      </c>
      <c r="N99" s="774" t="s">
        <v>642</v>
      </c>
      <c r="O99" s="774" t="s">
        <v>662</v>
      </c>
      <c r="P99" s="774" t="s">
        <v>88</v>
      </c>
      <c r="Q99" s="947">
        <v>3.42636351716</v>
      </c>
      <c r="R99" s="973"/>
      <c r="S99" s="973"/>
    </row>
    <row r="100" spans="1:19" x14ac:dyDescent="0.2">
      <c r="A100" s="26" t="s">
        <v>646</v>
      </c>
      <c r="B100" s="18" t="s">
        <v>645</v>
      </c>
      <c r="C100" s="18" t="s">
        <v>642</v>
      </c>
      <c r="D100" s="18">
        <v>1</v>
      </c>
      <c r="E100" s="946">
        <v>0.30000262331100003</v>
      </c>
      <c r="F100" s="18"/>
      <c r="G100" s="18"/>
      <c r="H100" s="18"/>
      <c r="I100" s="37"/>
      <c r="M100" s="954" t="s">
        <v>609</v>
      </c>
      <c r="N100" s="774" t="s">
        <v>642</v>
      </c>
      <c r="O100" s="774" t="s">
        <v>444</v>
      </c>
      <c r="P100" s="774" t="s">
        <v>88</v>
      </c>
      <c r="Q100" s="947">
        <v>4.18911772871E-4</v>
      </c>
      <c r="R100" s="973"/>
      <c r="S100" s="973"/>
    </row>
    <row r="101" spans="1:19" x14ac:dyDescent="0.2">
      <c r="A101" s="26" t="s">
        <v>646</v>
      </c>
      <c r="B101" s="18" t="s">
        <v>645</v>
      </c>
      <c r="C101" s="18" t="s">
        <v>640</v>
      </c>
      <c r="D101" s="18">
        <v>1</v>
      </c>
      <c r="E101" s="946">
        <v>1.14313360719E-2</v>
      </c>
      <c r="F101" s="18"/>
      <c r="G101" s="18"/>
      <c r="H101" s="18"/>
      <c r="I101" s="37"/>
      <c r="M101" s="954" t="s">
        <v>610</v>
      </c>
      <c r="N101" s="774" t="s">
        <v>623</v>
      </c>
      <c r="O101" s="774" t="s">
        <v>662</v>
      </c>
      <c r="P101" s="774" t="s">
        <v>88</v>
      </c>
      <c r="Q101" s="947">
        <v>5.1084742186499996</v>
      </c>
      <c r="R101" s="973"/>
      <c r="S101" s="973"/>
    </row>
    <row r="102" spans="1:19" x14ac:dyDescent="0.2">
      <c r="A102" s="26" t="s">
        <v>647</v>
      </c>
      <c r="B102" s="18" t="s">
        <v>607</v>
      </c>
      <c r="C102" s="18" t="s">
        <v>626</v>
      </c>
      <c r="D102" s="18">
        <v>92</v>
      </c>
      <c r="E102" s="946">
        <v>356.82666214599999</v>
      </c>
      <c r="F102" s="18"/>
      <c r="G102" s="18"/>
      <c r="H102" s="18"/>
      <c r="I102" s="37"/>
      <c r="M102" s="954" t="s">
        <v>610</v>
      </c>
      <c r="N102" s="774" t="s">
        <v>625</v>
      </c>
      <c r="O102" s="774" t="s">
        <v>664</v>
      </c>
      <c r="P102" s="774" t="s">
        <v>88</v>
      </c>
      <c r="Q102" s="947">
        <v>30.332161647100001</v>
      </c>
      <c r="R102" s="973"/>
      <c r="S102" s="973"/>
    </row>
    <row r="103" spans="1:19" x14ac:dyDescent="0.2">
      <c r="A103" s="26" t="s">
        <v>647</v>
      </c>
      <c r="B103" s="18" t="s">
        <v>607</v>
      </c>
      <c r="C103" s="18" t="s">
        <v>641</v>
      </c>
      <c r="D103" s="18">
        <v>112</v>
      </c>
      <c r="E103" s="946">
        <v>403.94202039700002</v>
      </c>
      <c r="F103" s="18"/>
      <c r="G103" s="18"/>
      <c r="H103" s="18"/>
      <c r="I103" s="37"/>
      <c r="M103" s="954" t="s">
        <v>610</v>
      </c>
      <c r="N103" s="774" t="s">
        <v>642</v>
      </c>
      <c r="O103" s="774" t="s">
        <v>662</v>
      </c>
      <c r="P103" s="774" t="s">
        <v>88</v>
      </c>
      <c r="Q103" s="947">
        <v>7.50186041429E-2</v>
      </c>
      <c r="R103" s="973"/>
      <c r="S103" s="973"/>
    </row>
    <row r="104" spans="1:19" x14ac:dyDescent="0.2">
      <c r="A104" s="26" t="s">
        <v>648</v>
      </c>
      <c r="B104" s="18" t="s">
        <v>607</v>
      </c>
      <c r="C104" s="18" t="s">
        <v>623</v>
      </c>
      <c r="D104" s="18">
        <v>6</v>
      </c>
      <c r="E104" s="946">
        <v>8.4529593574799993</v>
      </c>
      <c r="F104" s="18"/>
      <c r="G104" s="18"/>
      <c r="H104" s="18"/>
      <c r="I104" s="37"/>
      <c r="M104" s="954" t="s">
        <v>643</v>
      </c>
      <c r="N104" s="774" t="s">
        <v>623</v>
      </c>
      <c r="O104" s="774" t="s">
        <v>662</v>
      </c>
      <c r="P104" s="774" t="s">
        <v>88</v>
      </c>
      <c r="Q104" s="947">
        <v>2.4502288655000002</v>
      </c>
      <c r="R104" s="973"/>
      <c r="S104" s="973"/>
    </row>
    <row r="105" spans="1:19" x14ac:dyDescent="0.2">
      <c r="A105" s="26" t="s">
        <v>648</v>
      </c>
      <c r="B105" s="18" t="s">
        <v>607</v>
      </c>
      <c r="C105" s="18" t="s">
        <v>626</v>
      </c>
      <c r="D105" s="18">
        <v>4</v>
      </c>
      <c r="E105" s="946">
        <v>3.2052403425599998</v>
      </c>
      <c r="F105" s="18"/>
      <c r="G105" s="18"/>
      <c r="H105" s="18"/>
      <c r="I105" s="37"/>
      <c r="M105" s="954" t="s">
        <v>643</v>
      </c>
      <c r="N105" s="774" t="s">
        <v>623</v>
      </c>
      <c r="O105" s="774" t="s">
        <v>663</v>
      </c>
      <c r="P105" s="774" t="s">
        <v>88</v>
      </c>
      <c r="Q105" s="947">
        <v>7.7539354754300002E-2</v>
      </c>
      <c r="R105" s="973"/>
      <c r="S105" s="973"/>
    </row>
    <row r="106" spans="1:19" x14ac:dyDescent="0.2">
      <c r="A106" s="26" t="s">
        <v>648</v>
      </c>
      <c r="B106" s="18" t="s">
        <v>607</v>
      </c>
      <c r="C106" s="18" t="s">
        <v>640</v>
      </c>
      <c r="D106" s="18">
        <v>15</v>
      </c>
      <c r="E106" s="946">
        <v>17.7978722573</v>
      </c>
      <c r="F106" s="18"/>
      <c r="G106" s="18"/>
      <c r="H106" s="18"/>
      <c r="I106" s="37"/>
      <c r="M106" s="954" t="s">
        <v>643</v>
      </c>
      <c r="N106" s="774" t="s">
        <v>626</v>
      </c>
      <c r="O106" s="774" t="s">
        <v>662</v>
      </c>
      <c r="P106" s="774" t="s">
        <v>88</v>
      </c>
      <c r="Q106" s="947">
        <v>5.14189478613</v>
      </c>
      <c r="R106" s="973"/>
      <c r="S106" s="973"/>
    </row>
    <row r="107" spans="1:19" x14ac:dyDescent="0.2">
      <c r="A107" s="26" t="s">
        <v>648</v>
      </c>
      <c r="B107" s="18" t="s">
        <v>607</v>
      </c>
      <c r="C107" s="18" t="s">
        <v>641</v>
      </c>
      <c r="D107" s="18">
        <v>16</v>
      </c>
      <c r="E107" s="946">
        <v>35.443278706699999</v>
      </c>
      <c r="F107" s="18"/>
      <c r="G107" s="18"/>
      <c r="H107" s="18"/>
      <c r="I107" s="37"/>
      <c r="M107" s="954" t="s">
        <v>644</v>
      </c>
      <c r="N107" s="774" t="s">
        <v>623</v>
      </c>
      <c r="O107" s="774" t="s">
        <v>662</v>
      </c>
      <c r="P107" s="774" t="s">
        <v>88</v>
      </c>
      <c r="Q107" s="947">
        <v>4.5837068653699999</v>
      </c>
      <c r="R107" s="973"/>
      <c r="S107" s="973"/>
    </row>
    <row r="108" spans="1:19" x14ac:dyDescent="0.2">
      <c r="A108" s="26" t="s">
        <v>648</v>
      </c>
      <c r="B108" s="18" t="s">
        <v>46</v>
      </c>
      <c r="C108" s="18" t="s">
        <v>623</v>
      </c>
      <c r="D108" s="18">
        <v>39</v>
      </c>
      <c r="E108" s="946">
        <v>57.575086515899997</v>
      </c>
      <c r="F108" s="18"/>
      <c r="G108" s="18"/>
      <c r="H108" s="18"/>
      <c r="I108" s="37"/>
      <c r="M108" s="954" t="s">
        <v>644</v>
      </c>
      <c r="N108" s="774" t="s">
        <v>623</v>
      </c>
      <c r="O108" s="774" t="s">
        <v>663</v>
      </c>
      <c r="P108" s="774" t="s">
        <v>88</v>
      </c>
      <c r="Q108" s="947">
        <v>4.1144395129999997E-2</v>
      </c>
      <c r="R108" s="973"/>
      <c r="S108" s="973"/>
    </row>
    <row r="109" spans="1:19" x14ac:dyDescent="0.2">
      <c r="A109" s="26" t="s">
        <v>648</v>
      </c>
      <c r="B109" s="18" t="s">
        <v>46</v>
      </c>
      <c r="C109" s="18" t="s">
        <v>626</v>
      </c>
      <c r="D109" s="18">
        <v>3</v>
      </c>
      <c r="E109" s="946">
        <v>8.8989191745399996</v>
      </c>
      <c r="F109" s="18"/>
      <c r="G109" s="18"/>
      <c r="H109" s="18"/>
      <c r="I109" s="37"/>
      <c r="M109" s="954" t="s">
        <v>644</v>
      </c>
      <c r="N109" s="774" t="s">
        <v>625</v>
      </c>
      <c r="O109" s="774" t="s">
        <v>662</v>
      </c>
      <c r="P109" s="774" t="s">
        <v>88</v>
      </c>
      <c r="Q109" s="947">
        <v>0.26310418181599998</v>
      </c>
      <c r="R109" s="973"/>
      <c r="S109" s="973"/>
    </row>
    <row r="110" spans="1:19" x14ac:dyDescent="0.2">
      <c r="A110" s="26" t="s">
        <v>648</v>
      </c>
      <c r="B110" s="18" t="s">
        <v>608</v>
      </c>
      <c r="C110" s="18" t="s">
        <v>623</v>
      </c>
      <c r="D110" s="18">
        <v>3</v>
      </c>
      <c r="E110" s="946">
        <v>2.6652517793800001</v>
      </c>
      <c r="F110" s="18"/>
      <c r="G110" s="18"/>
      <c r="H110" s="18"/>
      <c r="I110" s="37"/>
      <c r="M110" s="954" t="s">
        <v>644</v>
      </c>
      <c r="N110" s="774" t="s">
        <v>642</v>
      </c>
      <c r="O110" s="774" t="s">
        <v>662</v>
      </c>
      <c r="P110" s="774" t="s">
        <v>88</v>
      </c>
      <c r="Q110" s="947">
        <v>1.1173721749700001</v>
      </c>
      <c r="R110" s="973"/>
      <c r="S110" s="973"/>
    </row>
    <row r="111" spans="1:19" x14ac:dyDescent="0.2">
      <c r="A111" s="26" t="s">
        <v>648</v>
      </c>
      <c r="B111" s="18" t="s">
        <v>608</v>
      </c>
      <c r="C111" s="18" t="s">
        <v>642</v>
      </c>
      <c r="D111" s="18">
        <v>103</v>
      </c>
      <c r="E111" s="946">
        <v>818.62681014400005</v>
      </c>
      <c r="F111" s="18"/>
      <c r="G111" s="18"/>
      <c r="H111" s="18"/>
      <c r="I111" s="37"/>
      <c r="M111" s="954" t="s">
        <v>644</v>
      </c>
      <c r="N111" s="774" t="s">
        <v>641</v>
      </c>
      <c r="O111" s="774" t="s">
        <v>662</v>
      </c>
      <c r="P111" s="774" t="s">
        <v>88</v>
      </c>
      <c r="Q111" s="947">
        <v>0.16300666862099999</v>
      </c>
      <c r="R111" s="973"/>
      <c r="S111" s="973"/>
    </row>
    <row r="112" spans="1:19" x14ac:dyDescent="0.2">
      <c r="A112" s="26" t="s">
        <v>648</v>
      </c>
      <c r="B112" s="18" t="s">
        <v>609</v>
      </c>
      <c r="C112" s="18" t="s">
        <v>623</v>
      </c>
      <c r="D112" s="18">
        <v>112</v>
      </c>
      <c r="E112" s="946">
        <v>817.917494444</v>
      </c>
      <c r="F112" s="18"/>
      <c r="G112" s="18"/>
      <c r="H112" s="18"/>
      <c r="I112" s="37"/>
      <c r="M112" s="954" t="s">
        <v>644</v>
      </c>
      <c r="N112" s="774" t="s">
        <v>641</v>
      </c>
      <c r="O112" s="774" t="s">
        <v>663</v>
      </c>
      <c r="P112" s="774" t="s">
        <v>88</v>
      </c>
      <c r="Q112" s="947">
        <v>145.47542724300001</v>
      </c>
      <c r="R112" s="973"/>
      <c r="S112" s="973"/>
    </row>
    <row r="113" spans="1:19" x14ac:dyDescent="0.2">
      <c r="A113" s="26" t="s">
        <v>648</v>
      </c>
      <c r="B113" s="18" t="s">
        <v>609</v>
      </c>
      <c r="C113" s="18" t="s">
        <v>625</v>
      </c>
      <c r="D113" s="18">
        <v>26</v>
      </c>
      <c r="E113" s="946">
        <v>39.470501439700001</v>
      </c>
      <c r="F113" s="18"/>
      <c r="G113" s="18"/>
      <c r="H113" s="18"/>
      <c r="I113" s="37"/>
      <c r="M113" s="954" t="s">
        <v>645</v>
      </c>
      <c r="N113" s="774" t="s">
        <v>623</v>
      </c>
      <c r="O113" s="774" t="s">
        <v>662</v>
      </c>
      <c r="P113" s="774" t="s">
        <v>88</v>
      </c>
      <c r="Q113" s="947">
        <v>0.47361709694100002</v>
      </c>
      <c r="R113" s="973"/>
      <c r="S113" s="973"/>
    </row>
    <row r="114" spans="1:19" x14ac:dyDescent="0.2">
      <c r="A114" s="26" t="s">
        <v>648</v>
      </c>
      <c r="B114" s="18" t="s">
        <v>609</v>
      </c>
      <c r="C114" s="18" t="s">
        <v>642</v>
      </c>
      <c r="D114" s="18">
        <v>1</v>
      </c>
      <c r="E114" s="946">
        <v>3.2844038712399999</v>
      </c>
      <c r="F114" s="18"/>
      <c r="G114" s="18"/>
      <c r="H114" s="18"/>
      <c r="I114" s="37"/>
      <c r="M114" s="954" t="s">
        <v>645</v>
      </c>
      <c r="N114" s="774" t="s">
        <v>623</v>
      </c>
      <c r="O114" s="774" t="s">
        <v>663</v>
      </c>
      <c r="P114" s="774" t="s">
        <v>88</v>
      </c>
      <c r="Q114" s="947">
        <v>10.884784829000001</v>
      </c>
      <c r="R114" s="973"/>
      <c r="S114" s="973"/>
    </row>
    <row r="115" spans="1:19" x14ac:dyDescent="0.2">
      <c r="A115" s="26" t="s">
        <v>648</v>
      </c>
      <c r="B115" s="18" t="s">
        <v>610</v>
      </c>
      <c r="C115" s="18" t="s">
        <v>623</v>
      </c>
      <c r="D115" s="18">
        <v>38</v>
      </c>
      <c r="E115" s="946">
        <v>88.714929889100006</v>
      </c>
      <c r="F115" s="18"/>
      <c r="G115" s="18"/>
      <c r="H115" s="18"/>
      <c r="I115" s="37"/>
      <c r="M115" s="954" t="s">
        <v>645</v>
      </c>
      <c r="N115" s="774" t="s">
        <v>625</v>
      </c>
      <c r="O115" s="774" t="s">
        <v>662</v>
      </c>
      <c r="P115" s="774" t="s">
        <v>88</v>
      </c>
      <c r="Q115" s="947">
        <v>4.0123258927899998</v>
      </c>
      <c r="R115" s="973"/>
      <c r="S115" s="973"/>
    </row>
    <row r="116" spans="1:19" x14ac:dyDescent="0.2">
      <c r="A116" s="26" t="s">
        <v>648</v>
      </c>
      <c r="B116" s="18" t="s">
        <v>610</v>
      </c>
      <c r="C116" s="18" t="s">
        <v>625</v>
      </c>
      <c r="D116" s="18">
        <v>13</v>
      </c>
      <c r="E116" s="946">
        <v>15.840399313400001</v>
      </c>
      <c r="F116" s="18"/>
      <c r="G116" s="18"/>
      <c r="H116" s="18"/>
      <c r="I116" s="37"/>
      <c r="M116" s="954" t="s">
        <v>645</v>
      </c>
      <c r="N116" s="774" t="s">
        <v>642</v>
      </c>
      <c r="O116" s="774" t="s">
        <v>662</v>
      </c>
      <c r="P116" s="774" t="s">
        <v>88</v>
      </c>
      <c r="Q116" s="947">
        <v>3.6296941618299998</v>
      </c>
      <c r="R116" s="973"/>
      <c r="S116" s="973"/>
    </row>
    <row r="117" spans="1:19" x14ac:dyDescent="0.2">
      <c r="A117" s="26" t="s">
        <v>648</v>
      </c>
      <c r="B117" s="18" t="s">
        <v>610</v>
      </c>
      <c r="C117" s="18" t="s">
        <v>642</v>
      </c>
      <c r="D117" s="18">
        <v>1</v>
      </c>
      <c r="E117" s="946">
        <v>0.33000672882999998</v>
      </c>
      <c r="F117" s="18"/>
      <c r="G117" s="18"/>
      <c r="H117" s="18"/>
      <c r="I117" s="37"/>
      <c r="M117" s="954" t="s">
        <v>607</v>
      </c>
      <c r="N117" s="774" t="s">
        <v>623</v>
      </c>
      <c r="O117" s="774" t="s">
        <v>665</v>
      </c>
      <c r="P117" s="774" t="s">
        <v>238</v>
      </c>
      <c r="Q117" s="947">
        <v>6.2622346344099994E-2</v>
      </c>
      <c r="R117" s="973"/>
      <c r="S117" s="973"/>
    </row>
    <row r="118" spans="1:19" x14ac:dyDescent="0.2">
      <c r="A118" s="26" t="s">
        <v>648</v>
      </c>
      <c r="B118" s="18" t="s">
        <v>643</v>
      </c>
      <c r="C118" s="18" t="s">
        <v>623</v>
      </c>
      <c r="D118" s="18">
        <v>28</v>
      </c>
      <c r="E118" s="946">
        <v>83.996038056299994</v>
      </c>
      <c r="F118" s="18"/>
      <c r="G118" s="18"/>
      <c r="H118" s="18"/>
      <c r="I118" s="37"/>
      <c r="M118" s="954" t="s">
        <v>46</v>
      </c>
      <c r="N118" s="774" t="s">
        <v>626</v>
      </c>
      <c r="O118" s="774" t="s">
        <v>666</v>
      </c>
      <c r="P118" s="774" t="s">
        <v>238</v>
      </c>
      <c r="Q118" s="947">
        <v>0.19472820911899999</v>
      </c>
      <c r="R118" s="973"/>
      <c r="S118" s="973"/>
    </row>
    <row r="119" spans="1:19" x14ac:dyDescent="0.2">
      <c r="A119" s="26" t="s">
        <v>648</v>
      </c>
      <c r="B119" s="18" t="s">
        <v>643</v>
      </c>
      <c r="C119" s="18" t="s">
        <v>626</v>
      </c>
      <c r="D119" s="18">
        <v>20</v>
      </c>
      <c r="E119" s="946">
        <v>35.739794851799999</v>
      </c>
      <c r="F119" s="18"/>
      <c r="G119" s="18"/>
      <c r="H119" s="18"/>
      <c r="I119" s="37"/>
      <c r="M119" s="954" t="s">
        <v>608</v>
      </c>
      <c r="N119" s="774" t="s">
        <v>642</v>
      </c>
      <c r="O119" s="774" t="s">
        <v>666</v>
      </c>
      <c r="P119" s="774" t="s">
        <v>238</v>
      </c>
      <c r="Q119" s="947">
        <v>0.211659626711</v>
      </c>
      <c r="R119" s="973"/>
      <c r="S119" s="973"/>
    </row>
    <row r="120" spans="1:19" x14ac:dyDescent="0.2">
      <c r="A120" s="26" t="s">
        <v>648</v>
      </c>
      <c r="B120" s="18" t="s">
        <v>644</v>
      </c>
      <c r="C120" s="18" t="s">
        <v>623</v>
      </c>
      <c r="D120" s="18">
        <v>8</v>
      </c>
      <c r="E120" s="946">
        <v>0.80170604902099996</v>
      </c>
      <c r="F120" s="18"/>
      <c r="G120" s="18"/>
      <c r="H120" s="18"/>
      <c r="I120" s="37"/>
      <c r="M120" s="954" t="s">
        <v>40</v>
      </c>
      <c r="N120" s="774" t="s">
        <v>623</v>
      </c>
      <c r="O120" s="774" t="s">
        <v>666</v>
      </c>
      <c r="P120" s="774" t="s">
        <v>238</v>
      </c>
      <c r="Q120" s="947">
        <v>9.3020521017499996E-2</v>
      </c>
      <c r="R120" s="973"/>
      <c r="S120" s="973"/>
    </row>
    <row r="121" spans="1:19" x14ac:dyDescent="0.2">
      <c r="A121" s="26" t="s">
        <v>648</v>
      </c>
      <c r="B121" s="18" t="s">
        <v>644</v>
      </c>
      <c r="C121" s="18" t="s">
        <v>625</v>
      </c>
      <c r="D121" s="18">
        <v>33</v>
      </c>
      <c r="E121" s="946">
        <v>43.692719144900003</v>
      </c>
      <c r="F121" s="18"/>
      <c r="G121" s="18"/>
      <c r="H121" s="18"/>
      <c r="I121" s="37"/>
      <c r="M121" s="954" t="s">
        <v>40</v>
      </c>
      <c r="N121" s="774" t="s">
        <v>626</v>
      </c>
      <c r="O121" s="774" t="s">
        <v>665</v>
      </c>
      <c r="P121" s="774" t="s">
        <v>238</v>
      </c>
      <c r="Q121" s="947">
        <v>1.8384414069400001E-2</v>
      </c>
      <c r="R121" s="973"/>
      <c r="S121" s="973"/>
    </row>
    <row r="122" spans="1:19" x14ac:dyDescent="0.2">
      <c r="A122" s="26" t="s">
        <v>648</v>
      </c>
      <c r="B122" s="18" t="s">
        <v>644</v>
      </c>
      <c r="C122" s="18" t="s">
        <v>642</v>
      </c>
      <c r="D122" s="18">
        <v>23</v>
      </c>
      <c r="E122" s="946">
        <v>28.366971083999999</v>
      </c>
      <c r="F122" s="18"/>
      <c r="G122" s="18"/>
      <c r="H122" s="18"/>
      <c r="I122" s="37"/>
      <c r="M122" s="954" t="s">
        <v>610</v>
      </c>
      <c r="N122" s="774" t="s">
        <v>623</v>
      </c>
      <c r="O122" s="774" t="s">
        <v>665</v>
      </c>
      <c r="P122" s="774" t="s">
        <v>238</v>
      </c>
      <c r="Q122" s="947">
        <v>0.14845799041900001</v>
      </c>
      <c r="R122" s="973"/>
      <c r="S122" s="973"/>
    </row>
    <row r="123" spans="1:19" x14ac:dyDescent="0.2">
      <c r="A123" s="26" t="s">
        <v>648</v>
      </c>
      <c r="B123" s="18" t="s">
        <v>644</v>
      </c>
      <c r="C123" s="18" t="s">
        <v>626</v>
      </c>
      <c r="D123" s="18">
        <v>2</v>
      </c>
      <c r="E123" s="946">
        <v>2.0991475998400002</v>
      </c>
      <c r="F123" s="18"/>
      <c r="G123" s="18"/>
      <c r="H123" s="18"/>
      <c r="I123" s="37"/>
      <c r="M123" s="954" t="s">
        <v>643</v>
      </c>
      <c r="N123" s="774" t="s">
        <v>623</v>
      </c>
      <c r="O123" s="774" t="s">
        <v>666</v>
      </c>
      <c r="P123" s="774" t="s">
        <v>238</v>
      </c>
      <c r="Q123" s="947">
        <v>1.1793411473099999</v>
      </c>
      <c r="R123" s="973"/>
      <c r="S123" s="973"/>
    </row>
    <row r="124" spans="1:19" x14ac:dyDescent="0.2">
      <c r="A124" s="26" t="s">
        <v>648</v>
      </c>
      <c r="B124" s="18" t="s">
        <v>644</v>
      </c>
      <c r="C124" s="18" t="s">
        <v>641</v>
      </c>
      <c r="D124" s="18">
        <v>37</v>
      </c>
      <c r="E124" s="946">
        <v>56.465837277399999</v>
      </c>
      <c r="F124" s="18"/>
      <c r="G124" s="18"/>
      <c r="H124" s="18"/>
      <c r="I124" s="37"/>
      <c r="M124" s="954" t="s">
        <v>644</v>
      </c>
      <c r="N124" s="774" t="s">
        <v>623</v>
      </c>
      <c r="O124" s="774" t="s">
        <v>665</v>
      </c>
      <c r="P124" s="774" t="s">
        <v>238</v>
      </c>
      <c r="Q124" s="947">
        <v>5.4313574755400003E-2</v>
      </c>
      <c r="R124" s="973"/>
      <c r="S124" s="973"/>
    </row>
    <row r="125" spans="1:19" x14ac:dyDescent="0.2">
      <c r="A125" s="26" t="s">
        <v>648</v>
      </c>
      <c r="B125" s="18" t="s">
        <v>645</v>
      </c>
      <c r="C125" s="18" t="s">
        <v>623</v>
      </c>
      <c r="D125" s="18">
        <v>78</v>
      </c>
      <c r="E125" s="946">
        <v>64.391317042300003</v>
      </c>
      <c r="F125" s="18"/>
      <c r="G125" s="18"/>
      <c r="H125" s="18"/>
      <c r="I125" s="37"/>
      <c r="M125" s="954" t="s">
        <v>644</v>
      </c>
      <c r="N125" s="774" t="s">
        <v>623</v>
      </c>
      <c r="O125" s="774" t="s">
        <v>666</v>
      </c>
      <c r="P125" s="774" t="s">
        <v>238</v>
      </c>
      <c r="Q125" s="947">
        <v>0.72602886855799997</v>
      </c>
      <c r="R125" s="973"/>
      <c r="S125" s="973"/>
    </row>
    <row r="126" spans="1:19" ht="13.5" thickBot="1" x14ac:dyDescent="0.25">
      <c r="A126" s="63" t="s">
        <v>648</v>
      </c>
      <c r="B126" s="42" t="s">
        <v>645</v>
      </c>
      <c r="C126" s="42" t="s">
        <v>625</v>
      </c>
      <c r="D126" s="42">
        <v>59</v>
      </c>
      <c r="E126" s="948">
        <v>235.66817485300001</v>
      </c>
      <c r="F126" s="42"/>
      <c r="G126" s="42"/>
      <c r="H126" s="42"/>
      <c r="I126" s="759"/>
      <c r="M126" s="954" t="s">
        <v>644</v>
      </c>
      <c r="N126" s="774" t="s">
        <v>641</v>
      </c>
      <c r="O126" s="774" t="s">
        <v>666</v>
      </c>
      <c r="P126" s="774" t="s">
        <v>238</v>
      </c>
      <c r="Q126" s="947">
        <v>1.55446557707E-2</v>
      </c>
      <c r="R126" s="973"/>
      <c r="S126" s="973"/>
    </row>
    <row r="127" spans="1:19" x14ac:dyDescent="0.2">
      <c r="M127" s="954" t="s">
        <v>645</v>
      </c>
      <c r="N127" s="774" t="s">
        <v>623</v>
      </c>
      <c r="O127" s="774" t="s">
        <v>666</v>
      </c>
      <c r="P127" s="774" t="s">
        <v>238</v>
      </c>
      <c r="Q127" s="947">
        <v>1.9513582554E-2</v>
      </c>
      <c r="R127" s="973"/>
      <c r="S127" s="973"/>
    </row>
    <row r="128" spans="1:19" x14ac:dyDescent="0.2">
      <c r="A128" s="141" t="s">
        <v>731</v>
      </c>
      <c r="M128" s="954" t="s">
        <v>607</v>
      </c>
      <c r="N128" s="774" t="s">
        <v>623</v>
      </c>
      <c r="O128" s="774" t="s">
        <v>667</v>
      </c>
      <c r="P128" s="774" t="s">
        <v>646</v>
      </c>
      <c r="Q128" s="947">
        <v>0.84293337233800003</v>
      </c>
      <c r="R128" s="973"/>
      <c r="S128" s="973"/>
    </row>
    <row r="129" spans="1:19" x14ac:dyDescent="0.2">
      <c r="A129" s="983" t="s">
        <v>611</v>
      </c>
      <c r="B129" s="984" t="s">
        <v>683</v>
      </c>
      <c r="C129" s="985"/>
      <c r="D129" s="986" t="s">
        <v>684</v>
      </c>
      <c r="H129" s="974" t="s">
        <v>715</v>
      </c>
      <c r="I129" s="974" t="s">
        <v>730</v>
      </c>
      <c r="J129" s="79" t="s">
        <v>728</v>
      </c>
      <c r="K129" s="82" t="s">
        <v>729</v>
      </c>
      <c r="M129" s="954" t="s">
        <v>607</v>
      </c>
      <c r="N129" s="774" t="s">
        <v>642</v>
      </c>
      <c r="O129" s="774" t="s">
        <v>667</v>
      </c>
      <c r="P129" s="774" t="s">
        <v>646</v>
      </c>
      <c r="Q129" s="947">
        <v>11.306869280200001</v>
      </c>
      <c r="R129" s="973"/>
      <c r="S129" s="973"/>
    </row>
    <row r="130" spans="1:19" x14ac:dyDescent="0.2">
      <c r="A130" s="987" t="s">
        <v>611</v>
      </c>
      <c r="B130" s="988"/>
      <c r="C130" s="989" t="s">
        <v>689</v>
      </c>
      <c r="D130" s="990" t="s">
        <v>623</v>
      </c>
      <c r="H130" s="974" t="s">
        <v>716</v>
      </c>
      <c r="I130" s="974" t="s">
        <v>717</v>
      </c>
      <c r="J130" s="18"/>
      <c r="K130" s="18"/>
      <c r="M130" s="954" t="s">
        <v>607</v>
      </c>
      <c r="N130" s="774" t="s">
        <v>626</v>
      </c>
      <c r="O130" s="774" t="s">
        <v>667</v>
      </c>
      <c r="P130" s="774" t="s">
        <v>646</v>
      </c>
      <c r="Q130" s="947">
        <v>39.5444414388</v>
      </c>
      <c r="R130" s="973"/>
      <c r="S130" s="973"/>
    </row>
    <row r="131" spans="1:19" x14ac:dyDescent="0.2">
      <c r="A131" s="987" t="s">
        <v>287</v>
      </c>
      <c r="B131" s="991">
        <v>734.5529815774471</v>
      </c>
      <c r="C131" s="992" t="s">
        <v>690</v>
      </c>
      <c r="D131" s="990" t="s">
        <v>625</v>
      </c>
      <c r="H131" s="974" t="s">
        <v>287</v>
      </c>
      <c r="I131" s="975">
        <v>2818.4</v>
      </c>
      <c r="J131" s="18"/>
      <c r="K131" s="18"/>
      <c r="M131" s="954" t="s">
        <v>607</v>
      </c>
      <c r="N131" s="774" t="s">
        <v>640</v>
      </c>
      <c r="O131" s="774" t="s">
        <v>667</v>
      </c>
      <c r="P131" s="774" t="s">
        <v>646</v>
      </c>
      <c r="Q131" s="947">
        <v>0.28188639531300003</v>
      </c>
      <c r="R131" s="973"/>
      <c r="S131" s="973"/>
    </row>
    <row r="132" spans="1:19" x14ac:dyDescent="0.2">
      <c r="A132" s="987" t="s">
        <v>287</v>
      </c>
      <c r="B132" s="993">
        <v>840.74694724856613</v>
      </c>
      <c r="C132" s="988" t="s">
        <v>691</v>
      </c>
      <c r="D132" s="990" t="s">
        <v>642</v>
      </c>
      <c r="H132" s="974" t="s">
        <v>607</v>
      </c>
      <c r="I132" s="975">
        <v>3201.83</v>
      </c>
      <c r="J132" s="27">
        <f>I132-B142</f>
        <v>2755.978223348774</v>
      </c>
      <c r="K132" s="932">
        <f>'Basin Acreages_032917'!L9+'Basin Acreages_032917'!M9</f>
        <v>2729.2456107722301</v>
      </c>
      <c r="M132" s="954" t="s">
        <v>607</v>
      </c>
      <c r="N132" s="774" t="s">
        <v>641</v>
      </c>
      <c r="O132" s="774" t="s">
        <v>667</v>
      </c>
      <c r="P132" s="774" t="s">
        <v>646</v>
      </c>
      <c r="Q132" s="947">
        <v>60.5155283191</v>
      </c>
      <c r="R132" s="973"/>
      <c r="S132" s="973"/>
    </row>
    <row r="133" spans="1:19" x14ac:dyDescent="0.2">
      <c r="A133" s="987" t="s">
        <v>287</v>
      </c>
      <c r="B133" s="993">
        <v>355.1754477100651</v>
      </c>
      <c r="C133" s="992" t="s">
        <v>692</v>
      </c>
      <c r="D133" s="990" t="s">
        <v>626</v>
      </c>
      <c r="H133" s="974" t="s">
        <v>46</v>
      </c>
      <c r="I133" s="975">
        <v>924.92</v>
      </c>
      <c r="J133" s="18"/>
      <c r="K133" s="932">
        <v>925.59441813923002</v>
      </c>
      <c r="M133" s="954" t="s">
        <v>46</v>
      </c>
      <c r="N133" s="774" t="s">
        <v>623</v>
      </c>
      <c r="O133" s="774" t="s">
        <v>667</v>
      </c>
      <c r="P133" s="774" t="s">
        <v>646</v>
      </c>
      <c r="Q133" s="947">
        <v>9.9829870743599995E-3</v>
      </c>
      <c r="R133" s="973"/>
      <c r="S133" s="973"/>
    </row>
    <row r="134" spans="1:19" x14ac:dyDescent="0.2">
      <c r="A134" s="987" t="s">
        <v>287</v>
      </c>
      <c r="B134" s="993"/>
      <c r="C134" s="992" t="s">
        <v>692</v>
      </c>
      <c r="D134" s="990" t="s">
        <v>640</v>
      </c>
      <c r="H134" s="974" t="s">
        <v>608</v>
      </c>
      <c r="I134" s="975">
        <v>704.69</v>
      </c>
      <c r="J134" s="18"/>
      <c r="K134" s="932">
        <v>707.07742081430001</v>
      </c>
      <c r="M134" s="954" t="s">
        <v>46</v>
      </c>
      <c r="N134" s="774" t="s">
        <v>626</v>
      </c>
      <c r="O134" s="774" t="s">
        <v>667</v>
      </c>
      <c r="P134" s="774" t="s">
        <v>646</v>
      </c>
      <c r="Q134" s="947">
        <v>2.1922856088299998</v>
      </c>
      <c r="R134" s="973"/>
      <c r="S134" s="973"/>
    </row>
    <row r="135" spans="1:19" x14ac:dyDescent="0.2">
      <c r="A135" s="987" t="s">
        <v>287</v>
      </c>
      <c r="B135" s="991">
        <v>887.92918706145963</v>
      </c>
      <c r="C135" s="992" t="s">
        <v>693</v>
      </c>
      <c r="D135" s="990"/>
      <c r="H135" s="974" t="s">
        <v>718</v>
      </c>
      <c r="I135" s="975">
        <v>2573.35</v>
      </c>
      <c r="J135" s="18"/>
      <c r="K135" s="932">
        <f>'Basin Acreages_032917'!O9+'Basin Acreages_032917'!P9</f>
        <v>2522.31915592819</v>
      </c>
      <c r="M135" s="954" t="s">
        <v>608</v>
      </c>
      <c r="N135" s="774" t="s">
        <v>623</v>
      </c>
      <c r="O135" s="774" t="s">
        <v>667</v>
      </c>
      <c r="P135" s="774" t="s">
        <v>646</v>
      </c>
      <c r="Q135" s="947">
        <v>1.1471453624300001</v>
      </c>
      <c r="R135" s="973"/>
      <c r="S135" s="973"/>
    </row>
    <row r="136" spans="1:19" ht="15" x14ac:dyDescent="0.25">
      <c r="A136" s="994" t="s">
        <v>685</v>
      </c>
      <c r="B136" s="995">
        <f>SUM(B131:B135)</f>
        <v>2818.4045635975381</v>
      </c>
      <c r="C136" s="992"/>
      <c r="D136" s="990"/>
      <c r="H136" s="974" t="s">
        <v>644</v>
      </c>
      <c r="I136" s="975"/>
      <c r="J136" s="18"/>
      <c r="K136" s="932">
        <v>1562.39733017767</v>
      </c>
      <c r="M136" s="954" t="s">
        <v>608</v>
      </c>
      <c r="N136" s="774" t="s">
        <v>642</v>
      </c>
      <c r="O136" s="774" t="s">
        <v>667</v>
      </c>
      <c r="P136" s="774" t="s">
        <v>646</v>
      </c>
      <c r="Q136" s="947">
        <v>420.51684609199998</v>
      </c>
      <c r="R136" s="973"/>
      <c r="S136" s="973"/>
    </row>
    <row r="137" spans="1:19" x14ac:dyDescent="0.2">
      <c r="A137" s="987"/>
      <c r="B137" s="991"/>
      <c r="C137" s="992"/>
      <c r="D137" s="990" t="s">
        <v>623</v>
      </c>
      <c r="H137" s="974" t="s">
        <v>609</v>
      </c>
      <c r="I137" s="975">
        <v>5050.9452108233563</v>
      </c>
      <c r="J137" s="18"/>
      <c r="K137" s="932">
        <v>5012.3789423677663</v>
      </c>
      <c r="M137" s="954" t="s">
        <v>40</v>
      </c>
      <c r="N137" s="774" t="s">
        <v>623</v>
      </c>
      <c r="O137" s="774" t="s">
        <v>667</v>
      </c>
      <c r="P137" s="774" t="s">
        <v>646</v>
      </c>
      <c r="Q137" s="947">
        <v>3.1646774987500001E-2</v>
      </c>
      <c r="R137" s="973"/>
      <c r="S137" s="973"/>
    </row>
    <row r="138" spans="1:19" x14ac:dyDescent="0.2">
      <c r="A138" s="987" t="s">
        <v>607</v>
      </c>
      <c r="B138" s="991">
        <v>887.05799485466787</v>
      </c>
      <c r="C138" s="992" t="s">
        <v>690</v>
      </c>
      <c r="D138" s="990" t="s">
        <v>642</v>
      </c>
      <c r="H138" s="974" t="s">
        <v>719</v>
      </c>
      <c r="I138" s="975">
        <v>8063.7844224460496</v>
      </c>
      <c r="J138" s="27">
        <f>I138-B187</f>
        <v>7284.1823871678926</v>
      </c>
      <c r="K138" s="932">
        <f>'Basin Acreages_032917'!Q9+'Basin Acreages_032917'!R9</f>
        <v>7302.3590061168006</v>
      </c>
      <c r="M138" s="954" t="s">
        <v>40</v>
      </c>
      <c r="N138" s="774" t="s">
        <v>626</v>
      </c>
      <c r="O138" s="774" t="s">
        <v>667</v>
      </c>
      <c r="P138" s="774" t="s">
        <v>646</v>
      </c>
      <c r="Q138" s="947">
        <v>2.8053647222600002</v>
      </c>
      <c r="R138" s="973"/>
      <c r="S138" s="973"/>
    </row>
    <row r="139" spans="1:19" x14ac:dyDescent="0.2">
      <c r="A139" s="987" t="s">
        <v>607</v>
      </c>
      <c r="B139" s="991">
        <v>233.89310297096739</v>
      </c>
      <c r="C139" s="992" t="s">
        <v>692</v>
      </c>
      <c r="D139" s="990" t="s">
        <v>626</v>
      </c>
      <c r="H139" s="974" t="s">
        <v>645</v>
      </c>
      <c r="I139" s="975">
        <v>2859.5026920127762</v>
      </c>
      <c r="J139" s="18"/>
      <c r="K139" s="932">
        <v>4152.5715091913826</v>
      </c>
      <c r="M139" s="954" t="s">
        <v>609</v>
      </c>
      <c r="N139" s="774" t="s">
        <v>623</v>
      </c>
      <c r="O139" s="774" t="s">
        <v>667</v>
      </c>
      <c r="P139" s="774" t="s">
        <v>646</v>
      </c>
      <c r="Q139" s="947">
        <v>1473.3000875</v>
      </c>
      <c r="R139" s="973"/>
      <c r="S139" s="973"/>
    </row>
    <row r="140" spans="1:19" x14ac:dyDescent="0.2">
      <c r="A140" s="987" t="s">
        <v>607</v>
      </c>
      <c r="B140" s="991"/>
      <c r="C140" s="992" t="s">
        <v>692</v>
      </c>
      <c r="D140" s="990" t="s">
        <v>640</v>
      </c>
      <c r="M140" s="954" t="s">
        <v>609</v>
      </c>
      <c r="N140" s="774" t="s">
        <v>625</v>
      </c>
      <c r="O140" s="774" t="s">
        <v>667</v>
      </c>
      <c r="P140" s="774" t="s">
        <v>646</v>
      </c>
      <c r="Q140" s="947">
        <v>249.051449867</v>
      </c>
      <c r="R140" s="973"/>
      <c r="S140" s="973"/>
    </row>
    <row r="141" spans="1:19" x14ac:dyDescent="0.2">
      <c r="A141" s="987" t="s">
        <v>607</v>
      </c>
      <c r="B141" s="991">
        <v>572.55639380518687</v>
      </c>
      <c r="C141" s="992" t="s">
        <v>693</v>
      </c>
      <c r="D141" s="990" t="s">
        <v>641</v>
      </c>
      <c r="M141" s="954" t="s">
        <v>609</v>
      </c>
      <c r="N141" s="774" t="s">
        <v>642</v>
      </c>
      <c r="O141" s="774" t="s">
        <v>667</v>
      </c>
      <c r="P141" s="774" t="s">
        <v>646</v>
      </c>
      <c r="Q141" s="947">
        <v>80.9526701355</v>
      </c>
      <c r="R141" s="973"/>
      <c r="S141" s="973"/>
    </row>
    <row r="142" spans="1:19" x14ac:dyDescent="0.2">
      <c r="A142" s="987" t="s">
        <v>607</v>
      </c>
      <c r="B142" s="991">
        <v>445.85177665122609</v>
      </c>
      <c r="C142" s="992" t="s">
        <v>694</v>
      </c>
      <c r="D142" s="990"/>
      <c r="M142" s="954" t="s">
        <v>610</v>
      </c>
      <c r="N142" s="774" t="s">
        <v>623</v>
      </c>
      <c r="O142" s="774" t="s">
        <v>667</v>
      </c>
      <c r="P142" s="774" t="s">
        <v>646</v>
      </c>
      <c r="Q142" s="947">
        <v>5.3908935624399996</v>
      </c>
      <c r="R142" s="973"/>
      <c r="S142" s="973"/>
    </row>
    <row r="143" spans="1:19" x14ac:dyDescent="0.2">
      <c r="A143" s="987" t="s">
        <v>607</v>
      </c>
      <c r="B143" s="991">
        <v>1062.4730501164267</v>
      </c>
      <c r="C143" s="992" t="s">
        <v>691</v>
      </c>
      <c r="D143" s="990"/>
      <c r="M143" s="954" t="s">
        <v>610</v>
      </c>
      <c r="N143" s="774" t="s">
        <v>625</v>
      </c>
      <c r="O143" s="774" t="s">
        <v>667</v>
      </c>
      <c r="P143" s="774" t="s">
        <v>646</v>
      </c>
      <c r="Q143" s="947">
        <v>3.3193452997600001</v>
      </c>
      <c r="R143" s="973"/>
      <c r="S143" s="973"/>
    </row>
    <row r="144" spans="1:19" ht="15" x14ac:dyDescent="0.25">
      <c r="A144" s="994" t="s">
        <v>685</v>
      </c>
      <c r="B144" s="995">
        <f>SUM(B138:B143)</f>
        <v>3201.8323183984749</v>
      </c>
      <c r="C144" s="993">
        <f>B144-B142</f>
        <v>2755.9805417472489</v>
      </c>
      <c r="D144" s="990"/>
      <c r="M144" s="954" t="s">
        <v>610</v>
      </c>
      <c r="N144" s="774" t="s">
        <v>642</v>
      </c>
      <c r="O144" s="774" t="s">
        <v>667</v>
      </c>
      <c r="P144" s="774" t="s">
        <v>646</v>
      </c>
      <c r="Q144" s="947">
        <v>3.4313954606400001</v>
      </c>
      <c r="R144" s="973"/>
      <c r="S144" s="973"/>
    </row>
    <row r="145" spans="1:19" x14ac:dyDescent="0.2">
      <c r="A145" s="987"/>
      <c r="B145" s="991"/>
      <c r="C145" s="992"/>
      <c r="D145" s="990" t="s">
        <v>623</v>
      </c>
      <c r="M145" s="954" t="s">
        <v>643</v>
      </c>
      <c r="N145" s="774" t="s">
        <v>623</v>
      </c>
      <c r="O145" s="774" t="s">
        <v>667</v>
      </c>
      <c r="P145" s="774" t="s">
        <v>646</v>
      </c>
      <c r="Q145" s="947">
        <v>6.4830635815699997</v>
      </c>
      <c r="R145" s="973"/>
      <c r="S145" s="973"/>
    </row>
    <row r="146" spans="1:19" x14ac:dyDescent="0.2">
      <c r="A146" s="987" t="s">
        <v>46</v>
      </c>
      <c r="B146" s="991">
        <v>542.71144189284905</v>
      </c>
      <c r="C146" s="992" t="s">
        <v>690</v>
      </c>
      <c r="D146" s="990" t="s">
        <v>626</v>
      </c>
      <c r="M146" s="954" t="s">
        <v>643</v>
      </c>
      <c r="N146" s="774" t="s">
        <v>626</v>
      </c>
      <c r="O146" s="774" t="s">
        <v>667</v>
      </c>
      <c r="P146" s="774" t="s">
        <v>646</v>
      </c>
      <c r="Q146" s="947">
        <v>53.281132100800001</v>
      </c>
      <c r="R146" s="973"/>
      <c r="S146" s="973"/>
    </row>
    <row r="147" spans="1:19" x14ac:dyDescent="0.2">
      <c r="A147" s="987" t="s">
        <v>46</v>
      </c>
      <c r="B147" s="991">
        <v>94.790167728310848</v>
      </c>
      <c r="C147" s="992" t="s">
        <v>692</v>
      </c>
      <c r="D147" s="990" t="s">
        <v>640</v>
      </c>
      <c r="M147" s="954" t="s">
        <v>644</v>
      </c>
      <c r="N147" s="774" t="s">
        <v>623</v>
      </c>
      <c r="O147" s="774" t="s">
        <v>667</v>
      </c>
      <c r="P147" s="774" t="s">
        <v>646</v>
      </c>
      <c r="Q147" s="947">
        <v>0.57128898940200001</v>
      </c>
      <c r="R147" s="973"/>
      <c r="S147" s="973"/>
    </row>
    <row r="148" spans="1:19" x14ac:dyDescent="0.2">
      <c r="A148" s="987" t="s">
        <v>46</v>
      </c>
      <c r="B148" s="991">
        <v>175.63886921113749</v>
      </c>
      <c r="C148" s="992" t="s">
        <v>693</v>
      </c>
      <c r="D148" s="990"/>
      <c r="M148" s="954" t="s">
        <v>644</v>
      </c>
      <c r="N148" s="774" t="s">
        <v>625</v>
      </c>
      <c r="O148" s="774" t="s">
        <v>667</v>
      </c>
      <c r="P148" s="774" t="s">
        <v>646</v>
      </c>
      <c r="Q148" s="947">
        <v>1.6436622518499999</v>
      </c>
      <c r="R148" s="973"/>
      <c r="S148" s="973"/>
    </row>
    <row r="149" spans="1:19" x14ac:dyDescent="0.2">
      <c r="A149" s="987"/>
      <c r="B149" s="991">
        <v>111.78348172283641</v>
      </c>
      <c r="C149" s="992" t="s">
        <v>691</v>
      </c>
      <c r="D149" s="990"/>
      <c r="M149" s="954" t="s">
        <v>644</v>
      </c>
      <c r="N149" s="774" t="s">
        <v>642</v>
      </c>
      <c r="O149" s="774" t="s">
        <v>667</v>
      </c>
      <c r="P149" s="774" t="s">
        <v>646</v>
      </c>
      <c r="Q149" s="947">
        <v>51.110931740300003</v>
      </c>
      <c r="R149" s="973"/>
      <c r="S149" s="973"/>
    </row>
    <row r="150" spans="1:19" ht="15" x14ac:dyDescent="0.25">
      <c r="A150" s="994" t="s">
        <v>686</v>
      </c>
      <c r="B150" s="995">
        <f>SUM(B146:B149)</f>
        <v>924.92396055513382</v>
      </c>
      <c r="C150" s="992"/>
      <c r="D150" s="990"/>
      <c r="M150" s="954" t="s">
        <v>644</v>
      </c>
      <c r="N150" s="774" t="s">
        <v>626</v>
      </c>
      <c r="O150" s="774" t="s">
        <v>667</v>
      </c>
      <c r="P150" s="774" t="s">
        <v>646</v>
      </c>
      <c r="Q150" s="947">
        <v>3.62409747869</v>
      </c>
      <c r="R150" s="973"/>
      <c r="S150" s="973"/>
    </row>
    <row r="151" spans="1:19" x14ac:dyDescent="0.2">
      <c r="A151" s="987"/>
      <c r="B151" s="991"/>
      <c r="C151" s="992"/>
      <c r="D151" s="990" t="s">
        <v>623</v>
      </c>
      <c r="M151" s="954" t="s">
        <v>644</v>
      </c>
      <c r="N151" s="774" t="s">
        <v>641</v>
      </c>
      <c r="O151" s="774" t="s">
        <v>667</v>
      </c>
      <c r="P151" s="774" t="s">
        <v>646</v>
      </c>
      <c r="Q151" s="947">
        <v>22.408470621199999</v>
      </c>
      <c r="R151" s="973"/>
      <c r="S151" s="973"/>
    </row>
    <row r="152" spans="1:19" x14ac:dyDescent="0.2">
      <c r="A152" s="987" t="s">
        <v>608</v>
      </c>
      <c r="B152" s="991">
        <v>213.15412582320138</v>
      </c>
      <c r="C152" s="992" t="s">
        <v>690</v>
      </c>
      <c r="D152" s="990" t="s">
        <v>642</v>
      </c>
      <c r="M152" s="954" t="s">
        <v>645</v>
      </c>
      <c r="N152" s="774" t="s">
        <v>623</v>
      </c>
      <c r="O152" s="774" t="s">
        <v>667</v>
      </c>
      <c r="P152" s="774" t="s">
        <v>646</v>
      </c>
      <c r="Q152" s="947">
        <v>40.460535841400002</v>
      </c>
      <c r="R152" s="973"/>
      <c r="S152" s="973"/>
    </row>
    <row r="153" spans="1:19" x14ac:dyDescent="0.2">
      <c r="A153" s="987" t="s">
        <v>608</v>
      </c>
      <c r="B153" s="991">
        <v>135.39468015894067</v>
      </c>
      <c r="C153" s="992" t="s">
        <v>692</v>
      </c>
      <c r="D153" s="990" t="s">
        <v>626</v>
      </c>
      <c r="M153" s="954" t="s">
        <v>645</v>
      </c>
      <c r="N153" s="774" t="s">
        <v>625</v>
      </c>
      <c r="O153" s="774" t="s">
        <v>667</v>
      </c>
      <c r="P153" s="774" t="s">
        <v>646</v>
      </c>
      <c r="Q153" s="947">
        <v>76.247673649299998</v>
      </c>
      <c r="R153" s="973"/>
      <c r="S153" s="973"/>
    </row>
    <row r="154" spans="1:19" x14ac:dyDescent="0.2">
      <c r="A154" s="987" t="s">
        <v>608</v>
      </c>
      <c r="B154" s="991"/>
      <c r="C154" s="992" t="s">
        <v>692</v>
      </c>
      <c r="D154" s="990"/>
      <c r="M154" s="954" t="s">
        <v>645</v>
      </c>
      <c r="N154" s="774" t="s">
        <v>642</v>
      </c>
      <c r="O154" s="774" t="s">
        <v>667</v>
      </c>
      <c r="P154" s="774" t="s">
        <v>646</v>
      </c>
      <c r="Q154" s="947">
        <v>0.30000262331100003</v>
      </c>
      <c r="R154" s="973"/>
      <c r="S154" s="973"/>
    </row>
    <row r="155" spans="1:19" x14ac:dyDescent="0.2">
      <c r="A155" s="987" t="s">
        <v>608</v>
      </c>
      <c r="B155" s="991">
        <v>135.00544731196811</v>
      </c>
      <c r="C155" s="992" t="s">
        <v>691</v>
      </c>
      <c r="D155" s="990"/>
      <c r="M155" s="954" t="s">
        <v>645</v>
      </c>
      <c r="N155" s="774" t="s">
        <v>640</v>
      </c>
      <c r="O155" s="774" t="s">
        <v>667</v>
      </c>
      <c r="P155" s="774" t="s">
        <v>646</v>
      </c>
      <c r="Q155" s="947">
        <v>1.14313360719E-2</v>
      </c>
      <c r="R155" s="973"/>
      <c r="S155" s="973"/>
    </row>
    <row r="156" spans="1:19" x14ac:dyDescent="0.2">
      <c r="A156" s="987" t="s">
        <v>608</v>
      </c>
      <c r="B156" s="991">
        <v>221.13500975068445</v>
      </c>
      <c r="C156" s="992" t="s">
        <v>693</v>
      </c>
      <c r="D156" s="990"/>
      <c r="M156" s="954" t="s">
        <v>607</v>
      </c>
      <c r="N156" s="774" t="s">
        <v>626</v>
      </c>
      <c r="O156" s="774" t="s">
        <v>458</v>
      </c>
      <c r="P156" s="774" t="s">
        <v>647</v>
      </c>
      <c r="Q156" s="947">
        <v>356.82666214599999</v>
      </c>
      <c r="R156" s="973"/>
      <c r="S156" s="973"/>
    </row>
    <row r="157" spans="1:19" ht="15" x14ac:dyDescent="0.25">
      <c r="A157" s="994" t="s">
        <v>685</v>
      </c>
      <c r="B157" s="995">
        <f>SUM(B152:B156)</f>
        <v>704.68926304479464</v>
      </c>
      <c r="C157" s="992"/>
      <c r="D157" s="990"/>
      <c r="M157" s="954" t="s">
        <v>607</v>
      </c>
      <c r="N157" s="774" t="s">
        <v>641</v>
      </c>
      <c r="O157" s="774" t="s">
        <v>458</v>
      </c>
      <c r="P157" s="774" t="s">
        <v>647</v>
      </c>
      <c r="Q157" s="947">
        <v>403.94202039700002</v>
      </c>
      <c r="R157" s="973"/>
      <c r="S157" s="973"/>
    </row>
    <row r="158" spans="1:19" x14ac:dyDescent="0.2">
      <c r="A158" s="987"/>
      <c r="B158" s="991"/>
      <c r="C158" s="992"/>
      <c r="D158" s="990" t="s">
        <v>623</v>
      </c>
      <c r="M158" s="954" t="s">
        <v>607</v>
      </c>
      <c r="N158" s="774" t="s">
        <v>623</v>
      </c>
      <c r="O158" s="774" t="s">
        <v>451</v>
      </c>
      <c r="P158" s="774" t="s">
        <v>648</v>
      </c>
      <c r="Q158" s="947">
        <v>2.2527471626900002E-3</v>
      </c>
      <c r="R158" s="973"/>
      <c r="S158" s="973"/>
    </row>
    <row r="159" spans="1:19" x14ac:dyDescent="0.2">
      <c r="A159" s="987" t="s">
        <v>40</v>
      </c>
      <c r="B159" s="991">
        <v>719.62610005681529</v>
      </c>
      <c r="C159" s="992" t="s">
        <v>690</v>
      </c>
      <c r="D159" s="990" t="s">
        <v>642</v>
      </c>
      <c r="M159" s="954" t="s">
        <v>607</v>
      </c>
      <c r="N159" s="774" t="s">
        <v>623</v>
      </c>
      <c r="O159" s="774" t="s">
        <v>452</v>
      </c>
      <c r="P159" s="774" t="s">
        <v>648</v>
      </c>
      <c r="Q159" s="947">
        <v>8.4507066103199993</v>
      </c>
      <c r="R159" s="973"/>
      <c r="S159" s="973"/>
    </row>
    <row r="160" spans="1:19" x14ac:dyDescent="0.2">
      <c r="A160" s="987" t="s">
        <v>40</v>
      </c>
      <c r="B160" s="991">
        <v>127.27424577027429</v>
      </c>
      <c r="C160" s="992" t="s">
        <v>692</v>
      </c>
      <c r="D160" s="990" t="s">
        <v>626</v>
      </c>
      <c r="M160" s="954" t="s">
        <v>607</v>
      </c>
      <c r="N160" s="774" t="s">
        <v>626</v>
      </c>
      <c r="O160" s="774" t="s">
        <v>452</v>
      </c>
      <c r="P160" s="774" t="s">
        <v>648</v>
      </c>
      <c r="Q160" s="947">
        <v>3.2052403425599998</v>
      </c>
      <c r="R160" s="973"/>
      <c r="S160" s="973"/>
    </row>
    <row r="161" spans="1:19" x14ac:dyDescent="0.2">
      <c r="A161" s="987" t="s">
        <v>40</v>
      </c>
      <c r="B161" s="991"/>
      <c r="C161" s="992" t="s">
        <v>692</v>
      </c>
      <c r="D161" s="990" t="s">
        <v>640</v>
      </c>
      <c r="M161" s="954" t="s">
        <v>607</v>
      </c>
      <c r="N161" s="774" t="s">
        <v>640</v>
      </c>
      <c r="O161" s="774" t="s">
        <v>451</v>
      </c>
      <c r="P161" s="774" t="s">
        <v>648</v>
      </c>
      <c r="Q161" s="947">
        <v>4.5092679677599996</v>
      </c>
      <c r="R161" s="973"/>
      <c r="S161" s="973"/>
    </row>
    <row r="162" spans="1:19" x14ac:dyDescent="0.2">
      <c r="A162" s="987" t="s">
        <v>40</v>
      </c>
      <c r="B162" s="991">
        <v>444.99603145762268</v>
      </c>
      <c r="C162" s="992" t="s">
        <v>693</v>
      </c>
      <c r="D162" s="990" t="s">
        <v>641</v>
      </c>
      <c r="M162" s="954" t="s">
        <v>607</v>
      </c>
      <c r="N162" s="774" t="s">
        <v>640</v>
      </c>
      <c r="O162" s="774" t="s">
        <v>452</v>
      </c>
      <c r="P162" s="774" t="s">
        <v>648</v>
      </c>
      <c r="Q162" s="947">
        <v>13.2886042895</v>
      </c>
      <c r="R162" s="973"/>
      <c r="S162" s="973"/>
    </row>
    <row r="163" spans="1:19" x14ac:dyDescent="0.2">
      <c r="A163" s="987" t="s">
        <v>40</v>
      </c>
      <c r="B163" s="991"/>
      <c r="C163" s="992" t="s">
        <v>692</v>
      </c>
      <c r="D163" s="990"/>
      <c r="M163" s="954" t="s">
        <v>607</v>
      </c>
      <c r="N163" s="774" t="s">
        <v>641</v>
      </c>
      <c r="O163" s="774" t="s">
        <v>451</v>
      </c>
      <c r="P163" s="774" t="s">
        <v>648</v>
      </c>
      <c r="Q163" s="947">
        <v>7.55316525859</v>
      </c>
      <c r="R163" s="973"/>
      <c r="S163" s="973"/>
    </row>
    <row r="164" spans="1:19" x14ac:dyDescent="0.2">
      <c r="A164" s="987" t="s">
        <v>40</v>
      </c>
      <c r="B164" s="991">
        <v>1269.01948202987</v>
      </c>
      <c r="C164" s="992" t="s">
        <v>691</v>
      </c>
      <c r="D164" s="990"/>
      <c r="M164" s="954" t="s">
        <v>607</v>
      </c>
      <c r="N164" s="774" t="s">
        <v>641</v>
      </c>
      <c r="O164" s="774" t="s">
        <v>452</v>
      </c>
      <c r="P164" s="774" t="s">
        <v>648</v>
      </c>
      <c r="Q164" s="947">
        <v>27.890113448099999</v>
      </c>
      <c r="R164" s="973"/>
      <c r="S164" s="973"/>
    </row>
    <row r="165" spans="1:19" x14ac:dyDescent="0.2">
      <c r="A165" s="987" t="s">
        <v>40</v>
      </c>
      <c r="B165" s="991">
        <v>12.430454816833704</v>
      </c>
      <c r="C165" s="992" t="s">
        <v>695</v>
      </c>
      <c r="D165" s="990"/>
      <c r="M165" s="954" t="s">
        <v>46</v>
      </c>
      <c r="N165" s="774" t="s">
        <v>623</v>
      </c>
      <c r="O165" s="774" t="s">
        <v>451</v>
      </c>
      <c r="P165" s="774" t="s">
        <v>648</v>
      </c>
      <c r="Q165" s="947">
        <v>2.8580873678399999E-2</v>
      </c>
      <c r="R165" s="973"/>
      <c r="S165" s="973"/>
    </row>
    <row r="166" spans="1:19" ht="15" x14ac:dyDescent="0.25">
      <c r="A166" s="994" t="s">
        <v>685</v>
      </c>
      <c r="B166" s="995">
        <f>SUM(B159:B165)</f>
        <v>2573.346314131416</v>
      </c>
      <c r="C166" s="992"/>
      <c r="D166" s="990"/>
      <c r="M166" s="954" t="s">
        <v>46</v>
      </c>
      <c r="N166" s="774" t="s">
        <v>623</v>
      </c>
      <c r="O166" s="774" t="s">
        <v>452</v>
      </c>
      <c r="P166" s="774" t="s">
        <v>648</v>
      </c>
      <c r="Q166" s="947">
        <v>57.546505642200003</v>
      </c>
      <c r="R166" s="973"/>
      <c r="S166" s="973"/>
    </row>
    <row r="167" spans="1:19" ht="15" x14ac:dyDescent="0.25">
      <c r="A167" s="994"/>
      <c r="B167" s="995"/>
      <c r="C167" s="992"/>
      <c r="D167" s="990" t="s">
        <v>623</v>
      </c>
      <c r="M167" s="954" t="s">
        <v>46</v>
      </c>
      <c r="N167" s="774" t="s">
        <v>626</v>
      </c>
      <c r="O167" s="774" t="s">
        <v>452</v>
      </c>
      <c r="P167" s="774" t="s">
        <v>648</v>
      </c>
      <c r="Q167" s="947">
        <v>8.8989191745399996</v>
      </c>
      <c r="R167" s="973"/>
      <c r="S167" s="973"/>
    </row>
    <row r="168" spans="1:19" x14ac:dyDescent="0.2">
      <c r="A168" s="987" t="s">
        <v>644</v>
      </c>
      <c r="B168" s="991"/>
      <c r="C168" s="992" t="s">
        <v>690</v>
      </c>
      <c r="D168" s="990" t="s">
        <v>642</v>
      </c>
      <c r="M168" s="954" t="s">
        <v>608</v>
      </c>
      <c r="N168" s="774" t="s">
        <v>623</v>
      </c>
      <c r="O168" s="774" t="s">
        <v>451</v>
      </c>
      <c r="P168" s="774" t="s">
        <v>648</v>
      </c>
      <c r="Q168" s="947">
        <v>1.8370661084600001E-2</v>
      </c>
      <c r="R168" s="973"/>
      <c r="S168" s="973"/>
    </row>
    <row r="169" spans="1:19" x14ac:dyDescent="0.2">
      <c r="A169" s="987" t="s">
        <v>644</v>
      </c>
      <c r="B169" s="991"/>
      <c r="C169" s="992" t="s">
        <v>692</v>
      </c>
      <c r="D169" s="990" t="s">
        <v>626</v>
      </c>
      <c r="M169" s="954" t="s">
        <v>608</v>
      </c>
      <c r="N169" s="774" t="s">
        <v>623</v>
      </c>
      <c r="O169" s="774" t="s">
        <v>452</v>
      </c>
      <c r="P169" s="774" t="s">
        <v>648</v>
      </c>
      <c r="Q169" s="947">
        <v>2.6468811182900001</v>
      </c>
      <c r="R169" s="973"/>
      <c r="S169" s="973"/>
    </row>
    <row r="170" spans="1:19" x14ac:dyDescent="0.2">
      <c r="A170" s="987" t="s">
        <v>644</v>
      </c>
      <c r="B170" s="991"/>
      <c r="C170" s="992" t="s">
        <v>692</v>
      </c>
      <c r="D170" s="990" t="s">
        <v>641</v>
      </c>
      <c r="M170" s="954" t="s">
        <v>608</v>
      </c>
      <c r="N170" s="774" t="s">
        <v>642</v>
      </c>
      <c r="O170" s="774" t="s">
        <v>451</v>
      </c>
      <c r="P170" s="774" t="s">
        <v>648</v>
      </c>
      <c r="Q170" s="947">
        <v>60.512099202500004</v>
      </c>
      <c r="R170" s="973"/>
      <c r="S170" s="973"/>
    </row>
    <row r="171" spans="1:19" x14ac:dyDescent="0.2">
      <c r="A171" s="987" t="s">
        <v>644</v>
      </c>
      <c r="B171" s="991"/>
      <c r="C171" s="992" t="s">
        <v>692</v>
      </c>
      <c r="D171" s="990"/>
      <c r="M171" s="954" t="s">
        <v>608</v>
      </c>
      <c r="N171" s="774" t="s">
        <v>642</v>
      </c>
      <c r="O171" s="774" t="s">
        <v>452</v>
      </c>
      <c r="P171" s="774" t="s">
        <v>648</v>
      </c>
      <c r="Q171" s="947">
        <v>758.114710941</v>
      </c>
      <c r="R171" s="973"/>
      <c r="S171" s="973"/>
    </row>
    <row r="172" spans="1:19" ht="15" x14ac:dyDescent="0.25">
      <c r="A172" s="994" t="s">
        <v>687</v>
      </c>
      <c r="B172" s="991"/>
      <c r="C172" s="988"/>
      <c r="D172" s="990"/>
      <c r="M172" s="954" t="s">
        <v>609</v>
      </c>
      <c r="N172" s="774" t="s">
        <v>623</v>
      </c>
      <c r="O172" s="774" t="s">
        <v>451</v>
      </c>
      <c r="P172" s="774" t="s">
        <v>648</v>
      </c>
      <c r="Q172" s="947">
        <v>18.896861184399999</v>
      </c>
      <c r="R172" s="973"/>
      <c r="S172" s="973"/>
    </row>
    <row r="173" spans="1:19" ht="15" x14ac:dyDescent="0.25">
      <c r="A173" s="994"/>
      <c r="B173" s="991"/>
      <c r="C173" s="988"/>
      <c r="D173" s="990" t="s">
        <v>623</v>
      </c>
      <c r="M173" s="954" t="s">
        <v>609</v>
      </c>
      <c r="N173" s="774" t="s">
        <v>623</v>
      </c>
      <c r="O173" s="774" t="s">
        <v>452</v>
      </c>
      <c r="P173" s="774" t="s">
        <v>648</v>
      </c>
      <c r="Q173" s="947">
        <v>799.02063325899996</v>
      </c>
      <c r="R173" s="973"/>
      <c r="S173" s="973"/>
    </row>
    <row r="174" spans="1:19" x14ac:dyDescent="0.2">
      <c r="A174" s="987" t="s">
        <v>609</v>
      </c>
      <c r="B174" s="991">
        <v>289.01928080006354</v>
      </c>
      <c r="C174" s="992" t="s">
        <v>690</v>
      </c>
      <c r="D174" s="990" t="s">
        <v>625</v>
      </c>
      <c r="M174" s="954" t="s">
        <v>609</v>
      </c>
      <c r="N174" s="774" t="s">
        <v>625</v>
      </c>
      <c r="O174" s="774" t="s">
        <v>451</v>
      </c>
      <c r="P174" s="774" t="s">
        <v>648</v>
      </c>
      <c r="Q174" s="947">
        <v>5.0167318510800003</v>
      </c>
      <c r="R174" s="973"/>
      <c r="S174" s="973"/>
    </row>
    <row r="175" spans="1:19" x14ac:dyDescent="0.2">
      <c r="A175" s="987" t="s">
        <v>609</v>
      </c>
      <c r="B175" s="991">
        <v>4058.5470678159968</v>
      </c>
      <c r="C175" s="992" t="s">
        <v>691</v>
      </c>
      <c r="D175" s="990" t="s">
        <v>642</v>
      </c>
      <c r="M175" s="954" t="s">
        <v>609</v>
      </c>
      <c r="N175" s="774" t="s">
        <v>625</v>
      </c>
      <c r="O175" s="774" t="s">
        <v>452</v>
      </c>
      <c r="P175" s="774" t="s">
        <v>648</v>
      </c>
      <c r="Q175" s="947">
        <v>34.453769588599997</v>
      </c>
      <c r="R175" s="973"/>
      <c r="S175" s="973"/>
    </row>
    <row r="176" spans="1:19" x14ac:dyDescent="0.2">
      <c r="A176" s="987" t="s">
        <v>609</v>
      </c>
      <c r="B176" s="991">
        <v>211.01623846260767</v>
      </c>
      <c r="C176" s="992" t="s">
        <v>692</v>
      </c>
      <c r="D176" s="990"/>
      <c r="M176" s="954" t="s">
        <v>609</v>
      </c>
      <c r="N176" s="774" t="s">
        <v>642</v>
      </c>
      <c r="O176" s="774" t="s">
        <v>452</v>
      </c>
      <c r="P176" s="774" t="s">
        <v>648</v>
      </c>
      <c r="Q176" s="947">
        <v>3.2844038712399999</v>
      </c>
      <c r="R176" s="973"/>
      <c r="S176" s="973"/>
    </row>
    <row r="177" spans="1:19" x14ac:dyDescent="0.2">
      <c r="A177" s="987" t="s">
        <v>609</v>
      </c>
      <c r="B177" s="991">
        <v>492.36262374468862</v>
      </c>
      <c r="C177" s="988" t="s">
        <v>693</v>
      </c>
      <c r="D177" s="990"/>
      <c r="M177" s="954" t="s">
        <v>610</v>
      </c>
      <c r="N177" s="774" t="s">
        <v>623</v>
      </c>
      <c r="O177" s="774" t="s">
        <v>451</v>
      </c>
      <c r="P177" s="774" t="s">
        <v>648</v>
      </c>
      <c r="Q177" s="947">
        <v>3.31174890602</v>
      </c>
      <c r="R177" s="973"/>
      <c r="S177" s="973"/>
    </row>
    <row r="178" spans="1:19" ht="15" x14ac:dyDescent="0.25">
      <c r="A178" s="994" t="s">
        <v>685</v>
      </c>
      <c r="B178" s="995">
        <f>SUM(B174:B177)</f>
        <v>5050.9452108233563</v>
      </c>
      <c r="C178" s="992"/>
      <c r="D178" s="990"/>
      <c r="M178" s="954" t="s">
        <v>610</v>
      </c>
      <c r="N178" s="774" t="s">
        <v>623</v>
      </c>
      <c r="O178" s="774" t="s">
        <v>452</v>
      </c>
      <c r="P178" s="774" t="s">
        <v>648</v>
      </c>
      <c r="Q178" s="947">
        <v>85.4031809831</v>
      </c>
      <c r="R178" s="973"/>
      <c r="S178" s="973"/>
    </row>
    <row r="179" spans="1:19" x14ac:dyDescent="0.2">
      <c r="A179" s="987"/>
      <c r="B179" s="991"/>
      <c r="C179" s="988"/>
      <c r="D179" s="990" t="s">
        <v>623</v>
      </c>
      <c r="M179" s="954" t="s">
        <v>610</v>
      </c>
      <c r="N179" s="774" t="s">
        <v>625</v>
      </c>
      <c r="O179" s="774" t="s">
        <v>452</v>
      </c>
      <c r="P179" s="774" t="s">
        <v>648</v>
      </c>
      <c r="Q179" s="947">
        <v>15.840399313400001</v>
      </c>
      <c r="R179" s="973"/>
      <c r="S179" s="973"/>
    </row>
    <row r="180" spans="1:19" x14ac:dyDescent="0.2">
      <c r="A180" s="987" t="s">
        <v>610</v>
      </c>
      <c r="B180" s="991">
        <v>2003.7126304304873</v>
      </c>
      <c r="C180" s="992" t="s">
        <v>690</v>
      </c>
      <c r="D180" s="990" t="s">
        <v>642</v>
      </c>
      <c r="M180" s="954" t="s">
        <v>610</v>
      </c>
      <c r="N180" s="774" t="s">
        <v>642</v>
      </c>
      <c r="O180" s="774" t="s">
        <v>452</v>
      </c>
      <c r="P180" s="774" t="s">
        <v>648</v>
      </c>
      <c r="Q180" s="947">
        <v>0.33000672882999998</v>
      </c>
      <c r="R180" s="973"/>
      <c r="S180" s="973"/>
    </row>
    <row r="181" spans="1:19" x14ac:dyDescent="0.2">
      <c r="A181" s="987" t="s">
        <v>610</v>
      </c>
      <c r="B181" s="991">
        <v>756.60434573678435</v>
      </c>
      <c r="C181" s="992" t="s">
        <v>692</v>
      </c>
      <c r="D181" s="990" t="s">
        <v>623</v>
      </c>
      <c r="M181" s="954" t="s">
        <v>643</v>
      </c>
      <c r="N181" s="774" t="s">
        <v>623</v>
      </c>
      <c r="O181" s="774" t="s">
        <v>451</v>
      </c>
      <c r="P181" s="774" t="s">
        <v>648</v>
      </c>
      <c r="Q181" s="947">
        <v>1.5159431709500001E-3</v>
      </c>
      <c r="R181" s="973"/>
      <c r="S181" s="973"/>
    </row>
    <row r="182" spans="1:19" x14ac:dyDescent="0.2">
      <c r="A182" s="987" t="s">
        <v>643</v>
      </c>
      <c r="B182" s="991"/>
      <c r="C182" s="992" t="s">
        <v>690</v>
      </c>
      <c r="D182" s="990" t="s">
        <v>626</v>
      </c>
      <c r="M182" s="954" t="s">
        <v>643</v>
      </c>
      <c r="N182" s="774" t="s">
        <v>623</v>
      </c>
      <c r="O182" s="774" t="s">
        <v>452</v>
      </c>
      <c r="P182" s="774" t="s">
        <v>648</v>
      </c>
      <c r="Q182" s="947">
        <v>83.994522113200006</v>
      </c>
      <c r="R182" s="973"/>
      <c r="S182" s="973"/>
    </row>
    <row r="183" spans="1:19" x14ac:dyDescent="0.2">
      <c r="A183" s="987" t="s">
        <v>643</v>
      </c>
      <c r="B183" s="991"/>
      <c r="C183" s="992" t="s">
        <v>692</v>
      </c>
      <c r="D183" s="990"/>
      <c r="M183" s="954" t="s">
        <v>643</v>
      </c>
      <c r="N183" s="774" t="s">
        <v>626</v>
      </c>
      <c r="O183" s="774" t="s">
        <v>451</v>
      </c>
      <c r="P183" s="774" t="s">
        <v>648</v>
      </c>
      <c r="Q183" s="947">
        <v>3.5055631736400001</v>
      </c>
      <c r="R183" s="973"/>
      <c r="S183" s="973"/>
    </row>
    <row r="184" spans="1:19" x14ac:dyDescent="0.2">
      <c r="A184" s="987" t="s">
        <v>610</v>
      </c>
      <c r="B184" s="991">
        <v>2763.6532735815977</v>
      </c>
      <c r="C184" s="992" t="s">
        <v>691</v>
      </c>
      <c r="D184" s="990"/>
      <c r="M184" s="954" t="s">
        <v>643</v>
      </c>
      <c r="N184" s="774" t="s">
        <v>626</v>
      </c>
      <c r="O184" s="774" t="s">
        <v>452</v>
      </c>
      <c r="P184" s="774" t="s">
        <v>648</v>
      </c>
      <c r="Q184" s="947">
        <v>32.234231678100002</v>
      </c>
      <c r="R184" s="973"/>
      <c r="S184" s="973"/>
    </row>
    <row r="185" spans="1:19" x14ac:dyDescent="0.2">
      <c r="A185" s="987" t="s">
        <v>610</v>
      </c>
      <c r="B185" s="991">
        <v>1737.3662019961921</v>
      </c>
      <c r="C185" s="988" t="s">
        <v>693</v>
      </c>
      <c r="D185" s="990"/>
      <c r="M185" s="954" t="s">
        <v>644</v>
      </c>
      <c r="N185" s="774" t="s">
        <v>623</v>
      </c>
      <c r="O185" s="774" t="s">
        <v>451</v>
      </c>
      <c r="P185" s="774" t="s">
        <v>648</v>
      </c>
      <c r="Q185" s="947">
        <v>0.19825017375699999</v>
      </c>
      <c r="R185" s="973"/>
      <c r="S185" s="973"/>
    </row>
    <row r="186" spans="1:19" x14ac:dyDescent="0.2">
      <c r="A186" s="987" t="s">
        <v>610</v>
      </c>
      <c r="B186" s="991">
        <v>22.84593542283173</v>
      </c>
      <c r="C186" s="992" t="s">
        <v>695</v>
      </c>
      <c r="D186" s="990"/>
      <c r="M186" s="954" t="s">
        <v>644</v>
      </c>
      <c r="N186" s="774" t="s">
        <v>623</v>
      </c>
      <c r="O186" s="774" t="s">
        <v>452</v>
      </c>
      <c r="P186" s="774" t="s">
        <v>648</v>
      </c>
      <c r="Q186" s="947">
        <v>0.603455875265</v>
      </c>
      <c r="R186" s="973"/>
      <c r="S186" s="973"/>
    </row>
    <row r="187" spans="1:19" x14ac:dyDescent="0.2">
      <c r="A187" s="987" t="s">
        <v>610</v>
      </c>
      <c r="B187" s="991">
        <v>779.60203527815668</v>
      </c>
      <c r="C187" s="992" t="s">
        <v>696</v>
      </c>
      <c r="D187" s="990"/>
      <c r="M187" s="954" t="s">
        <v>644</v>
      </c>
      <c r="N187" s="774" t="s">
        <v>625</v>
      </c>
      <c r="O187" s="774" t="s">
        <v>451</v>
      </c>
      <c r="P187" s="774" t="s">
        <v>648</v>
      </c>
      <c r="Q187" s="947">
        <v>18.0659631469</v>
      </c>
      <c r="R187" s="973"/>
      <c r="S187" s="973"/>
    </row>
    <row r="188" spans="1:19" ht="15" x14ac:dyDescent="0.25">
      <c r="A188" s="994" t="s">
        <v>685</v>
      </c>
      <c r="B188" s="995">
        <f>SUM(B180:B187)</f>
        <v>8063.7844224460496</v>
      </c>
      <c r="C188" s="993">
        <f>B188-B187</f>
        <v>7284.1823871678926</v>
      </c>
      <c r="D188" s="990"/>
      <c r="M188" s="954" t="s">
        <v>644</v>
      </c>
      <c r="N188" s="774" t="s">
        <v>625</v>
      </c>
      <c r="O188" s="774" t="s">
        <v>452</v>
      </c>
      <c r="P188" s="774" t="s">
        <v>648</v>
      </c>
      <c r="Q188" s="947">
        <v>25.626755998</v>
      </c>
      <c r="R188" s="973"/>
      <c r="S188" s="973"/>
    </row>
    <row r="189" spans="1:19" x14ac:dyDescent="0.2">
      <c r="A189" s="987"/>
      <c r="B189" s="991"/>
      <c r="C189" s="992"/>
      <c r="D189" s="990" t="s">
        <v>623</v>
      </c>
      <c r="M189" s="954" t="s">
        <v>644</v>
      </c>
      <c r="N189" s="774" t="s">
        <v>642</v>
      </c>
      <c r="O189" s="774" t="s">
        <v>452</v>
      </c>
      <c r="P189" s="774" t="s">
        <v>648</v>
      </c>
      <c r="Q189" s="947">
        <v>28.366971083999999</v>
      </c>
      <c r="R189" s="973"/>
      <c r="S189" s="973"/>
    </row>
    <row r="190" spans="1:19" x14ac:dyDescent="0.2">
      <c r="A190" s="987" t="s">
        <v>688</v>
      </c>
      <c r="B190" s="991">
        <v>6019.9</v>
      </c>
      <c r="C190" s="988" t="s">
        <v>697</v>
      </c>
      <c r="D190" s="990" t="s">
        <v>625</v>
      </c>
      <c r="M190" s="954" t="s">
        <v>644</v>
      </c>
      <c r="N190" s="774" t="s">
        <v>626</v>
      </c>
      <c r="O190" s="774" t="s">
        <v>452</v>
      </c>
      <c r="P190" s="774" t="s">
        <v>648</v>
      </c>
      <c r="Q190" s="947">
        <v>2.0991475998400002</v>
      </c>
      <c r="R190" s="973"/>
      <c r="S190" s="973"/>
    </row>
    <row r="191" spans="1:19" x14ac:dyDescent="0.2">
      <c r="A191" s="987" t="s">
        <v>688</v>
      </c>
      <c r="B191" s="991"/>
      <c r="C191" s="988"/>
      <c r="D191" s="990" t="s">
        <v>642</v>
      </c>
      <c r="M191" s="954" t="s">
        <v>644</v>
      </c>
      <c r="N191" s="774" t="s">
        <v>641</v>
      </c>
      <c r="O191" s="774" t="s">
        <v>451</v>
      </c>
      <c r="P191" s="774" t="s">
        <v>648</v>
      </c>
      <c r="Q191" s="947">
        <v>0.80550256822900002</v>
      </c>
      <c r="R191" s="973"/>
      <c r="S191" s="973"/>
    </row>
    <row r="192" spans="1:19" x14ac:dyDescent="0.2">
      <c r="A192" s="987" t="s">
        <v>688</v>
      </c>
      <c r="B192" s="991"/>
      <c r="C192" s="988"/>
      <c r="D192" s="990" t="s">
        <v>626</v>
      </c>
      <c r="M192" s="954" t="s">
        <v>644</v>
      </c>
      <c r="N192" s="774" t="s">
        <v>641</v>
      </c>
      <c r="O192" s="774" t="s">
        <v>452</v>
      </c>
      <c r="P192" s="774" t="s">
        <v>648</v>
      </c>
      <c r="Q192" s="947">
        <v>55.660334709200001</v>
      </c>
      <c r="R192" s="973"/>
      <c r="S192" s="973"/>
    </row>
    <row r="193" spans="1:19" x14ac:dyDescent="0.2">
      <c r="A193" s="987" t="s">
        <v>688</v>
      </c>
      <c r="B193" s="991"/>
      <c r="C193" s="988"/>
      <c r="D193" s="990" t="s">
        <v>640</v>
      </c>
      <c r="M193" s="954" t="s">
        <v>645</v>
      </c>
      <c r="N193" s="774" t="s">
        <v>623</v>
      </c>
      <c r="O193" s="774" t="s">
        <v>451</v>
      </c>
      <c r="P193" s="774" t="s">
        <v>648</v>
      </c>
      <c r="Q193" s="947">
        <v>23.354749535900002</v>
      </c>
      <c r="R193" s="973"/>
      <c r="S193" s="973"/>
    </row>
    <row r="194" spans="1:19" x14ac:dyDescent="0.2">
      <c r="A194" s="987" t="s">
        <v>688</v>
      </c>
      <c r="B194" s="991"/>
      <c r="C194" s="988"/>
      <c r="D194" s="990" t="s">
        <v>641</v>
      </c>
      <c r="M194" s="954" t="s">
        <v>645</v>
      </c>
      <c r="N194" s="774" t="s">
        <v>623</v>
      </c>
      <c r="O194" s="774" t="s">
        <v>452</v>
      </c>
      <c r="P194" s="774" t="s">
        <v>648</v>
      </c>
      <c r="Q194" s="947">
        <v>41.036567506399997</v>
      </c>
      <c r="R194" s="973"/>
      <c r="S194" s="973"/>
    </row>
    <row r="195" spans="1:19" x14ac:dyDescent="0.2">
      <c r="A195" s="987" t="s">
        <v>688</v>
      </c>
      <c r="B195" s="991"/>
      <c r="C195" s="988"/>
      <c r="D195" s="990"/>
      <c r="M195" s="954" t="s">
        <v>645</v>
      </c>
      <c r="N195" s="774" t="s">
        <v>625</v>
      </c>
      <c r="O195" s="774" t="s">
        <v>451</v>
      </c>
      <c r="P195" s="774" t="s">
        <v>648</v>
      </c>
      <c r="Q195" s="947">
        <v>55.376257047300001</v>
      </c>
      <c r="R195" s="973"/>
      <c r="S195" s="973"/>
    </row>
    <row r="196" spans="1:19" ht="15.75" thickBot="1" x14ac:dyDescent="0.3">
      <c r="A196" s="994" t="s">
        <v>685</v>
      </c>
      <c r="B196" s="995">
        <f>SUM(B190:B195)</f>
        <v>6019.9</v>
      </c>
      <c r="C196" s="992"/>
      <c r="D196" s="990"/>
      <c r="M196" s="955" t="s">
        <v>645</v>
      </c>
      <c r="N196" s="956" t="s">
        <v>625</v>
      </c>
      <c r="O196" s="956" t="s">
        <v>452</v>
      </c>
      <c r="P196" s="956" t="s">
        <v>648</v>
      </c>
      <c r="Q196" s="957">
        <v>180.29191780599999</v>
      </c>
      <c r="R196" s="973"/>
      <c r="S196" s="973"/>
    </row>
    <row r="197" spans="1:19" x14ac:dyDescent="0.2">
      <c r="A197" s="987"/>
      <c r="B197" s="991"/>
      <c r="C197" s="988"/>
      <c r="D197" s="990" t="s">
        <v>623</v>
      </c>
    </row>
    <row r="198" spans="1:19" x14ac:dyDescent="0.2">
      <c r="A198" s="987" t="s">
        <v>645</v>
      </c>
      <c r="B198" s="991">
        <v>976.09898253587926</v>
      </c>
      <c r="C198" s="992" t="s">
        <v>690</v>
      </c>
      <c r="D198" s="990" t="s">
        <v>625</v>
      </c>
    </row>
    <row r="199" spans="1:19" x14ac:dyDescent="0.2">
      <c r="A199" s="987" t="s">
        <v>645</v>
      </c>
      <c r="B199" s="991">
        <v>1403.9999588402175</v>
      </c>
      <c r="C199" s="992" t="s">
        <v>691</v>
      </c>
      <c r="D199" s="990" t="s">
        <v>642</v>
      </c>
    </row>
    <row r="200" spans="1:19" x14ac:dyDescent="0.2">
      <c r="A200" s="987" t="s">
        <v>645</v>
      </c>
      <c r="B200" s="991">
        <v>196.86580054067232</v>
      </c>
      <c r="C200" s="992" t="s">
        <v>692</v>
      </c>
      <c r="D200" s="990" t="s">
        <v>640</v>
      </c>
    </row>
    <row r="201" spans="1:19" x14ac:dyDescent="0.2">
      <c r="A201" s="987" t="s">
        <v>645</v>
      </c>
      <c r="B201" s="991">
        <v>169.36538439536767</v>
      </c>
      <c r="C201" s="988" t="s">
        <v>693</v>
      </c>
      <c r="D201" s="990"/>
    </row>
    <row r="202" spans="1:19" x14ac:dyDescent="0.2">
      <c r="A202" s="996"/>
      <c r="B202" s="991">
        <v>113.17256570063974</v>
      </c>
      <c r="C202" s="992" t="s">
        <v>695</v>
      </c>
      <c r="D202" s="990"/>
    </row>
    <row r="203" spans="1:19" ht="15" x14ac:dyDescent="0.25">
      <c r="A203" s="997"/>
      <c r="B203" s="998">
        <f>SUM(B198:B202)</f>
        <v>2859.5026920127762</v>
      </c>
      <c r="C203" s="999"/>
      <c r="D203" s="1000"/>
    </row>
  </sheetData>
  <mergeCells count="1">
    <mergeCell ref="A1:E1"/>
  </mergeCells>
  <pageMargins left="0.7" right="0.7" top="0.75" bottom="0.75" header="0.3" footer="0.3"/>
  <pageSetup orientation="portrait" horizontalDpi="200" verticalDpi="200" r:id="rId2"/>
  <ignoredErrors>
    <ignoredError sqref="X8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66F8-69C0-4667-A079-C374D636682C}">
  <sheetPr filterMode="1"/>
  <dimension ref="A1:AG149"/>
  <sheetViews>
    <sheetView topLeftCell="A20" workbookViewId="0">
      <selection activeCell="V38" sqref="V38"/>
    </sheetView>
  </sheetViews>
  <sheetFormatPr defaultRowHeight="12.75" x14ac:dyDescent="0.2"/>
  <cols>
    <col min="1" max="1" width="30.85546875" customWidth="1"/>
    <col min="2" max="2" width="15" customWidth="1"/>
    <col min="5" max="5" width="12.5703125" customWidth="1"/>
    <col min="6" max="6" width="26.7109375" customWidth="1"/>
    <col min="7" max="7" width="32.140625" customWidth="1"/>
    <col min="8" max="8" width="20.5703125" customWidth="1"/>
    <col min="9" max="9" width="10.7109375" customWidth="1"/>
    <col min="10" max="10" width="12.140625" customWidth="1"/>
    <col min="11" max="11" width="28.5703125" customWidth="1"/>
    <col min="12" max="12" width="12.140625" customWidth="1"/>
    <col min="13" max="13" width="16" customWidth="1"/>
    <col min="14" max="14" width="15" customWidth="1"/>
    <col min="15" max="15" width="11.42578125" customWidth="1"/>
    <col min="16" max="16" width="12.7109375" customWidth="1"/>
    <col min="17" max="17" width="10.28515625" customWidth="1"/>
    <col min="18" max="18" width="11.5703125" customWidth="1"/>
    <col min="19" max="19" width="11.42578125" customWidth="1"/>
    <col min="20" max="20" width="10.5703125" customWidth="1"/>
    <col min="21" max="21" width="10.28515625" bestFit="1" customWidth="1"/>
    <col min="22" max="22" width="28" customWidth="1"/>
    <col min="23" max="23" width="11.140625" customWidth="1"/>
  </cols>
  <sheetData>
    <row r="1" spans="1:33" s="35" customFormat="1" x14ac:dyDescent="0.2">
      <c r="K1" s="35" t="s">
        <v>767</v>
      </c>
    </row>
    <row r="2" spans="1:33" x14ac:dyDescent="0.2">
      <c r="A2" s="971" t="s">
        <v>706</v>
      </c>
      <c r="B2" s="971" t="s">
        <v>613</v>
      </c>
      <c r="E2" s="979" t="s">
        <v>668</v>
      </c>
      <c r="F2" s="980" t="s">
        <v>638</v>
      </c>
      <c r="G2" s="980" t="s">
        <v>659</v>
      </c>
      <c r="H2" s="981" t="s">
        <v>617</v>
      </c>
      <c r="I2" s="982" t="s">
        <v>234</v>
      </c>
      <c r="J2" s="972"/>
      <c r="K2" s="1021" t="s">
        <v>721</v>
      </c>
      <c r="L2" s="1184" t="s">
        <v>611</v>
      </c>
      <c r="M2" s="1184"/>
      <c r="N2" s="1184"/>
      <c r="O2" s="1184"/>
      <c r="P2" s="1184"/>
      <c r="Q2" s="1184"/>
      <c r="R2" s="1184"/>
      <c r="S2" s="1184"/>
      <c r="T2" s="1184"/>
      <c r="V2" s="82" t="s">
        <v>721</v>
      </c>
      <c r="W2" s="1185" t="s">
        <v>754</v>
      </c>
      <c r="X2" s="1185"/>
      <c r="Y2" s="1185"/>
      <c r="Z2" s="1185"/>
      <c r="AA2" s="1185"/>
      <c r="AB2" s="1185"/>
      <c r="AC2" s="1185"/>
      <c r="AD2" s="82"/>
    </row>
    <row r="3" spans="1:33" x14ac:dyDescent="0.2">
      <c r="A3" s="82" t="s">
        <v>447</v>
      </c>
      <c r="B3" s="27">
        <v>3754.655354</v>
      </c>
      <c r="E3" s="953" t="s">
        <v>607</v>
      </c>
      <c r="F3" s="953" t="s">
        <v>639</v>
      </c>
      <c r="G3" s="953" t="s">
        <v>447</v>
      </c>
      <c r="H3" s="953">
        <v>54</v>
      </c>
      <c r="I3" s="188">
        <v>397.26434758599999</v>
      </c>
      <c r="K3" s="1021" t="s">
        <v>234</v>
      </c>
      <c r="L3" s="1021" t="s">
        <v>607</v>
      </c>
      <c r="M3" s="1021" t="s">
        <v>46</v>
      </c>
      <c r="N3" s="1021" t="s">
        <v>608</v>
      </c>
      <c r="O3" s="1021" t="s">
        <v>40</v>
      </c>
      <c r="P3" s="1021" t="s">
        <v>644</v>
      </c>
      <c r="Q3" s="1021" t="s">
        <v>610</v>
      </c>
      <c r="R3" s="1021" t="s">
        <v>720</v>
      </c>
      <c r="S3" s="1021" t="s">
        <v>609</v>
      </c>
      <c r="T3" s="1021" t="s">
        <v>645</v>
      </c>
      <c r="V3" s="976" t="s">
        <v>234</v>
      </c>
      <c r="W3" s="976" t="s">
        <v>607</v>
      </c>
      <c r="X3" s="976" t="s">
        <v>46</v>
      </c>
      <c r="Y3" s="976" t="s">
        <v>608</v>
      </c>
      <c r="Z3" s="976" t="s">
        <v>40</v>
      </c>
      <c r="AA3" s="976" t="s">
        <v>644</v>
      </c>
      <c r="AB3" s="976" t="s">
        <v>610</v>
      </c>
      <c r="AC3" s="976" t="s">
        <v>645</v>
      </c>
      <c r="AD3" s="976" t="s">
        <v>609</v>
      </c>
      <c r="AE3" s="1101" t="s">
        <v>895</v>
      </c>
      <c r="AF3" s="1101" t="s">
        <v>896</v>
      </c>
      <c r="AG3" s="1101" t="s">
        <v>897</v>
      </c>
    </row>
    <row r="4" spans="1:33" x14ac:dyDescent="0.2">
      <c r="A4" s="82" t="s">
        <v>707</v>
      </c>
      <c r="B4" s="27">
        <v>147.61238700000001</v>
      </c>
      <c r="E4" s="953" t="s">
        <v>607</v>
      </c>
      <c r="F4" s="953" t="s">
        <v>639</v>
      </c>
      <c r="G4" s="953" t="s">
        <v>449</v>
      </c>
      <c r="H4" s="953">
        <v>39</v>
      </c>
      <c r="I4" s="188">
        <v>137.27926485099999</v>
      </c>
      <c r="K4" s="1021" t="s">
        <v>447</v>
      </c>
      <c r="L4" s="1022">
        <v>397.26434758699997</v>
      </c>
      <c r="M4" s="1022">
        <v>175.76768877410001</v>
      </c>
      <c r="N4" s="1022">
        <v>221.2932756614</v>
      </c>
      <c r="O4" s="1022">
        <v>249.167648794</v>
      </c>
      <c r="P4" s="1022">
        <v>196.14783945100001</v>
      </c>
      <c r="Q4" s="1022">
        <v>1472.0851461557002</v>
      </c>
      <c r="R4" s="1022">
        <v>268.11273147865995</v>
      </c>
      <c r="S4" s="1022">
        <v>494.19203333266603</v>
      </c>
      <c r="T4" s="1022">
        <v>280.62464302296002</v>
      </c>
      <c r="V4" s="79" t="s">
        <v>447</v>
      </c>
      <c r="W4" s="1102">
        <v>180.61438886730377</v>
      </c>
      <c r="X4" s="160">
        <v>44.837882960273383</v>
      </c>
      <c r="Y4" s="160">
        <v>26.366956573954553</v>
      </c>
      <c r="Z4" s="160">
        <v>45.617455335730284</v>
      </c>
      <c r="AA4" s="160">
        <v>15.73</v>
      </c>
      <c r="AB4" s="160">
        <v>194.71668713349467</v>
      </c>
      <c r="AC4" s="160">
        <v>29.214110763242321</v>
      </c>
      <c r="AD4" s="160">
        <v>50.151810486081835</v>
      </c>
      <c r="AE4" s="1103">
        <f>145.1*2.2045</f>
        <v>319.87294999999995</v>
      </c>
      <c r="AF4" s="1103">
        <f>10.3*2.2045</f>
        <v>22.70635</v>
      </c>
      <c r="AG4" s="188"/>
    </row>
    <row r="5" spans="1:33" x14ac:dyDescent="0.2">
      <c r="A5" s="82" t="s">
        <v>708</v>
      </c>
      <c r="B5" s="27">
        <v>20644.587059000001</v>
      </c>
      <c r="E5" s="953" t="s">
        <v>607</v>
      </c>
      <c r="F5" s="953" t="s">
        <v>639</v>
      </c>
      <c r="G5" s="953" t="s">
        <v>446</v>
      </c>
      <c r="H5" s="953">
        <v>134</v>
      </c>
      <c r="I5" s="188">
        <v>924.50905443900001</v>
      </c>
      <c r="K5" s="1021" t="s">
        <v>722</v>
      </c>
      <c r="L5" s="1022">
        <v>0</v>
      </c>
      <c r="M5" s="1022"/>
      <c r="N5" s="1022"/>
      <c r="O5" s="1022"/>
      <c r="P5" s="1022">
        <v>11.497450904300001</v>
      </c>
      <c r="Q5" s="1022">
        <v>22.860510656100001</v>
      </c>
      <c r="R5" s="1022"/>
      <c r="S5" s="1022"/>
      <c r="T5" s="1022">
        <v>113.25442555625999</v>
      </c>
      <c r="V5" s="79" t="s">
        <v>722</v>
      </c>
      <c r="W5" s="160">
        <v>0</v>
      </c>
      <c r="X5" s="160">
        <v>0</v>
      </c>
      <c r="Y5" s="160"/>
      <c r="Z5" s="160">
        <v>20.394635086886471</v>
      </c>
      <c r="AA5" s="160">
        <v>7.0000000000000007E-2</v>
      </c>
      <c r="AB5" s="160">
        <v>13.917215905170826</v>
      </c>
      <c r="AC5" s="160">
        <v>141.29542331628903</v>
      </c>
      <c r="AD5" s="160">
        <v>0</v>
      </c>
      <c r="AE5" s="188"/>
      <c r="AF5" s="188"/>
      <c r="AG5" s="188"/>
    </row>
    <row r="6" spans="1:33" x14ac:dyDescent="0.2">
      <c r="A6" s="82" t="s">
        <v>661</v>
      </c>
      <c r="B6" s="27">
        <v>4070.9644830000002</v>
      </c>
      <c r="E6" s="953" t="s">
        <v>607</v>
      </c>
      <c r="F6" s="953" t="s">
        <v>639</v>
      </c>
      <c r="G6" s="953" t="s">
        <v>448</v>
      </c>
      <c r="H6" s="953">
        <v>32</v>
      </c>
      <c r="I6" s="188">
        <v>344.598525757</v>
      </c>
      <c r="K6" s="1021" t="s">
        <v>483</v>
      </c>
      <c r="L6" s="1022">
        <v>137.27926485120003</v>
      </c>
      <c r="M6" s="1022">
        <v>94.859855993599993</v>
      </c>
      <c r="N6" s="1022">
        <v>135.94092854620001</v>
      </c>
      <c r="O6" s="1022">
        <v>86.458749980130008</v>
      </c>
      <c r="P6" s="1022">
        <v>40.905957554659992</v>
      </c>
      <c r="Q6" s="1022">
        <v>559.05144803329995</v>
      </c>
      <c r="R6" s="1022">
        <v>203.16795586601</v>
      </c>
      <c r="S6" s="1022">
        <v>212.99513225000001</v>
      </c>
      <c r="T6" s="1022">
        <v>248.73297864546296</v>
      </c>
      <c r="U6" s="1048">
        <f>SUM(L6:T6)</f>
        <v>1719.392271720563</v>
      </c>
      <c r="V6" s="79" t="s">
        <v>483</v>
      </c>
      <c r="W6" s="160">
        <v>26.986916210008403</v>
      </c>
      <c r="X6" s="160">
        <v>8.1364370136556818</v>
      </c>
      <c r="Y6" s="160">
        <v>6.9469985596821209</v>
      </c>
      <c r="Z6" s="160">
        <v>7.4434247922988321</v>
      </c>
      <c r="AA6" s="160">
        <v>2.23</v>
      </c>
      <c r="AB6" s="160">
        <v>49.65728574762781</v>
      </c>
      <c r="AC6" s="160">
        <v>11.701633465703656</v>
      </c>
      <c r="AD6" s="160">
        <v>16.232056703159099</v>
      </c>
      <c r="AE6" s="1103">
        <f>3.5*2.2045</f>
        <v>7.7157499999999999</v>
      </c>
      <c r="AF6" s="1103">
        <f>23.5*2.2045</f>
        <v>51.805749999999996</v>
      </c>
      <c r="AG6" s="1103">
        <v>0</v>
      </c>
    </row>
    <row r="7" spans="1:33" x14ac:dyDescent="0.2">
      <c r="A7" s="82" t="s">
        <v>709</v>
      </c>
      <c r="B7" s="27">
        <v>4466.6955779999998</v>
      </c>
      <c r="E7" s="953" t="s">
        <v>607</v>
      </c>
      <c r="F7" s="953" t="s">
        <v>237</v>
      </c>
      <c r="G7" s="953" t="s">
        <v>661</v>
      </c>
      <c r="H7" s="953">
        <v>2</v>
      </c>
      <c r="I7" s="188">
        <v>6.0777083382399999</v>
      </c>
      <c r="K7" s="1021" t="s">
        <v>446</v>
      </c>
      <c r="L7" s="1022">
        <v>924.50905443779993</v>
      </c>
      <c r="M7" s="1022">
        <v>111.85685955053</v>
      </c>
      <c r="N7" s="1022">
        <v>135.10226058870001</v>
      </c>
      <c r="O7" s="1022">
        <v>275.49288050139</v>
      </c>
      <c r="P7" s="1022">
        <v>940.70052658550003</v>
      </c>
      <c r="Q7" s="1022">
        <v>1168.6681924786001</v>
      </c>
      <c r="R7" s="1022">
        <v>1583.6649384606001</v>
      </c>
      <c r="S7" s="1022">
        <v>4016.9105238669999</v>
      </c>
      <c r="T7" s="1022">
        <v>2075.8873085132</v>
      </c>
      <c r="V7" s="79" t="s">
        <v>446</v>
      </c>
      <c r="W7" s="160">
        <v>138.46400505434207</v>
      </c>
      <c r="X7" s="160">
        <v>8.3783777503306993</v>
      </c>
      <c r="Y7" s="160">
        <v>6.8661694154328536</v>
      </c>
      <c r="Z7" s="160">
        <v>89.818488983591351</v>
      </c>
      <c r="AA7" s="160">
        <v>45.97</v>
      </c>
      <c r="AB7" s="160">
        <v>182.92882374405886</v>
      </c>
      <c r="AC7" s="160">
        <v>156.04403427725006</v>
      </c>
      <c r="AD7" s="160">
        <v>280.63819009734834</v>
      </c>
      <c r="AE7" s="1103">
        <f>85.1*2.2045</f>
        <v>187.60294999999999</v>
      </c>
      <c r="AF7" s="1103">
        <f>10.3*2.2045</f>
        <v>22.70635</v>
      </c>
      <c r="AG7" s="1103">
        <f>2.42*2.2045</f>
        <v>5.3348899999999997</v>
      </c>
    </row>
    <row r="8" spans="1:33" x14ac:dyDescent="0.2">
      <c r="A8" s="82" t="s">
        <v>443</v>
      </c>
      <c r="B8" s="27">
        <v>1054.197193</v>
      </c>
      <c r="E8" s="953" t="s">
        <v>607</v>
      </c>
      <c r="F8" s="953" t="s">
        <v>237</v>
      </c>
      <c r="G8" s="953" t="s">
        <v>14</v>
      </c>
      <c r="H8" s="953">
        <v>1</v>
      </c>
      <c r="I8" s="188">
        <v>1.2918090124199999</v>
      </c>
      <c r="K8" s="1021" t="s">
        <v>482</v>
      </c>
      <c r="L8" s="1022">
        <v>344.598525757</v>
      </c>
      <c r="M8" s="1022">
        <v>543.11001382100005</v>
      </c>
      <c r="N8" s="1022">
        <v>214.74095601799999</v>
      </c>
      <c r="O8" s="1022">
        <v>348.80254647499999</v>
      </c>
      <c r="P8" s="1022">
        <v>373.14555568220999</v>
      </c>
      <c r="Q8" s="1022">
        <v>1206.2034814922101</v>
      </c>
      <c r="R8" s="1022">
        <v>818.54460149561999</v>
      </c>
      <c r="S8" s="1022">
        <v>288.28125291809999</v>
      </c>
      <c r="T8" s="1022">
        <v>1434.0721534535001</v>
      </c>
      <c r="V8" s="79" t="s">
        <v>482</v>
      </c>
      <c r="W8" s="160">
        <v>51.830045074447703</v>
      </c>
      <c r="X8" s="160">
        <v>38.31530529136144</v>
      </c>
      <c r="Y8" s="160">
        <v>5.205071027787489</v>
      </c>
      <c r="Z8" s="160">
        <v>15.098034857476332</v>
      </c>
      <c r="AA8" s="160">
        <v>5.85</v>
      </c>
      <c r="AB8" s="160">
        <v>46.763946316122706</v>
      </c>
      <c r="AC8" s="160">
        <v>22.886083325396324</v>
      </c>
      <c r="AD8" s="160">
        <v>4.5202358561544278</v>
      </c>
      <c r="AE8" s="1104">
        <f>0.7*2.2045</f>
        <v>1.5431499999999998</v>
      </c>
      <c r="AF8" s="188"/>
      <c r="AG8" s="1105">
        <f>0.28*2.2045</f>
        <v>0.61726000000000003</v>
      </c>
    </row>
    <row r="9" spans="1:33" x14ac:dyDescent="0.2">
      <c r="A9" s="82" t="s">
        <v>710</v>
      </c>
      <c r="B9" s="27">
        <v>2031.693143</v>
      </c>
      <c r="E9" s="953" t="s">
        <v>607</v>
      </c>
      <c r="F9" s="953" t="s">
        <v>237</v>
      </c>
      <c r="G9" s="953" t="s">
        <v>443</v>
      </c>
      <c r="H9" s="953">
        <v>2</v>
      </c>
      <c r="I9" s="188">
        <v>15.1339896258</v>
      </c>
      <c r="K9" s="1021" t="s">
        <v>15</v>
      </c>
      <c r="L9" s="1022">
        <v>1803.6511926329999</v>
      </c>
      <c r="M9" s="1022">
        <v>925.59441813923002</v>
      </c>
      <c r="N9" s="1022">
        <v>707.07742081430001</v>
      </c>
      <c r="O9" s="1022">
        <v>959.92182575052004</v>
      </c>
      <c r="P9" s="1022">
        <v>1562.39733017767</v>
      </c>
      <c r="Q9" s="1022">
        <v>4428.8687788159104</v>
      </c>
      <c r="R9" s="1022">
        <v>2873.4902273008902</v>
      </c>
      <c r="S9" s="1022">
        <v>5012.3789423677663</v>
      </c>
      <c r="T9" s="1022">
        <v>4152.5715091913826</v>
      </c>
      <c r="V9" s="1017" t="s">
        <v>746</v>
      </c>
      <c r="W9" s="1106">
        <f>SUM(W4:W8)</f>
        <v>397.89535520610195</v>
      </c>
      <c r="X9" s="1106">
        <f t="shared" ref="X9:AG9" si="0">SUM(X4:X8)</f>
        <v>99.668003015621196</v>
      </c>
      <c r="Y9" s="1106">
        <f t="shared" si="0"/>
        <v>45.385195576857022</v>
      </c>
      <c r="Z9" s="1106">
        <f t="shared" si="0"/>
        <v>178.37203905598327</v>
      </c>
      <c r="AA9" s="1106">
        <f t="shared" si="0"/>
        <v>69.849999999999994</v>
      </c>
      <c r="AB9" s="1106">
        <f t="shared" si="0"/>
        <v>487.98395884647488</v>
      </c>
      <c r="AC9" s="1106">
        <f t="shared" si="0"/>
        <v>361.14128514788143</v>
      </c>
      <c r="AD9" s="1106">
        <f t="shared" si="0"/>
        <v>351.54229314274374</v>
      </c>
      <c r="AE9" s="1106">
        <f t="shared" si="0"/>
        <v>516.73479999999995</v>
      </c>
      <c r="AF9" s="1106">
        <f t="shared" si="0"/>
        <v>97.218450000000004</v>
      </c>
      <c r="AG9" s="1106">
        <f t="shared" si="0"/>
        <v>5.9521499999999996</v>
      </c>
    </row>
    <row r="10" spans="1:33" s="35" customFormat="1" x14ac:dyDescent="0.2">
      <c r="A10" s="82"/>
      <c r="B10" s="27"/>
      <c r="E10" s="953"/>
      <c r="F10" s="953"/>
      <c r="G10" s="953"/>
      <c r="H10" s="953"/>
      <c r="I10" s="188"/>
      <c r="K10" s="1021" t="s">
        <v>745</v>
      </c>
      <c r="L10" s="1022">
        <v>50.64</v>
      </c>
      <c r="M10" s="1022"/>
      <c r="N10" s="1022">
        <f>T33+T34</f>
        <v>81.53</v>
      </c>
      <c r="O10" s="1022">
        <f>T35+T36</f>
        <v>83.050000000000011</v>
      </c>
      <c r="P10" s="1022"/>
      <c r="Q10" s="1022">
        <f>T37+T38+T39+T40</f>
        <v>229.96</v>
      </c>
      <c r="R10" s="1022"/>
      <c r="S10" s="1022">
        <v>96.31</v>
      </c>
      <c r="T10" s="1022">
        <v>0.89</v>
      </c>
      <c r="V10" s="1017" t="s">
        <v>820</v>
      </c>
      <c r="W10" s="160">
        <f>L13</f>
        <v>9.9550171568600092</v>
      </c>
      <c r="X10" s="160"/>
      <c r="Y10" s="160">
        <f>N13</f>
        <v>4.1664331605502758</v>
      </c>
      <c r="Z10" s="160">
        <f>O13</f>
        <v>7.1499579758264797</v>
      </c>
      <c r="AA10" s="160"/>
      <c r="AB10" s="160">
        <f>Q13</f>
        <v>14.981499253504937</v>
      </c>
      <c r="AC10" s="160"/>
      <c r="AD10" s="160">
        <f>S13</f>
        <v>7.339648397440091</v>
      </c>
      <c r="AE10" s="188">
        <v>0</v>
      </c>
      <c r="AF10" s="188">
        <v>0</v>
      </c>
      <c r="AG10" s="188">
        <v>0</v>
      </c>
    </row>
    <row r="11" spans="1:33" s="35" customFormat="1" x14ac:dyDescent="0.2">
      <c r="A11" s="82"/>
      <c r="B11" s="27"/>
      <c r="E11" s="953"/>
      <c r="F11" s="953"/>
      <c r="G11" s="953"/>
      <c r="H11" s="953"/>
      <c r="I11" s="188"/>
      <c r="K11" s="1021" t="s">
        <v>843</v>
      </c>
      <c r="L11" s="1022">
        <f>L9-L10</f>
        <v>1753.0111926329998</v>
      </c>
      <c r="M11" s="1022"/>
      <c r="N11" s="1022">
        <f>N9-N10</f>
        <v>625.54742081430004</v>
      </c>
      <c r="O11" s="1022">
        <f>O9-O10</f>
        <v>876.87182575051997</v>
      </c>
      <c r="P11" s="1022"/>
      <c r="Q11" s="1022">
        <f>Q9-Q10</f>
        <v>4198.9087788159104</v>
      </c>
      <c r="R11" s="1022"/>
      <c r="S11" s="1022">
        <f>S9-S10</f>
        <v>4916.0689423677659</v>
      </c>
      <c r="T11" s="1022"/>
      <c r="V11" s="1017" t="s">
        <v>901</v>
      </c>
      <c r="W11" s="160">
        <f>W6-W10</f>
        <v>17.031899053148393</v>
      </c>
      <c r="X11" s="160">
        <f>X6</f>
        <v>8.1364370136556818</v>
      </c>
      <c r="Y11" s="160">
        <f>Y6-Y10</f>
        <v>2.7805653991318451</v>
      </c>
      <c r="Z11" s="160">
        <f>Z6-Z10</f>
        <v>0.2934668164723524</v>
      </c>
      <c r="AA11" s="160">
        <f>AA6</f>
        <v>2.23</v>
      </c>
      <c r="AB11" s="160">
        <f>AB6-AB10</f>
        <v>34.675786494122875</v>
      </c>
      <c r="AC11" s="160">
        <f>AC6</f>
        <v>11.701633465703656</v>
      </c>
      <c r="AD11" s="160">
        <f>AD6-AD10</f>
        <v>8.8924083057190089</v>
      </c>
      <c r="AE11" s="160">
        <f t="shared" ref="AE11:AG11" si="1">AE6-AE10</f>
        <v>7.7157499999999999</v>
      </c>
      <c r="AF11" s="160">
        <f t="shared" si="1"/>
        <v>51.805749999999996</v>
      </c>
      <c r="AG11" s="160">
        <f t="shared" si="1"/>
        <v>0</v>
      </c>
    </row>
    <row r="12" spans="1:33" s="35" customFormat="1" ht="25.5" x14ac:dyDescent="0.2">
      <c r="A12" s="82"/>
      <c r="B12" s="27"/>
      <c r="E12" s="953"/>
      <c r="F12" s="953"/>
      <c r="G12" s="953"/>
      <c r="H12" s="953"/>
      <c r="I12" s="188"/>
      <c r="K12" s="285" t="s">
        <v>750</v>
      </c>
      <c r="L12" s="1023">
        <f>L10/L6</f>
        <v>0.36888309428878274</v>
      </c>
      <c r="M12" s="1022"/>
      <c r="N12" s="1023">
        <f>N10/N6</f>
        <v>0.59974579305813513</v>
      </c>
      <c r="O12" s="1023">
        <f>O10/O6</f>
        <v>0.96057368420300548</v>
      </c>
      <c r="P12" s="1022"/>
      <c r="Q12" s="1023">
        <f>Q10/(Q6+R6)</f>
        <v>0.30169790853340434</v>
      </c>
      <c r="R12" s="1022"/>
      <c r="S12" s="1023">
        <f>S10/S6</f>
        <v>0.45216995798269</v>
      </c>
      <c r="T12" s="1023">
        <f>T10/T6</f>
        <v>3.578134290220442E-3</v>
      </c>
      <c r="V12" s="1017" t="s">
        <v>749</v>
      </c>
      <c r="W12" s="1017"/>
      <c r="X12" s="1017"/>
      <c r="Y12" s="1017"/>
      <c r="Z12" s="1017"/>
      <c r="AA12" s="1017"/>
      <c r="AB12" s="1017"/>
      <c r="AC12" s="1017"/>
      <c r="AD12" s="1017"/>
    </row>
    <row r="13" spans="1:33" x14ac:dyDescent="0.2">
      <c r="A13" s="82" t="s">
        <v>662</v>
      </c>
      <c r="B13" s="27">
        <v>9205.0983990000004</v>
      </c>
      <c r="E13" s="953" t="s">
        <v>607</v>
      </c>
      <c r="F13" s="953" t="s">
        <v>88</v>
      </c>
      <c r="G13" s="953" t="s">
        <v>662</v>
      </c>
      <c r="H13" s="953">
        <v>99</v>
      </c>
      <c r="I13" s="188">
        <v>430.52569093699998</v>
      </c>
      <c r="K13" s="1021" t="s">
        <v>751</v>
      </c>
      <c r="L13" s="1025">
        <f>L12*W6</f>
        <v>9.9550171568600092</v>
      </c>
      <c r="M13" s="1025"/>
      <c r="N13" s="1025">
        <f>N12*Y6</f>
        <v>4.1664331605502758</v>
      </c>
      <c r="O13" s="1025">
        <f>O12*Z6</f>
        <v>7.1499579758264797</v>
      </c>
      <c r="P13" s="1025"/>
      <c r="Q13" s="1025">
        <f>Q12*AB6</f>
        <v>14.981499253504937</v>
      </c>
      <c r="R13" s="1025"/>
      <c r="S13" s="1025">
        <f>S12*AD6</f>
        <v>7.339648397440091</v>
      </c>
      <c r="T13" s="1025">
        <f>T12*AC6</f>
        <v>4.1870015955225326E-2</v>
      </c>
      <c r="V13" t="s">
        <v>747</v>
      </c>
    </row>
    <row r="14" spans="1:33" x14ac:dyDescent="0.2">
      <c r="A14" s="82" t="s">
        <v>666</v>
      </c>
      <c r="B14" s="27">
        <v>11073.961336</v>
      </c>
      <c r="E14" s="953" t="s">
        <v>607</v>
      </c>
      <c r="F14" s="953" t="s">
        <v>88</v>
      </c>
      <c r="G14" s="953" t="s">
        <v>663</v>
      </c>
      <c r="H14" s="953">
        <v>12</v>
      </c>
      <c r="I14" s="188">
        <v>34.252866857900003</v>
      </c>
      <c r="K14" s="1021" t="s">
        <v>727</v>
      </c>
      <c r="L14" s="1024"/>
      <c r="M14" s="24"/>
      <c r="N14" s="24"/>
      <c r="O14" s="24"/>
      <c r="P14" s="24"/>
      <c r="Q14" s="24"/>
      <c r="R14" s="24"/>
      <c r="S14" s="24"/>
      <c r="T14" s="24"/>
      <c r="V14" s="7" t="s">
        <v>748</v>
      </c>
      <c r="W14" s="35"/>
    </row>
    <row r="15" spans="1:33" x14ac:dyDescent="0.2">
      <c r="A15" s="82" t="s">
        <v>444</v>
      </c>
      <c r="B15" s="27">
        <v>708.52302099999997</v>
      </c>
      <c r="E15" s="953" t="s">
        <v>607</v>
      </c>
      <c r="F15" s="953" t="s">
        <v>238</v>
      </c>
      <c r="G15" s="953" t="s">
        <v>665</v>
      </c>
      <c r="H15" s="953">
        <v>13</v>
      </c>
      <c r="I15" s="188">
        <v>13.590289457800001</v>
      </c>
      <c r="K15" s="1018" t="s">
        <v>723</v>
      </c>
      <c r="L15" s="1019"/>
      <c r="M15" s="1020"/>
      <c r="N15" s="1020"/>
      <c r="O15" s="1020"/>
      <c r="P15" s="1020"/>
      <c r="V15" s="7" t="s">
        <v>898</v>
      </c>
      <c r="W15" s="35"/>
    </row>
    <row r="16" spans="1:33" x14ac:dyDescent="0.2">
      <c r="A16" s="82" t="s">
        <v>711</v>
      </c>
      <c r="B16" s="27">
        <v>9030.7381929999992</v>
      </c>
      <c r="E16" s="953" t="s">
        <v>607</v>
      </c>
      <c r="F16" s="953" t="s">
        <v>238</v>
      </c>
      <c r="G16" s="953" t="s">
        <v>666</v>
      </c>
      <c r="H16" s="953">
        <v>25</v>
      </c>
      <c r="I16" s="188">
        <v>289.45380502199998</v>
      </c>
      <c r="K16" s="977" t="s">
        <v>611</v>
      </c>
      <c r="L16" s="978" t="s">
        <v>447</v>
      </c>
      <c r="M16" s="978" t="s">
        <v>722</v>
      </c>
      <c r="N16" s="978" t="s">
        <v>483</v>
      </c>
      <c r="O16" s="978" t="s">
        <v>446</v>
      </c>
      <c r="P16" s="978" t="s">
        <v>482</v>
      </c>
      <c r="R16" s="1048">
        <f>Q9+R9</f>
        <v>7302.3590061168006</v>
      </c>
      <c r="W16" s="35"/>
    </row>
    <row r="17" spans="1:23" x14ac:dyDescent="0.2">
      <c r="A17" s="82" t="s">
        <v>663</v>
      </c>
      <c r="B17" s="27">
        <v>3197.6226259999999</v>
      </c>
      <c r="E17" s="953" t="s">
        <v>607</v>
      </c>
      <c r="F17" s="953" t="s">
        <v>646</v>
      </c>
      <c r="G17" s="953" t="s">
        <v>667</v>
      </c>
      <c r="H17" s="953">
        <v>148</v>
      </c>
      <c r="I17" s="188">
        <v>675.272592648</v>
      </c>
      <c r="K17" s="79" t="s">
        <v>607</v>
      </c>
      <c r="L17" s="27"/>
      <c r="M17" s="27"/>
      <c r="N17" s="27"/>
      <c r="O17" s="27"/>
      <c r="P17" s="27"/>
      <c r="R17" s="1049">
        <f>942/R16</f>
        <v>0.12899940953477312</v>
      </c>
      <c r="W17" s="35"/>
    </row>
    <row r="18" spans="1:23" x14ac:dyDescent="0.2">
      <c r="A18" s="82" t="s">
        <v>449</v>
      </c>
      <c r="B18" s="27">
        <v>1719.392272</v>
      </c>
      <c r="E18" s="953" t="s">
        <v>607</v>
      </c>
      <c r="F18" s="953" t="s">
        <v>647</v>
      </c>
      <c r="G18" s="953" t="s">
        <v>458</v>
      </c>
      <c r="H18" s="953">
        <v>183</v>
      </c>
      <c r="I18" s="188">
        <v>534.99523926699999</v>
      </c>
      <c r="K18" s="79" t="s">
        <v>724</v>
      </c>
      <c r="L18" s="27"/>
      <c r="M18" s="27">
        <v>6.4262987952900001</v>
      </c>
      <c r="N18" s="27">
        <v>333.39599173095996</v>
      </c>
      <c r="O18" s="27">
        <v>32.802351547880001</v>
      </c>
      <c r="P18" s="27"/>
      <c r="W18" s="35"/>
    </row>
    <row r="19" spans="1:23" x14ac:dyDescent="0.2">
      <c r="A19" s="82" t="s">
        <v>446</v>
      </c>
      <c r="B19" s="27">
        <v>11232.792545</v>
      </c>
      <c r="E19" s="953" t="s">
        <v>607</v>
      </c>
      <c r="F19" s="953" t="s">
        <v>648</v>
      </c>
      <c r="G19" s="953" t="s">
        <v>451</v>
      </c>
      <c r="H19" s="953">
        <v>122</v>
      </c>
      <c r="I19" s="188">
        <v>1306.7544487800001</v>
      </c>
      <c r="K19" s="79" t="s">
        <v>40</v>
      </c>
      <c r="L19" s="27"/>
      <c r="M19" s="27"/>
      <c r="N19" s="27"/>
      <c r="O19" s="27"/>
      <c r="P19" s="27"/>
      <c r="W19" s="35"/>
    </row>
    <row r="20" spans="1:23" x14ac:dyDescent="0.2">
      <c r="A20" s="82" t="s">
        <v>664</v>
      </c>
      <c r="B20" s="27">
        <v>1931.3279250000001</v>
      </c>
      <c r="E20" s="953" t="s">
        <v>607</v>
      </c>
      <c r="F20" s="953" t="s">
        <v>648</v>
      </c>
      <c r="G20" s="953" t="s">
        <v>452</v>
      </c>
      <c r="H20" s="953">
        <v>265</v>
      </c>
      <c r="I20" s="188">
        <v>978.18092711199995</v>
      </c>
      <c r="K20" s="79" t="s">
        <v>725</v>
      </c>
      <c r="L20" s="27">
        <v>167.27219818399999</v>
      </c>
      <c r="M20" s="27"/>
      <c r="N20" s="27"/>
      <c r="O20" s="27">
        <v>2.4993642463899999</v>
      </c>
      <c r="P20" s="27"/>
      <c r="R20" t="s">
        <v>844</v>
      </c>
      <c r="T20" s="1048">
        <f>Q11+R9</f>
        <v>7072.3990061168006</v>
      </c>
    </row>
    <row r="21" spans="1:23" x14ac:dyDescent="0.2">
      <c r="A21" s="82" t="s">
        <v>482</v>
      </c>
      <c r="B21" s="27">
        <v>5571.4990870000001</v>
      </c>
      <c r="E21" s="953" t="s">
        <v>46</v>
      </c>
      <c r="F21" s="953" t="s">
        <v>639</v>
      </c>
      <c r="G21" s="953" t="s">
        <v>447</v>
      </c>
      <c r="H21" s="953">
        <v>36</v>
      </c>
      <c r="I21" s="188">
        <v>175.76768877399999</v>
      </c>
      <c r="K21" s="79" t="s">
        <v>609</v>
      </c>
      <c r="L21" s="27"/>
      <c r="M21" s="27"/>
      <c r="N21" s="27"/>
      <c r="O21" s="27"/>
      <c r="P21" s="27"/>
    </row>
    <row r="22" spans="1:23" x14ac:dyDescent="0.2">
      <c r="A22" s="82" t="s">
        <v>451</v>
      </c>
      <c r="B22" s="27">
        <v>50781.674873000004</v>
      </c>
      <c r="E22" s="953" t="s">
        <v>46</v>
      </c>
      <c r="F22" s="953" t="s">
        <v>639</v>
      </c>
      <c r="G22" s="953" t="s">
        <v>449</v>
      </c>
      <c r="H22" s="953">
        <v>31</v>
      </c>
      <c r="I22" s="188">
        <v>94.859855993599993</v>
      </c>
      <c r="K22" s="79" t="s">
        <v>724</v>
      </c>
      <c r="L22" s="27">
        <v>49.341009457299997</v>
      </c>
      <c r="M22" s="27"/>
      <c r="N22" s="27"/>
      <c r="O22" s="27">
        <v>48.566892594114002</v>
      </c>
      <c r="P22" s="27">
        <v>0.93106219223599995</v>
      </c>
    </row>
    <row r="23" spans="1:23" x14ac:dyDescent="0.2">
      <c r="A23" s="82" t="s">
        <v>452</v>
      </c>
      <c r="B23" s="27">
        <v>32359.220377000001</v>
      </c>
      <c r="E23" s="953" t="s">
        <v>46</v>
      </c>
      <c r="F23" s="953" t="s">
        <v>639</v>
      </c>
      <c r="G23" s="953" t="s">
        <v>446</v>
      </c>
      <c r="H23" s="953">
        <v>26</v>
      </c>
      <c r="I23" s="188">
        <v>111.856859551</v>
      </c>
      <c r="K23" s="79" t="s">
        <v>726</v>
      </c>
      <c r="L23" s="27">
        <v>132.39820845700001</v>
      </c>
      <c r="M23" s="27"/>
      <c r="N23" s="27"/>
      <c r="O23" s="27">
        <v>0.10112169435899999</v>
      </c>
      <c r="P23" s="27"/>
    </row>
    <row r="24" spans="1:23" x14ac:dyDescent="0.2">
      <c r="E24" s="953" t="s">
        <v>46</v>
      </c>
      <c r="F24" s="953" t="s">
        <v>639</v>
      </c>
      <c r="G24" s="953" t="s">
        <v>448</v>
      </c>
      <c r="H24" s="953">
        <v>48</v>
      </c>
      <c r="I24" s="188">
        <v>543.11001382100005</v>
      </c>
      <c r="K24" s="79" t="s">
        <v>610</v>
      </c>
      <c r="L24" s="27"/>
      <c r="M24" s="27"/>
      <c r="N24" s="27"/>
      <c r="O24" s="27"/>
      <c r="P24" s="27"/>
    </row>
    <row r="25" spans="1:23" x14ac:dyDescent="0.2">
      <c r="E25" s="953" t="s">
        <v>46</v>
      </c>
      <c r="F25" s="953" t="s">
        <v>237</v>
      </c>
      <c r="G25" s="953" t="s">
        <v>661</v>
      </c>
      <c r="H25" s="953">
        <v>13</v>
      </c>
      <c r="I25" s="188">
        <v>15.6787455619</v>
      </c>
      <c r="K25" s="79" t="s">
        <v>724</v>
      </c>
      <c r="L25" s="27">
        <v>295.61574562300001</v>
      </c>
      <c r="M25" s="27"/>
      <c r="N25" s="27"/>
      <c r="O25" s="27"/>
      <c r="P25" s="27">
        <v>46.579813811400001</v>
      </c>
    </row>
    <row r="26" spans="1:23" x14ac:dyDescent="0.2">
      <c r="E26" s="953" t="s">
        <v>46</v>
      </c>
      <c r="F26" s="953" t="s">
        <v>88</v>
      </c>
      <c r="G26" s="953" t="s">
        <v>662</v>
      </c>
      <c r="H26" s="953">
        <v>76</v>
      </c>
      <c r="I26" s="188">
        <v>623.87269325900002</v>
      </c>
      <c r="K26" s="79" t="s">
        <v>726</v>
      </c>
      <c r="L26" s="27">
        <v>26.592800818099999</v>
      </c>
      <c r="M26" s="27"/>
      <c r="N26" s="27"/>
      <c r="O26" s="27">
        <v>120.32876956690001</v>
      </c>
      <c r="P26" s="27">
        <v>34.129288579300002</v>
      </c>
    </row>
    <row r="27" spans="1:23" x14ac:dyDescent="0.2">
      <c r="E27" s="953" t="s">
        <v>46</v>
      </c>
      <c r="F27" s="953" t="s">
        <v>88</v>
      </c>
      <c r="G27" s="953" t="s">
        <v>663</v>
      </c>
      <c r="H27" s="953">
        <v>2</v>
      </c>
      <c r="I27" s="188">
        <v>14.073889472199999</v>
      </c>
      <c r="K27" s="79" t="s">
        <v>720</v>
      </c>
      <c r="L27" s="27"/>
      <c r="M27" s="27"/>
      <c r="N27" s="27"/>
      <c r="O27" s="27"/>
      <c r="P27" s="27"/>
    </row>
    <row r="28" spans="1:23" x14ac:dyDescent="0.2">
      <c r="E28" s="953" t="s">
        <v>46</v>
      </c>
      <c r="F28" s="953" t="s">
        <v>238</v>
      </c>
      <c r="G28" s="953" t="s">
        <v>665</v>
      </c>
      <c r="H28" s="953">
        <v>8</v>
      </c>
      <c r="I28" s="188">
        <v>9.6096019829700001</v>
      </c>
      <c r="K28" s="79" t="s">
        <v>724</v>
      </c>
      <c r="L28" s="27"/>
      <c r="M28" s="27"/>
      <c r="N28" s="27"/>
      <c r="O28" s="27">
        <v>19.182463417542799</v>
      </c>
      <c r="P28" s="27"/>
    </row>
    <row r="29" spans="1:23" x14ac:dyDescent="0.2">
      <c r="E29" s="953" t="s">
        <v>46</v>
      </c>
      <c r="F29" s="953" t="s">
        <v>238</v>
      </c>
      <c r="G29" s="953" t="s">
        <v>666</v>
      </c>
      <c r="H29" s="953">
        <v>27</v>
      </c>
      <c r="I29" s="188">
        <v>237.40707053099999</v>
      </c>
      <c r="K29" s="79" t="s">
        <v>644</v>
      </c>
      <c r="L29" s="27"/>
      <c r="M29" s="27"/>
      <c r="N29" s="27"/>
      <c r="O29" s="27"/>
      <c r="P29" s="27"/>
    </row>
    <row r="30" spans="1:23" x14ac:dyDescent="0.2">
      <c r="E30" s="953" t="s">
        <v>46</v>
      </c>
      <c r="F30" s="953" t="s">
        <v>646</v>
      </c>
      <c r="G30" s="953" t="s">
        <v>667</v>
      </c>
      <c r="H30" s="953">
        <v>82</v>
      </c>
      <c r="I30" s="188">
        <v>305.477144495</v>
      </c>
      <c r="K30" s="79" t="s">
        <v>724</v>
      </c>
      <c r="L30" s="27"/>
      <c r="M30" s="27">
        <v>1.4608526024399999</v>
      </c>
      <c r="N30" s="27"/>
      <c r="O30" s="27">
        <v>54.159108015400001</v>
      </c>
      <c r="P30" s="27"/>
    </row>
    <row r="31" spans="1:23" ht="38.25" x14ac:dyDescent="0.2">
      <c r="E31" s="953" t="s">
        <v>46</v>
      </c>
      <c r="F31" s="953" t="s">
        <v>648</v>
      </c>
      <c r="G31" s="953" t="s">
        <v>451</v>
      </c>
      <c r="H31" s="953">
        <v>39</v>
      </c>
      <c r="I31" s="188">
        <v>950.11004279600002</v>
      </c>
      <c r="K31" s="79" t="s">
        <v>645</v>
      </c>
      <c r="L31" s="27"/>
      <c r="M31" s="27"/>
      <c r="N31" s="27"/>
      <c r="O31" s="27"/>
      <c r="P31" s="27"/>
      <c r="R31" s="1116" t="s">
        <v>44</v>
      </c>
      <c r="S31" s="1116" t="s">
        <v>903</v>
      </c>
      <c r="T31" s="1116" t="s">
        <v>904</v>
      </c>
      <c r="U31" s="1116" t="s">
        <v>826</v>
      </c>
    </row>
    <row r="32" spans="1:23" x14ac:dyDescent="0.2">
      <c r="E32" s="953" t="s">
        <v>46</v>
      </c>
      <c r="F32" s="953" t="s">
        <v>648</v>
      </c>
      <c r="G32" s="953" t="s">
        <v>452</v>
      </c>
      <c r="H32" s="953">
        <v>75</v>
      </c>
      <c r="I32" s="188">
        <v>136.61298188000001</v>
      </c>
      <c r="K32" s="79" t="s">
        <v>726</v>
      </c>
      <c r="L32" s="27"/>
      <c r="M32" s="27"/>
      <c r="N32" s="27">
        <v>4.1090739967700003</v>
      </c>
      <c r="O32" s="27">
        <v>6.6631000870800001</v>
      </c>
      <c r="P32" s="27"/>
      <c r="R32" s="1114" t="s">
        <v>607</v>
      </c>
      <c r="S32" s="304" t="s">
        <v>36</v>
      </c>
      <c r="T32" s="99">
        <v>50.64</v>
      </c>
      <c r="U32" s="435">
        <f>T32/L10</f>
        <v>1</v>
      </c>
    </row>
    <row r="33" spans="5:21" x14ac:dyDescent="0.2">
      <c r="E33" s="953" t="s">
        <v>608</v>
      </c>
      <c r="F33" s="953" t="s">
        <v>639</v>
      </c>
      <c r="G33" s="953" t="s">
        <v>447</v>
      </c>
      <c r="H33" s="953">
        <v>46</v>
      </c>
      <c r="I33" s="188">
        <v>221.293275661</v>
      </c>
      <c r="R33" s="1114" t="s">
        <v>608</v>
      </c>
      <c r="S33" s="304" t="s">
        <v>36</v>
      </c>
      <c r="T33" s="99">
        <v>73.38</v>
      </c>
      <c r="U33" s="435">
        <f>T33/N10</f>
        <v>0.90003679627131106</v>
      </c>
    </row>
    <row r="34" spans="5:21" x14ac:dyDescent="0.2">
      <c r="E34" s="953" t="s">
        <v>608</v>
      </c>
      <c r="F34" s="953" t="s">
        <v>639</v>
      </c>
      <c r="G34" s="953" t="s">
        <v>449</v>
      </c>
      <c r="H34" s="953">
        <v>31</v>
      </c>
      <c r="I34" s="188">
        <v>135.94092854600001</v>
      </c>
      <c r="R34" s="1114"/>
      <c r="S34" s="304" t="s">
        <v>142</v>
      </c>
      <c r="T34" s="99">
        <v>8.15</v>
      </c>
      <c r="U34" s="435">
        <f>T34/N10</f>
        <v>9.9963203728688832E-2</v>
      </c>
    </row>
    <row r="35" spans="5:21" x14ac:dyDescent="0.2">
      <c r="E35" s="953" t="s">
        <v>608</v>
      </c>
      <c r="F35" s="953" t="s">
        <v>639</v>
      </c>
      <c r="G35" s="953" t="s">
        <v>446</v>
      </c>
      <c r="H35" s="953">
        <v>26</v>
      </c>
      <c r="I35" s="188">
        <v>135.102260589</v>
      </c>
      <c r="R35" s="1114" t="s">
        <v>40</v>
      </c>
      <c r="S35" s="304" t="s">
        <v>36</v>
      </c>
      <c r="T35" s="99">
        <v>33.270000000000003</v>
      </c>
      <c r="U35" s="435">
        <f>T35/O10</f>
        <v>0.40060204695966284</v>
      </c>
    </row>
    <row r="36" spans="5:21" x14ac:dyDescent="0.2">
      <c r="E36" s="953" t="s">
        <v>608</v>
      </c>
      <c r="F36" s="953" t="s">
        <v>639</v>
      </c>
      <c r="G36" s="953" t="s">
        <v>448</v>
      </c>
      <c r="H36" s="953">
        <v>60</v>
      </c>
      <c r="I36" s="188">
        <v>214.74095601799999</v>
      </c>
      <c r="R36" s="1114"/>
      <c r="S36" s="304" t="s">
        <v>50</v>
      </c>
      <c r="T36" s="99">
        <v>49.78</v>
      </c>
      <c r="U36" s="435">
        <f>T36/O10</f>
        <v>0.59939795304033705</v>
      </c>
    </row>
    <row r="37" spans="5:21" x14ac:dyDescent="0.2">
      <c r="E37" s="953" t="s">
        <v>608</v>
      </c>
      <c r="F37" s="953" t="s">
        <v>237</v>
      </c>
      <c r="G37" s="953" t="s">
        <v>661</v>
      </c>
      <c r="H37" s="953">
        <v>234</v>
      </c>
      <c r="I37" s="188">
        <v>665.92485510500001</v>
      </c>
      <c r="R37" s="1114" t="s">
        <v>610</v>
      </c>
      <c r="S37" s="304" t="s">
        <v>902</v>
      </c>
      <c r="T37" s="99">
        <v>1.44</v>
      </c>
      <c r="U37" s="435">
        <f>T37/Q10</f>
        <v>6.2619586014959119E-3</v>
      </c>
    </row>
    <row r="38" spans="5:21" x14ac:dyDescent="0.2">
      <c r="E38" s="953" t="s">
        <v>608</v>
      </c>
      <c r="F38" s="953" t="s">
        <v>237</v>
      </c>
      <c r="G38" s="953" t="s">
        <v>14</v>
      </c>
      <c r="H38" s="953">
        <v>110</v>
      </c>
      <c r="I38" s="188">
        <v>729.926639239</v>
      </c>
      <c r="R38" s="1114"/>
      <c r="S38" s="304" t="s">
        <v>36</v>
      </c>
      <c r="T38" s="99">
        <v>219.49</v>
      </c>
      <c r="U38" s="435">
        <f>T38/Q10</f>
        <v>0.95447034266829012</v>
      </c>
    </row>
    <row r="39" spans="5:21" x14ac:dyDescent="0.2">
      <c r="E39" s="953" t="s">
        <v>608</v>
      </c>
      <c r="F39" s="953" t="s">
        <v>237</v>
      </c>
      <c r="G39" s="953" t="s">
        <v>443</v>
      </c>
      <c r="H39" s="953">
        <v>43</v>
      </c>
      <c r="I39" s="188">
        <v>162.80656289199999</v>
      </c>
      <c r="R39" s="1114"/>
      <c r="S39" s="304" t="s">
        <v>50</v>
      </c>
      <c r="T39" s="99">
        <v>7.83</v>
      </c>
      <c r="U39" s="435">
        <f>T39/Q10</f>
        <v>3.4049399895634019E-2</v>
      </c>
    </row>
    <row r="40" spans="5:21" x14ac:dyDescent="0.2">
      <c r="E40" s="953" t="s">
        <v>608</v>
      </c>
      <c r="F40" s="953" t="s">
        <v>88</v>
      </c>
      <c r="G40" s="953" t="s">
        <v>662</v>
      </c>
      <c r="H40" s="953">
        <v>129</v>
      </c>
      <c r="I40" s="188">
        <v>677.086375772</v>
      </c>
      <c r="R40" s="1114"/>
      <c r="S40" s="304" t="s">
        <v>37</v>
      </c>
      <c r="T40" s="99">
        <v>1.2</v>
      </c>
      <c r="U40" s="435">
        <f>T40/Q10</f>
        <v>5.2182988345799266E-3</v>
      </c>
    </row>
    <row r="41" spans="5:21" x14ac:dyDescent="0.2">
      <c r="E41" s="953" t="s">
        <v>608</v>
      </c>
      <c r="F41" s="953" t="s">
        <v>88</v>
      </c>
      <c r="G41" s="953" t="s">
        <v>444</v>
      </c>
      <c r="H41" s="953">
        <v>3</v>
      </c>
      <c r="I41" s="188">
        <v>17.658543227500001</v>
      </c>
      <c r="R41" s="1114" t="s">
        <v>609</v>
      </c>
      <c r="S41" s="304" t="s">
        <v>36</v>
      </c>
      <c r="T41" s="99">
        <v>96.31</v>
      </c>
      <c r="U41" s="435">
        <f>T41/S10</f>
        <v>1</v>
      </c>
    </row>
    <row r="42" spans="5:21" x14ac:dyDescent="0.2">
      <c r="E42" s="953" t="s">
        <v>608</v>
      </c>
      <c r="F42" s="953" t="s">
        <v>88</v>
      </c>
      <c r="G42" s="953" t="s">
        <v>663</v>
      </c>
      <c r="H42" s="953">
        <v>56</v>
      </c>
      <c r="I42" s="188">
        <v>109.440412201</v>
      </c>
      <c r="R42" s="1114" t="s">
        <v>645</v>
      </c>
      <c r="S42" s="1115" t="s">
        <v>36</v>
      </c>
      <c r="T42" s="136">
        <v>0.89</v>
      </c>
      <c r="U42" s="435">
        <f>T42/T10</f>
        <v>1</v>
      </c>
    </row>
    <row r="43" spans="5:21" x14ac:dyDescent="0.2">
      <c r="E43" s="953" t="s">
        <v>608</v>
      </c>
      <c r="F43" s="953" t="s">
        <v>88</v>
      </c>
      <c r="G43" s="953" t="s">
        <v>664</v>
      </c>
      <c r="H43" s="953">
        <v>12</v>
      </c>
      <c r="I43" s="188">
        <v>5.7349203128299999</v>
      </c>
    </row>
    <row r="44" spans="5:21" x14ac:dyDescent="0.2">
      <c r="E44" s="953" t="s">
        <v>608</v>
      </c>
      <c r="F44" s="953" t="s">
        <v>238</v>
      </c>
      <c r="G44" s="953" t="s">
        <v>665</v>
      </c>
      <c r="H44" s="953">
        <v>95</v>
      </c>
      <c r="I44" s="188">
        <v>132.81032774900001</v>
      </c>
    </row>
    <row r="45" spans="5:21" x14ac:dyDescent="0.2">
      <c r="E45" s="953" t="s">
        <v>608</v>
      </c>
      <c r="F45" s="953" t="s">
        <v>238</v>
      </c>
      <c r="G45" s="953" t="s">
        <v>666</v>
      </c>
      <c r="H45" s="953">
        <v>139</v>
      </c>
      <c r="I45" s="188">
        <v>1245.5204953699999</v>
      </c>
    </row>
    <row r="46" spans="5:21" x14ac:dyDescent="0.2">
      <c r="E46" s="953" t="s">
        <v>608</v>
      </c>
      <c r="F46" s="953" t="s">
        <v>646</v>
      </c>
      <c r="G46" s="953" t="s">
        <v>667</v>
      </c>
      <c r="H46" s="953">
        <v>221</v>
      </c>
      <c r="I46" s="188">
        <v>836.46839321899995</v>
      </c>
    </row>
    <row r="47" spans="5:21" x14ac:dyDescent="0.2">
      <c r="E47" s="953" t="s">
        <v>608</v>
      </c>
      <c r="F47" s="953" t="s">
        <v>648</v>
      </c>
      <c r="G47" s="953" t="s">
        <v>451</v>
      </c>
      <c r="H47" s="953">
        <v>130</v>
      </c>
      <c r="I47" s="188">
        <v>4754.2684943000004</v>
      </c>
    </row>
    <row r="48" spans="5:21" x14ac:dyDescent="0.2">
      <c r="E48" s="953" t="s">
        <v>608</v>
      </c>
      <c r="F48" s="953" t="s">
        <v>648</v>
      </c>
      <c r="G48" s="953" t="s">
        <v>452</v>
      </c>
      <c r="H48" s="953">
        <v>434</v>
      </c>
      <c r="I48" s="188">
        <v>1390.8660326199999</v>
      </c>
    </row>
    <row r="49" spans="5:9" x14ac:dyDescent="0.2">
      <c r="E49" s="953" t="s">
        <v>40</v>
      </c>
      <c r="F49" s="953" t="s">
        <v>639</v>
      </c>
      <c r="G49" s="953" t="s">
        <v>447</v>
      </c>
      <c r="H49" s="953">
        <v>40</v>
      </c>
      <c r="I49" s="188">
        <v>249.167648794</v>
      </c>
    </row>
    <row r="50" spans="5:9" x14ac:dyDescent="0.2">
      <c r="E50" s="953" t="s">
        <v>40</v>
      </c>
      <c r="F50" s="953" t="s">
        <v>639</v>
      </c>
      <c r="G50" s="953" t="s">
        <v>449</v>
      </c>
      <c r="H50" s="953">
        <v>23</v>
      </c>
      <c r="I50" s="188">
        <v>86.458749980199997</v>
      </c>
    </row>
    <row r="51" spans="5:9" x14ac:dyDescent="0.2">
      <c r="E51" s="953" t="s">
        <v>40</v>
      </c>
      <c r="F51" s="953" t="s">
        <v>639</v>
      </c>
      <c r="G51" s="953" t="s">
        <v>446</v>
      </c>
      <c r="H51" s="953">
        <v>34</v>
      </c>
      <c r="I51" s="188">
        <v>275.492880501</v>
      </c>
    </row>
    <row r="52" spans="5:9" x14ac:dyDescent="0.2">
      <c r="E52" s="953" t="s">
        <v>40</v>
      </c>
      <c r="F52" s="953" t="s">
        <v>639</v>
      </c>
      <c r="G52" s="953" t="s">
        <v>448</v>
      </c>
      <c r="H52" s="953">
        <v>66</v>
      </c>
      <c r="I52" s="188">
        <v>348.80254647499999</v>
      </c>
    </row>
    <row r="53" spans="5:9" x14ac:dyDescent="0.2">
      <c r="E53" s="953" t="s">
        <v>40</v>
      </c>
      <c r="F53" s="953" t="s">
        <v>237</v>
      </c>
      <c r="G53" s="953" t="s">
        <v>661</v>
      </c>
      <c r="H53" s="953">
        <v>222</v>
      </c>
      <c r="I53" s="188">
        <v>714.19061687099997</v>
      </c>
    </row>
    <row r="54" spans="5:9" x14ac:dyDescent="0.2">
      <c r="E54" s="953" t="s">
        <v>40</v>
      </c>
      <c r="F54" s="953" t="s">
        <v>237</v>
      </c>
      <c r="G54" s="953" t="s">
        <v>14</v>
      </c>
      <c r="H54" s="953">
        <v>143</v>
      </c>
      <c r="I54" s="188">
        <v>1070.28007357</v>
      </c>
    </row>
    <row r="55" spans="5:9" x14ac:dyDescent="0.2">
      <c r="E55" s="953" t="s">
        <v>40</v>
      </c>
      <c r="F55" s="953" t="s">
        <v>237</v>
      </c>
      <c r="G55" s="953" t="s">
        <v>443</v>
      </c>
      <c r="H55" s="953">
        <v>32</v>
      </c>
      <c r="I55" s="188">
        <v>150.80975897900001</v>
      </c>
    </row>
    <row r="56" spans="5:9" x14ac:dyDescent="0.2">
      <c r="E56" s="953" t="s">
        <v>40</v>
      </c>
      <c r="F56" s="953" t="s">
        <v>88</v>
      </c>
      <c r="G56" s="953" t="s">
        <v>662</v>
      </c>
      <c r="H56" s="953">
        <v>95</v>
      </c>
      <c r="I56" s="188">
        <v>421.51005500000002</v>
      </c>
    </row>
    <row r="57" spans="5:9" x14ac:dyDescent="0.2">
      <c r="E57" s="953" t="s">
        <v>40</v>
      </c>
      <c r="F57" s="953" t="s">
        <v>88</v>
      </c>
      <c r="G57" s="953" t="s">
        <v>444</v>
      </c>
      <c r="H57" s="953">
        <v>4</v>
      </c>
      <c r="I57" s="188">
        <v>10.423621799399999</v>
      </c>
    </row>
    <row r="58" spans="5:9" x14ac:dyDescent="0.2">
      <c r="E58" s="953" t="s">
        <v>40</v>
      </c>
      <c r="F58" s="953" t="s">
        <v>88</v>
      </c>
      <c r="G58" s="953" t="s">
        <v>663</v>
      </c>
      <c r="H58" s="953">
        <v>41</v>
      </c>
      <c r="I58" s="188">
        <v>82.296284828799998</v>
      </c>
    </row>
    <row r="59" spans="5:9" x14ac:dyDescent="0.2">
      <c r="E59" s="953" t="s">
        <v>40</v>
      </c>
      <c r="F59" s="953" t="s">
        <v>88</v>
      </c>
      <c r="G59" s="953" t="s">
        <v>664</v>
      </c>
      <c r="H59" s="953">
        <v>20</v>
      </c>
      <c r="I59" s="188">
        <v>181.18103082100001</v>
      </c>
    </row>
    <row r="60" spans="5:9" x14ac:dyDescent="0.2">
      <c r="E60" s="953" t="s">
        <v>40</v>
      </c>
      <c r="F60" s="953" t="s">
        <v>238</v>
      </c>
      <c r="G60" s="953" t="s">
        <v>665</v>
      </c>
      <c r="H60" s="953">
        <v>139</v>
      </c>
      <c r="I60" s="188">
        <v>266.41023529</v>
      </c>
    </row>
    <row r="61" spans="5:9" x14ac:dyDescent="0.2">
      <c r="E61" s="953" t="s">
        <v>40</v>
      </c>
      <c r="F61" s="953" t="s">
        <v>238</v>
      </c>
      <c r="G61" s="953" t="s">
        <v>666</v>
      </c>
      <c r="H61" s="953">
        <v>245</v>
      </c>
      <c r="I61" s="188">
        <v>2785.8872547400001</v>
      </c>
    </row>
    <row r="62" spans="5:9" x14ac:dyDescent="0.2">
      <c r="E62" s="953" t="s">
        <v>40</v>
      </c>
      <c r="F62" s="953" t="s">
        <v>646</v>
      </c>
      <c r="G62" s="953" t="s">
        <v>667</v>
      </c>
      <c r="H62" s="953">
        <v>271</v>
      </c>
      <c r="I62" s="188">
        <v>1209.46986999</v>
      </c>
    </row>
    <row r="63" spans="5:9" x14ac:dyDescent="0.2">
      <c r="E63" s="953" t="s">
        <v>40</v>
      </c>
      <c r="F63" s="953" t="s">
        <v>648</v>
      </c>
      <c r="G63" s="953" t="s">
        <v>451</v>
      </c>
      <c r="H63" s="953">
        <v>236</v>
      </c>
      <c r="I63" s="188">
        <v>8015.8601634200004</v>
      </c>
    </row>
    <row r="64" spans="5:9" x14ac:dyDescent="0.2">
      <c r="E64" s="953" t="s">
        <v>40</v>
      </c>
      <c r="F64" s="953" t="s">
        <v>648</v>
      </c>
      <c r="G64" s="953" t="s">
        <v>452</v>
      </c>
      <c r="H64" s="953">
        <v>602</v>
      </c>
      <c r="I64" s="188">
        <v>2509.2065689299998</v>
      </c>
    </row>
    <row r="65" spans="5:9" x14ac:dyDescent="0.2">
      <c r="E65" s="953" t="s">
        <v>609</v>
      </c>
      <c r="F65" s="953" t="s">
        <v>639</v>
      </c>
      <c r="G65" s="953" t="s">
        <v>447</v>
      </c>
      <c r="H65" s="953">
        <v>106</v>
      </c>
      <c r="I65" s="188">
        <v>494.19203333299998</v>
      </c>
    </row>
    <row r="66" spans="5:9" x14ac:dyDescent="0.2">
      <c r="E66" s="953" t="s">
        <v>609</v>
      </c>
      <c r="F66" s="953" t="s">
        <v>639</v>
      </c>
      <c r="G66" s="953" t="s">
        <v>449</v>
      </c>
      <c r="H66" s="953">
        <v>37</v>
      </c>
      <c r="I66" s="188">
        <v>212.99513225000001</v>
      </c>
    </row>
    <row r="67" spans="5:9" x14ac:dyDescent="0.2">
      <c r="E67" s="953" t="s">
        <v>609</v>
      </c>
      <c r="F67" s="953" t="s">
        <v>639</v>
      </c>
      <c r="G67" s="953" t="s">
        <v>446</v>
      </c>
      <c r="H67" s="953">
        <v>530</v>
      </c>
      <c r="I67" s="188">
        <v>4016.9105238699999</v>
      </c>
    </row>
    <row r="68" spans="5:9" x14ac:dyDescent="0.2">
      <c r="E68" s="953" t="s">
        <v>609</v>
      </c>
      <c r="F68" s="953" t="s">
        <v>639</v>
      </c>
      <c r="G68" s="953" t="s">
        <v>448</v>
      </c>
      <c r="H68" s="953">
        <v>65</v>
      </c>
      <c r="I68" s="188">
        <v>288.28125291800001</v>
      </c>
    </row>
    <row r="69" spans="5:9" x14ac:dyDescent="0.2">
      <c r="E69" s="953" t="s">
        <v>609</v>
      </c>
      <c r="F69" s="953" t="s">
        <v>237</v>
      </c>
      <c r="G69" s="953" t="s">
        <v>661</v>
      </c>
      <c r="H69" s="953">
        <v>261</v>
      </c>
      <c r="I69" s="188">
        <v>918.22824822500002</v>
      </c>
    </row>
    <row r="70" spans="5:9" x14ac:dyDescent="0.2">
      <c r="E70" s="953" t="s">
        <v>609</v>
      </c>
      <c r="F70" s="953" t="s">
        <v>237</v>
      </c>
      <c r="G70" s="953" t="s">
        <v>14</v>
      </c>
      <c r="H70" s="953">
        <v>167</v>
      </c>
      <c r="I70" s="188">
        <v>888.820095498</v>
      </c>
    </row>
    <row r="71" spans="5:9" x14ac:dyDescent="0.2">
      <c r="E71" s="953" t="s">
        <v>609</v>
      </c>
      <c r="F71" s="953" t="s">
        <v>237</v>
      </c>
      <c r="G71" s="953" t="s">
        <v>443</v>
      </c>
      <c r="H71" s="953">
        <v>36</v>
      </c>
      <c r="I71" s="188">
        <v>206.561006284</v>
      </c>
    </row>
    <row r="72" spans="5:9" x14ac:dyDescent="0.2">
      <c r="E72" s="953" t="s">
        <v>609</v>
      </c>
      <c r="F72" s="953" t="s">
        <v>88</v>
      </c>
      <c r="G72" s="953" t="s">
        <v>662</v>
      </c>
      <c r="H72" s="953">
        <v>590</v>
      </c>
      <c r="I72" s="188">
        <v>2745.2355996000001</v>
      </c>
    </row>
    <row r="73" spans="5:9" x14ac:dyDescent="0.2">
      <c r="E73" s="953" t="s">
        <v>609</v>
      </c>
      <c r="F73" s="953" t="s">
        <v>88</v>
      </c>
      <c r="G73" s="953" t="s">
        <v>444</v>
      </c>
      <c r="H73" s="953">
        <v>28</v>
      </c>
      <c r="I73" s="188">
        <v>92.722222368000004</v>
      </c>
    </row>
    <row r="74" spans="5:9" x14ac:dyDescent="0.2">
      <c r="E74" s="953" t="s">
        <v>609</v>
      </c>
      <c r="F74" s="953" t="s">
        <v>88</v>
      </c>
      <c r="G74" s="953" t="s">
        <v>663</v>
      </c>
      <c r="H74" s="953">
        <v>118</v>
      </c>
      <c r="I74" s="188">
        <v>2189.54355605</v>
      </c>
    </row>
    <row r="75" spans="5:9" x14ac:dyDescent="0.2">
      <c r="E75" s="953" t="s">
        <v>609</v>
      </c>
      <c r="F75" s="953" t="s">
        <v>88</v>
      </c>
      <c r="G75" s="953" t="s">
        <v>664</v>
      </c>
      <c r="H75" s="953">
        <v>35</v>
      </c>
      <c r="I75" s="188">
        <v>143.89106455699999</v>
      </c>
    </row>
    <row r="76" spans="5:9" x14ac:dyDescent="0.2">
      <c r="E76" s="953" t="s">
        <v>609</v>
      </c>
      <c r="F76" s="953" t="s">
        <v>238</v>
      </c>
      <c r="G76" s="953" t="s">
        <v>665</v>
      </c>
      <c r="H76" s="953">
        <v>235</v>
      </c>
      <c r="I76" s="188">
        <v>481.48130172499998</v>
      </c>
    </row>
    <row r="77" spans="5:9" x14ac:dyDescent="0.2">
      <c r="E77" s="953" t="s">
        <v>609</v>
      </c>
      <c r="F77" s="953" t="s">
        <v>238</v>
      </c>
      <c r="G77" s="953" t="s">
        <v>666</v>
      </c>
      <c r="H77" s="953">
        <v>241</v>
      </c>
      <c r="I77" s="188">
        <v>2293.4310513999999</v>
      </c>
    </row>
    <row r="78" spans="5:9" x14ac:dyDescent="0.2">
      <c r="E78" s="953" t="s">
        <v>609</v>
      </c>
      <c r="F78" s="953" t="s">
        <v>646</v>
      </c>
      <c r="G78" s="953" t="s">
        <v>667</v>
      </c>
      <c r="H78" s="953">
        <v>1168</v>
      </c>
      <c r="I78" s="188">
        <v>8260.6480354800005</v>
      </c>
    </row>
    <row r="79" spans="5:9" x14ac:dyDescent="0.2">
      <c r="E79" s="953" t="s">
        <v>609</v>
      </c>
      <c r="F79" s="953" t="s">
        <v>647</v>
      </c>
      <c r="G79" s="953" t="s">
        <v>458</v>
      </c>
      <c r="H79" s="953">
        <v>787</v>
      </c>
      <c r="I79" s="188">
        <v>6548.0631321000001</v>
      </c>
    </row>
    <row r="80" spans="5:9" x14ac:dyDescent="0.2">
      <c r="E80" s="953" t="s">
        <v>609</v>
      </c>
      <c r="F80" s="953" t="s">
        <v>648</v>
      </c>
      <c r="G80" s="953" t="s">
        <v>451</v>
      </c>
      <c r="H80" s="953">
        <v>565</v>
      </c>
      <c r="I80" s="188">
        <v>10657.749424600001</v>
      </c>
    </row>
    <row r="81" spans="5:9" x14ac:dyDescent="0.2">
      <c r="E81" s="953" t="s">
        <v>609</v>
      </c>
      <c r="F81" s="953" t="s">
        <v>648</v>
      </c>
      <c r="G81" s="953" t="s">
        <v>452</v>
      </c>
      <c r="H81" s="953">
        <v>2032</v>
      </c>
      <c r="I81" s="188">
        <v>10169.1649101</v>
      </c>
    </row>
    <row r="82" spans="5:9" x14ac:dyDescent="0.2">
      <c r="E82" s="953" t="s">
        <v>610</v>
      </c>
      <c r="F82" s="953" t="s">
        <v>639</v>
      </c>
      <c r="G82" s="953" t="s">
        <v>447</v>
      </c>
      <c r="H82" s="953">
        <v>223</v>
      </c>
      <c r="I82" s="188">
        <v>1472.0851461499999</v>
      </c>
    </row>
    <row r="83" spans="5:9" x14ac:dyDescent="0.2">
      <c r="E83" s="953" t="s">
        <v>610</v>
      </c>
      <c r="F83" s="953" t="s">
        <v>639</v>
      </c>
      <c r="G83" s="953" t="s">
        <v>712</v>
      </c>
      <c r="H83" s="953">
        <v>6</v>
      </c>
      <c r="I83" s="188">
        <v>22.860510656100001</v>
      </c>
    </row>
    <row r="84" spans="5:9" x14ac:dyDescent="0.2">
      <c r="E84" s="953" t="s">
        <v>610</v>
      </c>
      <c r="F84" s="953" t="s">
        <v>639</v>
      </c>
      <c r="G84" s="953" t="s">
        <v>449</v>
      </c>
      <c r="H84" s="953">
        <v>92</v>
      </c>
      <c r="I84" s="188">
        <v>559.05144803300004</v>
      </c>
    </row>
    <row r="85" spans="5:9" x14ac:dyDescent="0.2">
      <c r="E85" s="953" t="s">
        <v>610</v>
      </c>
      <c r="F85" s="953" t="s">
        <v>639</v>
      </c>
      <c r="G85" s="953" t="s">
        <v>446</v>
      </c>
      <c r="H85" s="953">
        <v>261</v>
      </c>
      <c r="I85" s="188">
        <v>1168.66819248</v>
      </c>
    </row>
    <row r="86" spans="5:9" x14ac:dyDescent="0.2">
      <c r="E86" s="953" t="s">
        <v>610</v>
      </c>
      <c r="F86" s="953" t="s">
        <v>639</v>
      </c>
      <c r="G86" s="953" t="s">
        <v>448</v>
      </c>
      <c r="H86" s="953">
        <v>129</v>
      </c>
      <c r="I86" s="188">
        <v>1206.2034814900001</v>
      </c>
    </row>
    <row r="87" spans="5:9" x14ac:dyDescent="0.2">
      <c r="E87" s="953" t="s">
        <v>610</v>
      </c>
      <c r="F87" s="953" t="s">
        <v>237</v>
      </c>
      <c r="G87" s="953" t="s">
        <v>661</v>
      </c>
      <c r="H87" s="953">
        <v>423</v>
      </c>
      <c r="I87" s="188">
        <v>1308.40889569</v>
      </c>
    </row>
    <row r="88" spans="5:9" x14ac:dyDescent="0.2">
      <c r="E88" s="953" t="s">
        <v>610</v>
      </c>
      <c r="F88" s="953" t="s">
        <v>237</v>
      </c>
      <c r="G88" s="953" t="s">
        <v>14</v>
      </c>
      <c r="H88" s="953">
        <v>211</v>
      </c>
      <c r="I88" s="188">
        <v>1320.5799047400001</v>
      </c>
    </row>
    <row r="89" spans="5:9" x14ac:dyDescent="0.2">
      <c r="E89" s="953" t="s">
        <v>610</v>
      </c>
      <c r="F89" s="953" t="s">
        <v>237</v>
      </c>
      <c r="G89" s="953" t="s">
        <v>443</v>
      </c>
      <c r="H89" s="953">
        <v>36</v>
      </c>
      <c r="I89" s="188">
        <v>166.878350361</v>
      </c>
    </row>
    <row r="90" spans="5:9" x14ac:dyDescent="0.2">
      <c r="E90" s="953" t="s">
        <v>610</v>
      </c>
      <c r="F90" s="953" t="s">
        <v>88</v>
      </c>
      <c r="G90" s="953" t="s">
        <v>662</v>
      </c>
      <c r="H90" s="953">
        <v>414</v>
      </c>
      <c r="I90" s="188">
        <v>1699.5506878399999</v>
      </c>
    </row>
    <row r="91" spans="5:9" x14ac:dyDescent="0.2">
      <c r="E91" s="953" t="s">
        <v>610</v>
      </c>
      <c r="F91" s="953" t="s">
        <v>88</v>
      </c>
      <c r="G91" s="953" t="s">
        <v>444</v>
      </c>
      <c r="H91" s="953">
        <v>6</v>
      </c>
      <c r="I91" s="188">
        <v>13.909099635600001</v>
      </c>
    </row>
    <row r="92" spans="5:9" x14ac:dyDescent="0.2">
      <c r="E92" s="953" t="s">
        <v>610</v>
      </c>
      <c r="F92" s="953" t="s">
        <v>88</v>
      </c>
      <c r="G92" s="953" t="s">
        <v>663</v>
      </c>
      <c r="H92" s="953">
        <v>125</v>
      </c>
      <c r="I92" s="188">
        <v>430.74332181199998</v>
      </c>
    </row>
    <row r="93" spans="5:9" x14ac:dyDescent="0.2">
      <c r="E93" s="953" t="s">
        <v>610</v>
      </c>
      <c r="F93" s="953" t="s">
        <v>88</v>
      </c>
      <c r="G93" s="953" t="s">
        <v>664</v>
      </c>
      <c r="H93" s="953">
        <v>377</v>
      </c>
      <c r="I93" s="188">
        <v>1488.57414356</v>
      </c>
    </row>
    <row r="94" spans="5:9" x14ac:dyDescent="0.2">
      <c r="E94" s="953" t="s">
        <v>610</v>
      </c>
      <c r="F94" s="953" t="s">
        <v>238</v>
      </c>
      <c r="G94" s="953" t="s">
        <v>665</v>
      </c>
      <c r="H94" s="953">
        <v>217</v>
      </c>
      <c r="I94" s="188">
        <v>548.967278695</v>
      </c>
    </row>
    <row r="95" spans="5:9" x14ac:dyDescent="0.2">
      <c r="E95" s="953" t="s">
        <v>610</v>
      </c>
      <c r="F95" s="953" t="s">
        <v>238</v>
      </c>
      <c r="G95" s="953" t="s">
        <v>666</v>
      </c>
      <c r="H95" s="953">
        <v>225</v>
      </c>
      <c r="I95" s="188">
        <v>1855.1528547800001</v>
      </c>
    </row>
    <row r="96" spans="5:9" x14ac:dyDescent="0.2">
      <c r="E96" s="953" t="s">
        <v>610</v>
      </c>
      <c r="F96" s="953" t="s">
        <v>646</v>
      </c>
      <c r="G96" s="953" t="s">
        <v>667</v>
      </c>
      <c r="H96" s="953">
        <v>551</v>
      </c>
      <c r="I96" s="188">
        <v>2531.37833439</v>
      </c>
    </row>
    <row r="97" spans="5:9" x14ac:dyDescent="0.2">
      <c r="E97" s="953" t="s">
        <v>610</v>
      </c>
      <c r="F97" s="953" t="s">
        <v>647</v>
      </c>
      <c r="G97" s="953" t="s">
        <v>458</v>
      </c>
      <c r="H97" s="953">
        <v>77</v>
      </c>
      <c r="I97" s="188">
        <v>818.24459812099997</v>
      </c>
    </row>
    <row r="98" spans="5:9" x14ac:dyDescent="0.2">
      <c r="E98" s="953" t="s">
        <v>610</v>
      </c>
      <c r="F98" s="953" t="s">
        <v>648</v>
      </c>
      <c r="G98" s="953" t="s">
        <v>451</v>
      </c>
      <c r="H98" s="953">
        <v>358</v>
      </c>
      <c r="I98" s="188">
        <v>16210.673215500001</v>
      </c>
    </row>
    <row r="99" spans="5:9" x14ac:dyDescent="0.2">
      <c r="E99" s="953" t="s">
        <v>610</v>
      </c>
      <c r="F99" s="953" t="s">
        <v>648</v>
      </c>
      <c r="G99" s="953" t="s">
        <v>452</v>
      </c>
      <c r="H99" s="953">
        <v>1107</v>
      </c>
      <c r="I99" s="188">
        <v>7347.7396789300001</v>
      </c>
    </row>
    <row r="100" spans="5:9" x14ac:dyDescent="0.2">
      <c r="E100" s="953" t="s">
        <v>643</v>
      </c>
      <c r="F100" s="953" t="s">
        <v>639</v>
      </c>
      <c r="G100" s="953" t="s">
        <v>447</v>
      </c>
      <c r="H100" s="953">
        <v>40</v>
      </c>
      <c r="I100" s="188">
        <v>268.11273147899999</v>
      </c>
    </row>
    <row r="101" spans="5:9" x14ac:dyDescent="0.2">
      <c r="E101" s="953" t="s">
        <v>643</v>
      </c>
      <c r="F101" s="953" t="s">
        <v>639</v>
      </c>
      <c r="G101" s="953" t="s">
        <v>449</v>
      </c>
      <c r="H101" s="953">
        <v>40</v>
      </c>
      <c r="I101" s="188">
        <v>203.16795586699999</v>
      </c>
    </row>
    <row r="102" spans="5:9" x14ac:dyDescent="0.2">
      <c r="E102" s="953" t="s">
        <v>643</v>
      </c>
      <c r="F102" s="953" t="s">
        <v>639</v>
      </c>
      <c r="G102" s="953" t="s">
        <v>446</v>
      </c>
      <c r="H102" s="953">
        <v>190</v>
      </c>
      <c r="I102" s="188">
        <v>1583.66493846</v>
      </c>
    </row>
    <row r="103" spans="5:9" x14ac:dyDescent="0.2">
      <c r="E103" s="953" t="s">
        <v>643</v>
      </c>
      <c r="F103" s="953" t="s">
        <v>639</v>
      </c>
      <c r="G103" s="953" t="s">
        <v>448</v>
      </c>
      <c r="H103" s="953">
        <v>86</v>
      </c>
      <c r="I103" s="188">
        <v>818.54460149600004</v>
      </c>
    </row>
    <row r="104" spans="5:9" x14ac:dyDescent="0.2">
      <c r="E104" s="953" t="s">
        <v>643</v>
      </c>
      <c r="F104" s="953" t="s">
        <v>237</v>
      </c>
      <c r="G104" s="953" t="s">
        <v>661</v>
      </c>
      <c r="H104" s="953">
        <v>25</v>
      </c>
      <c r="I104" s="188">
        <v>30.749686557299999</v>
      </c>
    </row>
    <row r="105" spans="5:9" x14ac:dyDescent="0.2">
      <c r="E105" s="953" t="s">
        <v>643</v>
      </c>
      <c r="F105" s="953" t="s">
        <v>237</v>
      </c>
      <c r="G105" s="953" t="s">
        <v>14</v>
      </c>
      <c r="H105" s="953">
        <v>9</v>
      </c>
      <c r="I105" s="188">
        <v>162.63409458699999</v>
      </c>
    </row>
    <row r="106" spans="5:9" x14ac:dyDescent="0.2">
      <c r="E106" s="953" t="s">
        <v>643</v>
      </c>
      <c r="F106" s="953" t="s">
        <v>237</v>
      </c>
      <c r="G106" s="953" t="s">
        <v>443</v>
      </c>
      <c r="H106" s="953">
        <v>34</v>
      </c>
      <c r="I106" s="188">
        <v>238.04623523500001</v>
      </c>
    </row>
    <row r="107" spans="5:9" x14ac:dyDescent="0.2">
      <c r="E107" s="953" t="s">
        <v>643</v>
      </c>
      <c r="F107" s="953" t="s">
        <v>88</v>
      </c>
      <c r="G107" s="953" t="s">
        <v>662</v>
      </c>
      <c r="H107" s="953">
        <v>153</v>
      </c>
      <c r="I107" s="188">
        <v>997.37128143999996</v>
      </c>
    </row>
    <row r="108" spans="5:9" x14ac:dyDescent="0.2">
      <c r="E108" s="953" t="s">
        <v>643</v>
      </c>
      <c r="F108" s="953" t="s">
        <v>88</v>
      </c>
      <c r="G108" s="953" t="s">
        <v>444</v>
      </c>
      <c r="H108" s="953">
        <v>18</v>
      </c>
      <c r="I108" s="188">
        <v>298.66484750699999</v>
      </c>
    </row>
    <row r="109" spans="5:9" x14ac:dyDescent="0.2">
      <c r="E109" s="953" t="s">
        <v>643</v>
      </c>
      <c r="F109" s="953" t="s">
        <v>88</v>
      </c>
      <c r="G109" s="953" t="s">
        <v>663</v>
      </c>
      <c r="H109" s="953">
        <v>14</v>
      </c>
      <c r="I109" s="188">
        <v>50.808200821299998</v>
      </c>
    </row>
    <row r="110" spans="5:9" x14ac:dyDescent="0.2">
      <c r="E110" s="953" t="s">
        <v>643</v>
      </c>
      <c r="F110" s="953" t="s">
        <v>238</v>
      </c>
      <c r="G110" s="953" t="s">
        <v>665</v>
      </c>
      <c r="H110" s="953">
        <v>34</v>
      </c>
      <c r="I110" s="188">
        <v>302.458457452</v>
      </c>
    </row>
    <row r="111" spans="5:9" x14ac:dyDescent="0.2">
      <c r="E111" s="953" t="s">
        <v>643</v>
      </c>
      <c r="F111" s="953" t="s">
        <v>238</v>
      </c>
      <c r="G111" s="953" t="s">
        <v>666</v>
      </c>
      <c r="H111" s="953">
        <v>50</v>
      </c>
      <c r="I111" s="188">
        <v>546.39646121400006</v>
      </c>
    </row>
    <row r="112" spans="5:9" x14ac:dyDescent="0.2">
      <c r="E112" s="953" t="s">
        <v>643</v>
      </c>
      <c r="F112" s="953" t="s">
        <v>646</v>
      </c>
      <c r="G112" s="953" t="s">
        <v>667</v>
      </c>
      <c r="H112" s="953">
        <v>213</v>
      </c>
      <c r="I112" s="188">
        <v>1578.3291194999999</v>
      </c>
    </row>
    <row r="113" spans="5:9" x14ac:dyDescent="0.2">
      <c r="E113" s="953" t="s">
        <v>643</v>
      </c>
      <c r="F113" s="953" t="s">
        <v>647</v>
      </c>
      <c r="G113" s="953" t="s">
        <v>458</v>
      </c>
      <c r="H113" s="953">
        <v>14</v>
      </c>
      <c r="I113" s="188">
        <v>94.849329030700005</v>
      </c>
    </row>
    <row r="114" spans="5:9" x14ac:dyDescent="0.2">
      <c r="E114" s="953" t="s">
        <v>643</v>
      </c>
      <c r="F114" s="953" t="s">
        <v>648</v>
      </c>
      <c r="G114" s="953" t="s">
        <v>451</v>
      </c>
      <c r="H114" s="953">
        <v>52</v>
      </c>
      <c r="I114" s="188">
        <v>2773.3247850900002</v>
      </c>
    </row>
    <row r="115" spans="5:9" x14ac:dyDescent="0.2">
      <c r="E115" s="953" t="s">
        <v>643</v>
      </c>
      <c r="F115" s="953" t="s">
        <v>648</v>
      </c>
      <c r="G115" s="953" t="s">
        <v>452</v>
      </c>
      <c r="H115" s="953">
        <v>353</v>
      </c>
      <c r="I115" s="188">
        <v>3289.78646084</v>
      </c>
    </row>
    <row r="116" spans="5:9" x14ac:dyDescent="0.2">
      <c r="E116" s="953" t="s">
        <v>644</v>
      </c>
      <c r="F116" s="953" t="s">
        <v>639</v>
      </c>
      <c r="G116" s="953" t="s">
        <v>447</v>
      </c>
      <c r="H116" s="953">
        <v>76</v>
      </c>
      <c r="I116" s="188">
        <v>196.14783945100001</v>
      </c>
    </row>
    <row r="117" spans="5:9" x14ac:dyDescent="0.2">
      <c r="E117" s="953" t="s">
        <v>644</v>
      </c>
      <c r="F117" s="953" t="s">
        <v>639</v>
      </c>
      <c r="G117" s="953" t="s">
        <v>712</v>
      </c>
      <c r="H117" s="953">
        <v>5</v>
      </c>
      <c r="I117" s="188">
        <v>11.497450904300001</v>
      </c>
    </row>
    <row r="118" spans="5:9" x14ac:dyDescent="0.2">
      <c r="E118" s="953" t="s">
        <v>644</v>
      </c>
      <c r="F118" s="953" t="s">
        <v>639</v>
      </c>
      <c r="G118" s="953" t="s">
        <v>449</v>
      </c>
      <c r="H118" s="953">
        <v>24</v>
      </c>
      <c r="I118" s="188">
        <v>40.905957554700002</v>
      </c>
    </row>
    <row r="119" spans="5:9" x14ac:dyDescent="0.2">
      <c r="E119" s="953" t="s">
        <v>644</v>
      </c>
      <c r="F119" s="953" t="s">
        <v>639</v>
      </c>
      <c r="G119" s="953" t="s">
        <v>446</v>
      </c>
      <c r="H119" s="953">
        <v>237</v>
      </c>
      <c r="I119" s="188">
        <v>940.70052658500003</v>
      </c>
    </row>
    <row r="120" spans="5:9" x14ac:dyDescent="0.2">
      <c r="E120" s="953" t="s">
        <v>644</v>
      </c>
      <c r="F120" s="953" t="s">
        <v>639</v>
      </c>
      <c r="G120" s="953" t="s">
        <v>448</v>
      </c>
      <c r="H120" s="953">
        <v>137</v>
      </c>
      <c r="I120" s="188">
        <v>373.14555568200001</v>
      </c>
    </row>
    <row r="121" spans="5:9" x14ac:dyDescent="0.2">
      <c r="E121" s="953" t="s">
        <v>644</v>
      </c>
      <c r="F121" s="953" t="s">
        <v>237</v>
      </c>
      <c r="G121" s="953" t="s">
        <v>661</v>
      </c>
      <c r="H121" s="953">
        <v>157</v>
      </c>
      <c r="I121" s="188">
        <v>248.25248534900001</v>
      </c>
    </row>
    <row r="122" spans="5:9" x14ac:dyDescent="0.2">
      <c r="E122" s="953" t="s">
        <v>644</v>
      </c>
      <c r="F122" s="953" t="s">
        <v>237</v>
      </c>
      <c r="G122" s="953" t="s">
        <v>14</v>
      </c>
      <c r="H122" s="953">
        <v>28</v>
      </c>
      <c r="I122" s="188">
        <v>108.255607377</v>
      </c>
    </row>
    <row r="123" spans="5:9" x14ac:dyDescent="0.2">
      <c r="E123" s="953" t="s">
        <v>644</v>
      </c>
      <c r="F123" s="953" t="s">
        <v>237</v>
      </c>
      <c r="G123" s="953" t="s">
        <v>443</v>
      </c>
      <c r="H123" s="953">
        <v>4</v>
      </c>
      <c r="I123" s="188">
        <v>3.45632830473</v>
      </c>
    </row>
    <row r="124" spans="5:9" x14ac:dyDescent="0.2">
      <c r="E124" s="953" t="s">
        <v>644</v>
      </c>
      <c r="F124" s="953" t="s">
        <v>88</v>
      </c>
      <c r="G124" s="953" t="s">
        <v>662</v>
      </c>
      <c r="H124" s="953">
        <v>221</v>
      </c>
      <c r="I124" s="188">
        <v>492.803343149</v>
      </c>
    </row>
    <row r="125" spans="5:9" x14ac:dyDescent="0.2">
      <c r="E125" s="953" t="s">
        <v>644</v>
      </c>
      <c r="F125" s="953" t="s">
        <v>88</v>
      </c>
      <c r="G125" s="953" t="s">
        <v>663</v>
      </c>
      <c r="H125" s="953">
        <v>71</v>
      </c>
      <c r="I125" s="188">
        <v>233.94770360199999</v>
      </c>
    </row>
    <row r="126" spans="5:9" x14ac:dyDescent="0.2">
      <c r="E126" s="953" t="s">
        <v>644</v>
      </c>
      <c r="F126" s="953" t="s">
        <v>88</v>
      </c>
      <c r="G126" s="953" t="s">
        <v>664</v>
      </c>
      <c r="H126" s="953">
        <v>19</v>
      </c>
      <c r="I126" s="188">
        <v>46.224755823599999</v>
      </c>
    </row>
    <row r="127" spans="5:9" x14ac:dyDescent="0.2">
      <c r="E127" s="953" t="s">
        <v>644</v>
      </c>
      <c r="F127" s="953" t="s">
        <v>238</v>
      </c>
      <c r="G127" s="953" t="s">
        <v>665</v>
      </c>
      <c r="H127" s="953">
        <v>74</v>
      </c>
      <c r="I127" s="188">
        <v>170.80030696899999</v>
      </c>
    </row>
    <row r="128" spans="5:9" x14ac:dyDescent="0.2">
      <c r="E128" s="953" t="s">
        <v>644</v>
      </c>
      <c r="F128" s="953" t="s">
        <v>238</v>
      </c>
      <c r="G128" s="953" t="s">
        <v>666</v>
      </c>
      <c r="H128" s="953">
        <v>225</v>
      </c>
      <c r="I128" s="188">
        <v>1220.5267956299999</v>
      </c>
    </row>
    <row r="129" spans="5:9" x14ac:dyDescent="0.2">
      <c r="E129" s="953" t="s">
        <v>644</v>
      </c>
      <c r="F129" s="953" t="s">
        <v>646</v>
      </c>
      <c r="G129" s="953" t="s">
        <v>667</v>
      </c>
      <c r="H129" s="953">
        <v>719</v>
      </c>
      <c r="I129" s="188">
        <v>1967.23065133</v>
      </c>
    </row>
    <row r="130" spans="5:9" x14ac:dyDescent="0.2">
      <c r="E130" s="953" t="s">
        <v>644</v>
      </c>
      <c r="F130" s="953" t="s">
        <v>647</v>
      </c>
      <c r="G130" s="953" t="s">
        <v>458</v>
      </c>
      <c r="H130" s="953">
        <v>107</v>
      </c>
      <c r="I130" s="188">
        <v>1034.5858946599999</v>
      </c>
    </row>
    <row r="131" spans="5:9" x14ac:dyDescent="0.2">
      <c r="E131" s="953" t="s">
        <v>644</v>
      </c>
      <c r="F131" s="953" t="s">
        <v>648</v>
      </c>
      <c r="G131" s="953" t="s">
        <v>451</v>
      </c>
      <c r="H131" s="953">
        <v>151</v>
      </c>
      <c r="I131" s="188">
        <v>900.091540452</v>
      </c>
    </row>
    <row r="132" spans="5:9" x14ac:dyDescent="0.2">
      <c r="E132" s="953" t="s">
        <v>644</v>
      </c>
      <c r="F132" s="953" t="s">
        <v>648</v>
      </c>
      <c r="G132" s="953" t="s">
        <v>452</v>
      </c>
      <c r="H132" s="953">
        <v>715</v>
      </c>
      <c r="I132" s="188">
        <v>1701.7221994500001</v>
      </c>
    </row>
    <row r="133" spans="5:9" x14ac:dyDescent="0.2">
      <c r="E133" s="953" t="s">
        <v>645</v>
      </c>
      <c r="F133" s="953" t="s">
        <v>639</v>
      </c>
      <c r="G133" s="953" t="s">
        <v>447</v>
      </c>
      <c r="H133" s="953">
        <v>73</v>
      </c>
      <c r="I133" s="188">
        <v>280.62464302299998</v>
      </c>
    </row>
    <row r="134" spans="5:9" x14ac:dyDescent="0.2">
      <c r="E134" s="953" t="s">
        <v>645</v>
      </c>
      <c r="F134" s="953" t="s">
        <v>639</v>
      </c>
      <c r="G134" s="953" t="s">
        <v>712</v>
      </c>
      <c r="H134" s="953">
        <v>23</v>
      </c>
      <c r="I134" s="188">
        <v>113.254425557</v>
      </c>
    </row>
    <row r="135" spans="5:9" x14ac:dyDescent="0.2">
      <c r="E135" s="953" t="s">
        <v>645</v>
      </c>
      <c r="F135" s="953" t="s">
        <v>639</v>
      </c>
      <c r="G135" s="953" t="s">
        <v>449</v>
      </c>
      <c r="H135" s="953">
        <v>91</v>
      </c>
      <c r="I135" s="188">
        <v>248.732978645</v>
      </c>
    </row>
    <row r="136" spans="5:9" x14ac:dyDescent="0.2">
      <c r="E136" s="953" t="s">
        <v>645</v>
      </c>
      <c r="F136" s="953" t="s">
        <v>639</v>
      </c>
      <c r="G136" s="953" t="s">
        <v>446</v>
      </c>
      <c r="H136" s="953">
        <v>461</v>
      </c>
      <c r="I136" s="188">
        <v>2075.8873085099999</v>
      </c>
    </row>
    <row r="137" spans="5:9" x14ac:dyDescent="0.2">
      <c r="E137" s="953" t="s">
        <v>645</v>
      </c>
      <c r="F137" s="953" t="s">
        <v>639</v>
      </c>
      <c r="G137" s="953" t="s">
        <v>448</v>
      </c>
      <c r="H137" s="953">
        <v>320</v>
      </c>
      <c r="I137" s="188">
        <v>1434.0721534500001</v>
      </c>
    </row>
    <row r="138" spans="5:9" x14ac:dyDescent="0.2">
      <c r="E138" s="953" t="s">
        <v>645</v>
      </c>
      <c r="F138" s="953" t="s">
        <v>237</v>
      </c>
      <c r="G138" s="953" t="s">
        <v>661</v>
      </c>
      <c r="H138" s="953">
        <v>133</v>
      </c>
      <c r="I138" s="188">
        <v>163.45324123500001</v>
      </c>
    </row>
    <row r="139" spans="5:9" x14ac:dyDescent="0.2">
      <c r="E139" s="953" t="s">
        <v>645</v>
      </c>
      <c r="F139" s="953" t="s">
        <v>237</v>
      </c>
      <c r="G139" s="953" t="s">
        <v>14</v>
      </c>
      <c r="H139" s="953">
        <v>48</v>
      </c>
      <c r="I139" s="188">
        <v>184.90735388900001</v>
      </c>
    </row>
    <row r="140" spans="5:9" x14ac:dyDescent="0.2">
      <c r="E140" s="953" t="s">
        <v>645</v>
      </c>
      <c r="F140" s="953" t="s">
        <v>237</v>
      </c>
      <c r="G140" s="953" t="s">
        <v>443</v>
      </c>
      <c r="H140" s="953">
        <v>28</v>
      </c>
      <c r="I140" s="188">
        <v>110.50496144500001</v>
      </c>
    </row>
    <row r="141" spans="5:9" x14ac:dyDescent="0.2">
      <c r="E141" s="953" t="s">
        <v>645</v>
      </c>
      <c r="F141" s="953" t="s">
        <v>88</v>
      </c>
      <c r="G141" s="953" t="s">
        <v>662</v>
      </c>
      <c r="H141" s="953">
        <v>438</v>
      </c>
      <c r="I141" s="188">
        <v>1117.1426717300001</v>
      </c>
    </row>
    <row r="142" spans="5:9" x14ac:dyDescent="0.2">
      <c r="E142" s="953" t="s">
        <v>645</v>
      </c>
      <c r="F142" s="953" t="s">
        <v>88</v>
      </c>
      <c r="G142" s="953" t="s">
        <v>444</v>
      </c>
      <c r="H142" s="953">
        <v>31</v>
      </c>
      <c r="I142" s="188">
        <v>275.14468692100002</v>
      </c>
    </row>
    <row r="143" spans="5:9" x14ac:dyDescent="0.2">
      <c r="E143" s="953" t="s">
        <v>645</v>
      </c>
      <c r="F143" s="953" t="s">
        <v>88</v>
      </c>
      <c r="G143" s="953" t="s">
        <v>663</v>
      </c>
      <c r="H143" s="953">
        <v>31</v>
      </c>
      <c r="I143" s="188">
        <v>52.516390592</v>
      </c>
    </row>
    <row r="144" spans="5:9" x14ac:dyDescent="0.2">
      <c r="E144" s="953" t="s">
        <v>645</v>
      </c>
      <c r="F144" s="953" t="s">
        <v>88</v>
      </c>
      <c r="G144" s="953" t="s">
        <v>664</v>
      </c>
      <c r="H144" s="953">
        <v>72</v>
      </c>
      <c r="I144" s="188">
        <v>65.722010413299998</v>
      </c>
    </row>
    <row r="145" spans="5:9" x14ac:dyDescent="0.2">
      <c r="E145" s="953" t="s">
        <v>645</v>
      </c>
      <c r="F145" s="953" t="s">
        <v>238</v>
      </c>
      <c r="G145" s="953" t="s">
        <v>665</v>
      </c>
      <c r="H145" s="953">
        <v>45</v>
      </c>
      <c r="I145" s="188">
        <v>105.565343699</v>
      </c>
    </row>
    <row r="146" spans="5:9" x14ac:dyDescent="0.2">
      <c r="E146" s="953" t="s">
        <v>645</v>
      </c>
      <c r="F146" s="953" t="s">
        <v>238</v>
      </c>
      <c r="G146" s="953" t="s">
        <v>666</v>
      </c>
      <c r="H146" s="953">
        <v>141</v>
      </c>
      <c r="I146" s="188">
        <v>600.18554677300006</v>
      </c>
    </row>
    <row r="147" spans="5:9" x14ac:dyDescent="0.2">
      <c r="E147" s="953" t="s">
        <v>645</v>
      </c>
      <c r="F147" s="953" t="s">
        <v>646</v>
      </c>
      <c r="G147" s="953" t="s">
        <v>667</v>
      </c>
      <c r="H147" s="953">
        <v>1025</v>
      </c>
      <c r="I147" s="188">
        <v>3280.3129180999999</v>
      </c>
    </row>
    <row r="148" spans="5:9" x14ac:dyDescent="0.2">
      <c r="E148" s="953" t="s">
        <v>645</v>
      </c>
      <c r="F148" s="953" t="s">
        <v>648</v>
      </c>
      <c r="G148" s="953" t="s">
        <v>451</v>
      </c>
      <c r="H148" s="953">
        <v>297</v>
      </c>
      <c r="I148" s="188">
        <v>5212.8427580300004</v>
      </c>
    </row>
    <row r="149" spans="5:9" x14ac:dyDescent="0.2">
      <c r="E149" s="953" t="s">
        <v>645</v>
      </c>
      <c r="F149" s="953" t="s">
        <v>648</v>
      </c>
      <c r="G149" s="953" t="s">
        <v>452</v>
      </c>
      <c r="H149" s="953">
        <v>1461</v>
      </c>
      <c r="I149" s="188">
        <v>4835.9406170100001</v>
      </c>
    </row>
  </sheetData>
  <autoFilter ref="R31:T41" xr:uid="{26793A90-C699-4382-BEAC-4246764EFB52}">
    <filterColumn colId="0">
      <colorFilter dxfId="25"/>
    </filterColumn>
  </autoFilter>
  <mergeCells count="2">
    <mergeCell ref="L2:T2"/>
    <mergeCell ref="W2:AC2"/>
  </mergeCells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7BE3-BB8F-4474-896A-C8D217171E68}">
  <dimension ref="A2:S39"/>
  <sheetViews>
    <sheetView workbookViewId="0">
      <selection activeCell="D26" sqref="D26"/>
    </sheetView>
  </sheetViews>
  <sheetFormatPr defaultRowHeight="12.75" x14ac:dyDescent="0.2"/>
  <cols>
    <col min="1" max="1" width="33.85546875" customWidth="1"/>
    <col min="2" max="2" width="22.5703125" customWidth="1"/>
    <col min="3" max="3" width="17.28515625" bestFit="1" customWidth="1"/>
    <col min="4" max="4" width="23.85546875" bestFit="1" customWidth="1"/>
    <col min="5" max="5" width="22.7109375" bestFit="1" customWidth="1"/>
    <col min="6" max="6" width="12" bestFit="1" customWidth="1"/>
    <col min="7" max="7" width="35.140625" bestFit="1" customWidth="1"/>
    <col min="8" max="8" width="22.42578125" bestFit="1" customWidth="1"/>
    <col min="9" max="9" width="26" bestFit="1" customWidth="1"/>
    <col min="10" max="11" width="12" bestFit="1" customWidth="1"/>
    <col min="12" max="12" width="20.5703125" bestFit="1" customWidth="1"/>
    <col min="13" max="13" width="16.5703125" bestFit="1" customWidth="1"/>
    <col min="14" max="19" width="12" bestFit="1" customWidth="1"/>
  </cols>
  <sheetData>
    <row r="2" spans="1:19" x14ac:dyDescent="0.2">
      <c r="A2" s="141" t="s">
        <v>797</v>
      </c>
    </row>
    <row r="3" spans="1:19" x14ac:dyDescent="0.2">
      <c r="A3" s="965" t="s">
        <v>682</v>
      </c>
      <c r="B3" s="965" t="s">
        <v>681</v>
      </c>
    </row>
    <row r="4" spans="1:19" x14ac:dyDescent="0.2">
      <c r="A4" s="965" t="s">
        <v>670</v>
      </c>
      <c r="B4" s="35" t="s">
        <v>447</v>
      </c>
      <c r="C4" s="35" t="s">
        <v>667</v>
      </c>
      <c r="D4" s="35" t="s">
        <v>661</v>
      </c>
      <c r="E4" s="35" t="s">
        <v>14</v>
      </c>
      <c r="F4" s="35" t="s">
        <v>443</v>
      </c>
      <c r="G4" s="35" t="s">
        <v>665</v>
      </c>
      <c r="H4" s="35" t="s">
        <v>662</v>
      </c>
      <c r="I4" s="35" t="s">
        <v>666</v>
      </c>
      <c r="J4" s="35" t="s">
        <v>444</v>
      </c>
      <c r="K4" s="35" t="s">
        <v>458</v>
      </c>
      <c r="L4" s="35" t="s">
        <v>663</v>
      </c>
      <c r="M4" s="35" t="s">
        <v>449</v>
      </c>
      <c r="N4" s="35" t="s">
        <v>446</v>
      </c>
      <c r="O4" s="35" t="s">
        <v>664</v>
      </c>
      <c r="P4" s="35" t="s">
        <v>448</v>
      </c>
      <c r="Q4" s="35" t="s">
        <v>451</v>
      </c>
      <c r="R4" s="35" t="s">
        <v>452</v>
      </c>
      <c r="S4" s="35" t="s">
        <v>671</v>
      </c>
    </row>
    <row r="5" spans="1:19" x14ac:dyDescent="0.2">
      <c r="A5" s="966" t="s">
        <v>607</v>
      </c>
      <c r="B5" s="968">
        <v>187.40167030321501</v>
      </c>
      <c r="C5" s="968">
        <v>94.483048308749005</v>
      </c>
      <c r="D5" s="968"/>
      <c r="E5" s="968"/>
      <c r="F5" s="968">
        <v>8.6200190507100007</v>
      </c>
      <c r="G5" s="968">
        <v>6.8680090629199997E-2</v>
      </c>
      <c r="H5" s="968">
        <v>17.433069408244837</v>
      </c>
      <c r="I5" s="968">
        <v>4.4321567367400002E-3</v>
      </c>
      <c r="J5" s="968"/>
      <c r="K5" s="968">
        <v>408.83903766044</v>
      </c>
      <c r="L5" s="968"/>
      <c r="M5" s="968">
        <v>7.4454841629731998</v>
      </c>
      <c r="N5" s="968">
        <v>13.678877927569999</v>
      </c>
      <c r="O5" s="968"/>
      <c r="P5" s="968">
        <v>125.6889101399</v>
      </c>
      <c r="Q5" s="968">
        <v>3.3586962278505599</v>
      </c>
      <c r="R5" s="968">
        <v>30.250389559400002</v>
      </c>
      <c r="S5" s="968">
        <v>897.27231499641857</v>
      </c>
    </row>
    <row r="6" spans="1:19" x14ac:dyDescent="0.2">
      <c r="A6" s="966" t="s">
        <v>46</v>
      </c>
      <c r="B6" s="968">
        <v>60.120499493219995</v>
      </c>
      <c r="C6" s="968">
        <v>1.3280022550838</v>
      </c>
      <c r="D6" s="968"/>
      <c r="E6" s="968"/>
      <c r="F6" s="968"/>
      <c r="G6" s="968"/>
      <c r="H6" s="968">
        <v>3.2412085522898999</v>
      </c>
      <c r="I6" s="968">
        <v>0.19411009367400001</v>
      </c>
      <c r="J6" s="968"/>
      <c r="K6" s="968"/>
      <c r="L6" s="968"/>
      <c r="M6" s="968">
        <v>43.083970755039999</v>
      </c>
      <c r="N6" s="968">
        <v>10.264502857603</v>
      </c>
      <c r="O6" s="968"/>
      <c r="P6" s="968">
        <v>155.99949692799999</v>
      </c>
      <c r="Q6" s="968">
        <v>7.8059627587200003E-2</v>
      </c>
      <c r="R6" s="968">
        <v>34.123582487980002</v>
      </c>
      <c r="S6" s="968">
        <v>308.4334330504779</v>
      </c>
    </row>
    <row r="7" spans="1:19" x14ac:dyDescent="0.2">
      <c r="A7" s="966" t="s">
        <v>608</v>
      </c>
      <c r="B7" s="968">
        <v>80.732246206300005</v>
      </c>
      <c r="C7" s="1043">
        <v>418.13709594826003</v>
      </c>
      <c r="D7" s="968">
        <v>0.50475334086099999</v>
      </c>
      <c r="E7" s="968"/>
      <c r="F7" s="968">
        <v>3.1455311896699999E-2</v>
      </c>
      <c r="G7" s="968"/>
      <c r="H7" s="968">
        <v>3.9995684285899999</v>
      </c>
      <c r="I7" s="968">
        <v>8.7207700062699997E-2</v>
      </c>
      <c r="J7" s="968"/>
      <c r="K7" s="968"/>
      <c r="L7" s="968">
        <v>2.2926837940399998</v>
      </c>
      <c r="M7" s="968">
        <v>5.36947779669</v>
      </c>
      <c r="N7" s="968">
        <v>0.692962492368</v>
      </c>
      <c r="O7" s="968"/>
      <c r="P7" s="968">
        <v>26.558618252999999</v>
      </c>
      <c r="Q7" s="968">
        <v>60.533235556129796</v>
      </c>
      <c r="R7" s="1043">
        <v>760.26161570617001</v>
      </c>
      <c r="S7" s="968">
        <v>1359.2009205343682</v>
      </c>
    </row>
    <row r="8" spans="1:19" x14ac:dyDescent="0.2">
      <c r="A8" s="966" t="s">
        <v>40</v>
      </c>
      <c r="B8" s="968">
        <v>0.10276120049610001</v>
      </c>
      <c r="C8" s="968">
        <v>2.8385860531938998</v>
      </c>
      <c r="D8" s="968"/>
      <c r="E8" s="968"/>
      <c r="F8" s="968"/>
      <c r="G8" s="968">
        <v>1.7989967780500001E-2</v>
      </c>
      <c r="H8" s="968"/>
      <c r="I8" s="968">
        <v>9.2372737569700006E-2</v>
      </c>
      <c r="J8" s="968"/>
      <c r="K8" s="968"/>
      <c r="L8" s="968">
        <v>4.78636902602</v>
      </c>
      <c r="M8" s="968">
        <v>3.2245466876200002</v>
      </c>
      <c r="N8" s="968">
        <v>26.090892957179999</v>
      </c>
      <c r="O8" s="968"/>
      <c r="P8" s="968">
        <v>32.47271420173</v>
      </c>
      <c r="Q8" s="968"/>
      <c r="R8" s="968"/>
      <c r="S8" s="968">
        <v>69.626232831590201</v>
      </c>
    </row>
    <row r="9" spans="1:19" x14ac:dyDescent="0.2">
      <c r="A9" s="966" t="s">
        <v>609</v>
      </c>
      <c r="B9" s="968">
        <v>78.325585569399991</v>
      </c>
      <c r="C9" s="1043">
        <v>1791.4276446919</v>
      </c>
      <c r="D9" s="968"/>
      <c r="E9" s="968"/>
      <c r="F9" s="968"/>
      <c r="G9" s="968"/>
      <c r="H9" s="968">
        <v>12.35309972516</v>
      </c>
      <c r="I9" s="968"/>
      <c r="J9" s="968">
        <v>4.4127211943E-4</v>
      </c>
      <c r="K9" s="968"/>
      <c r="L9" s="968">
        <v>77.172314698299999</v>
      </c>
      <c r="M9" s="968">
        <v>45.602683684799999</v>
      </c>
      <c r="N9" s="968">
        <v>385.61140615800798</v>
      </c>
      <c r="O9" s="968"/>
      <c r="P9" s="968">
        <v>11.079938826099999</v>
      </c>
      <c r="Q9" s="968">
        <v>25.387370396079998</v>
      </c>
      <c r="R9" s="1043">
        <v>837.49527703823992</v>
      </c>
      <c r="S9" s="968">
        <v>3264.4557620601072</v>
      </c>
    </row>
    <row r="10" spans="1:19" x14ac:dyDescent="0.2">
      <c r="A10" s="966" t="s">
        <v>610</v>
      </c>
      <c r="B10" s="968">
        <v>21.204461416899999</v>
      </c>
      <c r="C10" s="968">
        <v>10.073061263410001</v>
      </c>
      <c r="D10" s="968">
        <v>2.4931498719100002E-2</v>
      </c>
      <c r="E10" s="968">
        <v>0.80261430608600004</v>
      </c>
      <c r="F10" s="968"/>
      <c r="G10" s="968">
        <v>0.14858295491599999</v>
      </c>
      <c r="H10" s="968">
        <v>5.1814400791820994</v>
      </c>
      <c r="I10" s="968"/>
      <c r="J10" s="968"/>
      <c r="K10" s="968"/>
      <c r="L10" s="968"/>
      <c r="M10" s="968">
        <v>0.25920820389900001</v>
      </c>
      <c r="N10" s="968">
        <v>70.840413002280002</v>
      </c>
      <c r="O10" s="968">
        <v>30.330357020200001</v>
      </c>
      <c r="P10" s="968">
        <v>508.23057527329502</v>
      </c>
      <c r="Q10" s="968">
        <v>3.3121718172999999</v>
      </c>
      <c r="R10" s="968">
        <v>95.402489974091012</v>
      </c>
      <c r="S10" s="968">
        <v>745.81030681027835</v>
      </c>
    </row>
    <row r="11" spans="1:19" x14ac:dyDescent="0.2">
      <c r="A11" s="966" t="s">
        <v>643</v>
      </c>
      <c r="B11" s="968"/>
      <c r="C11" s="968">
        <v>59.766596910689998</v>
      </c>
      <c r="D11" s="968"/>
      <c r="E11" s="968"/>
      <c r="F11" s="968"/>
      <c r="G11" s="968"/>
      <c r="H11" s="968">
        <v>7.5927078894699997</v>
      </c>
      <c r="I11" s="968">
        <v>1.1419781494300001</v>
      </c>
      <c r="J11" s="968"/>
      <c r="K11" s="968"/>
      <c r="L11" s="968">
        <v>7.6949713041699994E-2</v>
      </c>
      <c r="M11" s="968">
        <v>74.945433971426993</v>
      </c>
      <c r="N11" s="968">
        <v>8.7046240569400002</v>
      </c>
      <c r="O11" s="968"/>
      <c r="P11" s="968">
        <v>257.60710840748999</v>
      </c>
      <c r="Q11" s="968">
        <v>3.5071203728969103</v>
      </c>
      <c r="R11" s="968">
        <v>116.22485843249999</v>
      </c>
      <c r="S11" s="968">
        <v>529.56737790388559</v>
      </c>
    </row>
    <row r="12" spans="1:19" x14ac:dyDescent="0.2">
      <c r="A12" s="966" t="s">
        <v>644</v>
      </c>
      <c r="B12" s="968">
        <v>21.9189002034</v>
      </c>
      <c r="C12" s="968">
        <v>83.735040240464997</v>
      </c>
      <c r="D12" s="968">
        <v>0.18737834734799999</v>
      </c>
      <c r="E12" s="968">
        <v>1.11989992029E-2</v>
      </c>
      <c r="F12" s="968"/>
      <c r="G12" s="968">
        <v>5.3935241539700002E-2</v>
      </c>
      <c r="H12" s="968">
        <v>6.8003605524750004</v>
      </c>
      <c r="I12" s="968">
        <v>0.74207568154940007</v>
      </c>
      <c r="J12" s="968"/>
      <c r="K12" s="968"/>
      <c r="L12" s="968">
        <v>141.3090994562744</v>
      </c>
      <c r="M12" s="968">
        <v>3.59897928029</v>
      </c>
      <c r="N12" s="968">
        <v>61.247346334566998</v>
      </c>
      <c r="O12" s="968"/>
      <c r="P12" s="968">
        <v>121.24211491212999</v>
      </c>
      <c r="Q12" s="968">
        <v>19.200363928326997</v>
      </c>
      <c r="R12" s="968">
        <v>112.301033295533</v>
      </c>
      <c r="S12" s="968">
        <v>572.34782647310146</v>
      </c>
    </row>
    <row r="13" spans="1:19" x14ac:dyDescent="0.2">
      <c r="A13" s="966" t="s">
        <v>645</v>
      </c>
      <c r="B13" s="968">
        <v>17.287393803400001</v>
      </c>
      <c r="C13" s="1043">
        <v>114.59268194440381</v>
      </c>
      <c r="D13" s="968">
        <v>0.26951348923399998</v>
      </c>
      <c r="E13" s="968">
        <v>0.72086908991400001</v>
      </c>
      <c r="F13" s="968"/>
      <c r="G13" s="968"/>
      <c r="H13" s="968">
        <v>8.1183780163189994</v>
      </c>
      <c r="I13" s="968">
        <v>2.04226028601E-2</v>
      </c>
      <c r="J13" s="968"/>
      <c r="K13" s="968"/>
      <c r="L13" s="968">
        <v>10.884421441500001</v>
      </c>
      <c r="M13" s="968">
        <v>47.448914314858001</v>
      </c>
      <c r="N13" s="968">
        <v>176.28727859237</v>
      </c>
      <c r="O13" s="968"/>
      <c r="P13" s="968">
        <v>462.89447772346796</v>
      </c>
      <c r="Q13" s="968">
        <v>78.737474193889994</v>
      </c>
      <c r="R13" s="1043">
        <v>233.9011095628</v>
      </c>
      <c r="S13" s="968">
        <v>1151.1629347750168</v>
      </c>
    </row>
    <row r="14" spans="1:19" x14ac:dyDescent="0.2">
      <c r="A14" s="966" t="s">
        <v>671</v>
      </c>
      <c r="B14" s="968">
        <v>467.0935181963311</v>
      </c>
      <c r="C14" s="968">
        <v>2576.3817576161559</v>
      </c>
      <c r="D14" s="968">
        <v>0.98657667616209999</v>
      </c>
      <c r="E14" s="968">
        <v>1.5346823952029001</v>
      </c>
      <c r="F14" s="968">
        <v>8.6514743626067006</v>
      </c>
      <c r="G14" s="968">
        <v>0.28918825486540001</v>
      </c>
      <c r="H14" s="968">
        <v>64.719832651730826</v>
      </c>
      <c r="I14" s="968">
        <v>2.2825991218826398</v>
      </c>
      <c r="J14" s="968">
        <v>4.4127211943E-4</v>
      </c>
      <c r="K14" s="968">
        <v>408.83903766044</v>
      </c>
      <c r="L14" s="968">
        <v>236.52183812917607</v>
      </c>
      <c r="M14" s="968">
        <v>230.97869885759721</v>
      </c>
      <c r="N14" s="968">
        <v>753.41830437888598</v>
      </c>
      <c r="O14" s="968">
        <v>30.330357020200001</v>
      </c>
      <c r="P14" s="968">
        <v>1701.7739546651133</v>
      </c>
      <c r="Q14" s="968">
        <v>194.11449212006144</v>
      </c>
      <c r="R14" s="968">
        <v>2219.9603560567139</v>
      </c>
      <c r="S14" s="968">
        <v>8897.8771094352451</v>
      </c>
    </row>
    <row r="17" spans="1:6" x14ac:dyDescent="0.2">
      <c r="A17" s="966" t="s">
        <v>796</v>
      </c>
      <c r="B17">
        <f>GETPIVOTDATA("SUM_ACREAG",$A$3,"SOURCE2009 Modeled","Cropland")+GETPIVOTDATA("SUM_ACREAG",$A$3,"SOURCE2009 Modeled","Other agriculture")+GETPIVOTDATA("SUM_ACREAG",$A$3,"SOURCE2009 Modeled","Pasture")+GETPIVOTDATA("SUM_ACREAG",$A$3,"SOURCE2009 Modeled","Tree crops")</f>
        <v>3153.2644760979274</v>
      </c>
    </row>
    <row r="18" spans="1:6" x14ac:dyDescent="0.2">
      <c r="A18" s="966" t="s">
        <v>794</v>
      </c>
      <c r="B18">
        <f>GETPIVOTDATA("SUM_ACREAG",$A$3)</f>
        <v>8897.8771094352451</v>
      </c>
      <c r="E18" s="141" t="s">
        <v>607</v>
      </c>
      <c r="F18">
        <f>GETPIVOTDATA("SUM_ACREAG",$A$3,"LAKE_TWO","Beauclair","SOURCE2009 Modeled","Cropland")+GETPIVOTDATA("SUM_ACREAG",$A$3,"LAKE_TWO","Carlton","SOURCE2009 Modeled","Cropland")+GETPIVOTDATA("SUM_ACREAG",$A$3,"LAKE_TWO","Beauclair","SOURCE2009 Modeled","Other agriculture")+GETPIVOTDATA("SUM_ACREAG",$A$3,"LAKE_TWO","Carlton","SOURCE2009 Modeled","Other agriculture")+GETPIVOTDATA("SUM_ACREAG",$A$3,"LAKE_TWO","Beauclair","SOURCE2009 Modeled","Pasture")+GETPIVOTDATA("SUM_ACREAG",$A$3,"LAKE_TWO","Carlton","SOURCE2009 Modeled","Pasture")+GETPIVOTDATA("SUM_ACREAG",$A$3,"LAKE_TWO","Beauclair","SOURCE2009 Modeled","Tree crops")+GETPIVOTDATA("SUM_ACREAG",$A$3,"LAKE_TWO","Carlton","SOURCE2009 Modeled","Tree crops")</f>
        <v>603.68341256752126</v>
      </c>
    </row>
    <row r="19" spans="1:6" x14ac:dyDescent="0.2">
      <c r="A19" s="966" t="s">
        <v>795</v>
      </c>
      <c r="B19" s="165">
        <f>B17/B18</f>
        <v>0.35438390947816401</v>
      </c>
    </row>
    <row r="21" spans="1:6" x14ac:dyDescent="0.2">
      <c r="A21" s="1044" t="s">
        <v>799</v>
      </c>
      <c r="B21" s="141" t="s">
        <v>798</v>
      </c>
      <c r="C21" s="141" t="s">
        <v>807</v>
      </c>
    </row>
    <row r="22" spans="1:6" x14ac:dyDescent="0.2">
      <c r="A22" s="1042" t="s">
        <v>447</v>
      </c>
      <c r="B22" s="33">
        <f>GETPIVOTDATA("SUM_ACREAG",$A$3,"SOURCE2009 Modeled","Cropland")</f>
        <v>467.0935181963311</v>
      </c>
      <c r="C22" s="165">
        <f>B22/B$39</f>
        <v>5.2494939236801604E-2</v>
      </c>
    </row>
    <row r="23" spans="1:6" x14ac:dyDescent="0.2">
      <c r="A23" s="1042" t="s">
        <v>667</v>
      </c>
      <c r="B23" s="33">
        <f>GETPIVOTDATA("SUM_ACREAG",$A$3,"SOURCE2009 Modeled","Forest/Rangeland")</f>
        <v>2576.3817576161559</v>
      </c>
      <c r="C23" s="165">
        <f t="shared" ref="C23:C38" si="0">B23/B$39</f>
        <v>0.28955016190144717</v>
      </c>
    </row>
    <row r="24" spans="1:6" x14ac:dyDescent="0.2">
      <c r="A24" s="1042" t="s">
        <v>800</v>
      </c>
      <c r="B24" s="33">
        <f>GETPIVOTDATA("SUM_ACREAG",$A$3,"SOURCE2009 Modeled","High density commercial")</f>
        <v>0.98657667616209999</v>
      </c>
      <c r="C24" s="165">
        <f t="shared" si="0"/>
        <v>1.1087775927090982E-4</v>
      </c>
    </row>
    <row r="25" spans="1:6" x14ac:dyDescent="0.2">
      <c r="A25" s="1042" t="s">
        <v>490</v>
      </c>
      <c r="B25" s="33">
        <f>GETPIVOTDATA("SUM_ACREAG",$A$3,"SOURCE2009 Modeled","High density residential")</f>
        <v>1.5346823952029001</v>
      </c>
      <c r="C25" s="165">
        <f t="shared" si="0"/>
        <v>1.7247736469360022E-4</v>
      </c>
    </row>
    <row r="26" spans="1:6" x14ac:dyDescent="0.2">
      <c r="A26" s="1042" t="s">
        <v>443</v>
      </c>
      <c r="B26" s="33">
        <f>GETPIVOTDATA("SUM_ACREAG",$A$3,"SOURCE2009 Modeled","Industrial")</f>
        <v>8.6514743626067006</v>
      </c>
      <c r="C26" s="165">
        <f t="shared" si="0"/>
        <v>9.7230769274535603E-4</v>
      </c>
    </row>
    <row r="27" spans="1:6" x14ac:dyDescent="0.2">
      <c r="A27" s="1042" t="s">
        <v>801</v>
      </c>
      <c r="B27" s="33">
        <f>GETPIVOTDATA("SUM_ACREAG",$A$3,"SOURCE2009 Modeled","Low density commercial/Institutional")</f>
        <v>0.28918825486540001</v>
      </c>
      <c r="C27" s="165">
        <f t="shared" si="0"/>
        <v>3.2500814667213921E-5</v>
      </c>
    </row>
    <row r="28" spans="1:6" x14ac:dyDescent="0.2">
      <c r="A28" s="1042" t="s">
        <v>802</v>
      </c>
      <c r="B28" s="33">
        <f>GETPIVOTDATA("SUM_ACREAG",$A$3,"SOURCE2009 Modeled","Low density residential")</f>
        <v>64.719832651730826</v>
      </c>
      <c r="C28" s="165">
        <f t="shared" si="0"/>
        <v>7.2736262656518799E-3</v>
      </c>
    </row>
    <row r="29" spans="1:6" x14ac:dyDescent="0.2">
      <c r="A29" s="1042" t="s">
        <v>803</v>
      </c>
      <c r="B29" s="33">
        <f>GETPIVOTDATA("SUM_ACREAG",$A$3,"SOURCE2009 Modeled","Medium density residential")</f>
        <v>2.2825991218826398</v>
      </c>
      <c r="C29" s="165">
        <f t="shared" si="0"/>
        <v>2.5653300150236825E-4</v>
      </c>
    </row>
    <row r="30" spans="1:6" x14ac:dyDescent="0.2">
      <c r="A30" s="1042" t="s">
        <v>444</v>
      </c>
      <c r="B30" s="33">
        <f>GETPIVOTDATA("SUM_ACREAG",$A$3,"SOURCE2009 Modeled","Mining")</f>
        <v>4.4127211943E-4</v>
      </c>
      <c r="C30" s="165">
        <f t="shared" si="0"/>
        <v>4.9592966277549306E-8</v>
      </c>
    </row>
    <row r="31" spans="1:6" x14ac:dyDescent="0.2">
      <c r="A31" s="1042" t="s">
        <v>804</v>
      </c>
      <c r="B31" s="33">
        <f>GETPIVOTDATA("SUM_ACREAG",$A$3,"SOURCE2009 Modeled","Muck Farm")</f>
        <v>408.83903766044</v>
      </c>
      <c r="C31" s="165">
        <f t="shared" si="0"/>
        <v>4.5947930346993668E-2</v>
      </c>
    </row>
    <row r="32" spans="1:6" x14ac:dyDescent="0.2">
      <c r="A32" s="1042" t="s">
        <v>805</v>
      </c>
      <c r="B32" s="33">
        <f>GETPIVOTDATA("SUM_ACREAG",$A$3,"SOURCE2009 Modeled","Open land/recreation")</f>
        <v>236.52183812917607</v>
      </c>
      <c r="C32" s="165">
        <f t="shared" si="0"/>
        <v>2.6581827914702261E-2</v>
      </c>
    </row>
    <row r="33" spans="1:3" x14ac:dyDescent="0.2">
      <c r="A33" s="1042" t="s">
        <v>483</v>
      </c>
      <c r="B33" s="33">
        <f>GETPIVOTDATA("SUM_ACREAG",$A$3,"SOURCE2009 Modeled","Other agriculture")</f>
        <v>230.97869885759721</v>
      </c>
      <c r="C33" s="165">
        <f t="shared" si="0"/>
        <v>2.595885468149128E-2</v>
      </c>
    </row>
    <row r="34" spans="1:3" x14ac:dyDescent="0.2">
      <c r="A34" s="1042" t="s">
        <v>446</v>
      </c>
      <c r="B34" s="33">
        <f>GETPIVOTDATA("SUM_ACREAG",$A$3,"SOURCE2009 Modeled","Pasture")</f>
        <v>753.41830437888598</v>
      </c>
      <c r="C34" s="165">
        <f t="shared" si="0"/>
        <v>8.467393908823112E-2</v>
      </c>
    </row>
    <row r="35" spans="1:3" x14ac:dyDescent="0.2">
      <c r="A35" s="1042" t="s">
        <v>664</v>
      </c>
      <c r="B35" s="33">
        <f>GETPIVOTDATA("SUM_ACREAG",$A$3,"SOURCE2009 Modeled","Sprayfield")</f>
        <v>30.330357020200001</v>
      </c>
      <c r="C35" s="165">
        <f t="shared" si="0"/>
        <v>3.4087183546329166E-3</v>
      </c>
    </row>
    <row r="36" spans="1:3" x14ac:dyDescent="0.2">
      <c r="A36" s="1042" t="s">
        <v>806</v>
      </c>
      <c r="B36" s="33">
        <f>GETPIVOTDATA("SUM_ACREAG",$A$3,"SOURCE2009 Modeled","Tree crops")</f>
        <v>1701.7739546651133</v>
      </c>
      <c r="C36" s="165">
        <f t="shared" si="0"/>
        <v>0.19125617647164</v>
      </c>
    </row>
    <row r="37" spans="1:3" x14ac:dyDescent="0.2">
      <c r="A37" s="1042" t="s">
        <v>451</v>
      </c>
      <c r="B37" s="33">
        <f>GETPIVOTDATA("SUM_ACREAG",$A$3,"SOURCE2009 Modeled","Water")</f>
        <v>194.11449212006144</v>
      </c>
      <c r="C37" s="165">
        <f t="shared" si="0"/>
        <v>2.1815820755067952E-2</v>
      </c>
    </row>
    <row r="38" spans="1:3" x14ac:dyDescent="0.2">
      <c r="A38" s="1042" t="s">
        <v>452</v>
      </c>
      <c r="B38" s="33">
        <f>GETPIVOTDATA("SUM_ACREAG",$A$3,"SOURCE2009 Modeled","Wetlands")</f>
        <v>2219.9603560567139</v>
      </c>
      <c r="C38" s="165">
        <f t="shared" si="0"/>
        <v>0.2494932587574944</v>
      </c>
    </row>
    <row r="39" spans="1:3" x14ac:dyDescent="0.2">
      <c r="B39" s="33">
        <f>SUM(B22:B38)</f>
        <v>8897.8771094352451</v>
      </c>
    </row>
  </sheetData>
  <pageMargins left="0.7" right="0.7" top="0.75" bottom="0.75" header="0.3" footer="0.3"/>
  <pageSetup orientation="portrait" horizontalDpi="200" verticalDpi="200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56E8-FCCA-4D6C-9C14-D19375D1A42E}">
  <dimension ref="A1:S204"/>
  <sheetViews>
    <sheetView topLeftCell="J1" workbookViewId="0">
      <selection activeCell="J18" sqref="J18"/>
    </sheetView>
  </sheetViews>
  <sheetFormatPr defaultRowHeight="12.75" x14ac:dyDescent="0.2"/>
  <cols>
    <col min="1" max="1" width="14.28515625" style="35" customWidth="1"/>
    <col min="2" max="2" width="32.28515625" style="35" customWidth="1"/>
    <col min="3" max="3" width="28.42578125" style="35" customWidth="1"/>
    <col min="4" max="4" width="14.28515625" customWidth="1"/>
    <col min="5" max="5" width="18" customWidth="1"/>
    <col min="6" max="6" width="17.42578125" style="35" customWidth="1"/>
    <col min="7" max="7" width="30.42578125" customWidth="1"/>
    <col min="8" max="8" width="16.28515625" customWidth="1"/>
    <col min="9" max="9" width="17.28515625" customWidth="1"/>
    <col min="10" max="10" width="17.7109375" customWidth="1"/>
    <col min="11" max="11" width="20.28515625" customWidth="1"/>
    <col min="12" max="12" width="13.7109375" customWidth="1"/>
    <col min="13" max="13" width="25.5703125" customWidth="1"/>
    <col min="14" max="14" width="17.5703125" customWidth="1"/>
    <col min="15" max="15" width="17.42578125" customWidth="1"/>
    <col min="16" max="16" width="17.28515625" customWidth="1"/>
    <col min="17" max="17" width="16.42578125" customWidth="1"/>
  </cols>
  <sheetData>
    <row r="1" spans="1:16" s="35" customFormat="1" x14ac:dyDescent="0.2">
      <c r="A1" s="6" t="s">
        <v>768</v>
      </c>
      <c r="G1" s="141" t="s">
        <v>771</v>
      </c>
    </row>
    <row r="2" spans="1:16" x14ac:dyDescent="0.2">
      <c r="A2" s="953" t="s">
        <v>756</v>
      </c>
      <c r="B2" s="1027" t="s">
        <v>770</v>
      </c>
      <c r="C2" s="1027" t="s">
        <v>769</v>
      </c>
      <c r="D2" s="953" t="s">
        <v>757</v>
      </c>
      <c r="E2" s="1026" t="s">
        <v>758</v>
      </c>
      <c r="F2" s="1028"/>
      <c r="G2" s="1021" t="s">
        <v>721</v>
      </c>
      <c r="H2" s="1184" t="s">
        <v>611</v>
      </c>
      <c r="I2" s="1184"/>
      <c r="J2" s="1184"/>
      <c r="K2" s="1184"/>
      <c r="L2" s="1184"/>
      <c r="M2" s="1184"/>
      <c r="N2" s="1184"/>
      <c r="O2" s="1184"/>
      <c r="P2" s="1184"/>
    </row>
    <row r="3" spans="1:16" x14ac:dyDescent="0.2">
      <c r="A3" s="953" t="s">
        <v>607</v>
      </c>
      <c r="B3" s="953" t="s">
        <v>447</v>
      </c>
      <c r="C3" s="953" t="s">
        <v>759</v>
      </c>
      <c r="D3" s="953">
        <v>3</v>
      </c>
      <c r="E3" s="1026">
        <v>0.31296844191500001</v>
      </c>
      <c r="F3" s="1026"/>
      <c r="G3" s="1021" t="s">
        <v>234</v>
      </c>
      <c r="H3" s="1021" t="s">
        <v>607</v>
      </c>
      <c r="I3" s="1021" t="s">
        <v>46</v>
      </c>
      <c r="J3" s="1021" t="s">
        <v>608</v>
      </c>
      <c r="K3" s="1021" t="s">
        <v>40</v>
      </c>
      <c r="L3" s="1021" t="s">
        <v>644</v>
      </c>
      <c r="M3" s="1021" t="s">
        <v>610</v>
      </c>
      <c r="N3" s="1021" t="s">
        <v>720</v>
      </c>
      <c r="O3" s="1021" t="s">
        <v>609</v>
      </c>
      <c r="P3" s="1021" t="s">
        <v>645</v>
      </c>
    </row>
    <row r="4" spans="1:16" x14ac:dyDescent="0.2">
      <c r="A4" s="953" t="s">
        <v>607</v>
      </c>
      <c r="B4" s="953" t="s">
        <v>447</v>
      </c>
      <c r="C4" s="953" t="s">
        <v>760</v>
      </c>
      <c r="D4" s="953">
        <v>4</v>
      </c>
      <c r="E4" s="1026">
        <v>31.905603674799998</v>
      </c>
      <c r="F4" s="1026"/>
      <c r="G4" s="1021" t="s">
        <v>447</v>
      </c>
      <c r="H4" s="1022">
        <f>E3+E4+E5+E6</f>
        <v>187.40167030321501</v>
      </c>
      <c r="I4" s="1022">
        <f>E39+E40</f>
        <v>60.120499493219995</v>
      </c>
      <c r="J4" s="1022">
        <f>E55</f>
        <v>80.732246206300005</v>
      </c>
      <c r="K4" s="1022">
        <f>E72+E73</f>
        <v>0.10276120049610001</v>
      </c>
      <c r="L4" s="1022">
        <f>E141</f>
        <v>21.9189002034</v>
      </c>
      <c r="M4" s="1022">
        <f>E105+E106</f>
        <v>21.204461416899999</v>
      </c>
      <c r="N4" s="1022"/>
      <c r="O4" s="1022">
        <f>E84+E85+E86</f>
        <v>78.325585569399991</v>
      </c>
      <c r="P4" s="1022">
        <f>E173</f>
        <v>17.287393803400001</v>
      </c>
    </row>
    <row r="5" spans="1:16" x14ac:dyDescent="0.2">
      <c r="A5" s="953" t="s">
        <v>607</v>
      </c>
      <c r="B5" s="953" t="s">
        <v>447</v>
      </c>
      <c r="C5" s="953" t="s">
        <v>761</v>
      </c>
      <c r="D5" s="953">
        <v>12</v>
      </c>
      <c r="E5" s="1026">
        <v>105.68448331099999</v>
      </c>
      <c r="F5" s="1026"/>
      <c r="G5" s="1021" t="s">
        <v>722</v>
      </c>
      <c r="H5" s="1022">
        <v>0</v>
      </c>
      <c r="I5" s="1022"/>
      <c r="J5" s="1022">
        <v>0</v>
      </c>
      <c r="K5" s="1022"/>
      <c r="L5" s="1022"/>
      <c r="M5" s="1022"/>
      <c r="N5" s="1022"/>
      <c r="O5" s="1022"/>
      <c r="P5" s="1022"/>
    </row>
    <row r="6" spans="1:16" x14ac:dyDescent="0.2">
      <c r="A6" s="953" t="s">
        <v>607</v>
      </c>
      <c r="B6" s="953" t="s">
        <v>447</v>
      </c>
      <c r="C6" s="953" t="s">
        <v>762</v>
      </c>
      <c r="D6" s="953">
        <v>13</v>
      </c>
      <c r="E6" s="1026">
        <v>49.498614875500003</v>
      </c>
      <c r="F6" s="1026"/>
      <c r="G6" s="1021" t="s">
        <v>483</v>
      </c>
      <c r="H6" s="1022">
        <f>E22+E23+E24+E25</f>
        <v>7.4454841629731998</v>
      </c>
      <c r="I6" s="1022">
        <f>E46+E47</f>
        <v>43.083970755039999</v>
      </c>
      <c r="J6" s="1022">
        <f>E65</f>
        <v>5.36947779669</v>
      </c>
      <c r="K6" s="1022">
        <f>E79</f>
        <v>3.2245466876200002</v>
      </c>
      <c r="L6" s="1022">
        <f>E158</f>
        <v>3.59897928029</v>
      </c>
      <c r="M6" s="1022">
        <f>E115</f>
        <v>0.25920820389900001</v>
      </c>
      <c r="N6" s="1022">
        <f>E131+E132</f>
        <v>74.945433971426993</v>
      </c>
      <c r="O6" s="1022">
        <f>E95</f>
        <v>45.602683684799999</v>
      </c>
      <c r="P6" s="1022">
        <f>E187+E188</f>
        <v>47.448914314858001</v>
      </c>
    </row>
    <row r="7" spans="1:16" x14ac:dyDescent="0.2">
      <c r="A7" s="953" t="s">
        <v>607</v>
      </c>
      <c r="B7" s="953" t="s">
        <v>667</v>
      </c>
      <c r="C7" s="953" t="s">
        <v>759</v>
      </c>
      <c r="D7" s="953">
        <v>3</v>
      </c>
      <c r="E7" s="1026">
        <v>0.84869241632799997</v>
      </c>
      <c r="F7" s="1026"/>
      <c r="G7" s="1021" t="s">
        <v>446</v>
      </c>
      <c r="H7" s="1022">
        <f>E26+E27+E28+E29</f>
        <v>13.678877927569999</v>
      </c>
      <c r="I7" s="1022">
        <f>E48+E49</f>
        <v>10.264502857603</v>
      </c>
      <c r="J7" s="1022">
        <f>E66</f>
        <v>0.692962492368</v>
      </c>
      <c r="K7" s="1022">
        <f>E80+E81</f>
        <v>26.090892957179999</v>
      </c>
      <c r="L7" s="1022">
        <f>E159+E160+E161</f>
        <v>61.247346334566998</v>
      </c>
      <c r="M7" s="1022">
        <f>E116+E117</f>
        <v>70.840413002280002</v>
      </c>
      <c r="N7" s="1022">
        <f>E133+E134</f>
        <v>8.7046240569400002</v>
      </c>
      <c r="O7" s="1022">
        <f>E96+E97+E98</f>
        <v>385.61140615800798</v>
      </c>
      <c r="P7" s="1022">
        <f>E189+E190+E191+E192+E193</f>
        <v>176.28727859237</v>
      </c>
    </row>
    <row r="8" spans="1:16" x14ac:dyDescent="0.2">
      <c r="A8" s="953" t="s">
        <v>607</v>
      </c>
      <c r="B8" s="953" t="s">
        <v>667</v>
      </c>
      <c r="C8" s="953" t="s">
        <v>763</v>
      </c>
      <c r="D8" s="953">
        <v>12</v>
      </c>
      <c r="E8" s="1026">
        <v>11.02445294</v>
      </c>
      <c r="F8" s="1026"/>
      <c r="G8" s="1021" t="s">
        <v>482</v>
      </c>
      <c r="H8" s="1022">
        <f>E30+E31</f>
        <v>125.6889101399</v>
      </c>
      <c r="I8" s="1022">
        <f>E50+E51</f>
        <v>155.99949692799999</v>
      </c>
      <c r="J8" s="1022">
        <f>E67</f>
        <v>26.558618252999999</v>
      </c>
      <c r="K8" s="1022">
        <f>E82+E83</f>
        <v>32.47271420173</v>
      </c>
      <c r="L8" s="1022">
        <f>E162+E163+E164</f>
        <v>121.24211491212999</v>
      </c>
      <c r="M8" s="1022">
        <f>E119+E120</f>
        <v>508.23057527329502</v>
      </c>
      <c r="N8" s="1022">
        <f>E135+E136</f>
        <v>257.60710840748999</v>
      </c>
      <c r="O8" s="1022">
        <f>E99</f>
        <v>11.079938826099999</v>
      </c>
      <c r="P8" s="1022">
        <f>E194+E195+E196+E197+E198</f>
        <v>462.89447772346796</v>
      </c>
    </row>
    <row r="9" spans="1:16" x14ac:dyDescent="0.2">
      <c r="A9" s="953" t="s">
        <v>607</v>
      </c>
      <c r="B9" s="953" t="s">
        <v>667</v>
      </c>
      <c r="C9" s="953" t="s">
        <v>760</v>
      </c>
      <c r="D9" s="953">
        <v>11</v>
      </c>
      <c r="E9" s="1026">
        <v>27.372982745600002</v>
      </c>
      <c r="F9" s="1026"/>
      <c r="G9" s="1021" t="s">
        <v>15</v>
      </c>
      <c r="H9" s="1022">
        <f t="shared" ref="H9:P9" si="0">SUM(H4:H8)</f>
        <v>334.21494253365825</v>
      </c>
      <c r="I9" s="1022">
        <f t="shared" si="0"/>
        <v>269.46847003386301</v>
      </c>
      <c r="J9" s="1022">
        <f t="shared" si="0"/>
        <v>113.353304748358</v>
      </c>
      <c r="K9" s="1022">
        <f t="shared" si="0"/>
        <v>61.890915047026098</v>
      </c>
      <c r="L9" s="1022">
        <f t="shared" si="0"/>
        <v>208.007340730387</v>
      </c>
      <c r="M9" s="1022">
        <f t="shared" si="0"/>
        <v>600.53465789637403</v>
      </c>
      <c r="N9" s="1022">
        <f t="shared" si="0"/>
        <v>341.25716643585702</v>
      </c>
      <c r="O9" s="1022">
        <f t="shared" si="0"/>
        <v>520.61961423830803</v>
      </c>
      <c r="P9" s="1022">
        <f t="shared" si="0"/>
        <v>703.91806443409598</v>
      </c>
    </row>
    <row r="10" spans="1:16" x14ac:dyDescent="0.2">
      <c r="A10" s="953" t="s">
        <v>607</v>
      </c>
      <c r="B10" s="953" t="s">
        <v>667</v>
      </c>
      <c r="C10" s="953" t="s">
        <v>761</v>
      </c>
      <c r="D10" s="953">
        <v>1</v>
      </c>
      <c r="E10" s="1026">
        <v>0.14094307612099999</v>
      </c>
      <c r="F10" s="1026"/>
      <c r="G10" s="1021" t="s">
        <v>745</v>
      </c>
      <c r="H10" s="1022">
        <f>50.64</f>
        <v>50.64</v>
      </c>
      <c r="I10" s="1022"/>
      <c r="J10" s="1022">
        <f>72.46</f>
        <v>72.459999999999994</v>
      </c>
      <c r="K10" s="1022">
        <f>80.7</f>
        <v>80.7</v>
      </c>
      <c r="L10" s="1022"/>
      <c r="M10" s="1022">
        <f>193.53</f>
        <v>193.53</v>
      </c>
      <c r="N10" s="1022"/>
      <c r="O10" s="1022">
        <f>96.31</f>
        <v>96.31</v>
      </c>
      <c r="P10" s="1022">
        <v>0</v>
      </c>
    </row>
    <row r="11" spans="1:16" ht="26.25" customHeight="1" x14ac:dyDescent="0.2">
      <c r="A11" s="953" t="s">
        <v>607</v>
      </c>
      <c r="B11" s="953" t="s">
        <v>667</v>
      </c>
      <c r="C11" s="953" t="s">
        <v>762</v>
      </c>
      <c r="D11" s="953">
        <v>13</v>
      </c>
      <c r="E11" s="1026">
        <v>55.0959771307</v>
      </c>
      <c r="F11" s="1026"/>
      <c r="G11" s="285" t="s">
        <v>750</v>
      </c>
      <c r="H11" s="1023">
        <f>H10/'Basin Acreages_032917'!L6</f>
        <v>0.36888309428878274</v>
      </c>
      <c r="I11" s="1022"/>
      <c r="J11" s="1023">
        <f>J10/'Basin Acreages_032917'!N6</f>
        <v>0.53302563675938264</v>
      </c>
      <c r="K11" s="1023">
        <f>K10/'Basin Acreages_032917'!O6</f>
        <v>0.93339309229599687</v>
      </c>
      <c r="L11" s="1022"/>
      <c r="M11" s="1023">
        <f>M10/('Basin Acreages_032917'!Q6+'Basin Acreages_032917'!R6)</f>
        <v>0.25390327117094164</v>
      </c>
      <c r="N11" s="1022"/>
      <c r="O11" s="1023">
        <f>O10/'Basin Acreages_032917'!S6</f>
        <v>0.45216995798269</v>
      </c>
      <c r="P11" s="1023">
        <f>P10/'Basin Acreages_032917'!T6</f>
        <v>0</v>
      </c>
    </row>
    <row r="12" spans="1:16" x14ac:dyDescent="0.2">
      <c r="A12" s="953" t="s">
        <v>607</v>
      </c>
      <c r="B12" s="953" t="s">
        <v>443</v>
      </c>
      <c r="C12" s="953" t="s">
        <v>761</v>
      </c>
      <c r="D12" s="953">
        <v>3</v>
      </c>
      <c r="E12" s="1026">
        <v>8.6200190507100007</v>
      </c>
      <c r="F12" s="1026"/>
      <c r="G12" s="1021" t="s">
        <v>751</v>
      </c>
      <c r="H12" s="1025">
        <f>H11*S6</f>
        <v>0</v>
      </c>
      <c r="I12" s="1025"/>
      <c r="J12" s="1025">
        <f>J11*U6</f>
        <v>0</v>
      </c>
      <c r="K12" s="1025">
        <f>K11*V6</f>
        <v>0</v>
      </c>
      <c r="L12" s="1025"/>
      <c r="M12" s="1025">
        <f>M11*X6</f>
        <v>0</v>
      </c>
      <c r="N12" s="1025"/>
      <c r="O12" s="1025">
        <f>O11*Z6</f>
        <v>0</v>
      </c>
      <c r="P12" s="24"/>
    </row>
    <row r="13" spans="1:16" x14ac:dyDescent="0.2">
      <c r="A13" s="953" t="s">
        <v>607</v>
      </c>
      <c r="B13" s="953" t="s">
        <v>665</v>
      </c>
      <c r="C13" s="953" t="s">
        <v>759</v>
      </c>
      <c r="D13" s="953">
        <v>1</v>
      </c>
      <c r="E13" s="1026">
        <v>6.8680090629199997E-2</v>
      </c>
      <c r="F13" s="1026"/>
      <c r="G13" s="1021" t="s">
        <v>727</v>
      </c>
      <c r="H13" s="1024"/>
      <c r="I13" s="24"/>
      <c r="J13" s="24"/>
      <c r="K13" s="24"/>
      <c r="L13" s="24"/>
      <c r="M13" s="24"/>
      <c r="N13" s="24"/>
      <c r="O13" s="24"/>
      <c r="P13" s="24"/>
    </row>
    <row r="14" spans="1:16" x14ac:dyDescent="0.2">
      <c r="A14" s="953" t="s">
        <v>607</v>
      </c>
      <c r="B14" s="953" t="s">
        <v>662</v>
      </c>
      <c r="C14" s="953" t="s">
        <v>759</v>
      </c>
      <c r="D14" s="953">
        <v>5</v>
      </c>
      <c r="E14" s="1026">
        <v>0.54433391838900003</v>
      </c>
      <c r="F14" s="1026"/>
    </row>
    <row r="15" spans="1:16" x14ac:dyDescent="0.2">
      <c r="A15" s="953" t="s">
        <v>607</v>
      </c>
      <c r="B15" s="953" t="s">
        <v>662</v>
      </c>
      <c r="C15" s="953" t="s">
        <v>763</v>
      </c>
      <c r="D15" s="953">
        <v>1</v>
      </c>
      <c r="E15" s="1026">
        <v>0.29997301418799999</v>
      </c>
      <c r="F15" s="1026"/>
      <c r="G15" s="1029" t="s">
        <v>772</v>
      </c>
    </row>
    <row r="16" spans="1:16" x14ac:dyDescent="0.2">
      <c r="A16" s="953" t="s">
        <v>607</v>
      </c>
      <c r="B16" s="953" t="s">
        <v>662</v>
      </c>
      <c r="C16" s="953" t="s">
        <v>760</v>
      </c>
      <c r="D16" s="953">
        <v>9</v>
      </c>
      <c r="E16" s="1026">
        <v>15.567179018199999</v>
      </c>
      <c r="F16" s="1026"/>
      <c r="G16" s="1021" t="s">
        <v>721</v>
      </c>
      <c r="H16" s="1184"/>
      <c r="I16" s="1184"/>
      <c r="J16" s="1184"/>
      <c r="K16" s="1184"/>
      <c r="L16" s="1186"/>
      <c r="M16" s="1186"/>
      <c r="N16" s="1186"/>
      <c r="O16" s="1186"/>
      <c r="P16" s="1186"/>
    </row>
    <row r="17" spans="1:19" ht="45" customHeight="1" x14ac:dyDescent="0.2">
      <c r="A17" s="953" t="s">
        <v>607</v>
      </c>
      <c r="B17" s="953" t="s">
        <v>662</v>
      </c>
      <c r="C17" s="953" t="s">
        <v>761</v>
      </c>
      <c r="D17" s="953">
        <v>2</v>
      </c>
      <c r="E17" s="1026">
        <v>1.01896587851</v>
      </c>
      <c r="F17" s="1026"/>
      <c r="G17" s="1030" t="s">
        <v>779</v>
      </c>
      <c r="H17" s="1030" t="s">
        <v>773</v>
      </c>
      <c r="I17" s="1033" t="s">
        <v>774</v>
      </c>
      <c r="J17" s="1030" t="s">
        <v>752</v>
      </c>
      <c r="K17" s="1034" t="s">
        <v>776</v>
      </c>
      <c r="L17" s="7"/>
      <c r="M17" s="1021" t="s">
        <v>779</v>
      </c>
      <c r="N17" s="1030" t="s">
        <v>784</v>
      </c>
      <c r="O17" s="1033" t="s">
        <v>785</v>
      </c>
      <c r="P17" s="1030" t="s">
        <v>752</v>
      </c>
      <c r="Q17" s="1034" t="s">
        <v>776</v>
      </c>
      <c r="R17" s="7"/>
      <c r="S17" s="7"/>
    </row>
    <row r="18" spans="1:19" x14ac:dyDescent="0.2">
      <c r="A18" s="953" t="s">
        <v>607</v>
      </c>
      <c r="B18" s="953" t="s">
        <v>662</v>
      </c>
      <c r="C18" s="953" t="s">
        <v>762</v>
      </c>
      <c r="D18" s="953">
        <v>1</v>
      </c>
      <c r="E18" s="1026">
        <v>2.6175789578400002E-3</v>
      </c>
      <c r="F18" s="1026"/>
      <c r="G18" s="1030" t="s">
        <v>447</v>
      </c>
      <c r="H18" s="1035">
        <f>H4</f>
        <v>187.40167030321501</v>
      </c>
      <c r="I18" s="1036">
        <f>H18/'Basin Acreages_032917'!L4</f>
        <v>0.47173040178787873</v>
      </c>
      <c r="J18" s="1037">
        <f>I18*'Basin Acreages_032917'!W4</f>
        <v>85.201298229045378</v>
      </c>
      <c r="K18" s="1037">
        <f>J18*0.3</f>
        <v>25.560389468713613</v>
      </c>
      <c r="L18" s="1031"/>
      <c r="M18" s="1021" t="s">
        <v>447</v>
      </c>
      <c r="N18" s="1035">
        <f>L4</f>
        <v>21.9189002034</v>
      </c>
      <c r="O18" s="1036">
        <f>N18/'Basin Acreages_032917'!P4</f>
        <v>0.11174683475866475</v>
      </c>
      <c r="P18" s="1037">
        <f>O18*'Basin Acreages_032917'!AA4</f>
        <v>1.7577777107537964</v>
      </c>
      <c r="Q18" s="1037">
        <f>P18*0.3</f>
        <v>0.52733331322613886</v>
      </c>
      <c r="R18" s="1031"/>
      <c r="S18" s="1031"/>
    </row>
    <row r="19" spans="1:19" x14ac:dyDescent="0.2">
      <c r="A19" s="953" t="s">
        <v>607</v>
      </c>
      <c r="B19" s="953" t="s">
        <v>666</v>
      </c>
      <c r="C19" s="953" t="s">
        <v>760</v>
      </c>
      <c r="D19" s="953">
        <v>2</v>
      </c>
      <c r="E19" s="1026">
        <v>4.4321567367400002E-3</v>
      </c>
      <c r="F19" s="1026"/>
      <c r="G19" s="1030" t="s">
        <v>722</v>
      </c>
      <c r="H19" s="1035">
        <f>H5</f>
        <v>0</v>
      </c>
      <c r="I19" s="1036">
        <v>0</v>
      </c>
      <c r="J19" s="1037"/>
      <c r="K19" s="1037">
        <f t="shared" ref="K19:K22" si="1">J19*0.3</f>
        <v>0</v>
      </c>
      <c r="L19" s="1031"/>
      <c r="M19" s="1021" t="s">
        <v>722</v>
      </c>
      <c r="N19" s="1035">
        <f>N5</f>
        <v>0</v>
      </c>
      <c r="O19" s="1036">
        <v>0</v>
      </c>
      <c r="P19" s="1037"/>
      <c r="Q19" s="1037">
        <f t="shared" ref="Q19:Q22" si="2">P19*0.3</f>
        <v>0</v>
      </c>
      <c r="R19" s="1031"/>
      <c r="S19" s="1031"/>
    </row>
    <row r="20" spans="1:19" x14ac:dyDescent="0.2">
      <c r="A20" s="953" t="s">
        <v>607</v>
      </c>
      <c r="B20" s="953" t="s">
        <v>458</v>
      </c>
      <c r="C20" s="953" t="s">
        <v>760</v>
      </c>
      <c r="D20" s="953">
        <v>15</v>
      </c>
      <c r="E20" s="1026">
        <v>4.8862614504400002</v>
      </c>
      <c r="F20" s="1026"/>
      <c r="G20" s="1030" t="s">
        <v>483</v>
      </c>
      <c r="H20" s="1035">
        <f>H6</f>
        <v>7.4454841629731998</v>
      </c>
      <c r="I20" s="1036">
        <f>H20/('Basin Acreages_032917'!L6-H24)</f>
        <v>8.5936603637629713E-2</v>
      </c>
      <c r="J20" s="1037">
        <f>I20*('Basin Acreages_032917'!W6-J24)</f>
        <v>1.4636635581265343</v>
      </c>
      <c r="K20" s="1037">
        <f t="shared" si="1"/>
        <v>0.43909906743796029</v>
      </c>
      <c r="L20" s="1031"/>
      <c r="M20" s="1021" t="s">
        <v>483</v>
      </c>
      <c r="N20" s="1035">
        <f>L6</f>
        <v>3.59897928029</v>
      </c>
      <c r="O20" s="1036">
        <f>Basin_acreages_122017!N20/'Basin Acreages_032917'!P6</f>
        <v>8.7981787872363493E-2</v>
      </c>
      <c r="P20" s="1037">
        <f>O20*'Basin Acreages_032917'!AA6</f>
        <v>0.19619938695537059</v>
      </c>
      <c r="Q20" s="1037">
        <f t="shared" si="2"/>
        <v>5.8859816086611172E-2</v>
      </c>
      <c r="R20" s="1031"/>
      <c r="S20" s="1031"/>
    </row>
    <row r="21" spans="1:19" x14ac:dyDescent="0.2">
      <c r="A21" s="953" t="s">
        <v>607</v>
      </c>
      <c r="B21" s="953" t="s">
        <v>458</v>
      </c>
      <c r="C21" s="953" t="s">
        <v>762</v>
      </c>
      <c r="D21" s="953">
        <v>80</v>
      </c>
      <c r="E21" s="1026">
        <v>403.95277621000002</v>
      </c>
      <c r="F21" s="1026"/>
      <c r="G21" s="1030" t="s">
        <v>446</v>
      </c>
      <c r="H21" s="1035">
        <f>H7</f>
        <v>13.678877927569999</v>
      </c>
      <c r="I21" s="1036">
        <f>H21/'Basin Acreages_032917'!L7</f>
        <v>1.4795829053170513E-2</v>
      </c>
      <c r="J21" s="1037">
        <f>I21*'Basin Acreages_032917'!W7</f>
        <v>2.0486897488013831</v>
      </c>
      <c r="K21" s="1037">
        <f t="shared" si="1"/>
        <v>0.61460692464041489</v>
      </c>
      <c r="L21" s="1031"/>
      <c r="M21" s="1021" t="s">
        <v>446</v>
      </c>
      <c r="N21" s="1035">
        <f>L7</f>
        <v>61.247346334566998</v>
      </c>
      <c r="O21" s="1036">
        <f>N21/'Basin Acreages_032917'!P7</f>
        <v>6.5108230094097053E-2</v>
      </c>
      <c r="P21" s="1037">
        <f>O21*'Basin Acreages_032917'!AA7</f>
        <v>2.9930253374256415</v>
      </c>
      <c r="Q21" s="1037">
        <f t="shared" si="2"/>
        <v>0.89790760122769242</v>
      </c>
      <c r="R21" s="1031"/>
      <c r="S21" s="1031"/>
    </row>
    <row r="22" spans="1:19" x14ac:dyDescent="0.2">
      <c r="A22" s="953" t="s">
        <v>607</v>
      </c>
      <c r="B22" s="953" t="s">
        <v>449</v>
      </c>
      <c r="C22" s="953" t="s">
        <v>759</v>
      </c>
      <c r="D22" s="953">
        <v>1</v>
      </c>
      <c r="E22" s="1026">
        <v>6.31423277457E-2</v>
      </c>
      <c r="F22" s="1026"/>
      <c r="G22" s="1030" t="s">
        <v>482</v>
      </c>
      <c r="H22" s="1035">
        <f>H8</f>
        <v>125.6889101399</v>
      </c>
      <c r="I22" s="1036">
        <f>H22/'Basin Acreages_032917'!L8</f>
        <v>0.36474012726488519</v>
      </c>
      <c r="J22" s="1037">
        <f>I22*'Basin Acreages_032917'!W8</f>
        <v>18.90449723659879</v>
      </c>
      <c r="K22" s="1037">
        <f t="shared" si="1"/>
        <v>5.6713491709796369</v>
      </c>
      <c r="L22" s="1031"/>
      <c r="M22" s="1021" t="s">
        <v>482</v>
      </c>
      <c r="N22" s="1035">
        <f>L8</f>
        <v>121.24211491212999</v>
      </c>
      <c r="O22" s="1038">
        <f>N22/'Basin Acreages_032917'!P8</f>
        <v>0.32491909139978081</v>
      </c>
      <c r="P22" s="1037">
        <f>O22*'Basin Acreages_032917'!AA8</f>
        <v>1.9007766846887177</v>
      </c>
      <c r="Q22" s="1037">
        <f t="shared" si="2"/>
        <v>0.57023300540661526</v>
      </c>
      <c r="R22" s="1031"/>
      <c r="S22" s="1031"/>
    </row>
    <row r="23" spans="1:19" x14ac:dyDescent="0.2">
      <c r="A23" s="953" t="s">
        <v>607</v>
      </c>
      <c r="B23" s="953" t="s">
        <v>449</v>
      </c>
      <c r="C23" s="953" t="s">
        <v>760</v>
      </c>
      <c r="D23" s="953">
        <v>6</v>
      </c>
      <c r="E23" s="1026">
        <v>7.1754917537300003</v>
      </c>
      <c r="F23" s="1026"/>
      <c r="G23" s="1030" t="s">
        <v>793</v>
      </c>
      <c r="H23" s="1035">
        <f t="shared" ref="H23" si="3">SUM(H18:H22)</f>
        <v>334.21494253365825</v>
      </c>
      <c r="I23" s="1036"/>
      <c r="J23" s="1037">
        <f>SUM(J18:J22)</f>
        <v>107.61814877257208</v>
      </c>
      <c r="K23" s="1037">
        <f>SUM(K18:K22)</f>
        <v>32.285444631771625</v>
      </c>
      <c r="L23" s="1031"/>
      <c r="M23" s="1021" t="s">
        <v>15</v>
      </c>
      <c r="N23" s="1035">
        <f t="shared" ref="N23" si="4">SUM(N18:N22)</f>
        <v>208.007340730387</v>
      </c>
      <c r="O23" s="1036"/>
      <c r="P23" s="1037">
        <f>SUM(P18:P22)</f>
        <v>6.8477791198235263</v>
      </c>
      <c r="Q23" s="1037">
        <f>SUM(Q18:Q22)</f>
        <v>2.0543337359470577</v>
      </c>
      <c r="R23" s="1031"/>
      <c r="S23" s="1031"/>
    </row>
    <row r="24" spans="1:19" x14ac:dyDescent="0.2">
      <c r="A24" s="953" t="s">
        <v>607</v>
      </c>
      <c r="B24" s="953" t="s">
        <v>449</v>
      </c>
      <c r="C24" s="953" t="s">
        <v>761</v>
      </c>
      <c r="D24" s="953">
        <v>2</v>
      </c>
      <c r="E24" s="1026">
        <v>6.5705551990500002E-2</v>
      </c>
      <c r="F24" s="1026"/>
      <c r="G24" s="1030" t="s">
        <v>745</v>
      </c>
      <c r="H24" s="1035">
        <f>H10</f>
        <v>50.64</v>
      </c>
      <c r="I24" s="1036">
        <f>H24/'Basin Acreages_032917'!L6</f>
        <v>0.36888309428878274</v>
      </c>
      <c r="J24" s="1037">
        <f>I24*'Basin Acreages_032917'!W6</f>
        <v>9.9550171568600092</v>
      </c>
      <c r="K24" s="1039"/>
      <c r="L24" s="1031"/>
      <c r="M24" s="1021" t="s">
        <v>745</v>
      </c>
      <c r="N24" s="1035"/>
      <c r="O24" s="1036">
        <f>N24/'Basin Acreages_032917'!R6</f>
        <v>0</v>
      </c>
      <c r="P24" s="1037">
        <f>O24*'Basin Acreages_032917'!AC6</f>
        <v>0</v>
      </c>
      <c r="Q24" s="1039"/>
      <c r="R24" s="1031"/>
      <c r="S24" s="1031"/>
    </row>
    <row r="25" spans="1:19" x14ac:dyDescent="0.2">
      <c r="A25" s="953" t="s">
        <v>607</v>
      </c>
      <c r="B25" s="953" t="s">
        <v>449</v>
      </c>
      <c r="C25" s="953" t="s">
        <v>762</v>
      </c>
      <c r="D25" s="953">
        <v>1</v>
      </c>
      <c r="E25" s="1026">
        <v>0.14114452950699999</v>
      </c>
      <c r="F25" s="1026"/>
      <c r="G25" s="1033" t="s">
        <v>775</v>
      </c>
      <c r="H25" s="1036"/>
      <c r="I25" s="1039"/>
      <c r="J25" s="1037">
        <f>SUM(J18:J24)-J23</f>
        <v>117.57316592943209</v>
      </c>
      <c r="K25" s="1039"/>
      <c r="L25" s="1031"/>
      <c r="M25" s="285" t="s">
        <v>792</v>
      </c>
      <c r="N25" s="1036"/>
      <c r="O25" s="1039"/>
      <c r="P25" s="1037">
        <f>SUM(P18:P24)-P23</f>
        <v>6.8477791198235263</v>
      </c>
      <c r="Q25" s="1037">
        <f>SUM(Q18:Q23)-Q23</f>
        <v>2.0543337359470577</v>
      </c>
      <c r="R25" s="1032"/>
      <c r="S25" s="1031"/>
    </row>
    <row r="26" spans="1:19" x14ac:dyDescent="0.2">
      <c r="A26" s="953" t="s">
        <v>607</v>
      </c>
      <c r="B26" s="953" t="s">
        <v>446</v>
      </c>
      <c r="C26" s="953" t="s">
        <v>759</v>
      </c>
      <c r="D26" s="953">
        <v>4</v>
      </c>
      <c r="E26" s="1026">
        <v>1.79515467504</v>
      </c>
      <c r="F26" s="1026"/>
      <c r="G26" s="1030"/>
      <c r="H26" s="1037"/>
      <c r="I26" s="1039"/>
      <c r="J26" s="1039"/>
      <c r="K26" s="1039"/>
      <c r="L26" s="58"/>
      <c r="M26" s="1021"/>
      <c r="N26" s="1037"/>
      <c r="O26" s="1039"/>
      <c r="P26" s="1039"/>
      <c r="Q26" s="1039"/>
      <c r="R26" s="58"/>
      <c r="S26" s="15"/>
    </row>
    <row r="27" spans="1:19" x14ac:dyDescent="0.2">
      <c r="A27" s="953" t="s">
        <v>607</v>
      </c>
      <c r="B27" s="953" t="s">
        <v>446</v>
      </c>
      <c r="C27" s="953" t="s">
        <v>760</v>
      </c>
      <c r="D27" s="953">
        <v>6</v>
      </c>
      <c r="E27" s="1026">
        <v>1.11495453138</v>
      </c>
      <c r="F27" s="1026"/>
      <c r="G27" s="1030" t="s">
        <v>727</v>
      </c>
      <c r="H27" s="1040"/>
      <c r="I27" s="1039"/>
      <c r="J27" s="1039"/>
      <c r="K27" s="1039"/>
      <c r="L27" s="15"/>
      <c r="M27" s="1021" t="s">
        <v>727</v>
      </c>
      <c r="N27" s="1040"/>
      <c r="O27" s="1039"/>
      <c r="P27" s="1039"/>
      <c r="Q27" s="1039"/>
      <c r="R27" s="15"/>
      <c r="S27" s="15"/>
    </row>
    <row r="28" spans="1:19" x14ac:dyDescent="0.2">
      <c r="A28" s="953" t="s">
        <v>607</v>
      </c>
      <c r="B28" s="953" t="s">
        <v>446</v>
      </c>
      <c r="C28" s="953" t="s">
        <v>761</v>
      </c>
      <c r="D28" s="953">
        <v>11</v>
      </c>
      <c r="E28" s="1026">
        <v>8.6651711906200006</v>
      </c>
      <c r="F28" s="1026"/>
      <c r="G28" s="1041"/>
      <c r="H28" s="1041"/>
      <c r="I28" s="1041"/>
      <c r="J28" s="1041"/>
      <c r="K28" s="1041"/>
      <c r="N28" s="1041"/>
      <c r="O28" s="1041"/>
      <c r="P28" s="1041"/>
      <c r="Q28" s="1041"/>
    </row>
    <row r="29" spans="1:19" ht="51" x14ac:dyDescent="0.2">
      <c r="A29" s="953" t="s">
        <v>607</v>
      </c>
      <c r="B29" s="953" t="s">
        <v>446</v>
      </c>
      <c r="C29" s="953" t="s">
        <v>762</v>
      </c>
      <c r="D29" s="953">
        <v>7</v>
      </c>
      <c r="E29" s="1026">
        <v>2.1035975305300001</v>
      </c>
      <c r="F29" s="1026"/>
      <c r="G29" s="1030" t="s">
        <v>779</v>
      </c>
      <c r="H29" s="1030" t="s">
        <v>777</v>
      </c>
      <c r="I29" s="1033" t="s">
        <v>778</v>
      </c>
      <c r="J29" s="1030" t="s">
        <v>752</v>
      </c>
      <c r="K29" s="1034" t="s">
        <v>776</v>
      </c>
      <c r="M29" s="1021" t="s">
        <v>779</v>
      </c>
      <c r="N29" s="1030" t="s">
        <v>786</v>
      </c>
      <c r="O29" s="1033" t="s">
        <v>787</v>
      </c>
      <c r="P29" s="1030" t="s">
        <v>752</v>
      </c>
      <c r="Q29" s="1034" t="s">
        <v>776</v>
      </c>
    </row>
    <row r="30" spans="1:19" x14ac:dyDescent="0.2">
      <c r="A30" s="953" t="s">
        <v>607</v>
      </c>
      <c r="B30" s="953" t="s">
        <v>448</v>
      </c>
      <c r="C30" s="953" t="s">
        <v>759</v>
      </c>
      <c r="D30" s="953">
        <v>13</v>
      </c>
      <c r="E30" s="1026">
        <v>91.302075982800005</v>
      </c>
      <c r="F30" s="1026"/>
      <c r="G30" s="1030" t="s">
        <v>447</v>
      </c>
      <c r="H30" s="1035">
        <f>I4</f>
        <v>60.120499493219995</v>
      </c>
      <c r="I30" s="1036">
        <f>H30/'Basin Acreages_032917'!M4</f>
        <v>0.34204522977194068</v>
      </c>
      <c r="J30" s="1037">
        <f>I30*'Basin Acreages_032917'!X4</f>
        <v>15.336583979634094</v>
      </c>
      <c r="K30" s="1037">
        <f>J30*0.3</f>
        <v>4.6009751938902284</v>
      </c>
      <c r="M30" s="1021" t="s">
        <v>447</v>
      </c>
      <c r="N30" s="1035">
        <f>M4</f>
        <v>21.204461416899999</v>
      </c>
      <c r="O30" s="1036">
        <f>N30/('Basin Acreages_032917'!Q4+'Basin Acreages_032917'!R4)</f>
        <v>1.2185086356803012E-2</v>
      </c>
      <c r="P30" s="1037">
        <f>O30*'Basin Acreages_032917'!AB4</f>
        <v>2.3726396478322265</v>
      </c>
      <c r="Q30" s="1037">
        <f>P30*0.3</f>
        <v>0.71179189434966794</v>
      </c>
    </row>
    <row r="31" spans="1:19" x14ac:dyDescent="0.2">
      <c r="A31" s="953" t="s">
        <v>607</v>
      </c>
      <c r="B31" s="953" t="s">
        <v>448</v>
      </c>
      <c r="C31" s="953" t="s">
        <v>760</v>
      </c>
      <c r="D31" s="953">
        <v>3</v>
      </c>
      <c r="E31" s="1026">
        <v>34.386834157099997</v>
      </c>
      <c r="F31" s="1026"/>
      <c r="G31" s="1030" t="s">
        <v>722</v>
      </c>
      <c r="H31" s="1035">
        <f>I5</f>
        <v>0</v>
      </c>
      <c r="I31" s="1036">
        <v>0</v>
      </c>
      <c r="J31" s="1037"/>
      <c r="K31" s="1037">
        <f t="shared" ref="K31:K34" si="5">J31*0.3</f>
        <v>0</v>
      </c>
      <c r="M31" s="1021" t="s">
        <v>722</v>
      </c>
      <c r="N31" s="1035"/>
      <c r="O31" s="1036">
        <v>0</v>
      </c>
      <c r="P31" s="1037"/>
      <c r="Q31" s="1037">
        <f t="shared" ref="Q31:Q34" si="6">P31*0.3</f>
        <v>0</v>
      </c>
    </row>
    <row r="32" spans="1:19" x14ac:dyDescent="0.2">
      <c r="A32" s="953" t="s">
        <v>607</v>
      </c>
      <c r="B32" s="953" t="s">
        <v>451</v>
      </c>
      <c r="C32" s="953" t="s">
        <v>759</v>
      </c>
      <c r="D32" s="953">
        <v>2</v>
      </c>
      <c r="E32" s="1026">
        <v>2.9149205805599999E-3</v>
      </c>
      <c r="F32" s="1026"/>
      <c r="G32" s="1030" t="s">
        <v>483</v>
      </c>
      <c r="H32" s="1035">
        <f>I6</f>
        <v>43.083970755039999</v>
      </c>
      <c r="I32" s="1036">
        <f>H32/'Basin Acreages_032917'!M6</f>
        <v>0.45418549610645403</v>
      </c>
      <c r="J32" s="1037">
        <f>I32*'Basin Acreages_032917'!X6</f>
        <v>3.6954516815861211</v>
      </c>
      <c r="K32" s="1037">
        <f t="shared" si="5"/>
        <v>1.1086355044758363</v>
      </c>
      <c r="M32" s="1021" t="s">
        <v>483</v>
      </c>
      <c r="N32" s="1035">
        <f>M6+N6</f>
        <v>75.204642175326001</v>
      </c>
      <c r="O32" s="1036">
        <f>N32/(('Basin Acreages_032917'!Q6+'Basin Acreages_032917'!R6)-Basin_acreages_122017!M10)</f>
        <v>0.13224203169546209</v>
      </c>
      <c r="P32" s="1037">
        <f>O32*('Basin Acreages_032917'!AB6-P36)</f>
        <v>4.8994533423628122</v>
      </c>
      <c r="Q32" s="1037">
        <f t="shared" si="6"/>
        <v>1.4698360027088435</v>
      </c>
    </row>
    <row r="33" spans="1:17" x14ac:dyDescent="0.2">
      <c r="A33" s="953" t="s">
        <v>607</v>
      </c>
      <c r="B33" s="953" t="s">
        <v>451</v>
      </c>
      <c r="C33" s="953" t="s">
        <v>760</v>
      </c>
      <c r="D33" s="953">
        <v>3</v>
      </c>
      <c r="E33" s="1026">
        <v>1.10114732339</v>
      </c>
      <c r="F33" s="1026"/>
      <c r="G33" s="1030" t="s">
        <v>446</v>
      </c>
      <c r="H33" s="1035">
        <f>I7</f>
        <v>10.264502857603</v>
      </c>
      <c r="I33" s="1036">
        <f>H33/'Basin Acreages_032917'!M7</f>
        <v>9.1764625780202003E-2</v>
      </c>
      <c r="J33" s="1037">
        <f>I33*'Basin Acreages_032917'!X7</f>
        <v>0.76883869890426737</v>
      </c>
      <c r="K33" s="1037">
        <f t="shared" si="5"/>
        <v>0.23065160967128021</v>
      </c>
      <c r="M33" s="1021" t="s">
        <v>446</v>
      </c>
      <c r="N33" s="1035">
        <f>M7+N7</f>
        <v>79.545037059220007</v>
      </c>
      <c r="O33" s="1036">
        <f>N33/('Basin Acreages_032917'!Q7+'Basin Acreages_032917'!R7)</f>
        <v>2.8900948131985838E-2</v>
      </c>
      <c r="P33" s="1037">
        <f>O33*'Basin Acreages_032917'!AB7</f>
        <v>5.2868164468722245</v>
      </c>
      <c r="Q33" s="1037">
        <f t="shared" si="6"/>
        <v>1.5860449340616674</v>
      </c>
    </row>
    <row r="34" spans="1:17" x14ac:dyDescent="0.2">
      <c r="A34" s="953" t="s">
        <v>607</v>
      </c>
      <c r="B34" s="953" t="s">
        <v>451</v>
      </c>
      <c r="C34" s="953" t="s">
        <v>761</v>
      </c>
      <c r="D34" s="953">
        <v>4</v>
      </c>
      <c r="E34" s="1026">
        <v>2.2546339838799998</v>
      </c>
      <c r="F34" s="1026"/>
      <c r="G34" s="1030" t="s">
        <v>482</v>
      </c>
      <c r="H34" s="1035">
        <f>GETPIVOTDATA("SUM_ACREAG",'Harris Chain ag summary'!$A$3,"LAKE_TWO","Carlton","SOURCE2009 Modeled","Tree crops")</f>
        <v>155.99949692799999</v>
      </c>
      <c r="I34" s="1036">
        <f>H34/'Basin Acreages_032917'!M8</f>
        <v>0.28723369659579651</v>
      </c>
      <c r="J34" s="1037">
        <f>I34*'Basin Acreages_032917'!X8</f>
        <v>11.005446775034228</v>
      </c>
      <c r="K34" s="1037">
        <f t="shared" si="5"/>
        <v>3.3016340325102682</v>
      </c>
      <c r="M34" s="1021" t="s">
        <v>482</v>
      </c>
      <c r="N34" s="1035">
        <f>M8+N8</f>
        <v>765.83768368078495</v>
      </c>
      <c r="O34" s="1038">
        <f>N34/('Basin Acreages_032917'!Q8+'Basin Acreages_032917'!R8)</f>
        <v>0.37823850291077821</v>
      </c>
      <c r="P34" s="1037">
        <f>O34*'Basin Acreages_032917'!AB8</f>
        <v>17.687925044810253</v>
      </c>
      <c r="Q34" s="1037">
        <f t="shared" si="6"/>
        <v>5.306377513443076</v>
      </c>
    </row>
    <row r="35" spans="1:17" x14ac:dyDescent="0.2">
      <c r="A35" s="953" t="s">
        <v>607</v>
      </c>
      <c r="B35" s="953" t="s">
        <v>452</v>
      </c>
      <c r="C35" s="953" t="s">
        <v>759</v>
      </c>
      <c r="D35" s="953">
        <v>4</v>
      </c>
      <c r="E35" s="1026">
        <v>8.4703647505100008</v>
      </c>
      <c r="F35" s="1026"/>
      <c r="G35" s="1030" t="s">
        <v>15</v>
      </c>
      <c r="H35" s="1035">
        <f t="shared" ref="H35" si="7">SUM(H30:H34)</f>
        <v>269.46847003386301</v>
      </c>
      <c r="I35" s="1036"/>
      <c r="J35" s="1037">
        <f>SUM(J30:J34)</f>
        <v>30.806321135158711</v>
      </c>
      <c r="K35" s="1037">
        <f>SUM(K30:K34)</f>
        <v>9.2418963405476138</v>
      </c>
      <c r="M35" s="1021" t="s">
        <v>15</v>
      </c>
      <c r="N35" s="1035">
        <f t="shared" ref="N35" si="8">SUM(N30:N34)</f>
        <v>941.79182433223093</v>
      </c>
      <c r="O35" s="1036"/>
      <c r="P35" s="1037">
        <f>SUM(P30:P34)</f>
        <v>30.246834481877517</v>
      </c>
      <c r="Q35" s="1037">
        <f>SUM(Q30:Q34)</f>
        <v>9.0740503445632541</v>
      </c>
    </row>
    <row r="36" spans="1:17" x14ac:dyDescent="0.2">
      <c r="A36" s="953" t="s">
        <v>607</v>
      </c>
      <c r="B36" s="953" t="s">
        <v>452</v>
      </c>
      <c r="C36" s="953" t="s">
        <v>760</v>
      </c>
      <c r="D36" s="953">
        <v>12</v>
      </c>
      <c r="E36" s="1026">
        <v>6.4277629732500001</v>
      </c>
      <c r="F36" s="1026"/>
      <c r="G36" s="1030" t="s">
        <v>745</v>
      </c>
      <c r="H36" s="1035"/>
      <c r="I36" s="1036"/>
      <c r="J36" s="1037">
        <f>I36*'Basin Acreages_032917'!W19</f>
        <v>0</v>
      </c>
      <c r="K36" s="1039"/>
      <c r="M36" s="1021" t="s">
        <v>745</v>
      </c>
      <c r="N36" s="1035">
        <f>M10</f>
        <v>193.53</v>
      </c>
      <c r="O36" s="1036">
        <f>N36/('Basin Acreages_032917'!Q6+'Basin Acreages_032917'!R6)</f>
        <v>0.25390327117094164</v>
      </c>
      <c r="P36" s="1037">
        <f>O36*'Basin Acreages_032917'!AB6</f>
        <v>12.608147288792878</v>
      </c>
      <c r="Q36" s="1039"/>
    </row>
    <row r="37" spans="1:17" x14ac:dyDescent="0.2">
      <c r="A37" s="953" t="s">
        <v>607</v>
      </c>
      <c r="B37" s="953" t="s">
        <v>452</v>
      </c>
      <c r="C37" s="953" t="s">
        <v>761</v>
      </c>
      <c r="D37" s="953">
        <v>3</v>
      </c>
      <c r="E37" s="1026">
        <v>6.64430622255</v>
      </c>
      <c r="F37" s="1026"/>
      <c r="G37" s="1033" t="s">
        <v>775</v>
      </c>
      <c r="H37" s="1036"/>
      <c r="I37" s="1039"/>
      <c r="J37" s="1037">
        <f>SUM(J30:J36)-J35</f>
        <v>30.806321135158711</v>
      </c>
      <c r="K37" s="1039"/>
      <c r="M37" s="285" t="s">
        <v>775</v>
      </c>
      <c r="N37" s="1036"/>
      <c r="O37" s="1039"/>
      <c r="P37" s="1037">
        <f>SUM(P30:P36)-P35</f>
        <v>42.854981770670392</v>
      </c>
      <c r="Q37" s="1039"/>
    </row>
    <row r="38" spans="1:17" x14ac:dyDescent="0.2">
      <c r="A38" s="953" t="s">
        <v>607</v>
      </c>
      <c r="B38" s="953" t="s">
        <v>452</v>
      </c>
      <c r="C38" s="953" t="s">
        <v>762</v>
      </c>
      <c r="D38" s="953">
        <v>13</v>
      </c>
      <c r="E38" s="1026">
        <v>8.7079556130900002</v>
      </c>
      <c r="F38" s="1026"/>
      <c r="G38" s="1030"/>
      <c r="H38" s="1037"/>
      <c r="I38" s="1039"/>
      <c r="J38" s="1039"/>
      <c r="K38" s="1039"/>
      <c r="M38" s="1021" t="s">
        <v>845</v>
      </c>
      <c r="N38" s="1037"/>
      <c r="O38" s="1039"/>
      <c r="P38" s="1039"/>
      <c r="Q38" s="1039">
        <v>3</v>
      </c>
    </row>
    <row r="39" spans="1:17" x14ac:dyDescent="0.2">
      <c r="A39" s="953" t="s">
        <v>46</v>
      </c>
      <c r="B39" s="953" t="s">
        <v>447</v>
      </c>
      <c r="C39" s="953" t="s">
        <v>759</v>
      </c>
      <c r="D39" s="953">
        <v>16</v>
      </c>
      <c r="E39" s="1026">
        <v>56.282217672199998</v>
      </c>
      <c r="F39" s="1026"/>
      <c r="G39" s="1030"/>
      <c r="H39" s="1040"/>
      <c r="I39" s="1039"/>
      <c r="J39" s="1039"/>
      <c r="K39" s="1039"/>
      <c r="M39" s="1021" t="s">
        <v>727</v>
      </c>
      <c r="N39" s="1040"/>
      <c r="O39" s="1039"/>
      <c r="P39" s="1039"/>
      <c r="Q39" s="1039"/>
    </row>
    <row r="40" spans="1:17" x14ac:dyDescent="0.2">
      <c r="A40" s="953" t="s">
        <v>46</v>
      </c>
      <c r="B40" s="953" t="s">
        <v>447</v>
      </c>
      <c r="C40" s="953" t="s">
        <v>760</v>
      </c>
      <c r="D40" s="953">
        <v>6</v>
      </c>
      <c r="E40" s="1026">
        <v>3.8382818210199998</v>
      </c>
      <c r="F40" s="1026"/>
      <c r="G40" s="1041"/>
      <c r="H40" s="1041"/>
      <c r="I40" s="1041"/>
      <c r="J40" s="1041"/>
      <c r="K40" s="1041"/>
      <c r="N40" s="1041"/>
      <c r="O40" s="1041"/>
      <c r="P40" s="1041"/>
      <c r="Q40" s="1041"/>
    </row>
    <row r="41" spans="1:17" ht="51" x14ac:dyDescent="0.2">
      <c r="A41" s="953" t="s">
        <v>46</v>
      </c>
      <c r="B41" s="953" t="s">
        <v>667</v>
      </c>
      <c r="C41" s="953" t="s">
        <v>759</v>
      </c>
      <c r="D41" s="953">
        <v>1</v>
      </c>
      <c r="E41" s="1026">
        <v>1.2686968683800001E-2</v>
      </c>
      <c r="F41" s="1026"/>
      <c r="G41" s="1030" t="s">
        <v>779</v>
      </c>
      <c r="H41" s="1030" t="s">
        <v>780</v>
      </c>
      <c r="I41" s="1033" t="s">
        <v>781</v>
      </c>
      <c r="J41" s="1030" t="s">
        <v>752</v>
      </c>
      <c r="K41" s="1034" t="s">
        <v>776</v>
      </c>
      <c r="M41" s="1021" t="s">
        <v>779</v>
      </c>
      <c r="N41" s="1030" t="s">
        <v>788</v>
      </c>
      <c r="O41" s="1033" t="s">
        <v>789</v>
      </c>
      <c r="P41" s="1030" t="s">
        <v>752</v>
      </c>
      <c r="Q41" s="1034" t="s">
        <v>776</v>
      </c>
    </row>
    <row r="42" spans="1:17" x14ac:dyDescent="0.2">
      <c r="A42" s="953" t="s">
        <v>46</v>
      </c>
      <c r="B42" s="953" t="s">
        <v>667</v>
      </c>
      <c r="C42" s="953" t="s">
        <v>760</v>
      </c>
      <c r="D42" s="953">
        <v>6</v>
      </c>
      <c r="E42" s="1026">
        <v>1.3153152864</v>
      </c>
      <c r="F42" s="1026"/>
      <c r="G42" s="1030" t="s">
        <v>447</v>
      </c>
      <c r="H42" s="1035">
        <f>J4</f>
        <v>80.732246206300005</v>
      </c>
      <c r="I42" s="1036">
        <f>H42/'Basin Acreages_032917'!N4</f>
        <v>0.36482015083832964</v>
      </c>
      <c r="J42" s="1037">
        <f>I42*'Basin Acreages_032917'!Y4</f>
        <v>9.6191970744577873</v>
      </c>
      <c r="K42" s="1037">
        <f>J42*0.3</f>
        <v>2.885759122337336</v>
      </c>
      <c r="M42" s="1021" t="s">
        <v>447</v>
      </c>
      <c r="N42" s="1035">
        <f>O4</f>
        <v>78.325585569399991</v>
      </c>
      <c r="O42" s="1036">
        <f>N42/'Basin Acreages_032917'!S4</f>
        <v>0.15849220603820421</v>
      </c>
      <c r="P42" s="1037">
        <f>O42*'Basin Acreages_032917'!AD4</f>
        <v>7.9486710807490528</v>
      </c>
      <c r="Q42" s="1037">
        <f>P42*0.3</f>
        <v>2.3846013242247159</v>
      </c>
    </row>
    <row r="43" spans="1:17" x14ac:dyDescent="0.2">
      <c r="A43" s="953" t="s">
        <v>46</v>
      </c>
      <c r="B43" s="953" t="s">
        <v>662</v>
      </c>
      <c r="C43" s="953" t="s">
        <v>759</v>
      </c>
      <c r="D43" s="953">
        <v>21</v>
      </c>
      <c r="E43" s="1026">
        <v>3.19846738201</v>
      </c>
      <c r="F43" s="1026"/>
      <c r="G43" s="1030" t="s">
        <v>722</v>
      </c>
      <c r="H43" s="1035">
        <v>0</v>
      </c>
      <c r="I43" s="1036">
        <v>0</v>
      </c>
      <c r="J43" s="1037">
        <v>0</v>
      </c>
      <c r="K43" s="1037">
        <f t="shared" ref="K43:K46" si="9">J43*0.3</f>
        <v>0</v>
      </c>
      <c r="M43" s="1021" t="s">
        <v>722</v>
      </c>
      <c r="N43" s="1035"/>
      <c r="O43" s="1036">
        <v>0</v>
      </c>
      <c r="P43" s="1037"/>
      <c r="Q43" s="1037">
        <f t="shared" ref="Q43:Q46" si="10">P43*0.3</f>
        <v>0</v>
      </c>
    </row>
    <row r="44" spans="1:17" x14ac:dyDescent="0.2">
      <c r="A44" s="953" t="s">
        <v>46</v>
      </c>
      <c r="B44" s="953" t="s">
        <v>662</v>
      </c>
      <c r="C44" s="953" t="s">
        <v>760</v>
      </c>
      <c r="D44" s="953">
        <v>2</v>
      </c>
      <c r="E44" s="1026">
        <v>4.2741170279900001E-2</v>
      </c>
      <c r="F44" s="1026"/>
      <c r="G44" s="1030" t="s">
        <v>483</v>
      </c>
      <c r="H44" s="1035">
        <f>J6</f>
        <v>5.36947779669</v>
      </c>
      <c r="I44" s="1036">
        <f>H44/('Basin Acreages_032917'!N6-H48)</f>
        <v>8.4584109269640134E-2</v>
      </c>
      <c r="J44" s="1037">
        <f>I44*('Basin Acreages_032917'!Y6-J48)</f>
        <v>0.27439679071467737</v>
      </c>
      <c r="K44" s="1037">
        <f t="shared" si="9"/>
        <v>8.2319037214403215E-2</v>
      </c>
      <c r="M44" s="1021" t="s">
        <v>483</v>
      </c>
      <c r="N44" s="1035">
        <f>O6</f>
        <v>45.602683684799999</v>
      </c>
      <c r="O44" s="1036">
        <f>N44/('Basin Acreages_032917'!S6-N48)</f>
        <v>0.39081828854678269</v>
      </c>
      <c r="P44" s="1037">
        <f>O44*('Basin Acreages_032917'!AD6-P48)</f>
        <v>3.4753157951002986</v>
      </c>
      <c r="Q44" s="1037">
        <f t="shared" si="10"/>
        <v>1.0425947385300895</v>
      </c>
    </row>
    <row r="45" spans="1:17" x14ac:dyDescent="0.2">
      <c r="A45" s="953" t="s">
        <v>46</v>
      </c>
      <c r="B45" s="953" t="s">
        <v>666</v>
      </c>
      <c r="C45" s="953" t="s">
        <v>760</v>
      </c>
      <c r="D45" s="953">
        <v>2</v>
      </c>
      <c r="E45" s="1026">
        <v>0.19411009367400001</v>
      </c>
      <c r="F45" s="1026"/>
      <c r="G45" s="1030" t="s">
        <v>446</v>
      </c>
      <c r="H45" s="1035">
        <f>J7</f>
        <v>0.692962492368</v>
      </c>
      <c r="I45" s="1036">
        <f>H45/'Basin Acreages_032917'!N7</f>
        <v>5.12917022519429E-3</v>
      </c>
      <c r="J45" s="1037">
        <f>I45*'Basin Acreages_032917'!Y7</f>
        <v>3.5217751726777879E-2</v>
      </c>
      <c r="K45" s="1037">
        <f t="shared" si="9"/>
        <v>1.0565325518033363E-2</v>
      </c>
      <c r="M45" s="1021" t="s">
        <v>446</v>
      </c>
      <c r="N45" s="1035">
        <f>O7</f>
        <v>385.61140615800798</v>
      </c>
      <c r="O45" s="1036">
        <f>N45/'Basin Acreages_032917'!S7</f>
        <v>9.599701160054408E-2</v>
      </c>
      <c r="P45" s="1037">
        <f>O45*'Basin Acreages_032917'!AD7</f>
        <v>26.940427590330845</v>
      </c>
      <c r="Q45" s="1037">
        <f t="shared" si="10"/>
        <v>8.0821282770992529</v>
      </c>
    </row>
    <row r="46" spans="1:17" x14ac:dyDescent="0.2">
      <c r="A46" s="953" t="s">
        <v>46</v>
      </c>
      <c r="B46" s="953" t="s">
        <v>449</v>
      </c>
      <c r="C46" s="953" t="s">
        <v>759</v>
      </c>
      <c r="D46" s="953">
        <v>10</v>
      </c>
      <c r="E46" s="1026">
        <v>4.9472810918399999</v>
      </c>
      <c r="F46" s="1026"/>
      <c r="G46" s="1030" t="s">
        <v>482</v>
      </c>
      <c r="H46" s="1035">
        <f>J8</f>
        <v>26.558618252999999</v>
      </c>
      <c r="I46" s="1036">
        <f>H46/'Basin Acreages_032917'!N8</f>
        <v>0.12367747049972994</v>
      </c>
      <c r="J46" s="1037">
        <f>I46*'Basin Acreages_032917'!Y8</f>
        <v>0.64375001848818614</v>
      </c>
      <c r="K46" s="1037">
        <f t="shared" si="9"/>
        <v>0.19312500554645584</v>
      </c>
      <c r="M46" s="1021" t="s">
        <v>482</v>
      </c>
      <c r="N46" s="1035">
        <f>O8</f>
        <v>11.079938826099999</v>
      </c>
      <c r="O46" s="1038">
        <f>N46/'Basin Acreages_032917'!S8</f>
        <v>3.8434475755687737E-2</v>
      </c>
      <c r="P46" s="1037">
        <f>O46*'Basin Acreages_032917'!AD8</f>
        <v>0.17373289542335776</v>
      </c>
      <c r="Q46" s="1037">
        <f t="shared" si="10"/>
        <v>5.2119868627007328E-2</v>
      </c>
    </row>
    <row r="47" spans="1:17" x14ac:dyDescent="0.2">
      <c r="A47" s="953" t="s">
        <v>46</v>
      </c>
      <c r="B47" s="953" t="s">
        <v>449</v>
      </c>
      <c r="C47" s="953" t="s">
        <v>760</v>
      </c>
      <c r="D47" s="953">
        <v>20</v>
      </c>
      <c r="E47" s="1026">
        <v>38.136689663200002</v>
      </c>
      <c r="F47" s="1026"/>
      <c r="G47" s="1030" t="s">
        <v>15</v>
      </c>
      <c r="H47" s="1035">
        <f t="shared" ref="H47" si="11">SUM(H42:H46)</f>
        <v>113.353304748358</v>
      </c>
      <c r="I47" s="1036"/>
      <c r="J47" s="1037">
        <f>SUM(J42:J46)</f>
        <v>10.572561635387428</v>
      </c>
      <c r="K47" s="1037">
        <f>SUM(K42:K46)</f>
        <v>3.1717684906162287</v>
      </c>
      <c r="M47" s="1021" t="s">
        <v>15</v>
      </c>
      <c r="N47" s="1035">
        <f t="shared" ref="N47" si="12">SUM(N42:N46)</f>
        <v>520.61961423830803</v>
      </c>
      <c r="O47" s="1036"/>
      <c r="P47" s="1037">
        <f>SUM(P42:P46)</f>
        <v>38.538147361603549</v>
      </c>
      <c r="Q47" s="1037">
        <f>SUM(Q42:Q46)</f>
        <v>11.561444208481065</v>
      </c>
    </row>
    <row r="48" spans="1:17" x14ac:dyDescent="0.2">
      <c r="A48" s="953" t="s">
        <v>46</v>
      </c>
      <c r="B48" s="953" t="s">
        <v>446</v>
      </c>
      <c r="C48" s="953" t="s">
        <v>759</v>
      </c>
      <c r="D48" s="953">
        <v>7</v>
      </c>
      <c r="E48" s="1026">
        <v>10.0322642246</v>
      </c>
      <c r="F48" s="1026"/>
      <c r="G48" s="1030" t="s">
        <v>745</v>
      </c>
      <c r="H48" s="1035">
        <f>J10</f>
        <v>72.459999999999994</v>
      </c>
      <c r="I48" s="1036">
        <f>H48/'Basin Acreages_032917'!N6</f>
        <v>0.53302563675938264</v>
      </c>
      <c r="J48" s="1037">
        <f>I48*'Basin Acreages_032917'!Y6</f>
        <v>3.7029283308410763</v>
      </c>
      <c r="K48" s="1039"/>
      <c r="M48" s="1021" t="s">
        <v>745</v>
      </c>
      <c r="N48" s="1035">
        <f>O10</f>
        <v>96.31</v>
      </c>
      <c r="O48" s="1036">
        <f>N48/'Basin Acreages_032917'!S6</f>
        <v>0.45216995798269</v>
      </c>
      <c r="P48" s="1037">
        <f>O48*'Basin Acreages_032917'!AD6</f>
        <v>7.339648397440091</v>
      </c>
      <c r="Q48" s="1039"/>
    </row>
    <row r="49" spans="1:17" x14ac:dyDescent="0.2">
      <c r="A49" s="953" t="s">
        <v>46</v>
      </c>
      <c r="B49" s="953" t="s">
        <v>446</v>
      </c>
      <c r="C49" s="953" t="s">
        <v>760</v>
      </c>
      <c r="D49" s="953">
        <v>3</v>
      </c>
      <c r="E49" s="1026">
        <v>0.23223863300299999</v>
      </c>
      <c r="F49" s="1026"/>
      <c r="G49" s="1033" t="s">
        <v>775</v>
      </c>
      <c r="H49" s="1036"/>
      <c r="I49" s="1039"/>
      <c r="J49" s="1037">
        <f>SUM(J42:J48)-J47</f>
        <v>14.275489966228504</v>
      </c>
      <c r="K49" s="1039"/>
      <c r="M49" s="285" t="s">
        <v>775</v>
      </c>
      <c r="N49" s="1036"/>
      <c r="O49" s="1039"/>
      <c r="P49" s="1037">
        <f>SUM(P42:P48)-P47</f>
        <v>45.877795759043636</v>
      </c>
      <c r="Q49" s="1039"/>
    </row>
    <row r="50" spans="1:17" x14ac:dyDescent="0.2">
      <c r="A50" s="953" t="s">
        <v>46</v>
      </c>
      <c r="B50" s="953" t="s">
        <v>448</v>
      </c>
      <c r="C50" s="953" t="s">
        <v>759</v>
      </c>
      <c r="D50" s="953">
        <v>20</v>
      </c>
      <c r="E50" s="1026">
        <v>144.598481384</v>
      </c>
      <c r="F50" s="1026"/>
      <c r="G50" s="1030"/>
      <c r="H50" s="1037"/>
      <c r="I50" s="1039"/>
      <c r="J50" s="1039"/>
      <c r="K50" s="1039"/>
      <c r="M50" s="1021"/>
      <c r="N50" s="1037"/>
      <c r="O50" s="1039"/>
      <c r="P50" s="1039"/>
      <c r="Q50" s="1039"/>
    </row>
    <row r="51" spans="1:17" x14ac:dyDescent="0.2">
      <c r="A51" s="953" t="s">
        <v>46</v>
      </c>
      <c r="B51" s="953" t="s">
        <v>448</v>
      </c>
      <c r="C51" s="953" t="s">
        <v>760</v>
      </c>
      <c r="D51" s="953">
        <v>7</v>
      </c>
      <c r="E51" s="1026">
        <v>11.401015544</v>
      </c>
      <c r="F51" s="1026"/>
      <c r="G51" s="1030"/>
      <c r="H51" s="1040"/>
      <c r="I51" s="1039"/>
      <c r="J51" s="1039"/>
      <c r="K51" s="1039"/>
      <c r="M51" s="1021" t="s">
        <v>727</v>
      </c>
      <c r="N51" s="1040"/>
      <c r="O51" s="1039"/>
      <c r="P51" s="1039"/>
      <c r="Q51" s="1039"/>
    </row>
    <row r="52" spans="1:17" x14ac:dyDescent="0.2">
      <c r="A52" s="953" t="s">
        <v>46</v>
      </c>
      <c r="B52" s="953" t="s">
        <v>451</v>
      </c>
      <c r="C52" s="953" t="s">
        <v>759</v>
      </c>
      <c r="D52" s="953">
        <v>5</v>
      </c>
      <c r="E52" s="1026">
        <v>7.8059627587200003E-2</v>
      </c>
      <c r="F52" s="1026"/>
      <c r="G52" s="1041"/>
      <c r="H52" s="1041"/>
      <c r="I52" s="1041"/>
      <c r="J52" s="1041"/>
      <c r="K52" s="1041"/>
      <c r="N52" s="1041"/>
      <c r="O52" s="1041"/>
      <c r="P52" s="1041"/>
      <c r="Q52" s="1041"/>
    </row>
    <row r="53" spans="1:17" ht="51" x14ac:dyDescent="0.2">
      <c r="A53" s="953" t="s">
        <v>46</v>
      </c>
      <c r="B53" s="953" t="s">
        <v>452</v>
      </c>
      <c r="C53" s="953" t="s">
        <v>759</v>
      </c>
      <c r="D53" s="953">
        <v>20</v>
      </c>
      <c r="E53" s="1026">
        <v>29.654427596600001</v>
      </c>
      <c r="F53" s="1026"/>
      <c r="G53" s="1030" t="s">
        <v>779</v>
      </c>
      <c r="H53" s="1030" t="s">
        <v>782</v>
      </c>
      <c r="I53" s="1033" t="s">
        <v>783</v>
      </c>
      <c r="J53" s="1030" t="s">
        <v>752</v>
      </c>
      <c r="K53" s="1034" t="s">
        <v>776</v>
      </c>
      <c r="M53" s="1021" t="s">
        <v>779</v>
      </c>
      <c r="N53" s="1030" t="s">
        <v>790</v>
      </c>
      <c r="O53" s="1033" t="s">
        <v>791</v>
      </c>
      <c r="P53" s="1030" t="s">
        <v>752</v>
      </c>
      <c r="Q53" s="1034" t="s">
        <v>776</v>
      </c>
    </row>
    <row r="54" spans="1:17" x14ac:dyDescent="0.2">
      <c r="A54" s="953" t="s">
        <v>46</v>
      </c>
      <c r="B54" s="953" t="s">
        <v>452</v>
      </c>
      <c r="C54" s="953" t="s">
        <v>760</v>
      </c>
      <c r="D54" s="953">
        <v>1</v>
      </c>
      <c r="E54" s="1026">
        <v>4.4691548913799997</v>
      </c>
      <c r="F54" s="1026"/>
      <c r="G54" s="1030" t="s">
        <v>447</v>
      </c>
      <c r="H54" s="1035">
        <f>K4</f>
        <v>0.10276120049610001</v>
      </c>
      <c r="I54" s="1036">
        <f>H54/'Basin Acreages_032917'!O4</f>
        <v>4.1241790815732299E-4</v>
      </c>
      <c r="J54" s="1037">
        <f>I54*'Basin Acreages_032917'!Z4</f>
        <v>1.8813455505021996E-2</v>
      </c>
      <c r="K54" s="1037">
        <f>J54*0.3</f>
        <v>5.6440366515065985E-3</v>
      </c>
      <c r="M54" s="1021" t="s">
        <v>447</v>
      </c>
      <c r="N54" s="1035">
        <f>P4</f>
        <v>17.287393803400001</v>
      </c>
      <c r="O54" s="1036">
        <f>N54/'Basin Acreages_032917'!T4</f>
        <v>6.16032634097127E-2</v>
      </c>
      <c r="P54" s="1037">
        <f>O54*'Basin Acreages_032917'!AC4</f>
        <v>1.7996845606285397</v>
      </c>
      <c r="Q54" s="1037">
        <f>P54*0.3</f>
        <v>0.53990536818856183</v>
      </c>
    </row>
    <row r="55" spans="1:17" x14ac:dyDescent="0.2">
      <c r="A55" s="953" t="s">
        <v>608</v>
      </c>
      <c r="B55" s="953" t="s">
        <v>447</v>
      </c>
      <c r="C55" s="953" t="s">
        <v>763</v>
      </c>
      <c r="D55" s="953">
        <v>11</v>
      </c>
      <c r="E55" s="1026">
        <v>80.732246206300005</v>
      </c>
      <c r="F55" s="1026"/>
      <c r="G55" s="1030" t="s">
        <v>722</v>
      </c>
      <c r="H55" s="1035">
        <v>0</v>
      </c>
      <c r="I55" s="1036">
        <v>0</v>
      </c>
      <c r="J55" s="1037">
        <v>0</v>
      </c>
      <c r="K55" s="1037">
        <f t="shared" ref="K55:K58" si="13">J55*0.3</f>
        <v>0</v>
      </c>
      <c r="M55" s="1021" t="s">
        <v>722</v>
      </c>
      <c r="N55" s="1035"/>
      <c r="O55" s="1036">
        <v>0</v>
      </c>
      <c r="P55" s="1037"/>
      <c r="Q55" s="1037">
        <f t="shared" ref="Q55:Q58" si="14">P55*0.3</f>
        <v>0</v>
      </c>
    </row>
    <row r="56" spans="1:17" x14ac:dyDescent="0.2">
      <c r="A56" s="953" t="s">
        <v>608</v>
      </c>
      <c r="B56" s="953" t="s">
        <v>667</v>
      </c>
      <c r="C56" s="953" t="s">
        <v>759</v>
      </c>
      <c r="D56" s="953">
        <v>1</v>
      </c>
      <c r="E56" s="1026">
        <v>1.13786457126</v>
      </c>
      <c r="F56" s="1026"/>
      <c r="G56" s="1030" t="s">
        <v>483</v>
      </c>
      <c r="H56" s="1035">
        <f>K6</f>
        <v>3.2245466876200002</v>
      </c>
      <c r="I56" s="1036">
        <f>H56/('Basin Acreages_032917'!O6-H60)</f>
        <v>0.559938649662857</v>
      </c>
      <c r="J56" s="1037">
        <f>I56*('Basin Acreages_032917'!Z6-J60)</f>
        <v>0.27760834807433399</v>
      </c>
      <c r="K56" s="1037">
        <f t="shared" si="13"/>
        <v>8.3282504422300188E-2</v>
      </c>
      <c r="M56" s="1021" t="s">
        <v>483</v>
      </c>
      <c r="N56" s="1035">
        <f>P6</f>
        <v>47.448914314858001</v>
      </c>
      <c r="O56" s="1036">
        <f>N56/'Basin Acreages_032917'!T6</f>
        <v>0.19076245768957867</v>
      </c>
      <c r="P56" s="1037">
        <f>O56*'Basin Acreages_032917'!AC6</f>
        <v>2.2322323589002515</v>
      </c>
      <c r="Q56" s="1037">
        <f t="shared" si="14"/>
        <v>0.66966970767007539</v>
      </c>
    </row>
    <row r="57" spans="1:17" x14ac:dyDescent="0.2">
      <c r="A57" s="953" t="s">
        <v>608</v>
      </c>
      <c r="B57" s="953" t="s">
        <v>667</v>
      </c>
      <c r="C57" s="953" t="s">
        <v>763</v>
      </c>
      <c r="D57" s="953">
        <v>59</v>
      </c>
      <c r="E57" s="1026">
        <v>416.999231377</v>
      </c>
      <c r="F57" s="1026"/>
      <c r="G57" s="1030" t="s">
        <v>446</v>
      </c>
      <c r="H57" s="1035">
        <f>K7</f>
        <v>26.090892957179999</v>
      </c>
      <c r="I57" s="1036">
        <f>H57/'Basin Acreages_032917'!O7</f>
        <v>9.4706233096460576E-2</v>
      </c>
      <c r="J57" s="1037">
        <f>I57*'Basin Acreages_032917'!Z7</f>
        <v>8.5063707540518791</v>
      </c>
      <c r="K57" s="1037">
        <f t="shared" si="13"/>
        <v>2.5519112262155637</v>
      </c>
      <c r="M57" s="1021" t="s">
        <v>446</v>
      </c>
      <c r="N57" s="1035">
        <f>P7</f>
        <v>176.28727859237</v>
      </c>
      <c r="O57" s="1036">
        <f>N57/'Basin Acreages_032917'!T7</f>
        <v>8.4921410651443874E-2</v>
      </c>
      <c r="P57" s="1037">
        <f>O57*'Basin Acreages_032917'!AC7</f>
        <v>13.251479514566336</v>
      </c>
      <c r="Q57" s="1037">
        <f t="shared" si="14"/>
        <v>3.9754438543699004</v>
      </c>
    </row>
    <row r="58" spans="1:17" x14ac:dyDescent="0.2">
      <c r="A58" s="953" t="s">
        <v>608</v>
      </c>
      <c r="B58" s="953" t="s">
        <v>661</v>
      </c>
      <c r="C58" s="953" t="s">
        <v>759</v>
      </c>
      <c r="D58" s="953">
        <v>2</v>
      </c>
      <c r="E58" s="1026">
        <v>0.349794963141</v>
      </c>
      <c r="F58" s="1026"/>
      <c r="G58" s="1030" t="s">
        <v>482</v>
      </c>
      <c r="H58" s="1035">
        <f>K8</f>
        <v>32.47271420173</v>
      </c>
      <c r="I58" s="1036">
        <f>H58/'Basin Acreages_032917'!O8</f>
        <v>9.3097698196012005E-2</v>
      </c>
      <c r="J58" s="1037">
        <f>I58*'Basin Acreages_032917'!Z8</f>
        <v>1.4055922925142006</v>
      </c>
      <c r="K58" s="1037">
        <f t="shared" si="13"/>
        <v>0.42167768775426018</v>
      </c>
      <c r="M58" s="1021" t="s">
        <v>482</v>
      </c>
      <c r="N58" s="1035">
        <f>P8</f>
        <v>462.89447772346796</v>
      </c>
      <c r="O58" s="1038">
        <f>N58/'Basin Acreages_032917'!T8</f>
        <v>0.32278325508848071</v>
      </c>
      <c r="P58" s="1037">
        <f>O58*'Basin Acreages_032917'!AC8</f>
        <v>7.3872444719976267</v>
      </c>
      <c r="Q58" s="1037">
        <f t="shared" si="14"/>
        <v>2.2161733415992879</v>
      </c>
    </row>
    <row r="59" spans="1:17" x14ac:dyDescent="0.2">
      <c r="A59" s="953" t="s">
        <v>608</v>
      </c>
      <c r="B59" s="953" t="s">
        <v>661</v>
      </c>
      <c r="C59" s="953" t="s">
        <v>760</v>
      </c>
      <c r="D59" s="953">
        <v>1</v>
      </c>
      <c r="E59" s="1026">
        <v>0.15495837772000001</v>
      </c>
      <c r="F59" s="1026"/>
      <c r="G59" s="1030" t="s">
        <v>15</v>
      </c>
      <c r="H59" s="1035">
        <f t="shared" ref="H59" si="15">SUM(H54:H58)</f>
        <v>61.890915047026098</v>
      </c>
      <c r="I59" s="1036"/>
      <c r="J59" s="1037">
        <f>SUM(J54:J58)</f>
        <v>10.208384850145436</v>
      </c>
      <c r="K59" s="1037">
        <f>SUM(K54:K58)</f>
        <v>3.0625154550436307</v>
      </c>
      <c r="M59" s="1021" t="s">
        <v>15</v>
      </c>
      <c r="N59" s="1035">
        <f t="shared" ref="N59" si="16">SUM(N54:N58)</f>
        <v>703.91806443409598</v>
      </c>
      <c r="O59" s="1036"/>
      <c r="P59" s="1037">
        <f>SUM(P54:P58)</f>
        <v>24.670640906092753</v>
      </c>
      <c r="Q59" s="1037">
        <f>SUM(Q54:Q58)</f>
        <v>7.4011922718278251</v>
      </c>
    </row>
    <row r="60" spans="1:17" x14ac:dyDescent="0.2">
      <c r="A60" s="953" t="s">
        <v>608</v>
      </c>
      <c r="B60" s="953" t="s">
        <v>443</v>
      </c>
      <c r="C60" s="953" t="s">
        <v>763</v>
      </c>
      <c r="D60" s="953">
        <v>1</v>
      </c>
      <c r="E60" s="1026">
        <v>3.1455311896699999E-2</v>
      </c>
      <c r="F60" s="1026"/>
      <c r="G60" s="1030" t="s">
        <v>745</v>
      </c>
      <c r="H60" s="1035">
        <f>K10</f>
        <v>80.7</v>
      </c>
      <c r="I60" s="1036">
        <f>H60/'Basin Acreages_032917'!O6</f>
        <v>0.93339309229599687</v>
      </c>
      <c r="J60" s="1037">
        <f>I60*'Basin Acreages_032917'!Z6</f>
        <v>6.9476412841564956</v>
      </c>
      <c r="K60" s="1039"/>
      <c r="M60" s="1021" t="s">
        <v>745</v>
      </c>
      <c r="N60" s="1035">
        <f>P10</f>
        <v>0</v>
      </c>
      <c r="O60" s="1036">
        <f>N60/'Basin Acreages_032917'!T6</f>
        <v>0</v>
      </c>
      <c r="P60" s="1037">
        <f>O60*'Basin Acreages_032917'!AC6</f>
        <v>0</v>
      </c>
      <c r="Q60" s="1039"/>
    </row>
    <row r="61" spans="1:17" x14ac:dyDescent="0.2">
      <c r="A61" s="953" t="s">
        <v>608</v>
      </c>
      <c r="B61" s="953" t="s">
        <v>662</v>
      </c>
      <c r="C61" s="953" t="s">
        <v>759</v>
      </c>
      <c r="D61" s="953">
        <v>7</v>
      </c>
      <c r="E61" s="1026">
        <v>2.7320723549100001</v>
      </c>
      <c r="F61" s="1026"/>
      <c r="G61" s="1033" t="s">
        <v>775</v>
      </c>
      <c r="H61" s="1036"/>
      <c r="I61" s="1039"/>
      <c r="J61" s="1037">
        <f>SUM(J54:J60)-J59</f>
        <v>17.156026134301932</v>
      </c>
      <c r="K61" s="1039"/>
      <c r="M61" s="285" t="s">
        <v>775</v>
      </c>
      <c r="N61" s="1036"/>
      <c r="O61" s="1039"/>
      <c r="P61" s="1037">
        <f>SUM(P54:P60)-P59</f>
        <v>24.670640906092753</v>
      </c>
      <c r="Q61" s="1039"/>
    </row>
    <row r="62" spans="1:17" x14ac:dyDescent="0.2">
      <c r="A62" s="953" t="s">
        <v>608</v>
      </c>
      <c r="B62" s="953" t="s">
        <v>662</v>
      </c>
      <c r="C62" s="953" t="s">
        <v>763</v>
      </c>
      <c r="D62" s="953">
        <v>6</v>
      </c>
      <c r="E62" s="1026">
        <v>1.2674960736800001</v>
      </c>
      <c r="F62" s="1026"/>
      <c r="G62" s="1030"/>
      <c r="H62" s="1037"/>
      <c r="I62" s="1039"/>
      <c r="J62" s="1039"/>
      <c r="K62" s="1039"/>
      <c r="M62" s="1021"/>
      <c r="N62" s="1037"/>
      <c r="O62" s="1039"/>
      <c r="P62" s="1039"/>
      <c r="Q62" s="1039"/>
    </row>
    <row r="63" spans="1:17" x14ac:dyDescent="0.2">
      <c r="A63" s="953" t="s">
        <v>608</v>
      </c>
      <c r="B63" s="953" t="s">
        <v>666</v>
      </c>
      <c r="C63" s="953" t="s">
        <v>763</v>
      </c>
      <c r="D63" s="953">
        <v>2</v>
      </c>
      <c r="E63" s="1026">
        <v>8.7207700062699997E-2</v>
      </c>
      <c r="F63" s="1026"/>
      <c r="G63" s="1030"/>
      <c r="H63" s="1040"/>
      <c r="I63" s="1039"/>
      <c r="J63" s="1039"/>
      <c r="K63" s="1039"/>
      <c r="M63" s="1021" t="s">
        <v>727</v>
      </c>
      <c r="N63" s="1040"/>
      <c r="O63" s="1039"/>
      <c r="P63" s="1039"/>
      <c r="Q63" s="1039"/>
    </row>
    <row r="64" spans="1:17" x14ac:dyDescent="0.2">
      <c r="A64" s="953" t="s">
        <v>608</v>
      </c>
      <c r="B64" s="953" t="s">
        <v>663</v>
      </c>
      <c r="C64" s="953" t="s">
        <v>763</v>
      </c>
      <c r="D64" s="953">
        <v>3</v>
      </c>
      <c r="E64" s="1026">
        <v>2.2926837940399998</v>
      </c>
      <c r="F64" s="1026"/>
    </row>
    <row r="65" spans="1:6" x14ac:dyDescent="0.2">
      <c r="A65" s="953" t="s">
        <v>608</v>
      </c>
      <c r="B65" s="953" t="s">
        <v>449</v>
      </c>
      <c r="C65" s="953" t="s">
        <v>763</v>
      </c>
      <c r="D65" s="953">
        <v>2</v>
      </c>
      <c r="E65" s="1026">
        <v>5.36947779669</v>
      </c>
      <c r="F65" s="1026"/>
    </row>
    <row r="66" spans="1:6" x14ac:dyDescent="0.2">
      <c r="A66" s="953" t="s">
        <v>608</v>
      </c>
      <c r="B66" s="953" t="s">
        <v>446</v>
      </c>
      <c r="C66" s="953" t="s">
        <v>759</v>
      </c>
      <c r="D66" s="953">
        <v>2</v>
      </c>
      <c r="E66" s="1026">
        <v>0.692962492368</v>
      </c>
      <c r="F66" s="1026"/>
    </row>
    <row r="67" spans="1:6" x14ac:dyDescent="0.2">
      <c r="A67" s="953" t="s">
        <v>608</v>
      </c>
      <c r="B67" s="953" t="s">
        <v>448</v>
      </c>
      <c r="C67" s="953" t="s">
        <v>759</v>
      </c>
      <c r="D67" s="953">
        <v>3</v>
      </c>
      <c r="E67" s="1026">
        <v>26.558618252999999</v>
      </c>
      <c r="F67" s="1026"/>
    </row>
    <row r="68" spans="1:6" x14ac:dyDescent="0.2">
      <c r="A68" s="953" t="s">
        <v>608</v>
      </c>
      <c r="B68" s="953" t="s">
        <v>451</v>
      </c>
      <c r="C68" s="953" t="s">
        <v>759</v>
      </c>
      <c r="D68" s="953">
        <v>1</v>
      </c>
      <c r="E68" s="1026">
        <v>1.8434948329799999E-2</v>
      </c>
      <c r="F68" s="1026"/>
    </row>
    <row r="69" spans="1:6" x14ac:dyDescent="0.2">
      <c r="A69" s="953" t="s">
        <v>608</v>
      </c>
      <c r="B69" s="953" t="s">
        <v>451</v>
      </c>
      <c r="C69" s="953" t="s">
        <v>763</v>
      </c>
      <c r="D69" s="953">
        <v>14</v>
      </c>
      <c r="E69" s="1026">
        <v>60.514800607799998</v>
      </c>
      <c r="F69" s="1026"/>
    </row>
    <row r="70" spans="1:6" x14ac:dyDescent="0.2">
      <c r="A70" s="953" t="s">
        <v>608</v>
      </c>
      <c r="B70" s="953" t="s">
        <v>452</v>
      </c>
      <c r="C70" s="953" t="s">
        <v>759</v>
      </c>
      <c r="D70" s="953">
        <v>2</v>
      </c>
      <c r="E70" s="1026">
        <v>2.6483708291700001</v>
      </c>
      <c r="F70" s="1026"/>
    </row>
    <row r="71" spans="1:6" x14ac:dyDescent="0.2">
      <c r="A71" s="953" t="s">
        <v>608</v>
      </c>
      <c r="B71" s="953" t="s">
        <v>452</v>
      </c>
      <c r="C71" s="953" t="s">
        <v>763</v>
      </c>
      <c r="D71" s="953">
        <v>79</v>
      </c>
      <c r="E71" s="1026">
        <v>757.61324487700006</v>
      </c>
      <c r="F71" s="1026"/>
    </row>
    <row r="72" spans="1:6" x14ac:dyDescent="0.2">
      <c r="A72" s="953" t="s">
        <v>40</v>
      </c>
      <c r="B72" s="953" t="s">
        <v>447</v>
      </c>
      <c r="C72" s="953" t="s">
        <v>759</v>
      </c>
      <c r="D72" s="953">
        <v>3</v>
      </c>
      <c r="E72" s="1026">
        <v>1.4753328634500001E-2</v>
      </c>
      <c r="F72" s="1026"/>
    </row>
    <row r="73" spans="1:6" x14ac:dyDescent="0.2">
      <c r="A73" s="953" t="s">
        <v>40</v>
      </c>
      <c r="B73" s="953" t="s">
        <v>447</v>
      </c>
      <c r="C73" s="953" t="s">
        <v>764</v>
      </c>
      <c r="D73" s="953">
        <v>2</v>
      </c>
      <c r="E73" s="1026">
        <v>8.8007871861600001E-2</v>
      </c>
      <c r="F73" s="1026"/>
    </row>
    <row r="74" spans="1:6" x14ac:dyDescent="0.2">
      <c r="A74" s="953" t="s">
        <v>40</v>
      </c>
      <c r="B74" s="953" t="s">
        <v>667</v>
      </c>
      <c r="C74" s="953" t="s">
        <v>759</v>
      </c>
      <c r="D74" s="953">
        <v>2</v>
      </c>
      <c r="E74" s="1026">
        <v>3.1983934353899998E-2</v>
      </c>
      <c r="F74" s="1026"/>
    </row>
    <row r="75" spans="1:6" x14ac:dyDescent="0.2">
      <c r="A75" s="953" t="s">
        <v>40</v>
      </c>
      <c r="B75" s="953" t="s">
        <v>667</v>
      </c>
      <c r="C75" s="953" t="s">
        <v>760</v>
      </c>
      <c r="D75" s="953">
        <v>3</v>
      </c>
      <c r="E75" s="1026">
        <v>2.8066021188399999</v>
      </c>
      <c r="F75" s="1026"/>
    </row>
    <row r="76" spans="1:6" x14ac:dyDescent="0.2">
      <c r="A76" s="953" t="s">
        <v>40</v>
      </c>
      <c r="B76" s="953" t="s">
        <v>665</v>
      </c>
      <c r="C76" s="953" t="s">
        <v>760</v>
      </c>
      <c r="D76" s="953">
        <v>2</v>
      </c>
      <c r="E76" s="1026">
        <v>1.7989967780500001E-2</v>
      </c>
      <c r="F76" s="1026"/>
    </row>
    <row r="77" spans="1:6" x14ac:dyDescent="0.2">
      <c r="A77" s="953" t="s">
        <v>40</v>
      </c>
      <c r="B77" s="953" t="s">
        <v>666</v>
      </c>
      <c r="C77" s="953" t="s">
        <v>759</v>
      </c>
      <c r="D77" s="953">
        <v>1</v>
      </c>
      <c r="E77" s="1026">
        <v>9.2372737569700006E-2</v>
      </c>
      <c r="F77" s="1026"/>
    </row>
    <row r="78" spans="1:6" x14ac:dyDescent="0.2">
      <c r="A78" s="953" t="s">
        <v>40</v>
      </c>
      <c r="B78" s="953" t="s">
        <v>663</v>
      </c>
      <c r="C78" s="953" t="s">
        <v>759</v>
      </c>
      <c r="D78" s="953">
        <v>3</v>
      </c>
      <c r="E78" s="1026">
        <v>4.78636902602</v>
      </c>
      <c r="F78" s="1026"/>
    </row>
    <row r="79" spans="1:6" x14ac:dyDescent="0.2">
      <c r="A79" s="953" t="s">
        <v>40</v>
      </c>
      <c r="B79" s="953" t="s">
        <v>449</v>
      </c>
      <c r="C79" s="953" t="s">
        <v>760</v>
      </c>
      <c r="D79" s="953">
        <v>3</v>
      </c>
      <c r="E79" s="1026">
        <v>3.2245466876200002</v>
      </c>
      <c r="F79" s="1026"/>
    </row>
    <row r="80" spans="1:6" x14ac:dyDescent="0.2">
      <c r="A80" s="953" t="s">
        <v>40</v>
      </c>
      <c r="B80" s="953" t="s">
        <v>446</v>
      </c>
      <c r="C80" s="953" t="s">
        <v>759</v>
      </c>
      <c r="D80" s="953">
        <v>3</v>
      </c>
      <c r="E80" s="1026">
        <v>5.4756223191800002</v>
      </c>
      <c r="F80" s="1026"/>
    </row>
    <row r="81" spans="1:6" x14ac:dyDescent="0.2">
      <c r="A81" s="953" t="s">
        <v>40</v>
      </c>
      <c r="B81" s="953" t="s">
        <v>446</v>
      </c>
      <c r="C81" s="953" t="s">
        <v>764</v>
      </c>
      <c r="D81" s="953">
        <v>4</v>
      </c>
      <c r="E81" s="1026">
        <v>20.615270637999998</v>
      </c>
      <c r="F81" s="1026"/>
    </row>
    <row r="82" spans="1:6" x14ac:dyDescent="0.2">
      <c r="A82" s="953" t="s">
        <v>40</v>
      </c>
      <c r="B82" s="953" t="s">
        <v>448</v>
      </c>
      <c r="C82" s="953" t="s">
        <v>759</v>
      </c>
      <c r="D82" s="953">
        <v>5</v>
      </c>
      <c r="E82" s="1026">
        <v>22.7787232646</v>
      </c>
      <c r="F82" s="1026"/>
    </row>
    <row r="83" spans="1:6" x14ac:dyDescent="0.2">
      <c r="A83" s="953" t="s">
        <v>40</v>
      </c>
      <c r="B83" s="953" t="s">
        <v>448</v>
      </c>
      <c r="C83" s="953" t="s">
        <v>764</v>
      </c>
      <c r="D83" s="953">
        <v>3</v>
      </c>
      <c r="E83" s="1026">
        <v>9.6939909371299997</v>
      </c>
      <c r="F83" s="1026"/>
    </row>
    <row r="84" spans="1:6" x14ac:dyDescent="0.2">
      <c r="A84" s="953" t="s">
        <v>609</v>
      </c>
      <c r="B84" s="953" t="s">
        <v>447</v>
      </c>
      <c r="C84" s="953" t="s">
        <v>759</v>
      </c>
      <c r="D84" s="953">
        <v>1</v>
      </c>
      <c r="E84" s="1026">
        <v>10.289250559399999</v>
      </c>
      <c r="F84" s="1026"/>
    </row>
    <row r="85" spans="1:6" x14ac:dyDescent="0.2">
      <c r="A85" s="953" t="s">
        <v>609</v>
      </c>
      <c r="B85" s="953" t="s">
        <v>447</v>
      </c>
      <c r="C85" s="953" t="s">
        <v>765</v>
      </c>
      <c r="D85" s="953">
        <v>7</v>
      </c>
      <c r="E85" s="1026">
        <v>22.288104615599998</v>
      </c>
      <c r="F85" s="1026"/>
    </row>
    <row r="86" spans="1:6" x14ac:dyDescent="0.2">
      <c r="A86" s="953" t="s">
        <v>609</v>
      </c>
      <c r="B86" s="953" t="s">
        <v>447</v>
      </c>
      <c r="C86" s="953" t="s">
        <v>763</v>
      </c>
      <c r="D86" s="953">
        <v>3</v>
      </c>
      <c r="E86" s="1026">
        <v>45.748230394399997</v>
      </c>
      <c r="F86" s="1026"/>
    </row>
    <row r="87" spans="1:6" x14ac:dyDescent="0.2">
      <c r="A87" s="953" t="s">
        <v>609</v>
      </c>
      <c r="B87" s="953" t="s">
        <v>667</v>
      </c>
      <c r="C87" s="953" t="s">
        <v>759</v>
      </c>
      <c r="D87" s="953">
        <v>84</v>
      </c>
      <c r="E87" s="1026">
        <v>1473.3073120700001</v>
      </c>
      <c r="F87" s="1026"/>
    </row>
    <row r="88" spans="1:6" x14ac:dyDescent="0.2">
      <c r="A88" s="953" t="s">
        <v>609</v>
      </c>
      <c r="B88" s="953" t="s">
        <v>667</v>
      </c>
      <c r="C88" s="953" t="s">
        <v>765</v>
      </c>
      <c r="D88" s="953">
        <v>74</v>
      </c>
      <c r="E88" s="1026">
        <v>237.16372854599999</v>
      </c>
      <c r="F88" s="1026"/>
    </row>
    <row r="89" spans="1:6" x14ac:dyDescent="0.2">
      <c r="A89" s="953" t="s">
        <v>609</v>
      </c>
      <c r="B89" s="953" t="s">
        <v>667</v>
      </c>
      <c r="C89" s="953" t="s">
        <v>763</v>
      </c>
      <c r="D89" s="953">
        <v>14</v>
      </c>
      <c r="E89" s="1026">
        <v>80.956604075900003</v>
      </c>
      <c r="F89" s="1026"/>
    </row>
    <row r="90" spans="1:6" x14ac:dyDescent="0.2">
      <c r="A90" s="953" t="s">
        <v>609</v>
      </c>
      <c r="B90" s="953" t="s">
        <v>662</v>
      </c>
      <c r="C90" s="953" t="s">
        <v>759</v>
      </c>
      <c r="D90" s="953">
        <v>20</v>
      </c>
      <c r="E90" s="1026">
        <v>4.9607675097000001</v>
      </c>
      <c r="F90" s="1026"/>
    </row>
    <row r="91" spans="1:6" x14ac:dyDescent="0.2">
      <c r="A91" s="953" t="s">
        <v>609</v>
      </c>
      <c r="B91" s="953" t="s">
        <v>662</v>
      </c>
      <c r="C91" s="953" t="s">
        <v>765</v>
      </c>
      <c r="D91" s="953">
        <v>4</v>
      </c>
      <c r="E91" s="1026">
        <v>3.9658440705500002</v>
      </c>
      <c r="F91" s="1026"/>
    </row>
    <row r="92" spans="1:6" x14ac:dyDescent="0.2">
      <c r="A92" s="953" t="s">
        <v>609</v>
      </c>
      <c r="B92" s="953" t="s">
        <v>662</v>
      </c>
      <c r="C92" s="953" t="s">
        <v>763</v>
      </c>
      <c r="D92" s="953">
        <v>7</v>
      </c>
      <c r="E92" s="1026">
        <v>3.42648814491</v>
      </c>
      <c r="F92" s="1026"/>
    </row>
    <row r="93" spans="1:6" x14ac:dyDescent="0.2">
      <c r="A93" s="953" t="s">
        <v>609</v>
      </c>
      <c r="B93" s="953" t="s">
        <v>444</v>
      </c>
      <c r="C93" s="953" t="s">
        <v>763</v>
      </c>
      <c r="D93" s="953">
        <v>3</v>
      </c>
      <c r="E93" s="1026">
        <v>4.4127211943E-4</v>
      </c>
      <c r="F93" s="1026"/>
    </row>
    <row r="94" spans="1:6" x14ac:dyDescent="0.2">
      <c r="A94" s="953" t="s">
        <v>609</v>
      </c>
      <c r="B94" s="953" t="s">
        <v>663</v>
      </c>
      <c r="C94" s="953" t="s">
        <v>759</v>
      </c>
      <c r="D94" s="953">
        <v>7</v>
      </c>
      <c r="E94" s="1026">
        <v>77.172314698299999</v>
      </c>
      <c r="F94" s="1026"/>
    </row>
    <row r="95" spans="1:6" x14ac:dyDescent="0.2">
      <c r="A95" s="953" t="s">
        <v>609</v>
      </c>
      <c r="B95" s="953" t="s">
        <v>449</v>
      </c>
      <c r="C95" s="953" t="s">
        <v>759</v>
      </c>
      <c r="D95" s="953">
        <v>14</v>
      </c>
      <c r="E95" s="1026">
        <v>45.602683684799999</v>
      </c>
      <c r="F95" s="1026"/>
    </row>
    <row r="96" spans="1:6" x14ac:dyDescent="0.2">
      <c r="A96" s="953" t="s">
        <v>609</v>
      </c>
      <c r="B96" s="953" t="s">
        <v>446</v>
      </c>
      <c r="C96" s="953" t="s">
        <v>759</v>
      </c>
      <c r="D96" s="953">
        <v>1</v>
      </c>
      <c r="E96" s="1026">
        <v>0.29648520600799999</v>
      </c>
      <c r="F96" s="1026"/>
    </row>
    <row r="97" spans="1:6" x14ac:dyDescent="0.2">
      <c r="A97" s="953" t="s">
        <v>609</v>
      </c>
      <c r="B97" s="953" t="s">
        <v>446</v>
      </c>
      <c r="C97" s="953" t="s">
        <v>765</v>
      </c>
      <c r="D97" s="953">
        <v>31</v>
      </c>
      <c r="E97" s="1026">
        <v>229.75414144600001</v>
      </c>
      <c r="F97" s="1026"/>
    </row>
    <row r="98" spans="1:6" x14ac:dyDescent="0.2">
      <c r="A98" s="953" t="s">
        <v>609</v>
      </c>
      <c r="B98" s="953" t="s">
        <v>446</v>
      </c>
      <c r="C98" s="953" t="s">
        <v>763</v>
      </c>
      <c r="D98" s="953">
        <v>22</v>
      </c>
      <c r="E98" s="1026">
        <v>155.56077950599999</v>
      </c>
      <c r="F98" s="1026"/>
    </row>
    <row r="99" spans="1:6" x14ac:dyDescent="0.2">
      <c r="A99" s="953" t="s">
        <v>609</v>
      </c>
      <c r="B99" s="953" t="s">
        <v>448</v>
      </c>
      <c r="C99" s="953" t="s">
        <v>759</v>
      </c>
      <c r="D99" s="953">
        <v>7</v>
      </c>
      <c r="E99" s="1026">
        <v>11.079938826099999</v>
      </c>
      <c r="F99" s="1026"/>
    </row>
    <row r="100" spans="1:6" x14ac:dyDescent="0.2">
      <c r="A100" s="953" t="s">
        <v>609</v>
      </c>
      <c r="B100" s="953" t="s">
        <v>451</v>
      </c>
      <c r="C100" s="953" t="s">
        <v>759</v>
      </c>
      <c r="D100" s="953">
        <v>5</v>
      </c>
      <c r="E100" s="1026">
        <v>18.883063482899999</v>
      </c>
      <c r="F100" s="1026"/>
    </row>
    <row r="101" spans="1:6" x14ac:dyDescent="0.2">
      <c r="A101" s="953" t="s">
        <v>609</v>
      </c>
      <c r="B101" s="953" t="s">
        <v>451</v>
      </c>
      <c r="C101" s="953" t="s">
        <v>765</v>
      </c>
      <c r="D101" s="953">
        <v>6</v>
      </c>
      <c r="E101" s="1026">
        <v>6.5043069131799998</v>
      </c>
      <c r="F101" s="1026"/>
    </row>
    <row r="102" spans="1:6" x14ac:dyDescent="0.2">
      <c r="A102" s="953" t="s">
        <v>609</v>
      </c>
      <c r="B102" s="953" t="s">
        <v>452</v>
      </c>
      <c r="C102" s="953" t="s">
        <v>759</v>
      </c>
      <c r="D102" s="953">
        <v>111</v>
      </c>
      <c r="E102" s="1026">
        <v>798.60326690399995</v>
      </c>
      <c r="F102" s="1026"/>
    </row>
    <row r="103" spans="1:6" x14ac:dyDescent="0.2">
      <c r="A103" s="953" t="s">
        <v>609</v>
      </c>
      <c r="B103" s="953" t="s">
        <v>452</v>
      </c>
      <c r="C103" s="953" t="s">
        <v>765</v>
      </c>
      <c r="D103" s="953">
        <v>40</v>
      </c>
      <c r="E103" s="1026">
        <v>35.607606263000001</v>
      </c>
      <c r="F103" s="1026"/>
    </row>
    <row r="104" spans="1:6" x14ac:dyDescent="0.2">
      <c r="A104" s="953" t="s">
        <v>609</v>
      </c>
      <c r="B104" s="953" t="s">
        <v>452</v>
      </c>
      <c r="C104" s="953" t="s">
        <v>763</v>
      </c>
      <c r="D104" s="953">
        <v>1</v>
      </c>
      <c r="E104" s="1026">
        <v>3.2844038712399999</v>
      </c>
      <c r="F104" s="1026"/>
    </row>
    <row r="105" spans="1:6" x14ac:dyDescent="0.2">
      <c r="A105" s="953" t="s">
        <v>610</v>
      </c>
      <c r="B105" s="953" t="s">
        <v>447</v>
      </c>
      <c r="C105" s="953" t="s">
        <v>759</v>
      </c>
      <c r="D105" s="953">
        <v>23</v>
      </c>
      <c r="E105" s="1026">
        <v>18.471033557399998</v>
      </c>
      <c r="F105" s="1026"/>
    </row>
    <row r="106" spans="1:6" x14ac:dyDescent="0.2">
      <c r="A106" s="953" t="s">
        <v>610</v>
      </c>
      <c r="B106" s="953" t="s">
        <v>447</v>
      </c>
      <c r="C106" s="953" t="s">
        <v>765</v>
      </c>
      <c r="D106" s="953">
        <v>5</v>
      </c>
      <c r="E106" s="1026">
        <v>2.7334278594999999</v>
      </c>
      <c r="F106" s="1026"/>
    </row>
    <row r="107" spans="1:6" x14ac:dyDescent="0.2">
      <c r="A107" s="953" t="s">
        <v>610</v>
      </c>
      <c r="B107" s="953" t="s">
        <v>667</v>
      </c>
      <c r="C107" s="953" t="s">
        <v>759</v>
      </c>
      <c r="D107" s="953">
        <v>15</v>
      </c>
      <c r="E107" s="1026">
        <v>3.3242555344000002</v>
      </c>
      <c r="F107" s="1026"/>
    </row>
    <row r="108" spans="1:6" x14ac:dyDescent="0.2">
      <c r="A108" s="953" t="s">
        <v>610</v>
      </c>
      <c r="B108" s="953" t="s">
        <v>667</v>
      </c>
      <c r="C108" s="953" t="s">
        <v>765</v>
      </c>
      <c r="D108" s="953">
        <v>7</v>
      </c>
      <c r="E108" s="1026">
        <v>3.31779126126</v>
      </c>
      <c r="F108" s="1026"/>
    </row>
    <row r="109" spans="1:6" x14ac:dyDescent="0.2">
      <c r="A109" s="953" t="s">
        <v>610</v>
      </c>
      <c r="B109" s="953" t="s">
        <v>667</v>
      </c>
      <c r="C109" s="953" t="s">
        <v>763</v>
      </c>
      <c r="D109" s="953">
        <v>1</v>
      </c>
      <c r="E109" s="1026">
        <v>3.4310144677499999</v>
      </c>
      <c r="F109" s="1026"/>
    </row>
    <row r="110" spans="1:6" x14ac:dyDescent="0.2">
      <c r="A110" s="953" t="s">
        <v>610</v>
      </c>
      <c r="B110" s="953" t="s">
        <v>661</v>
      </c>
      <c r="C110" s="953" t="s">
        <v>759</v>
      </c>
      <c r="D110" s="953">
        <v>1</v>
      </c>
      <c r="E110" s="1026">
        <v>2.4931498719100002E-2</v>
      </c>
      <c r="F110" s="1026"/>
    </row>
    <row r="111" spans="1:6" x14ac:dyDescent="0.2">
      <c r="A111" s="953" t="s">
        <v>610</v>
      </c>
      <c r="B111" s="953" t="s">
        <v>14</v>
      </c>
      <c r="C111" s="953" t="s">
        <v>759</v>
      </c>
      <c r="D111" s="953">
        <v>3</v>
      </c>
      <c r="E111" s="1026">
        <v>0.80261430608600004</v>
      </c>
      <c r="F111" s="1026"/>
    </row>
    <row r="112" spans="1:6" x14ac:dyDescent="0.2">
      <c r="A112" s="953" t="s">
        <v>610</v>
      </c>
      <c r="B112" s="953" t="s">
        <v>665</v>
      </c>
      <c r="C112" s="953" t="s">
        <v>759</v>
      </c>
      <c r="D112" s="953">
        <v>2</v>
      </c>
      <c r="E112" s="1026">
        <v>0.14858295491599999</v>
      </c>
      <c r="F112" s="1026"/>
    </row>
    <row r="113" spans="1:6" x14ac:dyDescent="0.2">
      <c r="A113" s="953" t="s">
        <v>610</v>
      </c>
      <c r="B113" s="953" t="s">
        <v>662</v>
      </c>
      <c r="C113" s="953" t="s">
        <v>759</v>
      </c>
      <c r="D113" s="953">
        <v>7</v>
      </c>
      <c r="E113" s="1026">
        <v>5.1066033653999998</v>
      </c>
      <c r="F113" s="1026"/>
    </row>
    <row r="114" spans="1:6" x14ac:dyDescent="0.2">
      <c r="A114" s="953" t="s">
        <v>610</v>
      </c>
      <c r="B114" s="953" t="s">
        <v>662</v>
      </c>
      <c r="C114" s="953" t="s">
        <v>763</v>
      </c>
      <c r="D114" s="953">
        <v>2</v>
      </c>
      <c r="E114" s="1026">
        <v>7.4836713782099995E-2</v>
      </c>
      <c r="F114" s="1026"/>
    </row>
    <row r="115" spans="1:6" x14ac:dyDescent="0.2">
      <c r="A115" s="953" t="s">
        <v>610</v>
      </c>
      <c r="B115" s="953" t="s">
        <v>449</v>
      </c>
      <c r="C115" s="953" t="s">
        <v>759</v>
      </c>
      <c r="D115" s="953">
        <v>3</v>
      </c>
      <c r="E115" s="1026">
        <v>0.25920820389900001</v>
      </c>
      <c r="F115" s="1026"/>
    </row>
    <row r="116" spans="1:6" x14ac:dyDescent="0.2">
      <c r="A116" s="953" t="s">
        <v>610</v>
      </c>
      <c r="B116" s="953" t="s">
        <v>446</v>
      </c>
      <c r="C116" s="953" t="s">
        <v>759</v>
      </c>
      <c r="D116" s="953">
        <v>8</v>
      </c>
      <c r="E116" s="1026">
        <v>65.402483180000004</v>
      </c>
      <c r="F116" s="1026"/>
    </row>
    <row r="117" spans="1:6" x14ac:dyDescent="0.2">
      <c r="A117" s="953" t="s">
        <v>610</v>
      </c>
      <c r="B117" s="953" t="s">
        <v>446</v>
      </c>
      <c r="C117" s="953" t="s">
        <v>765</v>
      </c>
      <c r="D117" s="953">
        <v>2</v>
      </c>
      <c r="E117" s="1026">
        <v>5.4379298222800001</v>
      </c>
      <c r="F117" s="1026"/>
    </row>
    <row r="118" spans="1:6" x14ac:dyDescent="0.2">
      <c r="A118" s="953" t="s">
        <v>610</v>
      </c>
      <c r="B118" s="953" t="s">
        <v>664</v>
      </c>
      <c r="C118" s="953" t="s">
        <v>765</v>
      </c>
      <c r="D118" s="953">
        <v>10</v>
      </c>
      <c r="E118" s="1026">
        <v>30.330357020200001</v>
      </c>
      <c r="F118" s="1026"/>
    </row>
    <row r="119" spans="1:6" x14ac:dyDescent="0.2">
      <c r="A119" s="953" t="s">
        <v>610</v>
      </c>
      <c r="B119" s="953" t="s">
        <v>448</v>
      </c>
      <c r="C119" s="953" t="s">
        <v>759</v>
      </c>
      <c r="D119" s="953">
        <v>47</v>
      </c>
      <c r="E119" s="1026">
        <v>507.82665766700001</v>
      </c>
      <c r="F119" s="1026"/>
    </row>
    <row r="120" spans="1:6" x14ac:dyDescent="0.2">
      <c r="A120" s="953" t="s">
        <v>610</v>
      </c>
      <c r="B120" s="953" t="s">
        <v>448</v>
      </c>
      <c r="C120" s="953" t="s">
        <v>765</v>
      </c>
      <c r="D120" s="953">
        <v>1</v>
      </c>
      <c r="E120" s="1026">
        <v>0.40391760629500001</v>
      </c>
      <c r="F120" s="1026"/>
    </row>
    <row r="121" spans="1:6" x14ac:dyDescent="0.2">
      <c r="A121" s="953" t="s">
        <v>610</v>
      </c>
      <c r="B121" s="953" t="s">
        <v>451</v>
      </c>
      <c r="C121" s="953" t="s">
        <v>759</v>
      </c>
      <c r="D121" s="953">
        <v>9</v>
      </c>
      <c r="E121" s="1026">
        <v>3.3121718172999999</v>
      </c>
      <c r="F121" s="1026"/>
    </row>
    <row r="122" spans="1:6" x14ac:dyDescent="0.2">
      <c r="A122" s="953" t="s">
        <v>610</v>
      </c>
      <c r="B122" s="953" t="s">
        <v>452</v>
      </c>
      <c r="C122" s="953" t="s">
        <v>759</v>
      </c>
      <c r="D122" s="953">
        <v>36</v>
      </c>
      <c r="E122" s="1026">
        <v>79.231770670700001</v>
      </c>
      <c r="F122" s="1026"/>
    </row>
    <row r="123" spans="1:6" x14ac:dyDescent="0.2">
      <c r="A123" s="953" t="s">
        <v>610</v>
      </c>
      <c r="B123" s="953" t="s">
        <v>452</v>
      </c>
      <c r="C123" s="953" t="s">
        <v>765</v>
      </c>
      <c r="D123" s="953">
        <v>13</v>
      </c>
      <c r="E123" s="1026">
        <v>15.8401741816</v>
      </c>
      <c r="F123" s="1026"/>
    </row>
    <row r="124" spans="1:6" x14ac:dyDescent="0.2">
      <c r="A124" s="953" t="s">
        <v>610</v>
      </c>
      <c r="B124" s="953" t="s">
        <v>452</v>
      </c>
      <c r="C124" s="953" t="s">
        <v>763</v>
      </c>
      <c r="D124" s="953">
        <v>1</v>
      </c>
      <c r="E124" s="1026">
        <v>0.33054512179099999</v>
      </c>
      <c r="F124" s="1026"/>
    </row>
    <row r="125" spans="1:6" x14ac:dyDescent="0.2">
      <c r="A125" s="953" t="s">
        <v>643</v>
      </c>
      <c r="B125" s="953" t="s">
        <v>667</v>
      </c>
      <c r="C125" s="953" t="s">
        <v>759</v>
      </c>
      <c r="D125" s="953">
        <v>10</v>
      </c>
      <c r="E125" s="1026">
        <v>6.4816490237900002</v>
      </c>
      <c r="F125" s="1026"/>
    </row>
    <row r="126" spans="1:6" x14ac:dyDescent="0.2">
      <c r="A126" s="953" t="s">
        <v>643</v>
      </c>
      <c r="B126" s="953" t="s">
        <v>667</v>
      </c>
      <c r="C126" s="953" t="s">
        <v>760</v>
      </c>
      <c r="D126" s="953">
        <v>7</v>
      </c>
      <c r="E126" s="1026">
        <v>53.2849478869</v>
      </c>
      <c r="F126" s="1026"/>
    </row>
    <row r="127" spans="1:6" x14ac:dyDescent="0.2">
      <c r="A127" s="953" t="s">
        <v>643</v>
      </c>
      <c r="B127" s="953" t="s">
        <v>662</v>
      </c>
      <c r="C127" s="953" t="s">
        <v>759</v>
      </c>
      <c r="D127" s="953">
        <v>5</v>
      </c>
      <c r="E127" s="1026">
        <v>2.44985176458</v>
      </c>
      <c r="F127" s="1026"/>
    </row>
    <row r="128" spans="1:6" x14ac:dyDescent="0.2">
      <c r="A128" s="953" t="s">
        <v>643</v>
      </c>
      <c r="B128" s="953" t="s">
        <v>662</v>
      </c>
      <c r="C128" s="953" t="s">
        <v>760</v>
      </c>
      <c r="D128" s="953">
        <v>5</v>
      </c>
      <c r="E128" s="1026">
        <v>5.1428561248899998</v>
      </c>
      <c r="F128" s="1026"/>
    </row>
    <row r="129" spans="1:6" x14ac:dyDescent="0.2">
      <c r="A129" s="953" t="s">
        <v>643</v>
      </c>
      <c r="B129" s="953" t="s">
        <v>666</v>
      </c>
      <c r="C129" s="953" t="s">
        <v>759</v>
      </c>
      <c r="D129" s="953">
        <v>4</v>
      </c>
      <c r="E129" s="1026">
        <v>1.1419781494300001</v>
      </c>
      <c r="F129" s="1026"/>
    </row>
    <row r="130" spans="1:6" x14ac:dyDescent="0.2">
      <c r="A130" s="953" t="s">
        <v>643</v>
      </c>
      <c r="B130" s="953" t="s">
        <v>663</v>
      </c>
      <c r="C130" s="953" t="s">
        <v>759</v>
      </c>
      <c r="D130" s="953">
        <v>1</v>
      </c>
      <c r="E130" s="1026">
        <v>7.6949713041699994E-2</v>
      </c>
      <c r="F130" s="1026"/>
    </row>
    <row r="131" spans="1:6" x14ac:dyDescent="0.2">
      <c r="A131" s="953" t="s">
        <v>643</v>
      </c>
      <c r="B131" s="953" t="s">
        <v>449</v>
      </c>
      <c r="C131" s="953" t="s">
        <v>759</v>
      </c>
      <c r="D131" s="953">
        <v>3</v>
      </c>
      <c r="E131" s="1026">
        <v>0.150294365027</v>
      </c>
      <c r="F131" s="1026"/>
    </row>
    <row r="132" spans="1:6" x14ac:dyDescent="0.2">
      <c r="A132" s="953" t="s">
        <v>643</v>
      </c>
      <c r="B132" s="953" t="s">
        <v>449</v>
      </c>
      <c r="C132" s="953" t="s">
        <v>760</v>
      </c>
      <c r="D132" s="953">
        <v>17</v>
      </c>
      <c r="E132" s="1026">
        <v>74.795139606399999</v>
      </c>
      <c r="F132" s="1026"/>
    </row>
    <row r="133" spans="1:6" x14ac:dyDescent="0.2">
      <c r="A133" s="953" t="s">
        <v>643</v>
      </c>
      <c r="B133" s="953" t="s">
        <v>446</v>
      </c>
      <c r="C133" s="953" t="s">
        <v>759</v>
      </c>
      <c r="D133" s="953">
        <v>15</v>
      </c>
      <c r="E133" s="1026">
        <v>3.5999962859900001</v>
      </c>
      <c r="F133" s="1026"/>
    </row>
    <row r="134" spans="1:6" x14ac:dyDescent="0.2">
      <c r="A134" s="953" t="s">
        <v>643</v>
      </c>
      <c r="B134" s="953" t="s">
        <v>446</v>
      </c>
      <c r="C134" s="953" t="s">
        <v>760</v>
      </c>
      <c r="D134" s="953">
        <v>6</v>
      </c>
      <c r="E134" s="1026">
        <v>5.1046277709499996</v>
      </c>
      <c r="F134" s="1026"/>
    </row>
    <row r="135" spans="1:6" x14ac:dyDescent="0.2">
      <c r="A135" s="953" t="s">
        <v>643</v>
      </c>
      <c r="B135" s="953" t="s">
        <v>448</v>
      </c>
      <c r="C135" s="953" t="s">
        <v>759</v>
      </c>
      <c r="D135" s="953">
        <v>25</v>
      </c>
      <c r="E135" s="1026">
        <v>256.57843145599998</v>
      </c>
      <c r="F135" s="1026"/>
    </row>
    <row r="136" spans="1:6" x14ac:dyDescent="0.2">
      <c r="A136" s="953" t="s">
        <v>643</v>
      </c>
      <c r="B136" s="953" t="s">
        <v>448</v>
      </c>
      <c r="C136" s="953" t="s">
        <v>760</v>
      </c>
      <c r="D136" s="953">
        <v>5</v>
      </c>
      <c r="E136" s="1026">
        <v>1.02867695149</v>
      </c>
      <c r="F136" s="1026"/>
    </row>
    <row r="137" spans="1:6" x14ac:dyDescent="0.2">
      <c r="A137" s="953" t="s">
        <v>643</v>
      </c>
      <c r="B137" s="953" t="s">
        <v>451</v>
      </c>
      <c r="C137" s="953" t="s">
        <v>759</v>
      </c>
      <c r="D137" s="953">
        <v>1</v>
      </c>
      <c r="E137" s="1026">
        <v>1.55719925691E-3</v>
      </c>
      <c r="F137" s="1026"/>
    </row>
    <row r="138" spans="1:6" x14ac:dyDescent="0.2">
      <c r="A138" s="953" t="s">
        <v>643</v>
      </c>
      <c r="B138" s="953" t="s">
        <v>451</v>
      </c>
      <c r="C138" s="953" t="s">
        <v>760</v>
      </c>
      <c r="D138" s="953">
        <v>5</v>
      </c>
      <c r="E138" s="1026">
        <v>3.5055631736400001</v>
      </c>
      <c r="F138" s="1026"/>
    </row>
    <row r="139" spans="1:6" x14ac:dyDescent="0.2">
      <c r="A139" s="953" t="s">
        <v>643</v>
      </c>
      <c r="B139" s="953" t="s">
        <v>452</v>
      </c>
      <c r="C139" s="953" t="s">
        <v>759</v>
      </c>
      <c r="D139" s="953">
        <v>28</v>
      </c>
      <c r="E139" s="1026">
        <v>83.991190139599993</v>
      </c>
      <c r="F139" s="1026"/>
    </row>
    <row r="140" spans="1:6" x14ac:dyDescent="0.2">
      <c r="A140" s="953" t="s">
        <v>643</v>
      </c>
      <c r="B140" s="953" t="s">
        <v>452</v>
      </c>
      <c r="C140" s="953" t="s">
        <v>760</v>
      </c>
      <c r="D140" s="953">
        <v>16</v>
      </c>
      <c r="E140" s="1026">
        <v>32.233668292899999</v>
      </c>
      <c r="F140" s="1026"/>
    </row>
    <row r="141" spans="1:6" x14ac:dyDescent="0.2">
      <c r="A141" s="953" t="s">
        <v>644</v>
      </c>
      <c r="B141" s="953" t="s">
        <v>447</v>
      </c>
      <c r="C141" s="953" t="s">
        <v>765</v>
      </c>
      <c r="D141" s="953">
        <v>6</v>
      </c>
      <c r="E141" s="1026">
        <v>21.9189002034</v>
      </c>
      <c r="F141" s="1026"/>
    </row>
    <row r="142" spans="1:6" x14ac:dyDescent="0.2">
      <c r="A142" s="953" t="s">
        <v>644</v>
      </c>
      <c r="B142" s="953" t="s">
        <v>667</v>
      </c>
      <c r="C142" s="953" t="s">
        <v>759</v>
      </c>
      <c r="D142" s="953">
        <v>2</v>
      </c>
      <c r="E142" s="1026">
        <v>0.64620440483499997</v>
      </c>
      <c r="F142" s="1026"/>
    </row>
    <row r="143" spans="1:6" x14ac:dyDescent="0.2">
      <c r="A143" s="953" t="s">
        <v>644</v>
      </c>
      <c r="B143" s="953" t="s">
        <v>667</v>
      </c>
      <c r="C143" s="953" t="s">
        <v>765</v>
      </c>
      <c r="D143" s="953">
        <v>7</v>
      </c>
      <c r="E143" s="1026">
        <v>1.64390414497</v>
      </c>
      <c r="F143" s="1026"/>
    </row>
    <row r="144" spans="1:6" x14ac:dyDescent="0.2">
      <c r="A144" s="953" t="s">
        <v>644</v>
      </c>
      <c r="B144" s="953" t="s">
        <v>667</v>
      </c>
      <c r="C144" s="953" t="s">
        <v>763</v>
      </c>
      <c r="D144" s="953">
        <v>17</v>
      </c>
      <c r="E144" s="1026">
        <v>51.114795189100001</v>
      </c>
      <c r="F144" s="1026"/>
    </row>
    <row r="145" spans="1:6" x14ac:dyDescent="0.2">
      <c r="A145" s="953" t="s">
        <v>644</v>
      </c>
      <c r="B145" s="953" t="s">
        <v>667</v>
      </c>
      <c r="C145" s="953" t="s">
        <v>760</v>
      </c>
      <c r="D145" s="953">
        <v>8</v>
      </c>
      <c r="E145" s="1026">
        <v>7.9182777741599999</v>
      </c>
      <c r="F145" s="1026"/>
    </row>
    <row r="146" spans="1:6" x14ac:dyDescent="0.2">
      <c r="A146" s="953" t="s">
        <v>644</v>
      </c>
      <c r="B146" s="953" t="s">
        <v>667</v>
      </c>
      <c r="C146" s="953" t="s">
        <v>762</v>
      </c>
      <c r="D146" s="953">
        <v>30</v>
      </c>
      <c r="E146" s="1026">
        <v>22.411858727399999</v>
      </c>
      <c r="F146" s="1026"/>
    </row>
    <row r="147" spans="1:6" x14ac:dyDescent="0.2">
      <c r="A147" s="953" t="s">
        <v>644</v>
      </c>
      <c r="B147" s="953" t="s">
        <v>661</v>
      </c>
      <c r="C147" s="953" t="s">
        <v>759</v>
      </c>
      <c r="D147" s="953">
        <v>4</v>
      </c>
      <c r="E147" s="1026">
        <v>0.18737834734799999</v>
      </c>
      <c r="F147" s="1026"/>
    </row>
    <row r="148" spans="1:6" x14ac:dyDescent="0.2">
      <c r="A148" s="953" t="s">
        <v>644</v>
      </c>
      <c r="B148" s="953" t="s">
        <v>14</v>
      </c>
      <c r="C148" s="953" t="s">
        <v>759</v>
      </c>
      <c r="D148" s="953">
        <v>2</v>
      </c>
      <c r="E148" s="1026">
        <v>1.11989992029E-2</v>
      </c>
      <c r="F148" s="1026"/>
    </row>
    <row r="149" spans="1:6" x14ac:dyDescent="0.2">
      <c r="A149" s="953" t="s">
        <v>644</v>
      </c>
      <c r="B149" s="953" t="s">
        <v>665</v>
      </c>
      <c r="C149" s="953" t="s">
        <v>759</v>
      </c>
      <c r="D149" s="953">
        <v>2</v>
      </c>
      <c r="E149" s="1026">
        <v>5.3935241539700002E-2</v>
      </c>
      <c r="F149" s="1026"/>
    </row>
    <row r="150" spans="1:6" x14ac:dyDescent="0.2">
      <c r="A150" s="953" t="s">
        <v>644</v>
      </c>
      <c r="B150" s="953" t="s">
        <v>662</v>
      </c>
      <c r="C150" s="953" t="s">
        <v>759</v>
      </c>
      <c r="D150" s="953">
        <v>30</v>
      </c>
      <c r="E150" s="1026">
        <v>5.2566829828100001</v>
      </c>
      <c r="F150" s="1026"/>
    </row>
    <row r="151" spans="1:6" x14ac:dyDescent="0.2">
      <c r="A151" s="953" t="s">
        <v>644</v>
      </c>
      <c r="B151" s="953" t="s">
        <v>662</v>
      </c>
      <c r="C151" s="953" t="s">
        <v>765</v>
      </c>
      <c r="D151" s="953">
        <v>3</v>
      </c>
      <c r="E151" s="1026">
        <v>0.262958202521</v>
      </c>
      <c r="F151" s="1026"/>
    </row>
    <row r="152" spans="1:6" x14ac:dyDescent="0.2">
      <c r="A152" s="953" t="s">
        <v>644</v>
      </c>
      <c r="B152" s="953" t="s">
        <v>662</v>
      </c>
      <c r="C152" s="953" t="s">
        <v>763</v>
      </c>
      <c r="D152" s="953">
        <v>1</v>
      </c>
      <c r="E152" s="1026">
        <v>1.11747512612</v>
      </c>
      <c r="F152" s="1026"/>
    </row>
    <row r="153" spans="1:6" x14ac:dyDescent="0.2">
      <c r="A153" s="953" t="s">
        <v>644</v>
      </c>
      <c r="B153" s="953" t="s">
        <v>662</v>
      </c>
      <c r="C153" s="953" t="s">
        <v>762</v>
      </c>
      <c r="D153" s="953">
        <v>2</v>
      </c>
      <c r="E153" s="1026">
        <v>0.16324424102400001</v>
      </c>
      <c r="F153" s="1026"/>
    </row>
    <row r="154" spans="1:6" x14ac:dyDescent="0.2">
      <c r="A154" s="953" t="s">
        <v>644</v>
      </c>
      <c r="B154" s="953" t="s">
        <v>666</v>
      </c>
      <c r="C154" s="953" t="s">
        <v>759</v>
      </c>
      <c r="D154" s="953">
        <v>2</v>
      </c>
      <c r="E154" s="1026">
        <v>0.72646131970000005</v>
      </c>
      <c r="F154" s="1026"/>
    </row>
    <row r="155" spans="1:6" x14ac:dyDescent="0.2">
      <c r="A155" s="953" t="s">
        <v>644</v>
      </c>
      <c r="B155" s="953" t="s">
        <v>666</v>
      </c>
      <c r="C155" s="953" t="s">
        <v>762</v>
      </c>
      <c r="D155" s="953">
        <v>1</v>
      </c>
      <c r="E155" s="1026">
        <v>1.56143618494E-2</v>
      </c>
      <c r="F155" s="1026"/>
    </row>
    <row r="156" spans="1:6" x14ac:dyDescent="0.2">
      <c r="A156" s="953" t="s">
        <v>644</v>
      </c>
      <c r="B156" s="953" t="s">
        <v>663</v>
      </c>
      <c r="C156" s="953" t="s">
        <v>759</v>
      </c>
      <c r="D156" s="953">
        <v>3</v>
      </c>
      <c r="E156" s="1026">
        <v>4.1840044274400003E-2</v>
      </c>
      <c r="F156" s="1026"/>
    </row>
    <row r="157" spans="1:6" x14ac:dyDescent="0.2">
      <c r="A157" s="953" t="s">
        <v>644</v>
      </c>
      <c r="B157" s="953" t="s">
        <v>663</v>
      </c>
      <c r="C157" s="953" t="s">
        <v>762</v>
      </c>
      <c r="D157" s="953">
        <v>20</v>
      </c>
      <c r="E157" s="1026">
        <v>141.26725941199999</v>
      </c>
      <c r="F157" s="1026"/>
    </row>
    <row r="158" spans="1:6" x14ac:dyDescent="0.2">
      <c r="A158" s="953" t="s">
        <v>644</v>
      </c>
      <c r="B158" s="953" t="s">
        <v>449</v>
      </c>
      <c r="C158" s="953" t="s">
        <v>760</v>
      </c>
      <c r="D158" s="953">
        <v>1</v>
      </c>
      <c r="E158" s="1026">
        <v>3.59897928029</v>
      </c>
      <c r="F158" s="1026"/>
    </row>
    <row r="159" spans="1:6" x14ac:dyDescent="0.2">
      <c r="A159" s="953" t="s">
        <v>644</v>
      </c>
      <c r="B159" s="953" t="s">
        <v>446</v>
      </c>
      <c r="C159" s="953" t="s">
        <v>759</v>
      </c>
      <c r="D159" s="953">
        <v>4</v>
      </c>
      <c r="E159" s="1026">
        <v>0.50719177327700005</v>
      </c>
      <c r="F159" s="1026"/>
    </row>
    <row r="160" spans="1:6" x14ac:dyDescent="0.2">
      <c r="A160" s="953" t="s">
        <v>644</v>
      </c>
      <c r="B160" s="953" t="s">
        <v>446</v>
      </c>
      <c r="C160" s="953" t="s">
        <v>765</v>
      </c>
      <c r="D160" s="953">
        <v>19</v>
      </c>
      <c r="E160" s="1026">
        <v>53.927793947600001</v>
      </c>
      <c r="F160" s="1026"/>
    </row>
    <row r="161" spans="1:6" x14ac:dyDescent="0.2">
      <c r="A161" s="953" t="s">
        <v>644</v>
      </c>
      <c r="B161" s="953" t="s">
        <v>446</v>
      </c>
      <c r="C161" s="953" t="s">
        <v>762</v>
      </c>
      <c r="D161" s="953">
        <v>5</v>
      </c>
      <c r="E161" s="1026">
        <v>6.8123606136900001</v>
      </c>
      <c r="F161" s="1026"/>
    </row>
    <row r="162" spans="1:6" x14ac:dyDescent="0.2">
      <c r="A162" s="953" t="s">
        <v>644</v>
      </c>
      <c r="B162" s="953" t="s">
        <v>448</v>
      </c>
      <c r="C162" s="953" t="s">
        <v>759</v>
      </c>
      <c r="D162" s="953">
        <v>35</v>
      </c>
      <c r="E162" s="1026">
        <v>90.314204537699993</v>
      </c>
      <c r="F162" s="1026"/>
    </row>
    <row r="163" spans="1:6" x14ac:dyDescent="0.2">
      <c r="A163" s="953" t="s">
        <v>644</v>
      </c>
      <c r="B163" s="953" t="s">
        <v>448</v>
      </c>
      <c r="C163" s="953" t="s">
        <v>765</v>
      </c>
      <c r="D163" s="953">
        <v>7</v>
      </c>
      <c r="E163" s="1026">
        <v>25.674282398700001</v>
      </c>
      <c r="F163" s="1026"/>
    </row>
    <row r="164" spans="1:6" x14ac:dyDescent="0.2">
      <c r="A164" s="953" t="s">
        <v>644</v>
      </c>
      <c r="B164" s="953" t="s">
        <v>448</v>
      </c>
      <c r="C164" s="953" t="s">
        <v>763</v>
      </c>
      <c r="D164" s="953">
        <v>6</v>
      </c>
      <c r="E164" s="1026">
        <v>5.2536279757299997</v>
      </c>
      <c r="F164" s="1026"/>
    </row>
    <row r="165" spans="1:6" x14ac:dyDescent="0.2">
      <c r="A165" s="953" t="s">
        <v>644</v>
      </c>
      <c r="B165" s="953" t="s">
        <v>451</v>
      </c>
      <c r="C165" s="953" t="s">
        <v>759</v>
      </c>
      <c r="D165" s="953">
        <v>6</v>
      </c>
      <c r="E165" s="1026">
        <v>0.32865744229799998</v>
      </c>
      <c r="F165" s="1026"/>
    </row>
    <row r="166" spans="1:6" x14ac:dyDescent="0.2">
      <c r="A166" s="953" t="s">
        <v>644</v>
      </c>
      <c r="B166" s="953" t="s">
        <v>451</v>
      </c>
      <c r="C166" s="953" t="s">
        <v>765</v>
      </c>
      <c r="D166" s="953">
        <v>3</v>
      </c>
      <c r="E166" s="1026">
        <v>18.066203917799999</v>
      </c>
      <c r="F166" s="1026"/>
    </row>
    <row r="167" spans="1:6" x14ac:dyDescent="0.2">
      <c r="A167" s="953" t="s">
        <v>644</v>
      </c>
      <c r="B167" s="953" t="s">
        <v>451</v>
      </c>
      <c r="C167" s="953" t="s">
        <v>762</v>
      </c>
      <c r="D167" s="953">
        <v>2</v>
      </c>
      <c r="E167" s="1026">
        <v>0.80550256822900002</v>
      </c>
      <c r="F167" s="1026"/>
    </row>
    <row r="168" spans="1:6" x14ac:dyDescent="0.2">
      <c r="A168" s="953" t="s">
        <v>644</v>
      </c>
      <c r="B168" s="953" t="s">
        <v>452</v>
      </c>
      <c r="C168" s="953" t="s">
        <v>759</v>
      </c>
      <c r="D168" s="953">
        <v>2</v>
      </c>
      <c r="E168" s="1026">
        <v>0.60339408798299998</v>
      </c>
      <c r="F168" s="1026"/>
    </row>
    <row r="169" spans="1:6" x14ac:dyDescent="0.2">
      <c r="A169" s="953" t="s">
        <v>644</v>
      </c>
      <c r="B169" s="953" t="s">
        <v>452</v>
      </c>
      <c r="C169" s="953" t="s">
        <v>765</v>
      </c>
      <c r="D169" s="953">
        <v>28</v>
      </c>
      <c r="E169" s="1026">
        <v>25.622640309499999</v>
      </c>
      <c r="F169" s="1026"/>
    </row>
    <row r="170" spans="1:6" x14ac:dyDescent="0.2">
      <c r="A170" s="953" t="s">
        <v>644</v>
      </c>
      <c r="B170" s="953" t="s">
        <v>452</v>
      </c>
      <c r="C170" s="953" t="s">
        <v>763</v>
      </c>
      <c r="D170" s="953">
        <v>23</v>
      </c>
      <c r="E170" s="1026">
        <v>28.366846553399998</v>
      </c>
      <c r="F170" s="1026"/>
    </row>
    <row r="171" spans="1:6" x14ac:dyDescent="0.2">
      <c r="A171" s="953" t="s">
        <v>644</v>
      </c>
      <c r="B171" s="953" t="s">
        <v>452</v>
      </c>
      <c r="C171" s="953" t="s">
        <v>760</v>
      </c>
      <c r="D171" s="953">
        <v>2</v>
      </c>
      <c r="E171" s="1026">
        <v>2.0993047110499998</v>
      </c>
      <c r="F171" s="1026"/>
    </row>
    <row r="172" spans="1:6" x14ac:dyDescent="0.2">
      <c r="A172" s="953" t="s">
        <v>644</v>
      </c>
      <c r="B172" s="953" t="s">
        <v>452</v>
      </c>
      <c r="C172" s="953" t="s">
        <v>762</v>
      </c>
      <c r="D172" s="953">
        <v>30</v>
      </c>
      <c r="E172" s="1026">
        <v>55.6088476336</v>
      </c>
      <c r="F172" s="1026"/>
    </row>
    <row r="173" spans="1:6" x14ac:dyDescent="0.2">
      <c r="A173" s="953" t="s">
        <v>645</v>
      </c>
      <c r="B173" s="953" t="s">
        <v>447</v>
      </c>
      <c r="C173" s="953" t="s">
        <v>759</v>
      </c>
      <c r="D173" s="953">
        <v>2</v>
      </c>
      <c r="E173" s="1026">
        <v>17.287393803400001</v>
      </c>
      <c r="F173" s="1026"/>
    </row>
    <row r="174" spans="1:6" x14ac:dyDescent="0.2">
      <c r="A174" s="953" t="s">
        <v>645</v>
      </c>
      <c r="B174" s="953" t="s">
        <v>667</v>
      </c>
      <c r="C174" s="953" t="s">
        <v>759</v>
      </c>
      <c r="D174" s="953">
        <v>52</v>
      </c>
      <c r="E174" s="1026">
        <v>40.154411003200003</v>
      </c>
      <c r="F174" s="1026"/>
    </row>
    <row r="175" spans="1:6" x14ac:dyDescent="0.2">
      <c r="A175" s="953" t="s">
        <v>645</v>
      </c>
      <c r="B175" s="953" t="s">
        <v>667</v>
      </c>
      <c r="C175" s="953" t="s">
        <v>766</v>
      </c>
      <c r="D175" s="953">
        <v>12</v>
      </c>
      <c r="E175" s="1026">
        <v>10.874182662200001</v>
      </c>
      <c r="F175" s="1026"/>
    </row>
    <row r="176" spans="1:6" x14ac:dyDescent="0.2">
      <c r="A176" s="953" t="s">
        <v>645</v>
      </c>
      <c r="B176" s="953" t="s">
        <v>667</v>
      </c>
      <c r="C176" s="953" t="s">
        <v>764</v>
      </c>
      <c r="D176" s="953">
        <v>1</v>
      </c>
      <c r="E176" s="1026">
        <v>1.10239386328E-2</v>
      </c>
      <c r="F176" s="1026"/>
    </row>
    <row r="177" spans="1:6" x14ac:dyDescent="0.2">
      <c r="A177" s="953" t="s">
        <v>645</v>
      </c>
      <c r="B177" s="953" t="s">
        <v>667</v>
      </c>
      <c r="C177" s="953" t="s">
        <v>765</v>
      </c>
      <c r="D177" s="953">
        <v>55</v>
      </c>
      <c r="E177" s="1026">
        <v>63.251868738299997</v>
      </c>
      <c r="F177" s="1026"/>
    </row>
    <row r="178" spans="1:6" x14ac:dyDescent="0.2">
      <c r="A178" s="953" t="s">
        <v>645</v>
      </c>
      <c r="B178" s="953" t="s">
        <v>667</v>
      </c>
      <c r="C178" s="953" t="s">
        <v>763</v>
      </c>
      <c r="D178" s="953">
        <v>1</v>
      </c>
      <c r="E178" s="1026">
        <v>0.30119560207099999</v>
      </c>
      <c r="F178" s="1026"/>
    </row>
    <row r="179" spans="1:6" x14ac:dyDescent="0.2">
      <c r="A179" s="953" t="s">
        <v>645</v>
      </c>
      <c r="B179" s="953" t="s">
        <v>661</v>
      </c>
      <c r="C179" s="953" t="s">
        <v>759</v>
      </c>
      <c r="D179" s="953">
        <v>3</v>
      </c>
      <c r="E179" s="1026">
        <v>0.26951348923399998</v>
      </c>
      <c r="F179" s="1026"/>
    </row>
    <row r="180" spans="1:6" x14ac:dyDescent="0.2">
      <c r="A180" s="953" t="s">
        <v>645</v>
      </c>
      <c r="B180" s="953" t="s">
        <v>14</v>
      </c>
      <c r="C180" s="953" t="s">
        <v>766</v>
      </c>
      <c r="D180" s="953">
        <v>1</v>
      </c>
      <c r="E180" s="1026">
        <v>9.1886705545999994E-2</v>
      </c>
      <c r="F180" s="1026"/>
    </row>
    <row r="181" spans="1:6" x14ac:dyDescent="0.2">
      <c r="A181" s="953" t="s">
        <v>645</v>
      </c>
      <c r="B181" s="953" t="s">
        <v>14</v>
      </c>
      <c r="C181" s="953" t="s">
        <v>765</v>
      </c>
      <c r="D181" s="953">
        <v>6</v>
      </c>
      <c r="E181" s="1026">
        <v>0.62898238436800002</v>
      </c>
      <c r="F181" s="1026"/>
    </row>
    <row r="182" spans="1:6" x14ac:dyDescent="0.2">
      <c r="A182" s="953" t="s">
        <v>645</v>
      </c>
      <c r="B182" s="953" t="s">
        <v>662</v>
      </c>
      <c r="C182" s="953" t="s">
        <v>759</v>
      </c>
      <c r="D182" s="953">
        <v>10</v>
      </c>
      <c r="E182" s="1026">
        <v>0.47168624245899998</v>
      </c>
      <c r="F182" s="1026"/>
    </row>
    <row r="183" spans="1:6" x14ac:dyDescent="0.2">
      <c r="A183" s="953" t="s">
        <v>645</v>
      </c>
      <c r="B183" s="953" t="s">
        <v>662</v>
      </c>
      <c r="C183" s="953" t="s">
        <v>765</v>
      </c>
      <c r="D183" s="953">
        <v>7</v>
      </c>
      <c r="E183" s="1026">
        <v>4.0157713821099996</v>
      </c>
      <c r="F183" s="1026"/>
    </row>
    <row r="184" spans="1:6" x14ac:dyDescent="0.2">
      <c r="A184" s="953" t="s">
        <v>645</v>
      </c>
      <c r="B184" s="953" t="s">
        <v>662</v>
      </c>
      <c r="C184" s="953" t="s">
        <v>763</v>
      </c>
      <c r="D184" s="953">
        <v>4</v>
      </c>
      <c r="E184" s="1026">
        <v>3.6309203917500001</v>
      </c>
      <c r="F184" s="1026"/>
    </row>
    <row r="185" spans="1:6" x14ac:dyDescent="0.2">
      <c r="A185" s="953" t="s">
        <v>645</v>
      </c>
      <c r="B185" s="953" t="s">
        <v>666</v>
      </c>
      <c r="C185" s="953" t="s">
        <v>759</v>
      </c>
      <c r="D185" s="953">
        <v>1</v>
      </c>
      <c r="E185" s="1026">
        <v>2.04226028601E-2</v>
      </c>
      <c r="F185" s="1026"/>
    </row>
    <row r="186" spans="1:6" x14ac:dyDescent="0.2">
      <c r="A186" s="953" t="s">
        <v>645</v>
      </c>
      <c r="B186" s="953" t="s">
        <v>663</v>
      </c>
      <c r="C186" s="953" t="s">
        <v>759</v>
      </c>
      <c r="D186" s="953">
        <v>4</v>
      </c>
      <c r="E186" s="1026">
        <v>10.884421441500001</v>
      </c>
      <c r="F186" s="1026"/>
    </row>
    <row r="187" spans="1:6" x14ac:dyDescent="0.2">
      <c r="A187" s="953" t="s">
        <v>645</v>
      </c>
      <c r="B187" s="953" t="s">
        <v>449</v>
      </c>
      <c r="C187" s="953" t="s">
        <v>759</v>
      </c>
      <c r="D187" s="953">
        <v>2</v>
      </c>
      <c r="E187" s="1026">
        <v>0.13665979605799999</v>
      </c>
      <c r="F187" s="1026"/>
    </row>
    <row r="188" spans="1:6" x14ac:dyDescent="0.2">
      <c r="A188" s="953" t="s">
        <v>645</v>
      </c>
      <c r="B188" s="953" t="s">
        <v>449</v>
      </c>
      <c r="C188" s="953" t="s">
        <v>763</v>
      </c>
      <c r="D188" s="953">
        <v>9</v>
      </c>
      <c r="E188" s="1026">
        <v>47.312254518800003</v>
      </c>
      <c r="F188" s="1026"/>
    </row>
    <row r="189" spans="1:6" x14ac:dyDescent="0.2">
      <c r="A189" s="953" t="s">
        <v>645</v>
      </c>
      <c r="B189" s="953" t="s">
        <v>446</v>
      </c>
      <c r="C189" s="953" t="s">
        <v>759</v>
      </c>
      <c r="D189" s="953">
        <v>25</v>
      </c>
      <c r="E189" s="1026">
        <v>26.944043342400001</v>
      </c>
      <c r="F189" s="1026"/>
    </row>
    <row r="190" spans="1:6" x14ac:dyDescent="0.2">
      <c r="A190" s="953" t="s">
        <v>645</v>
      </c>
      <c r="B190" s="953" t="s">
        <v>446</v>
      </c>
      <c r="C190" s="953" t="s">
        <v>766</v>
      </c>
      <c r="D190" s="953">
        <v>4</v>
      </c>
      <c r="E190" s="1026">
        <v>3.9526524791700002</v>
      </c>
      <c r="F190" s="1026"/>
    </row>
    <row r="191" spans="1:6" x14ac:dyDescent="0.2">
      <c r="A191" s="953" t="s">
        <v>645</v>
      </c>
      <c r="B191" s="953" t="s">
        <v>446</v>
      </c>
      <c r="C191" s="953" t="s">
        <v>764</v>
      </c>
      <c r="D191" s="953">
        <v>7</v>
      </c>
      <c r="E191" s="1026">
        <v>49.648608520800003</v>
      </c>
      <c r="F191" s="1026"/>
    </row>
    <row r="192" spans="1:6" x14ac:dyDescent="0.2">
      <c r="A192" s="953" t="s">
        <v>645</v>
      </c>
      <c r="B192" s="953" t="s">
        <v>446</v>
      </c>
      <c r="C192" s="953" t="s">
        <v>765</v>
      </c>
      <c r="D192" s="953">
        <v>32</v>
      </c>
      <c r="E192" s="1026">
        <v>74.716438550800007</v>
      </c>
      <c r="F192" s="1026"/>
    </row>
    <row r="193" spans="1:6" x14ac:dyDescent="0.2">
      <c r="A193" s="953" t="s">
        <v>645</v>
      </c>
      <c r="B193" s="953" t="s">
        <v>446</v>
      </c>
      <c r="C193" s="953" t="s">
        <v>763</v>
      </c>
      <c r="D193" s="953">
        <v>5</v>
      </c>
      <c r="E193" s="1026">
        <v>21.025535699199999</v>
      </c>
      <c r="F193" s="1026"/>
    </row>
    <row r="194" spans="1:6" x14ac:dyDescent="0.2">
      <c r="A194" s="953" t="s">
        <v>645</v>
      </c>
      <c r="B194" s="953" t="s">
        <v>448</v>
      </c>
      <c r="C194" s="953" t="s">
        <v>759</v>
      </c>
      <c r="D194" s="953">
        <v>77</v>
      </c>
      <c r="E194" s="1026">
        <v>390.87145767700002</v>
      </c>
      <c r="F194" s="1026"/>
    </row>
    <row r="195" spans="1:6" x14ac:dyDescent="0.2">
      <c r="A195" s="953" t="s">
        <v>645</v>
      </c>
      <c r="B195" s="953" t="s">
        <v>448</v>
      </c>
      <c r="C195" s="953" t="s">
        <v>766</v>
      </c>
      <c r="D195" s="953">
        <v>11</v>
      </c>
      <c r="E195" s="1026">
        <v>42.8620784716</v>
      </c>
      <c r="F195" s="1026"/>
    </row>
    <row r="196" spans="1:6" x14ac:dyDescent="0.2">
      <c r="A196" s="953" t="s">
        <v>645</v>
      </c>
      <c r="B196" s="953" t="s">
        <v>448</v>
      </c>
      <c r="C196" s="953" t="s">
        <v>764</v>
      </c>
      <c r="D196" s="953">
        <v>7</v>
      </c>
      <c r="E196" s="1026">
        <v>25.4039417726</v>
      </c>
      <c r="F196" s="1026"/>
    </row>
    <row r="197" spans="1:6" x14ac:dyDescent="0.2">
      <c r="A197" s="953" t="s">
        <v>645</v>
      </c>
      <c r="B197" s="953" t="s">
        <v>448</v>
      </c>
      <c r="C197" s="953" t="s">
        <v>765</v>
      </c>
      <c r="D197" s="953">
        <v>9</v>
      </c>
      <c r="E197" s="1026">
        <v>3.1641426840400002</v>
      </c>
      <c r="F197" s="1026"/>
    </row>
    <row r="198" spans="1:6" x14ac:dyDescent="0.2">
      <c r="A198" s="953" t="s">
        <v>645</v>
      </c>
      <c r="B198" s="953" t="s">
        <v>448</v>
      </c>
      <c r="C198" s="953" t="s">
        <v>763</v>
      </c>
      <c r="D198" s="953">
        <v>8</v>
      </c>
      <c r="E198" s="1026">
        <v>0.59285711822800002</v>
      </c>
      <c r="F198" s="1026"/>
    </row>
    <row r="199" spans="1:6" x14ac:dyDescent="0.2">
      <c r="A199" s="953" t="s">
        <v>645</v>
      </c>
      <c r="B199" s="953" t="s">
        <v>451</v>
      </c>
      <c r="C199" s="953" t="s">
        <v>759</v>
      </c>
      <c r="D199" s="953">
        <v>26</v>
      </c>
      <c r="E199" s="1026">
        <v>22.756206209999998</v>
      </c>
      <c r="F199" s="1026"/>
    </row>
    <row r="200" spans="1:6" x14ac:dyDescent="0.2">
      <c r="A200" s="953" t="s">
        <v>645</v>
      </c>
      <c r="B200" s="953" t="s">
        <v>451</v>
      </c>
      <c r="C200" s="953" t="s">
        <v>766</v>
      </c>
      <c r="D200" s="953">
        <v>5</v>
      </c>
      <c r="E200" s="1026">
        <v>2.3132088287900001</v>
      </c>
      <c r="F200" s="1026"/>
    </row>
    <row r="201" spans="1:6" x14ac:dyDescent="0.2">
      <c r="A201" s="953" t="s">
        <v>645</v>
      </c>
      <c r="B201" s="953" t="s">
        <v>451</v>
      </c>
      <c r="C201" s="953" t="s">
        <v>765</v>
      </c>
      <c r="D201" s="953">
        <v>17</v>
      </c>
      <c r="E201" s="1026">
        <v>53.668059155100003</v>
      </c>
      <c r="F201" s="1026"/>
    </row>
    <row r="202" spans="1:6" x14ac:dyDescent="0.2">
      <c r="A202" s="953" t="s">
        <v>645</v>
      </c>
      <c r="B202" s="953" t="s">
        <v>452</v>
      </c>
      <c r="C202" s="953" t="s">
        <v>759</v>
      </c>
      <c r="D202" s="953">
        <v>63</v>
      </c>
      <c r="E202" s="1026">
        <v>51.8925882319</v>
      </c>
      <c r="F202" s="1026"/>
    </row>
    <row r="203" spans="1:6" x14ac:dyDescent="0.2">
      <c r="A203" s="953" t="s">
        <v>645</v>
      </c>
      <c r="B203" s="953" t="s">
        <v>452</v>
      </c>
      <c r="C203" s="953" t="s">
        <v>766</v>
      </c>
      <c r="D203" s="953">
        <v>8</v>
      </c>
      <c r="E203" s="1026">
        <v>10.7211094709</v>
      </c>
      <c r="F203" s="1026"/>
    </row>
    <row r="204" spans="1:6" x14ac:dyDescent="0.2">
      <c r="A204" s="953" t="s">
        <v>645</v>
      </c>
      <c r="B204" s="953" t="s">
        <v>452</v>
      </c>
      <c r="C204" s="953" t="s">
        <v>765</v>
      </c>
      <c r="D204" s="953">
        <v>69</v>
      </c>
      <c r="E204" s="1026">
        <v>171.28741185999999</v>
      </c>
      <c r="F204" s="1026"/>
    </row>
  </sheetData>
  <mergeCells count="2">
    <mergeCell ref="H2:P2"/>
    <mergeCell ref="H16:P16"/>
  </mergeCells>
  <pageMargins left="0.7" right="0.7" top="0.75" bottom="0.75" header="0.3" footer="0.3"/>
  <pageSetup orientation="portrait" horizontalDpi="200" verticalDpi="200" r:id="rId1"/>
  <ignoredErrors>
    <ignoredError sqref="H23 N59" 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ECF09-7DBE-41F2-9B15-FD7312FDF818}">
  <dimension ref="A1:K32"/>
  <sheetViews>
    <sheetView workbookViewId="0">
      <selection activeCell="F12" sqref="F12"/>
    </sheetView>
  </sheetViews>
  <sheetFormatPr defaultRowHeight="12.75" x14ac:dyDescent="0.2"/>
  <cols>
    <col min="1" max="1" width="23.140625" customWidth="1"/>
    <col min="2" max="2" width="14.85546875" customWidth="1"/>
    <col min="3" max="3" width="17.28515625" customWidth="1"/>
    <col min="4" max="4" width="19.28515625" customWidth="1"/>
    <col min="5" max="5" width="17" customWidth="1"/>
    <col min="6" max="6" width="14.85546875" customWidth="1"/>
    <col min="7" max="7" width="14.5703125" customWidth="1"/>
    <col min="8" max="8" width="15.42578125" customWidth="1"/>
    <col min="9" max="9" width="15" customWidth="1"/>
    <col min="10" max="10" width="14.85546875" customWidth="1"/>
    <col min="11" max="11" width="16" customWidth="1"/>
  </cols>
  <sheetData>
    <row r="1" spans="1:11" ht="63.75" thickBot="1" x14ac:dyDescent="0.25">
      <c r="A1" s="1086" t="s">
        <v>875</v>
      </c>
      <c r="B1" s="1086" t="s">
        <v>876</v>
      </c>
      <c r="C1" s="1086" t="s">
        <v>877</v>
      </c>
      <c r="D1" s="1086" t="s">
        <v>878</v>
      </c>
      <c r="E1" s="1086" t="s">
        <v>879</v>
      </c>
      <c r="F1" s="1086" t="s">
        <v>880</v>
      </c>
      <c r="G1" s="1086" t="s">
        <v>881</v>
      </c>
      <c r="H1" s="1098" t="s">
        <v>882</v>
      </c>
      <c r="I1" s="1098" t="s">
        <v>883</v>
      </c>
      <c r="J1" s="1098" t="s">
        <v>884</v>
      </c>
      <c r="K1" s="1098" t="s">
        <v>885</v>
      </c>
    </row>
    <row r="2" spans="1:11" ht="19.5" thickBot="1" x14ac:dyDescent="0.35">
      <c r="A2" s="1087" t="s">
        <v>833</v>
      </c>
      <c r="B2" s="1088">
        <v>10233.290000000001</v>
      </c>
      <c r="C2" s="1088">
        <v>2131.7800000000002</v>
      </c>
      <c r="D2" s="1089">
        <v>0.21</v>
      </c>
      <c r="E2" s="1088">
        <v>4069.21</v>
      </c>
      <c r="F2" s="1088">
        <v>6164.07</v>
      </c>
      <c r="G2" s="1090">
        <v>0.35</v>
      </c>
      <c r="H2" s="35"/>
      <c r="I2" s="35"/>
      <c r="J2" s="35"/>
      <c r="K2" s="35"/>
    </row>
    <row r="3" spans="1:11" ht="19.5" thickBot="1" x14ac:dyDescent="0.35">
      <c r="A3" s="1091" t="s">
        <v>133</v>
      </c>
      <c r="B3" s="1092">
        <v>1769.23</v>
      </c>
      <c r="C3" s="1093">
        <v>678.27</v>
      </c>
      <c r="D3" s="1094">
        <v>0.38</v>
      </c>
      <c r="E3" s="1093">
        <v>268.77</v>
      </c>
      <c r="F3" s="1092">
        <v>1500.46</v>
      </c>
      <c r="G3" s="1095">
        <v>0.45</v>
      </c>
      <c r="H3" s="35"/>
      <c r="I3" s="35"/>
      <c r="J3" s="1097"/>
      <c r="K3" s="35"/>
    </row>
    <row r="4" spans="1:11" ht="19.5" thickBot="1" x14ac:dyDescent="0.35">
      <c r="A4" s="1087" t="s">
        <v>13</v>
      </c>
      <c r="B4" s="1096">
        <v>944.6</v>
      </c>
      <c r="C4" s="1096">
        <v>211.18</v>
      </c>
      <c r="D4" s="1089">
        <v>0.22</v>
      </c>
      <c r="E4" s="1096">
        <v>131.87</v>
      </c>
      <c r="F4" s="1096">
        <v>812.72</v>
      </c>
      <c r="G4" s="1090">
        <v>0.26</v>
      </c>
      <c r="H4" s="35"/>
      <c r="I4" s="35"/>
      <c r="J4" s="35"/>
      <c r="K4" s="35"/>
    </row>
    <row r="5" spans="1:11" ht="19.5" thickBot="1" x14ac:dyDescent="0.35">
      <c r="A5" s="1091" t="s">
        <v>134</v>
      </c>
      <c r="B5" s="1093">
        <v>725.6</v>
      </c>
      <c r="C5" s="1093">
        <v>318.57</v>
      </c>
      <c r="D5" s="1094">
        <v>0.44</v>
      </c>
      <c r="E5" s="1093">
        <v>264.95999999999998</v>
      </c>
      <c r="F5" s="1093">
        <v>460.64</v>
      </c>
      <c r="G5" s="1095">
        <v>0.69</v>
      </c>
      <c r="H5" s="35"/>
      <c r="I5" s="35"/>
      <c r="J5" s="35"/>
      <c r="K5" s="35"/>
    </row>
    <row r="6" spans="1:11" ht="19.5" thickBot="1" x14ac:dyDescent="0.35">
      <c r="A6" s="1087" t="s">
        <v>135</v>
      </c>
      <c r="B6" s="1096">
        <v>898.73</v>
      </c>
      <c r="C6" s="1096">
        <v>225.95</v>
      </c>
      <c r="D6" s="1089">
        <v>0.25</v>
      </c>
      <c r="E6" s="1096">
        <v>386.69</v>
      </c>
      <c r="F6" s="1096">
        <v>512.04</v>
      </c>
      <c r="G6" s="1090">
        <v>0.44</v>
      </c>
      <c r="H6" s="35"/>
      <c r="I6" s="35"/>
      <c r="J6" s="35"/>
      <c r="K6" s="35"/>
    </row>
    <row r="7" spans="1:11" ht="19.5" thickBot="1" x14ac:dyDescent="0.35">
      <c r="A7" s="1091" t="s">
        <v>136</v>
      </c>
      <c r="B7" s="1092">
        <v>7724.68</v>
      </c>
      <c r="C7" s="1092">
        <v>1800.98</v>
      </c>
      <c r="D7" s="1094">
        <v>0.23</v>
      </c>
      <c r="E7" s="1092">
        <v>1965.44</v>
      </c>
      <c r="F7" s="1092">
        <v>5759.23</v>
      </c>
      <c r="G7" s="1095">
        <v>0.31</v>
      </c>
      <c r="H7" s="35"/>
      <c r="I7" s="35"/>
      <c r="J7" s="35"/>
      <c r="K7" s="35"/>
    </row>
    <row r="8" spans="1:11" ht="19.5" thickBot="1" x14ac:dyDescent="0.35">
      <c r="A8" s="1087" t="s">
        <v>11</v>
      </c>
      <c r="B8" s="1088">
        <v>6894.88</v>
      </c>
      <c r="C8" s="1096">
        <v>845.83</v>
      </c>
      <c r="D8" s="1089">
        <v>0.12</v>
      </c>
      <c r="E8" s="1088">
        <v>2467.38</v>
      </c>
      <c r="F8" s="1088">
        <v>4427.5</v>
      </c>
      <c r="G8" s="1090">
        <v>0.19</v>
      </c>
      <c r="H8" s="35"/>
      <c r="I8" s="35"/>
      <c r="J8" s="35"/>
      <c r="K8" s="35"/>
    </row>
    <row r="9" spans="1:11" ht="19.5" thickBot="1" x14ac:dyDescent="0.35">
      <c r="A9" s="1091" t="s">
        <v>78</v>
      </c>
      <c r="B9" s="1092">
        <v>41097.949999999997</v>
      </c>
      <c r="C9" s="1092">
        <v>10885.09</v>
      </c>
      <c r="D9" s="1094">
        <v>0.26</v>
      </c>
      <c r="E9" s="1092">
        <v>10438.01</v>
      </c>
      <c r="F9" s="1092">
        <v>30659.94</v>
      </c>
      <c r="G9" s="1095">
        <v>0.36</v>
      </c>
      <c r="H9" s="18">
        <v>405.3</v>
      </c>
      <c r="I9" s="35">
        <f>0.3*(G9*H9)</f>
        <v>43.772399999999998</v>
      </c>
      <c r="J9" s="35">
        <v>2733.5</v>
      </c>
      <c r="K9" s="35">
        <f>0.3*(G9*J9)</f>
        <v>295.21799999999996</v>
      </c>
    </row>
    <row r="10" spans="1:11" ht="19.5" thickBot="1" x14ac:dyDescent="0.35">
      <c r="A10" s="1087" t="s">
        <v>10</v>
      </c>
      <c r="B10" s="1088">
        <v>1840.43</v>
      </c>
      <c r="C10" s="1096">
        <v>395.55</v>
      </c>
      <c r="D10" s="1089">
        <v>0.21</v>
      </c>
      <c r="E10" s="1096">
        <v>544.35</v>
      </c>
      <c r="F10" s="1088">
        <v>1296.08</v>
      </c>
      <c r="G10" s="1090">
        <v>0.31</v>
      </c>
      <c r="H10" s="35"/>
      <c r="I10" s="35"/>
      <c r="J10" s="35"/>
      <c r="K10" s="35"/>
    </row>
    <row r="11" spans="1:11" ht="19.5" thickBot="1" x14ac:dyDescent="0.35">
      <c r="A11" s="1091" t="s">
        <v>886</v>
      </c>
      <c r="B11" s="1092">
        <v>1978.02</v>
      </c>
      <c r="C11" s="1093">
        <v>117.05</v>
      </c>
      <c r="D11" s="1094">
        <v>0.06</v>
      </c>
      <c r="E11" s="1093">
        <v>977.09</v>
      </c>
      <c r="F11" s="1092">
        <v>1000.94</v>
      </c>
      <c r="G11" s="1095">
        <v>0.12</v>
      </c>
      <c r="H11" s="35"/>
      <c r="I11" s="35"/>
      <c r="J11" s="35"/>
      <c r="K11" s="35"/>
    </row>
    <row r="12" spans="1:11" ht="19.5" thickBot="1" x14ac:dyDescent="0.35">
      <c r="A12" s="1087" t="s">
        <v>12</v>
      </c>
      <c r="B12" s="1088">
        <v>4702.66</v>
      </c>
      <c r="C12" s="1096">
        <v>972.21</v>
      </c>
      <c r="D12" s="1089">
        <v>0.21</v>
      </c>
      <c r="E12" s="1088">
        <v>1342.3</v>
      </c>
      <c r="F12" s="1088">
        <v>3360.37</v>
      </c>
      <c r="G12" s="1090">
        <v>0.28999999999999998</v>
      </c>
      <c r="H12" s="35"/>
      <c r="I12" s="35"/>
      <c r="J12" s="35"/>
      <c r="K12" s="35"/>
    </row>
    <row r="13" spans="1:11" ht="38.25" thickBot="1" x14ac:dyDescent="0.35">
      <c r="A13" s="1091" t="s">
        <v>887</v>
      </c>
      <c r="B13" s="1092">
        <v>39883.769999999997</v>
      </c>
      <c r="C13" s="1092">
        <v>5964.58</v>
      </c>
      <c r="D13" s="1094">
        <v>0.15</v>
      </c>
      <c r="E13" s="1092">
        <v>14430.49</v>
      </c>
      <c r="F13" s="1092">
        <v>25453.279999999999</v>
      </c>
      <c r="G13" s="1095">
        <v>0.23</v>
      </c>
      <c r="H13" s="35"/>
      <c r="I13" s="35"/>
      <c r="J13" s="35"/>
      <c r="K13" s="35"/>
    </row>
    <row r="16" spans="1:11" ht="13.5" thickBot="1" x14ac:dyDescent="0.25">
      <c r="A16" t="s">
        <v>890</v>
      </c>
      <c r="B16" t="s">
        <v>622</v>
      </c>
      <c r="C16" t="s">
        <v>891</v>
      </c>
      <c r="D16" t="s">
        <v>892</v>
      </c>
      <c r="E16" t="s">
        <v>878</v>
      </c>
    </row>
    <row r="17" spans="1:4" ht="19.5" thickBot="1" x14ac:dyDescent="0.35">
      <c r="A17" t="s">
        <v>133</v>
      </c>
      <c r="B17" t="s">
        <v>623</v>
      </c>
      <c r="C17" s="1092">
        <v>1769.23</v>
      </c>
      <c r="D17" s="1099">
        <v>38.798999999999999</v>
      </c>
    </row>
    <row r="18" spans="1:4" ht="19.5" thickBot="1" x14ac:dyDescent="0.35">
      <c r="B18" t="s">
        <v>893</v>
      </c>
      <c r="C18" s="1092">
        <v>1769.23</v>
      </c>
      <c r="D18">
        <v>123.035</v>
      </c>
    </row>
    <row r="19" spans="1:4" ht="19.5" thickBot="1" x14ac:dyDescent="0.35">
      <c r="B19" t="s">
        <v>642</v>
      </c>
      <c r="C19" s="1092">
        <v>1769.23</v>
      </c>
      <c r="D19" s="1099">
        <v>11.292999999999999</v>
      </c>
    </row>
    <row r="20" spans="1:4" ht="19.5" thickBot="1" x14ac:dyDescent="0.35">
      <c r="B20" t="s">
        <v>626</v>
      </c>
      <c r="C20" s="1092">
        <v>1769.23</v>
      </c>
      <c r="D20">
        <v>137.905</v>
      </c>
    </row>
    <row r="21" spans="1:4" ht="19.5" thickBot="1" x14ac:dyDescent="0.35">
      <c r="B21" t="s">
        <v>640</v>
      </c>
      <c r="C21" s="1092">
        <v>1769.23</v>
      </c>
      <c r="D21" s="1099">
        <v>124.81</v>
      </c>
    </row>
    <row r="22" spans="1:4" ht="19.5" thickBot="1" x14ac:dyDescent="0.35">
      <c r="B22" t="s">
        <v>641</v>
      </c>
      <c r="C22" s="1092">
        <v>1769.23</v>
      </c>
      <c r="D22">
        <v>517.48</v>
      </c>
    </row>
    <row r="23" spans="1:4" x14ac:dyDescent="0.2">
      <c r="A23" t="s">
        <v>13</v>
      </c>
      <c r="B23" t="s">
        <v>623</v>
      </c>
      <c r="D23" s="1099">
        <v>128.79400000000001</v>
      </c>
    </row>
    <row r="24" spans="1:4" x14ac:dyDescent="0.2">
      <c r="B24" t="s">
        <v>626</v>
      </c>
      <c r="D24">
        <v>149.416</v>
      </c>
    </row>
    <row r="25" spans="1:4" x14ac:dyDescent="0.2">
      <c r="A25" t="s">
        <v>134</v>
      </c>
      <c r="B25" t="s">
        <v>623</v>
      </c>
      <c r="D25" s="1100">
        <v>20.678999999999998</v>
      </c>
    </row>
    <row r="26" spans="1:4" x14ac:dyDescent="0.2">
      <c r="B26" t="s">
        <v>893</v>
      </c>
      <c r="D26">
        <v>29.437000000000001</v>
      </c>
    </row>
    <row r="27" spans="1:4" x14ac:dyDescent="0.2">
      <c r="B27" t="s">
        <v>642</v>
      </c>
      <c r="D27" s="1100">
        <v>1325.1</v>
      </c>
    </row>
    <row r="28" spans="1:4" x14ac:dyDescent="0.2">
      <c r="B28" t="s">
        <v>626</v>
      </c>
      <c r="D28">
        <v>0.155</v>
      </c>
    </row>
    <row r="29" spans="1:4" x14ac:dyDescent="0.2">
      <c r="A29" t="s">
        <v>135</v>
      </c>
      <c r="B29" t="s">
        <v>623</v>
      </c>
    </row>
    <row r="30" spans="1:4" x14ac:dyDescent="0.2">
      <c r="B30" t="s">
        <v>894</v>
      </c>
    </row>
    <row r="31" spans="1:4" x14ac:dyDescent="0.2">
      <c r="B31" t="s">
        <v>625</v>
      </c>
    </row>
    <row r="32" spans="1:4" x14ac:dyDescent="0.2">
      <c r="B32" t="s">
        <v>626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8D5-89E9-43EA-B4DE-95AFD37525D7}">
  <dimension ref="A1:AF367"/>
  <sheetViews>
    <sheetView topLeftCell="G1" workbookViewId="0">
      <selection activeCell="I12" sqref="I12"/>
    </sheetView>
  </sheetViews>
  <sheetFormatPr defaultRowHeight="12.75" x14ac:dyDescent="0.2"/>
  <cols>
    <col min="1" max="1" width="17.7109375" customWidth="1"/>
    <col min="2" max="2" width="27.28515625" customWidth="1"/>
    <col min="3" max="3" width="34" customWidth="1"/>
    <col min="4" max="4" width="14" customWidth="1"/>
    <col min="5" max="5" width="27.5703125" customWidth="1"/>
    <col min="9" max="9" width="36.140625" bestFit="1" customWidth="1"/>
    <col min="10" max="10" width="17" bestFit="1" customWidth="1"/>
    <col min="11" max="11" width="19.28515625" bestFit="1" customWidth="1"/>
    <col min="12" max="12" width="19" bestFit="1" customWidth="1"/>
    <col min="13" max="13" width="18" bestFit="1" customWidth="1"/>
    <col min="14" max="14" width="27.140625" bestFit="1" customWidth="1"/>
    <col min="15" max="15" width="12.42578125" bestFit="1" customWidth="1"/>
    <col min="16" max="16" width="22.28515625" bestFit="1" customWidth="1"/>
    <col min="17" max="17" width="21.140625" bestFit="1" customWidth="1"/>
    <col min="18" max="18" width="12" bestFit="1" customWidth="1"/>
    <col min="19" max="19" width="12.42578125" bestFit="1" customWidth="1"/>
    <col min="20" max="20" width="20.85546875" style="35" bestFit="1" customWidth="1"/>
    <col min="21" max="21" width="12" style="35" bestFit="1" customWidth="1"/>
    <col min="22" max="22" width="18.85546875" style="35" bestFit="1" customWidth="1"/>
    <col min="23" max="23" width="12" style="35" customWidth="1"/>
    <col min="24" max="24" width="12.42578125" style="35" bestFit="1" customWidth="1"/>
    <col min="25" max="25" width="20.85546875" bestFit="1" customWidth="1"/>
    <col min="26" max="26" width="16.85546875" customWidth="1"/>
    <col min="27" max="27" width="19.140625" customWidth="1"/>
    <col min="28" max="28" width="17.28515625" customWidth="1"/>
    <col min="29" max="29" width="17.5703125" customWidth="1"/>
    <col min="30" max="30" width="16.7109375" customWidth="1"/>
    <col min="31" max="31" width="15.5703125" customWidth="1"/>
    <col min="32" max="32" width="12.5703125" customWidth="1"/>
  </cols>
  <sheetData>
    <row r="1" spans="1:32" x14ac:dyDescent="0.2">
      <c r="A1" s="953" t="s">
        <v>808</v>
      </c>
      <c r="B1" s="953" t="s">
        <v>809</v>
      </c>
      <c r="C1" s="953" t="s">
        <v>659</v>
      </c>
      <c r="D1" s="953" t="s">
        <v>757</v>
      </c>
      <c r="E1" s="1026" t="s">
        <v>810</v>
      </c>
      <c r="I1" s="965" t="s">
        <v>818</v>
      </c>
      <c r="J1" s="965" t="s">
        <v>681</v>
      </c>
      <c r="T1"/>
      <c r="U1"/>
      <c r="V1"/>
      <c r="W1"/>
      <c r="X1"/>
      <c r="Y1" s="141" t="s">
        <v>841</v>
      </c>
    </row>
    <row r="2" spans="1:32" ht="26.25" customHeight="1" x14ac:dyDescent="0.2">
      <c r="A2" s="953" t="s">
        <v>287</v>
      </c>
      <c r="B2" s="953" t="s">
        <v>759</v>
      </c>
      <c r="C2" s="953" t="s">
        <v>447</v>
      </c>
      <c r="D2" s="953">
        <v>5</v>
      </c>
      <c r="E2" s="1045">
        <v>3.3683246152200002</v>
      </c>
      <c r="I2" s="965" t="s">
        <v>670</v>
      </c>
      <c r="J2" s="35" t="s">
        <v>759</v>
      </c>
      <c r="K2" s="35" t="s">
        <v>766</v>
      </c>
      <c r="L2" s="35" t="s">
        <v>811</v>
      </c>
      <c r="M2" s="35" t="s">
        <v>814</v>
      </c>
      <c r="N2" s="35" t="s">
        <v>764</v>
      </c>
      <c r="O2" s="35" t="s">
        <v>765</v>
      </c>
      <c r="P2" s="35" t="s">
        <v>816</v>
      </c>
      <c r="Q2" s="35" t="s">
        <v>817</v>
      </c>
      <c r="R2" s="35" t="s">
        <v>815</v>
      </c>
      <c r="S2" s="35" t="s">
        <v>763</v>
      </c>
      <c r="T2" s="35" t="s">
        <v>812</v>
      </c>
      <c r="U2" s="35" t="s">
        <v>760</v>
      </c>
      <c r="V2" s="35" t="s">
        <v>761</v>
      </c>
      <c r="W2" s="35" t="s">
        <v>762</v>
      </c>
      <c r="X2" s="35" t="s">
        <v>671</v>
      </c>
      <c r="Y2" s="1009" t="s">
        <v>668</v>
      </c>
      <c r="Z2" s="1009" t="s">
        <v>835</v>
      </c>
      <c r="AA2" s="1009" t="s">
        <v>834</v>
      </c>
      <c r="AB2" s="1009" t="s">
        <v>836</v>
      </c>
      <c r="AC2" s="1009" t="s">
        <v>837</v>
      </c>
      <c r="AD2" s="1009" t="s">
        <v>838</v>
      </c>
      <c r="AE2" s="1009" t="s">
        <v>840</v>
      </c>
      <c r="AF2" s="1009" t="s">
        <v>839</v>
      </c>
    </row>
    <row r="3" spans="1:32" x14ac:dyDescent="0.2">
      <c r="A3" s="953" t="s">
        <v>287</v>
      </c>
      <c r="B3" s="953" t="s">
        <v>759</v>
      </c>
      <c r="C3" s="953" t="s">
        <v>667</v>
      </c>
      <c r="D3" s="953">
        <v>76</v>
      </c>
      <c r="E3" s="1045">
        <v>216.02869087400001</v>
      </c>
      <c r="I3" s="966" t="s">
        <v>287</v>
      </c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6" t="s">
        <v>833</v>
      </c>
      <c r="Z3" s="188">
        <f>GETPIVOTDATA("SUM_ACRES",$I$1,"CONT_LAKE","Apopka","SOURCE2009","Cropland")+GETPIVOTDATA("SUM_ACRES",$I$1,"CONT_LAKE","Apopka","SOURCE2009","Feeding operations")+GETPIVOTDATA("SUM_ACRES",$I$1,"CONT_LAKE","Apopka","SOURCE2009","Other agriculture")+GETPIVOTDATA("SUM_ACRES",$I$1,"CONT_LAKE","Apopka","SOURCE2009","Pasture")+GETPIVOTDATA("SUM_ACRES",$I$1,"CONT_LAKE","Apopka","SOURCE2009","Tree crops")</f>
        <v>2590.9863574266951</v>
      </c>
      <c r="AA3" s="188">
        <f t="shared" ref="AA3:AA8" si="0">SUM(AB3:AE3)</f>
        <v>888.10285153520931</v>
      </c>
      <c r="AB3" s="188">
        <f>GETPIVOTDATA("SUM_ACRES",$I$1,"CONT_LAKE","Apopka","SOURCE2009","Muck Farm")</f>
        <v>5.6992822729800006</v>
      </c>
      <c r="AC3" s="188">
        <f>GETPIVOTDATA("SUM_ACRES",$I$1,"CONT_LAKE","Apopka","SOURCE2009","High density commercial")+GETPIVOTDATA("SUM_ACRES",$I$1,"CONT_LAKE","Apopka","SOURCE2009","High density residential")+GETPIVOTDATA("SUM_ACRES",$I$1,"CONT_LAKE","Apopka","SOURCE2009","Industrial")+GETPIVOTDATA("SUM_ACRES",$I$1,"CONT_LAKE","Apopka","SOURCE2009","Low density commercial/Institutional")+GETPIVOTDATA("SUM_ACRES",$I$1,"CONT_LAKE","Apopka","SOURCE2009","Low density residential")+GETPIVOTDATA("SUM_ACRES",$I$1,"CONT_LAKE","Apopka","SOURCE2009","Medium density residential")+GETPIVOTDATA("SUM_ACRES",$I$1,"CONT_LAKE","Apopka","SOURCE2009","Open land/recreation")</f>
        <v>100.66157571956741</v>
      </c>
      <c r="AD3" s="188">
        <f>GETPIVOTDATA("SUM_ACRES",$I$1,"CONT_LAKE","Apopka","SOURCE2009","Forest/Rangeland")</f>
        <v>342.08381321542004</v>
      </c>
      <c r="AE3" s="188">
        <f>GETPIVOTDATA("SUM_ACRES",$I$1,"CONT_LAKE","Apopka","SOURCE2009","Wetlands")+GETPIVOTDATA("SUM_ACRES",$I$1,"CONT_LAKE","Apopka","SOURCE2009","Water")</f>
        <v>439.65818032724195</v>
      </c>
      <c r="AF3" s="165">
        <f>Z3/GETPIVOTDATA("SUM_ACRES",$I$1,"CONT_LAKE","Apopka")</f>
        <v>0.74471757236573699</v>
      </c>
    </row>
    <row r="4" spans="1:32" x14ac:dyDescent="0.2">
      <c r="A4" s="953" t="s">
        <v>287</v>
      </c>
      <c r="B4" s="953" t="s">
        <v>759</v>
      </c>
      <c r="C4" s="953" t="s">
        <v>661</v>
      </c>
      <c r="D4" s="953">
        <v>3</v>
      </c>
      <c r="E4" s="1045">
        <v>7.6737985685200003E-2</v>
      </c>
      <c r="I4" s="1050" t="s">
        <v>447</v>
      </c>
      <c r="J4" s="1043">
        <v>3.3683246152200002</v>
      </c>
      <c r="K4" s="1043"/>
      <c r="L4" s="1043"/>
      <c r="M4" s="1043"/>
      <c r="N4" s="1043"/>
      <c r="O4" s="1043">
        <v>49.463815732400001</v>
      </c>
      <c r="P4" s="1043"/>
      <c r="Q4" s="1043"/>
      <c r="R4" s="1043"/>
      <c r="S4" s="1043">
        <v>165.597429022</v>
      </c>
      <c r="T4" s="1043"/>
      <c r="U4" s="1043">
        <v>6.9613249232600003</v>
      </c>
      <c r="V4" s="1043">
        <v>625.27745652700003</v>
      </c>
      <c r="W4" s="1043"/>
      <c r="X4" s="1043">
        <v>850.66835081988006</v>
      </c>
      <c r="Y4" s="141" t="s">
        <v>133</v>
      </c>
      <c r="Z4">
        <f>GETPIVOTDATA("SUM_ACRES",$I$1,"CONT_LAKE","Beauclair","SOURCE2009","Cropland")+GETPIVOTDATA("SUM_ACRES",$I$1,"CONT_LAKE","Beauclair","SOURCE2009","Other agriculture")+GETPIVOTDATA("SUM_ACRES",$I$1,"CONT_LAKE","Beauclair","SOURCE2009","Pasture")+GETPIVOTDATA("SUM_ACRES",$I$1,"CONT_LAKE","Beauclair","SOURCE2009","Tree crops")</f>
        <v>603.68341552003244</v>
      </c>
      <c r="AA4">
        <f t="shared" si="0"/>
        <v>602.02237204466064</v>
      </c>
      <c r="AB4">
        <f>GETPIVOTDATA("SUM_ACRES",$I$1,"CONT_LAKE","Beauclair","SOURCE2009","Muck Farm")</f>
        <v>408.83904492658996</v>
      </c>
      <c r="AC4">
        <f>GETPIVOTDATA("SUM_ACRES",$I$1,"CONT_LAKE","Beauclair","SOURCE2009","Industrial")+GETPIVOTDATA("SUM_ACRES",$I$1,"CONT_LAKE","Beauclair","SOURCE2009","Low density commercial/Institutional")+GETPIVOTDATA("SUM_ACRES",$I$1,"CONT_LAKE","Beauclair","SOURCE2009","Low density residential")+GETPIVOTDATA("SUM_ACRES",$I$1,"CONT_LAKE","Beauclair","SOURCE2009","Medium density residential")</f>
        <v>29.56155158011406</v>
      </c>
      <c r="AD4">
        <f>GETPIVOTDATA("SUM_ACRES",$I$1,"CONT_LAKE","Beauclair","SOURCE2009","Forest/Rangeland")</f>
        <v>95.811045826739004</v>
      </c>
      <c r="AE4">
        <f>GETPIVOTDATA("SUM_ACRES",$I$1,"CONT_LAKE","Beauclair","SOURCE2009","Water")+GETPIVOTDATA("SUM_ACRES",$I$1,"CONT_LAKE","Beauclair","SOURCE2009","Wetlands")</f>
        <v>67.810729711217604</v>
      </c>
    </row>
    <row r="5" spans="1:32" x14ac:dyDescent="0.2">
      <c r="A5" s="953" t="s">
        <v>287</v>
      </c>
      <c r="B5" s="953" t="s">
        <v>759</v>
      </c>
      <c r="C5" s="953" t="s">
        <v>443</v>
      </c>
      <c r="D5" s="953">
        <v>6</v>
      </c>
      <c r="E5" s="1045">
        <v>4.0503882023199997</v>
      </c>
      <c r="I5" s="1050" t="s">
        <v>712</v>
      </c>
      <c r="J5" s="1043"/>
      <c r="K5" s="1043"/>
      <c r="L5" s="1043"/>
      <c r="M5" s="1043"/>
      <c r="N5" s="1043"/>
      <c r="O5" s="1043">
        <v>28.698301010200002</v>
      </c>
      <c r="P5" s="1043"/>
      <c r="Q5" s="1043"/>
      <c r="R5" s="1043"/>
      <c r="S5" s="1043"/>
      <c r="T5" s="1043"/>
      <c r="U5" s="1043"/>
      <c r="V5" s="1043">
        <v>0.84841636956499999</v>
      </c>
      <c r="W5" s="1043"/>
      <c r="X5" s="1043">
        <v>29.546717379765003</v>
      </c>
      <c r="Y5" s="141" t="s">
        <v>134</v>
      </c>
      <c r="Z5">
        <f>GETPIVOTDATA("SUM_ACRES",$I$1,"CONT_LAKE","Dora","SOURCE2009","Cropland")+GETPIVOTDATA("SUM_ACRES",$I$1,"CONT_LAKE","Dora","SOURCE2009","Other agriculture")+GETPIVOTDATA("SUM_ACRES",$I$1,"CONT_LAKE","Dora","SOURCE2009","Pasture")+GETPIVOTDATA("SUM_ACRES",$I$1,"CONT_LAKE","Dora","SOURCE2009","Tree crops")</f>
        <v>113.35330794907199</v>
      </c>
      <c r="AA5">
        <f t="shared" si="0"/>
        <v>1248.1402963787741</v>
      </c>
      <c r="AB5">
        <f>GETPIVOTDATA("SUM_ACRES",$I$1,"CONT_LAKE","Dora","SOURCE2009","Open land/recreation")</f>
        <v>2.2926837941299998</v>
      </c>
      <c r="AC5">
        <f>GETPIVOTDATA("SUM_ACRES",$I$1,"CONT_LAKE","Dora","SOURCE2009","High density commercial")+GETPIVOTDATA("SUM_ACRES",$I$1,"CONT_LAKE","Dora","SOURCE2009","Industrial")+GETPIVOTDATA("SUM_ACRES",$I$1,"CONT_LAKE","Dora","SOURCE2009","Low density residential")+GETPIVOTDATA("SUM_ACRES",$I$1,"CONT_LAKE","Dora","SOURCE2009","Medium density residential")+GETPIVOTDATA("SUM_ACRES",$I$1,"CONT_LAKE","Dora","SOURCE2009","Open land/recreation")</f>
        <v>6.9156689707312999</v>
      </c>
      <c r="AD5">
        <f>GETPIVOTDATA("SUM_ACRES",$I$1,"CONT_LAKE","Dora","SOURCE2009","Forest/Rangeland")</f>
        <v>418.13709573924001</v>
      </c>
      <c r="AE5">
        <f>GETPIVOTDATA("SUM_ACRES",$I$1,"CONT_LAKE","Dora","SOURCE2009","Water")+GETPIVOTDATA("SUM_ACRES",$I$1,"CONT_LAKE","Dora","SOURCE2009","Wetlands")</f>
        <v>820.79484787467277</v>
      </c>
    </row>
    <row r="6" spans="1:32" x14ac:dyDescent="0.2">
      <c r="A6" s="953" t="s">
        <v>287</v>
      </c>
      <c r="B6" s="953" t="s">
        <v>759</v>
      </c>
      <c r="C6" s="953" t="s">
        <v>665</v>
      </c>
      <c r="D6" s="953">
        <v>9</v>
      </c>
      <c r="E6" s="1045">
        <v>8.8822890340599994</v>
      </c>
      <c r="I6" s="967" t="s">
        <v>667</v>
      </c>
      <c r="J6" s="968">
        <v>216.02869087400001</v>
      </c>
      <c r="K6" s="968"/>
      <c r="L6" s="968"/>
      <c r="M6" s="968"/>
      <c r="N6" s="968"/>
      <c r="O6" s="968">
        <v>3.4460297024000002</v>
      </c>
      <c r="P6" s="968"/>
      <c r="Q6" s="968"/>
      <c r="R6" s="968"/>
      <c r="S6" s="968">
        <v>8.8166748844199994</v>
      </c>
      <c r="T6" s="968"/>
      <c r="U6" s="968">
        <v>70.632247360400001</v>
      </c>
      <c r="V6" s="968">
        <v>43.160170394200001</v>
      </c>
      <c r="W6" s="968"/>
      <c r="X6" s="968">
        <v>342.08381321542004</v>
      </c>
      <c r="Y6" s="141" t="s">
        <v>135</v>
      </c>
      <c r="Z6">
        <f>GETPIVOTDATA("SUM_ACRES",$I$1,"CONT_LAKE","Eustis","SOURCE2009","Cropland")+GETPIVOTDATA("SUM_ACRES",$I$1,"CONT_LAKE","Eustis","SOURCE2009","Other agriculture")+GETPIVOTDATA("SUM_ACRES",$I$1,"CONT_LAKE","Eustis","SOURCE2009","Pasture")+GETPIVOTDATA("SUM_ACRES",$I$1,"CONT_LAKE","Eustis","SOURCE2009","Tree crops")</f>
        <v>269.37412335080944</v>
      </c>
      <c r="AA6">
        <f t="shared" si="0"/>
        <v>367.78179208927349</v>
      </c>
      <c r="AC6">
        <f>GETPIVOTDATA("SUM_ACRES",$I$1,"CONT_LAKE","Eustis","SOURCE2009","High density commercial")+GETPIVOTDATA("SUM_ACRES",$I$1,"CONT_LAKE","Eustis","SOURCE2009","High density residential")+GETPIVOTDATA("SUM_ACRES",$I$1,"CONT_LAKE","Eustis","SOURCE2009","Low density commercial/Institutional")+GETPIVOTDATA("SUM_ACRES",$I$1,"CONT_LAKE","Eustis","SOURCE2009","Low density residential")+GETPIVOTDATA("SUM_ACRES",$I$1,"CONT_LAKE","Eustis","SOURCE2009","Medium density residential")+GETPIVOTDATA("SUM_ACRES",$I$1,"CONT_LAKE","Eustis","SOURCE2009","Open land/recreation")</f>
        <v>154.00078239818447</v>
      </c>
      <c r="AD6">
        <f>GETPIVOTDATA("SUM_ACRES",$I$1,"CONT_LAKE","Eustis","SOURCE2009","Forest/Rangeland")</f>
        <v>82.279609860191997</v>
      </c>
      <c r="AE6">
        <f>GETPIVOTDATA("SUM_ACRES",$I$1,"CONT_LAKE","Eustis","SOURCE2009","Water")+GETPIVOTDATA("SUM_ACRES",$I$1,"CONT_LAKE","Eustis","SOURCE2009","Wetlands")</f>
        <v>131.50139983089699</v>
      </c>
    </row>
    <row r="7" spans="1:32" x14ac:dyDescent="0.2">
      <c r="A7" s="953" t="s">
        <v>287</v>
      </c>
      <c r="B7" s="953" t="s">
        <v>759</v>
      </c>
      <c r="C7" s="953" t="s">
        <v>662</v>
      </c>
      <c r="D7" s="953">
        <v>23</v>
      </c>
      <c r="E7" s="1045">
        <v>4.9722708833200002</v>
      </c>
      <c r="I7" s="967" t="s">
        <v>661</v>
      </c>
      <c r="J7" s="968">
        <v>7.6737985685200003E-2</v>
      </c>
      <c r="K7" s="968"/>
      <c r="L7" s="968"/>
      <c r="M7" s="968"/>
      <c r="N7" s="968"/>
      <c r="O7" s="968"/>
      <c r="P7" s="968"/>
      <c r="Q7" s="968"/>
      <c r="R7" s="968"/>
      <c r="S7" s="968">
        <v>0.152316413264</v>
      </c>
      <c r="T7" s="968"/>
      <c r="U7" s="968">
        <v>9.2046508385500001</v>
      </c>
      <c r="V7" s="968">
        <v>3.62831366196</v>
      </c>
      <c r="W7" s="968"/>
      <c r="X7" s="968">
        <v>13.062018899459201</v>
      </c>
      <c r="Y7" s="141" t="s">
        <v>842</v>
      </c>
      <c r="Z7">
        <f>GETPIVOTDATA("SUM_ACRES",$I$1,"CONT_LAKE","Nolake","SOURCE2009","Cropland")+GETPIVOTDATA("SUM_ACRES",$I$1,"CONT_LAKE","Nolake","SOURCE2009","Feeding operations")+GETPIVOTDATA("SUM_ACRES",$I$1,"CONT_LAKE","Nolake","SOURCE2009","Other agriculture")+GETPIVOTDATA("SUM_ACRES",$I$1,"CONT_LAKE","Nolake","SOURCE2009","Pasture")+GETPIVOTDATA("SUM_ACRES",$I$1,"CONT_LAKE","Nolake","SOURCE2009","Tree crops")</f>
        <v>3872.6703018801277</v>
      </c>
      <c r="AA7">
        <f t="shared" si="0"/>
        <v>1533.3113399223164</v>
      </c>
      <c r="AC7">
        <f>GETPIVOTDATA("SUM_ACRES",$I$1,"CONT_LAKE","Nolake","SOURCE2009","High density commercial")+GETPIVOTDATA("SUM_ACRES",$I$1,"CONT_LAKE","Nolake","SOURCE2009","High density residential")+GETPIVOTDATA("SUM_ACRES",$I$1,"CONT_LAKE","Nolake","SOURCE2009","Industrial")+GETPIVOTDATA("SUM_ACRES",$I$1,"CONT_LAKE","Nolake","SOURCE2009","Low density commercial/Institutional")+GETPIVOTDATA("SUM_ACRES",$I$1,"CONT_LAKE","Nolake","SOURCE2009","Low density residential")+GETPIVOTDATA("SUM_ACRES",$I$1,"CONT_LAKE","Nolake","SOURCE2009","Medium density residential")+GETPIVOTDATA("SUM_ACRES",$I$1,"CONT_LAKE","Nolake","SOURCE2009","Mining")+GETPIVOTDATA("SUM_ACRES",$I$1,"CONT_LAKE","Nolake","SOURCE2009","Open land/recreation")</f>
        <v>217.23077460943551</v>
      </c>
      <c r="AD7">
        <f>GETPIVOTDATA("SUM_ACRES",$I$1,"CONT_LAKE","Nolake","SOURCE2009","Forest/Rangeland")</f>
        <v>593.56745262106085</v>
      </c>
      <c r="AE7">
        <f>GETPIVOTDATA("SUM_ACRES",$I$1,"CONT_LAKE","Nolake","SOURCE2009","Water")+GETPIVOTDATA("SUM_ACRES",$I$1,"CONT_LAKE","Nolake","SOURCE2009","Wetlands")</f>
        <v>722.51311269181997</v>
      </c>
      <c r="AF7" s="165">
        <f>Z7/GETPIVOTDATA("SUM_ACRES",$I$1,"CONT_LAKE","Nolake")</f>
        <v>0.71636763838304773</v>
      </c>
    </row>
    <row r="8" spans="1:32" x14ac:dyDescent="0.2">
      <c r="A8" s="953" t="s">
        <v>287</v>
      </c>
      <c r="B8" s="953" t="s">
        <v>759</v>
      </c>
      <c r="C8" s="953" t="s">
        <v>666</v>
      </c>
      <c r="D8" s="953">
        <v>10</v>
      </c>
      <c r="E8" s="1045">
        <v>1.55415164104</v>
      </c>
      <c r="I8" s="967" t="s">
        <v>14</v>
      </c>
      <c r="J8" s="968"/>
      <c r="K8" s="968"/>
      <c r="L8" s="968"/>
      <c r="M8" s="968"/>
      <c r="N8" s="968"/>
      <c r="O8" s="968"/>
      <c r="P8" s="968"/>
      <c r="Q8" s="968"/>
      <c r="R8" s="968"/>
      <c r="S8" s="968"/>
      <c r="T8" s="968"/>
      <c r="U8" s="968">
        <v>0.30067095629500001</v>
      </c>
      <c r="V8" s="968"/>
      <c r="W8" s="968"/>
      <c r="X8" s="968">
        <v>0.30067095629500001</v>
      </c>
      <c r="Y8" s="141" t="s">
        <v>78</v>
      </c>
      <c r="Z8">
        <f>GETPIVOTDATA("SUM_ACRES",$I$1,"CONT_LAKE","Palatlakaha Riv*","SOURCE2009","Cropland")+GETPIVOTDATA("SUM_ACRES",$I$1,"CONT_LAKE","Palatlakaha Riv*","SOURCE2009","Feeding operations")+GETPIVOTDATA("SUM_ACRES",$I$1,"CONT_LAKE","Palatlakaha Riv*","SOURCE2009","Other agriculture")+GETPIVOTDATA("SUM_ACRES",$I$1,"CONT_LAKE","Palatlakaha Riv*","SOURCE2009","Pasture")+GETPIVOTDATA("SUM_ACRES",$I$1,"CONT_LAKE","Palatlakaha Riv*","SOURCE2009","Tree crops")</f>
        <v>5567.8700763491488</v>
      </c>
      <c r="AA8">
        <f t="shared" si="0"/>
        <v>3135.6338079560146</v>
      </c>
      <c r="AC8">
        <f>GETPIVOTDATA("SUM_ACRES",$I$1,"CONT_LAKE","Palatlakaha Riv*","SOURCE2009","High density commercial")+GETPIVOTDATA("SUM_ACRES",$I$1,"CONT_LAKE","Palatlakaha Riv*","SOURCE2009","High density residential")+GETPIVOTDATA("SUM_ACRES",$I$1,"CONT_LAKE","Palatlakaha Riv*","SOURCE2009","Industrial")+GETPIVOTDATA("SUM_ACRES",$I$1,"CONT_LAKE","Palatlakaha Riv*","SOURCE2009","Low density commercial/Institutional")+GETPIVOTDATA("SUM_ACRES",$I$1,"CONT_LAKE","Palatlakaha Riv*","SOURCE2009","Low density residential")+GETPIVOTDATA("SUM_ACRES",$I$1,"CONT_LAKE","Palatlakaha Riv*","SOURCE2009","Medium density residential")+GETPIVOTDATA("SUM_ACRES",$I$1,"CONT_LAKE","Palatlakaha Riv*","SOURCE2009","Mining")+GETPIVOTDATA("SUM_ACRES",$I$1,"CONT_LAKE","Palatlakaha Riv*","SOURCE2009","Open land/recreation")</f>
        <v>183.15903804612611</v>
      </c>
      <c r="AD8">
        <f>GETPIVOTDATA("SUM_ACRES",$I$1,"CONT_LAKE","Palatlakaha Riv*","SOURCE2009","Forest/Rangeland")</f>
        <v>471.02804623004198</v>
      </c>
      <c r="AE8">
        <f>GETPIVOTDATA("SUM_ACRES",$I$1,"CONT_LAKE","Palatlakaha Riv*","SOURCE2009","Water")+GETPIVOTDATA("SUM_ACRES",$I$1,"CONT_LAKE","Palatlakaha Riv*","SOURCE2009","Wetlands")</f>
        <v>2481.4467236798464</v>
      </c>
      <c r="AF8" s="165">
        <f>Z8/GETPIVOTDATA("SUM_ACRES",$I$1,"CONT_LAKE","Palatlakaha Riv*")</f>
        <v>0.63972741902138597</v>
      </c>
    </row>
    <row r="9" spans="1:32" x14ac:dyDescent="0.2">
      <c r="A9" s="953" t="s">
        <v>287</v>
      </c>
      <c r="B9" s="953" t="s">
        <v>759</v>
      </c>
      <c r="C9" s="953" t="s">
        <v>449</v>
      </c>
      <c r="D9" s="953">
        <v>11</v>
      </c>
      <c r="E9" s="1045">
        <v>21.050071677599998</v>
      </c>
      <c r="I9" s="967" t="s">
        <v>443</v>
      </c>
      <c r="J9" s="968">
        <v>4.0503882023199997</v>
      </c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>
        <v>4.3586632704399997E-2</v>
      </c>
      <c r="W9" s="968"/>
      <c r="X9" s="968">
        <v>4.0939748350244001</v>
      </c>
    </row>
    <row r="10" spans="1:32" x14ac:dyDescent="0.2">
      <c r="A10" s="953" t="s">
        <v>287</v>
      </c>
      <c r="B10" s="953" t="s">
        <v>759</v>
      </c>
      <c r="C10" s="953" t="s">
        <v>446</v>
      </c>
      <c r="D10" s="953">
        <v>22</v>
      </c>
      <c r="E10" s="1045">
        <v>35.481843861100003</v>
      </c>
      <c r="I10" s="967" t="s">
        <v>665</v>
      </c>
      <c r="J10" s="968">
        <v>8.8822890340599994</v>
      </c>
      <c r="K10" s="968"/>
      <c r="L10" s="968"/>
      <c r="M10" s="968"/>
      <c r="N10" s="968"/>
      <c r="O10" s="968"/>
      <c r="P10" s="968"/>
      <c r="Q10" s="968"/>
      <c r="R10" s="968"/>
      <c r="S10" s="968"/>
      <c r="T10" s="968">
        <v>2.72778950078E-2</v>
      </c>
      <c r="U10" s="968">
        <v>7.1917618498599998</v>
      </c>
      <c r="V10" s="968">
        <v>1.1616058570400001</v>
      </c>
      <c r="W10" s="968"/>
      <c r="X10" s="968">
        <v>17.262934635967799</v>
      </c>
    </row>
    <row r="11" spans="1:32" x14ac:dyDescent="0.2">
      <c r="A11" s="953" t="s">
        <v>287</v>
      </c>
      <c r="B11" s="953" t="s">
        <v>759</v>
      </c>
      <c r="C11" s="953" t="s">
        <v>448</v>
      </c>
      <c r="D11" s="953">
        <v>80</v>
      </c>
      <c r="E11" s="1045">
        <v>755.96290691700005</v>
      </c>
      <c r="I11" s="967" t="s">
        <v>662</v>
      </c>
      <c r="J11" s="968">
        <v>4.9722708833200002</v>
      </c>
      <c r="K11" s="968"/>
      <c r="L11" s="968"/>
      <c r="M11" s="968"/>
      <c r="N11" s="968"/>
      <c r="O11" s="968">
        <v>5.2377834082900003</v>
      </c>
      <c r="P11" s="968"/>
      <c r="Q11" s="968"/>
      <c r="R11" s="968"/>
      <c r="S11" s="968">
        <v>7.3705871924600004</v>
      </c>
      <c r="T11" s="968">
        <v>3.5212082780999999E-2</v>
      </c>
      <c r="U11" s="968">
        <v>24.9420265065</v>
      </c>
      <c r="V11" s="968">
        <v>6.0346430472400003</v>
      </c>
      <c r="W11" s="968"/>
      <c r="X11" s="968">
        <v>48.592523120591004</v>
      </c>
    </row>
    <row r="12" spans="1:32" x14ac:dyDescent="0.2">
      <c r="A12" s="953" t="s">
        <v>287</v>
      </c>
      <c r="B12" s="953" t="s">
        <v>759</v>
      </c>
      <c r="C12" s="953" t="s">
        <v>451</v>
      </c>
      <c r="D12" s="953">
        <v>21</v>
      </c>
      <c r="E12" s="1045">
        <v>72.453500000999995</v>
      </c>
      <c r="I12" s="967" t="s">
        <v>666</v>
      </c>
      <c r="J12" s="968">
        <v>1.55415164104</v>
      </c>
      <c r="K12" s="968"/>
      <c r="L12" s="968"/>
      <c r="M12" s="968"/>
      <c r="N12" s="968"/>
      <c r="O12" s="968"/>
      <c r="P12" s="968"/>
      <c r="Q12" s="968"/>
      <c r="R12" s="968"/>
      <c r="S12" s="968"/>
      <c r="T12" s="968"/>
      <c r="U12" s="968">
        <v>1.25399676129</v>
      </c>
      <c r="V12" s="968"/>
      <c r="W12" s="968"/>
      <c r="X12" s="968">
        <v>2.8081484023300001</v>
      </c>
    </row>
    <row r="13" spans="1:32" x14ac:dyDescent="0.2">
      <c r="A13" s="953" t="s">
        <v>287</v>
      </c>
      <c r="B13" s="953" t="s">
        <v>759</v>
      </c>
      <c r="C13" s="953" t="s">
        <v>452</v>
      </c>
      <c r="D13" s="953">
        <v>77</v>
      </c>
      <c r="E13" s="1045">
        <v>96.559736515899999</v>
      </c>
      <c r="I13" s="1051" t="s">
        <v>458</v>
      </c>
      <c r="J13" s="1052"/>
      <c r="K13" s="1052"/>
      <c r="L13" s="1052"/>
      <c r="M13" s="1052"/>
      <c r="N13" s="1052"/>
      <c r="O13" s="1052"/>
      <c r="P13" s="1052"/>
      <c r="Q13" s="1052"/>
      <c r="R13" s="1052"/>
      <c r="S13" s="1052"/>
      <c r="T13" s="1052"/>
      <c r="U13" s="1052">
        <v>1.19577964716</v>
      </c>
      <c r="V13" s="1052">
        <v>4.5035026258200004</v>
      </c>
      <c r="W13" s="1052"/>
      <c r="X13" s="1052">
        <v>5.6992822729800006</v>
      </c>
    </row>
    <row r="14" spans="1:32" x14ac:dyDescent="0.2">
      <c r="A14" s="953" t="s">
        <v>287</v>
      </c>
      <c r="B14" s="953" t="s">
        <v>811</v>
      </c>
      <c r="C14" s="953"/>
      <c r="D14" s="953">
        <v>1</v>
      </c>
      <c r="E14" s="1045">
        <v>4.2488491025200002E-4</v>
      </c>
      <c r="I14" s="967" t="s">
        <v>663</v>
      </c>
      <c r="J14" s="968"/>
      <c r="K14" s="968"/>
      <c r="L14" s="968"/>
      <c r="M14" s="968"/>
      <c r="N14" s="968"/>
      <c r="O14" s="968"/>
      <c r="P14" s="968"/>
      <c r="Q14" s="968"/>
      <c r="R14" s="968"/>
      <c r="S14" s="968"/>
      <c r="T14" s="968"/>
      <c r="U14" s="968">
        <v>14.541304869899999</v>
      </c>
      <c r="V14" s="968"/>
      <c r="W14" s="968"/>
      <c r="X14" s="968">
        <v>14.541304869899999</v>
      </c>
    </row>
    <row r="15" spans="1:32" x14ac:dyDescent="0.2">
      <c r="A15" s="953" t="s">
        <v>287</v>
      </c>
      <c r="B15" s="953" t="s">
        <v>811</v>
      </c>
      <c r="C15" s="953" t="s">
        <v>448</v>
      </c>
      <c r="D15" s="953">
        <v>1</v>
      </c>
      <c r="E15" s="1045">
        <v>17.422464822399998</v>
      </c>
      <c r="I15" s="1050" t="s">
        <v>449</v>
      </c>
      <c r="J15" s="1043">
        <v>21.050071677599998</v>
      </c>
      <c r="K15" s="1043"/>
      <c r="L15" s="1043"/>
      <c r="M15" s="1043"/>
      <c r="N15" s="1043"/>
      <c r="O15" s="1043"/>
      <c r="P15" s="1043"/>
      <c r="Q15" s="1043"/>
      <c r="R15" s="1043"/>
      <c r="S15" s="1043">
        <v>1.7723820694900001</v>
      </c>
      <c r="T15" s="1043">
        <v>4.2835815284700001</v>
      </c>
      <c r="U15" s="1043">
        <v>676.42295538899998</v>
      </c>
      <c r="V15" s="1043">
        <v>1.3803560154200001</v>
      </c>
      <c r="W15" s="1043"/>
      <c r="X15" s="1043">
        <v>704.90934667997999</v>
      </c>
    </row>
    <row r="16" spans="1:32" x14ac:dyDescent="0.2">
      <c r="A16" s="953" t="s">
        <v>287</v>
      </c>
      <c r="B16" s="953" t="s">
        <v>765</v>
      </c>
      <c r="C16" s="953" t="s">
        <v>447</v>
      </c>
      <c r="D16" s="953">
        <v>5</v>
      </c>
      <c r="E16" s="1045">
        <v>49.463815732400001</v>
      </c>
      <c r="I16" s="1050" t="s">
        <v>446</v>
      </c>
      <c r="J16" s="1043">
        <v>35.481843861100003</v>
      </c>
      <c r="K16" s="1043"/>
      <c r="L16" s="1043"/>
      <c r="M16" s="1043"/>
      <c r="N16" s="1043"/>
      <c r="O16" s="1043">
        <v>100.24623889999999</v>
      </c>
      <c r="P16" s="1043"/>
      <c r="Q16" s="1043"/>
      <c r="R16" s="1043"/>
      <c r="S16" s="1043">
        <v>3.7950774214899998</v>
      </c>
      <c r="T16" s="1043">
        <v>5.8224202810700003</v>
      </c>
      <c r="U16" s="1043">
        <v>47.8342670635</v>
      </c>
      <c r="V16" s="1043">
        <v>1.51028712445</v>
      </c>
      <c r="W16" s="1043"/>
      <c r="X16" s="1043">
        <v>194.69013465160998</v>
      </c>
    </row>
    <row r="17" spans="1:24" x14ac:dyDescent="0.2">
      <c r="A17" s="953" t="s">
        <v>287</v>
      </c>
      <c r="B17" s="953" t="s">
        <v>765</v>
      </c>
      <c r="C17" s="953" t="s">
        <v>712</v>
      </c>
      <c r="D17" s="953">
        <v>5</v>
      </c>
      <c r="E17" s="1045">
        <v>28.698301010200002</v>
      </c>
      <c r="I17" s="1050" t="s">
        <v>448</v>
      </c>
      <c r="J17" s="1043">
        <v>755.96290691700005</v>
      </c>
      <c r="K17" s="1043"/>
      <c r="L17" s="1043">
        <v>17.422464822399998</v>
      </c>
      <c r="M17" s="1043"/>
      <c r="N17" s="1043"/>
      <c r="O17" s="1043"/>
      <c r="P17" s="1043"/>
      <c r="Q17" s="1043"/>
      <c r="R17" s="1043"/>
      <c r="S17" s="1043">
        <v>32.697814263700003</v>
      </c>
      <c r="T17" s="1043"/>
      <c r="U17" s="1043">
        <v>5.08862189236</v>
      </c>
      <c r="V17" s="1043"/>
      <c r="W17" s="1043"/>
      <c r="X17" s="1043">
        <v>811.17180789546012</v>
      </c>
    </row>
    <row r="18" spans="1:24" x14ac:dyDescent="0.2">
      <c r="A18" s="953" t="s">
        <v>287</v>
      </c>
      <c r="B18" s="953" t="s">
        <v>765</v>
      </c>
      <c r="C18" s="953" t="s">
        <v>667</v>
      </c>
      <c r="D18" s="953">
        <v>5</v>
      </c>
      <c r="E18" s="1045">
        <v>3.4460297024000002</v>
      </c>
      <c r="I18" s="967" t="s">
        <v>451</v>
      </c>
      <c r="J18" s="968">
        <v>72.453500000999995</v>
      </c>
      <c r="K18" s="968"/>
      <c r="L18" s="968"/>
      <c r="M18" s="968"/>
      <c r="N18" s="968"/>
      <c r="O18" s="968"/>
      <c r="P18" s="968"/>
      <c r="Q18" s="968"/>
      <c r="R18" s="968"/>
      <c r="S18" s="968">
        <v>0.70350287729200001</v>
      </c>
      <c r="T18" s="968"/>
      <c r="U18" s="968">
        <v>13.09344488</v>
      </c>
      <c r="V18" s="968">
        <v>7.1805345866400003</v>
      </c>
      <c r="W18" s="968"/>
      <c r="X18" s="968">
        <v>93.430982344931977</v>
      </c>
    </row>
    <row r="19" spans="1:24" x14ac:dyDescent="0.2">
      <c r="A19" s="953" t="s">
        <v>287</v>
      </c>
      <c r="B19" s="953" t="s">
        <v>765</v>
      </c>
      <c r="C19" s="953" t="s">
        <v>662</v>
      </c>
      <c r="D19" s="953">
        <v>5</v>
      </c>
      <c r="E19" s="1045">
        <v>5.2377834082900003</v>
      </c>
      <c r="I19" s="967" t="s">
        <v>452</v>
      </c>
      <c r="J19" s="968">
        <v>96.559736515899999</v>
      </c>
      <c r="K19" s="968"/>
      <c r="L19" s="968"/>
      <c r="M19" s="968"/>
      <c r="N19" s="968"/>
      <c r="O19" s="968">
        <v>5.1843959119100003</v>
      </c>
      <c r="P19" s="968"/>
      <c r="Q19" s="968"/>
      <c r="R19" s="968"/>
      <c r="S19" s="968">
        <v>14.903939301499999</v>
      </c>
      <c r="T19" s="968"/>
      <c r="U19" s="968">
        <v>110.004770298</v>
      </c>
      <c r="V19" s="968">
        <v>119.574355955</v>
      </c>
      <c r="W19" s="968"/>
      <c r="X19" s="968">
        <v>346.22719798230997</v>
      </c>
    </row>
    <row r="20" spans="1:24" x14ac:dyDescent="0.2">
      <c r="A20" s="953" t="s">
        <v>287</v>
      </c>
      <c r="B20" s="953" t="s">
        <v>765</v>
      </c>
      <c r="C20" s="953" t="s">
        <v>446</v>
      </c>
      <c r="D20" s="953">
        <v>15</v>
      </c>
      <c r="E20" s="1045">
        <v>100.24623889999999</v>
      </c>
      <c r="I20" s="967" t="s">
        <v>829</v>
      </c>
      <c r="J20" s="968"/>
      <c r="K20" s="968"/>
      <c r="L20" s="968">
        <v>4.2488491025200002E-4</v>
      </c>
      <c r="M20" s="968"/>
      <c r="N20" s="968"/>
      <c r="O20" s="968"/>
      <c r="P20" s="968"/>
      <c r="Q20" s="968"/>
      <c r="R20" s="968"/>
      <c r="S20" s="968"/>
      <c r="T20" s="968"/>
      <c r="U20" s="968">
        <v>6.3341147361700004E-2</v>
      </c>
      <c r="V20" s="968"/>
      <c r="W20" s="968"/>
      <c r="X20" s="968">
        <v>6.3766032271952003E-2</v>
      </c>
    </row>
    <row r="21" spans="1:24" x14ac:dyDescent="0.2">
      <c r="A21" s="953" t="s">
        <v>287</v>
      </c>
      <c r="B21" s="953" t="s">
        <v>765</v>
      </c>
      <c r="C21" s="953" t="s">
        <v>452</v>
      </c>
      <c r="D21" s="953">
        <v>4</v>
      </c>
      <c r="E21" s="1045">
        <v>5.1843959119100003</v>
      </c>
      <c r="I21" s="966" t="s">
        <v>830</v>
      </c>
      <c r="J21" s="968">
        <v>1220.4409122082452</v>
      </c>
      <c r="K21" s="968"/>
      <c r="L21" s="968">
        <v>17.422889707310251</v>
      </c>
      <c r="M21" s="968"/>
      <c r="N21" s="968"/>
      <c r="O21" s="968">
        <v>192.2765646652</v>
      </c>
      <c r="P21" s="968"/>
      <c r="Q21" s="968"/>
      <c r="R21" s="968"/>
      <c r="S21" s="968">
        <v>235.80972344561599</v>
      </c>
      <c r="T21" s="968">
        <v>10.168491787328801</v>
      </c>
      <c r="U21" s="968">
        <v>988.73116438343675</v>
      </c>
      <c r="V21" s="968">
        <v>814.30322879703942</v>
      </c>
      <c r="W21" s="968"/>
      <c r="X21" s="968">
        <v>3479.1529749941769</v>
      </c>
    </row>
    <row r="22" spans="1:24" x14ac:dyDescent="0.2">
      <c r="A22" s="953" t="s">
        <v>287</v>
      </c>
      <c r="B22" s="953" t="s">
        <v>763</v>
      </c>
      <c r="C22" s="953" t="s">
        <v>447</v>
      </c>
      <c r="D22" s="953">
        <v>17</v>
      </c>
      <c r="E22" s="1045">
        <v>165.597429022</v>
      </c>
      <c r="I22" s="966" t="s">
        <v>607</v>
      </c>
      <c r="J22" s="968"/>
      <c r="K22" s="968"/>
      <c r="L22" s="968"/>
      <c r="M22" s="968"/>
      <c r="N22" s="968"/>
      <c r="O22" s="968"/>
      <c r="P22" s="968"/>
      <c r="Q22" s="968"/>
      <c r="R22" s="968"/>
      <c r="S22" s="968"/>
      <c r="T22" s="968"/>
      <c r="U22" s="968"/>
      <c r="V22" s="968"/>
      <c r="W22" s="968"/>
      <c r="X22" s="968"/>
    </row>
    <row r="23" spans="1:24" x14ac:dyDescent="0.2">
      <c r="A23" s="953" t="s">
        <v>287</v>
      </c>
      <c r="B23" s="953" t="s">
        <v>763</v>
      </c>
      <c r="C23" s="953" t="s">
        <v>667</v>
      </c>
      <c r="D23" s="953">
        <v>12</v>
      </c>
      <c r="E23" s="1045">
        <v>8.8166748844199994</v>
      </c>
      <c r="I23" s="1050" t="s">
        <v>447</v>
      </c>
      <c r="J23" s="1043">
        <v>56.595186114299999</v>
      </c>
      <c r="K23" s="1043"/>
      <c r="L23" s="1043"/>
      <c r="M23" s="1043"/>
      <c r="N23" s="1043"/>
      <c r="O23" s="1043"/>
      <c r="P23" s="1043"/>
      <c r="Q23" s="1043"/>
      <c r="R23" s="1043"/>
      <c r="S23" s="1043"/>
      <c r="T23" s="1043"/>
      <c r="U23" s="1043">
        <v>35.743885495999997</v>
      </c>
      <c r="V23" s="1043">
        <v>105.6844815</v>
      </c>
      <c r="W23" s="1043">
        <v>49.498619638599997</v>
      </c>
      <c r="X23" s="1043">
        <v>247.52217274889998</v>
      </c>
    </row>
    <row r="24" spans="1:24" x14ac:dyDescent="0.2">
      <c r="A24" s="953" t="s">
        <v>287</v>
      </c>
      <c r="B24" s="953" t="s">
        <v>763</v>
      </c>
      <c r="C24" s="953" t="s">
        <v>661</v>
      </c>
      <c r="D24" s="953">
        <v>5</v>
      </c>
      <c r="E24" s="1045">
        <v>0.152316413264</v>
      </c>
      <c r="I24" s="967" t="s">
        <v>667</v>
      </c>
      <c r="J24" s="968">
        <v>0.86137938510099998</v>
      </c>
      <c r="K24" s="968"/>
      <c r="L24" s="968"/>
      <c r="M24" s="968"/>
      <c r="N24" s="968"/>
      <c r="O24" s="968"/>
      <c r="P24" s="968"/>
      <c r="Q24" s="968"/>
      <c r="R24" s="968"/>
      <c r="S24" s="968">
        <v>11.0244529684</v>
      </c>
      <c r="T24" s="968"/>
      <c r="U24" s="968">
        <v>28.6882980309</v>
      </c>
      <c r="V24" s="968">
        <v>0.14094307603799999</v>
      </c>
      <c r="W24" s="968">
        <v>55.095972366300003</v>
      </c>
      <c r="X24" s="968">
        <v>95.811045826739004</v>
      </c>
    </row>
    <row r="25" spans="1:24" x14ac:dyDescent="0.2">
      <c r="A25" s="953" t="s">
        <v>287</v>
      </c>
      <c r="B25" s="953" t="s">
        <v>763</v>
      </c>
      <c r="C25" s="953" t="s">
        <v>662</v>
      </c>
      <c r="D25" s="953">
        <v>12</v>
      </c>
      <c r="E25" s="1045">
        <v>7.3705871924600004</v>
      </c>
      <c r="I25" s="967" t="s">
        <v>443</v>
      </c>
      <c r="J25" s="968"/>
      <c r="K25" s="968"/>
      <c r="L25" s="968"/>
      <c r="M25" s="968"/>
      <c r="N25" s="968"/>
      <c r="O25" s="968"/>
      <c r="P25" s="968"/>
      <c r="Q25" s="968"/>
      <c r="R25" s="968"/>
      <c r="S25" s="968"/>
      <c r="T25" s="968"/>
      <c r="U25" s="968"/>
      <c r="V25" s="968">
        <v>8.6200190503399998</v>
      </c>
      <c r="W25" s="968"/>
      <c r="X25" s="968">
        <v>8.6200190503399998</v>
      </c>
    </row>
    <row r="26" spans="1:24" x14ac:dyDescent="0.2">
      <c r="A26" s="953" t="s">
        <v>287</v>
      </c>
      <c r="B26" s="953" t="s">
        <v>763</v>
      </c>
      <c r="C26" s="953" t="s">
        <v>449</v>
      </c>
      <c r="D26" s="953">
        <v>3</v>
      </c>
      <c r="E26" s="1045">
        <v>1.7723820694900001</v>
      </c>
      <c r="I26" s="967" t="s">
        <v>665</v>
      </c>
      <c r="J26" s="968">
        <v>6.8680090533999996E-2</v>
      </c>
      <c r="K26" s="968"/>
      <c r="L26" s="968"/>
      <c r="M26" s="968"/>
      <c r="N26" s="968"/>
      <c r="O26" s="968"/>
      <c r="P26" s="968"/>
      <c r="Q26" s="968"/>
      <c r="R26" s="968"/>
      <c r="S26" s="968"/>
      <c r="T26" s="968"/>
      <c r="U26" s="968"/>
      <c r="V26" s="968"/>
      <c r="W26" s="968"/>
      <c r="X26" s="968">
        <v>6.8680090533999996E-2</v>
      </c>
    </row>
    <row r="27" spans="1:24" x14ac:dyDescent="0.2">
      <c r="A27" s="953" t="s">
        <v>287</v>
      </c>
      <c r="B27" s="953" t="s">
        <v>763</v>
      </c>
      <c r="C27" s="953" t="s">
        <v>446</v>
      </c>
      <c r="D27" s="953">
        <v>9</v>
      </c>
      <c r="E27" s="1045">
        <v>3.7950774214899998</v>
      </c>
      <c r="I27" s="967" t="s">
        <v>662</v>
      </c>
      <c r="J27" s="968">
        <v>3.74280129968</v>
      </c>
      <c r="K27" s="968"/>
      <c r="L27" s="968"/>
      <c r="M27" s="968"/>
      <c r="N27" s="968"/>
      <c r="O27" s="968"/>
      <c r="P27" s="968"/>
      <c r="Q27" s="968"/>
      <c r="R27" s="968"/>
      <c r="S27" s="968">
        <v>0.29997298676599998</v>
      </c>
      <c r="T27" s="968"/>
      <c r="U27" s="968">
        <v>15.6099201891</v>
      </c>
      <c r="V27" s="968">
        <v>1.0189981343600001</v>
      </c>
      <c r="W27" s="968">
        <v>2.61757896106E-3</v>
      </c>
      <c r="X27" s="968">
        <v>20.674310188867061</v>
      </c>
    </row>
    <row r="28" spans="1:24" x14ac:dyDescent="0.2">
      <c r="A28" s="953" t="s">
        <v>287</v>
      </c>
      <c r="B28" s="953" t="s">
        <v>763</v>
      </c>
      <c r="C28" s="953" t="s">
        <v>448</v>
      </c>
      <c r="D28" s="953">
        <v>7</v>
      </c>
      <c r="E28" s="1045">
        <v>32.697814263700003</v>
      </c>
      <c r="I28" s="967" t="s">
        <v>666</v>
      </c>
      <c r="J28" s="968"/>
      <c r="K28" s="968"/>
      <c r="L28" s="968"/>
      <c r="M28" s="968"/>
      <c r="N28" s="968"/>
      <c r="O28" s="968"/>
      <c r="P28" s="968"/>
      <c r="Q28" s="968"/>
      <c r="R28" s="968"/>
      <c r="S28" s="968"/>
      <c r="T28" s="968"/>
      <c r="U28" s="968">
        <v>0.198542250373</v>
      </c>
      <c r="V28" s="968"/>
      <c r="W28" s="968"/>
      <c r="X28" s="968">
        <v>0.198542250373</v>
      </c>
    </row>
    <row r="29" spans="1:24" x14ac:dyDescent="0.2">
      <c r="A29" s="953" t="s">
        <v>287</v>
      </c>
      <c r="B29" s="953" t="s">
        <v>763</v>
      </c>
      <c r="C29" s="953" t="s">
        <v>451</v>
      </c>
      <c r="D29" s="953">
        <v>2</v>
      </c>
      <c r="E29" s="1045">
        <v>0.70350287729200001</v>
      </c>
      <c r="I29" s="1051" t="s">
        <v>458</v>
      </c>
      <c r="J29" s="1052"/>
      <c r="K29" s="1052"/>
      <c r="L29" s="1052"/>
      <c r="M29" s="1052"/>
      <c r="N29" s="1052"/>
      <c r="O29" s="1052"/>
      <c r="P29" s="1052"/>
      <c r="Q29" s="1052"/>
      <c r="R29" s="1052"/>
      <c r="S29" s="1052"/>
      <c r="T29" s="1052"/>
      <c r="U29" s="1052">
        <v>4.8862614505900002</v>
      </c>
      <c r="V29" s="1052"/>
      <c r="W29" s="1052">
        <v>403.95278347599998</v>
      </c>
      <c r="X29" s="1052">
        <v>408.83904492658996</v>
      </c>
    </row>
    <row r="30" spans="1:24" x14ac:dyDescent="0.2">
      <c r="A30" s="953" t="s">
        <v>287</v>
      </c>
      <c r="B30" s="953" t="s">
        <v>763</v>
      </c>
      <c r="C30" s="953" t="s">
        <v>452</v>
      </c>
      <c r="D30" s="953">
        <v>16</v>
      </c>
      <c r="E30" s="1045">
        <v>14.903939301499999</v>
      </c>
      <c r="I30" s="1050" t="s">
        <v>449</v>
      </c>
      <c r="J30" s="1043">
        <v>5.0104234194500004</v>
      </c>
      <c r="K30" s="1043"/>
      <c r="L30" s="1043"/>
      <c r="M30" s="1043"/>
      <c r="N30" s="1043"/>
      <c r="O30" s="1043"/>
      <c r="P30" s="1043"/>
      <c r="Q30" s="1043"/>
      <c r="R30" s="1043"/>
      <c r="S30" s="1043"/>
      <c r="T30" s="1043"/>
      <c r="U30" s="1043">
        <v>45.312181416400001</v>
      </c>
      <c r="V30" s="1043">
        <v>6.5705551804499995E-2</v>
      </c>
      <c r="W30" s="1043">
        <v>0.141144529538</v>
      </c>
      <c r="X30" s="1043">
        <v>50.529454917192503</v>
      </c>
    </row>
    <row r="31" spans="1:24" x14ac:dyDescent="0.2">
      <c r="A31" s="953" t="s">
        <v>287</v>
      </c>
      <c r="B31" s="953" t="s">
        <v>812</v>
      </c>
      <c r="C31" s="953" t="s">
        <v>665</v>
      </c>
      <c r="D31" s="953">
        <v>2</v>
      </c>
      <c r="E31" s="1045">
        <v>2.72778950078E-2</v>
      </c>
      <c r="I31" s="1050" t="s">
        <v>446</v>
      </c>
      <c r="J31" s="1043">
        <v>11.8274188993</v>
      </c>
      <c r="K31" s="1043"/>
      <c r="L31" s="1043"/>
      <c r="M31" s="1043"/>
      <c r="N31" s="1043"/>
      <c r="O31" s="1043"/>
      <c r="P31" s="1043"/>
      <c r="Q31" s="1043"/>
      <c r="R31" s="1043"/>
      <c r="S31" s="1043"/>
      <c r="T31" s="1043"/>
      <c r="U31" s="1043">
        <v>1.3471931641499999</v>
      </c>
      <c r="V31" s="1043">
        <v>8.6651711903800006</v>
      </c>
      <c r="W31" s="1043">
        <v>2.1035975311100001</v>
      </c>
      <c r="X31" s="1043">
        <v>23.94338078494</v>
      </c>
    </row>
    <row r="32" spans="1:24" x14ac:dyDescent="0.2">
      <c r="A32" s="953" t="s">
        <v>287</v>
      </c>
      <c r="B32" s="953" t="s">
        <v>812</v>
      </c>
      <c r="C32" s="953" t="s">
        <v>662</v>
      </c>
      <c r="D32" s="953">
        <v>1</v>
      </c>
      <c r="E32" s="1045">
        <v>3.5212082780999999E-2</v>
      </c>
      <c r="I32" s="1050" t="s">
        <v>448</v>
      </c>
      <c r="J32" s="1043">
        <v>235.90055736799999</v>
      </c>
      <c r="K32" s="1043"/>
      <c r="L32" s="1043"/>
      <c r="M32" s="1043"/>
      <c r="N32" s="1043"/>
      <c r="O32" s="1043"/>
      <c r="P32" s="1043"/>
      <c r="Q32" s="1043"/>
      <c r="R32" s="1043"/>
      <c r="S32" s="1043"/>
      <c r="T32" s="1043"/>
      <c r="U32" s="1043">
        <v>45.787849700999999</v>
      </c>
      <c r="V32" s="1043"/>
      <c r="W32" s="1043"/>
      <c r="X32" s="1043">
        <v>281.68840706899999</v>
      </c>
    </row>
    <row r="33" spans="1:24" x14ac:dyDescent="0.2">
      <c r="A33" s="953" t="s">
        <v>287</v>
      </c>
      <c r="B33" s="953" t="s">
        <v>812</v>
      </c>
      <c r="C33" s="953" t="s">
        <v>449</v>
      </c>
      <c r="D33" s="953">
        <v>2</v>
      </c>
      <c r="E33" s="1045">
        <v>4.2835815284700001</v>
      </c>
      <c r="I33" s="967" t="s">
        <v>451</v>
      </c>
      <c r="J33" s="968">
        <v>8.0974548367599999E-2</v>
      </c>
      <c r="K33" s="968"/>
      <c r="L33" s="968"/>
      <c r="M33" s="968"/>
      <c r="N33" s="968"/>
      <c r="O33" s="968"/>
      <c r="P33" s="968"/>
      <c r="Q33" s="968"/>
      <c r="R33" s="968"/>
      <c r="S33" s="968"/>
      <c r="T33" s="968"/>
      <c r="U33" s="968">
        <v>1.10114732369</v>
      </c>
      <c r="V33" s="968">
        <v>2.2546357919800002</v>
      </c>
      <c r="W33" s="968"/>
      <c r="X33" s="968">
        <v>3.4367576640376001</v>
      </c>
    </row>
    <row r="34" spans="1:24" x14ac:dyDescent="0.2">
      <c r="A34" s="953" t="s">
        <v>287</v>
      </c>
      <c r="B34" s="953" t="s">
        <v>812</v>
      </c>
      <c r="C34" s="953" t="s">
        <v>446</v>
      </c>
      <c r="D34" s="953">
        <v>5</v>
      </c>
      <c r="E34" s="1045">
        <v>5.8224202810700003</v>
      </c>
      <c r="I34" s="967" t="s">
        <v>452</v>
      </c>
      <c r="J34" s="968">
        <v>38.1247923468</v>
      </c>
      <c r="K34" s="968"/>
      <c r="L34" s="968"/>
      <c r="M34" s="968"/>
      <c r="N34" s="968"/>
      <c r="O34" s="968"/>
      <c r="P34" s="968"/>
      <c r="Q34" s="968"/>
      <c r="R34" s="968"/>
      <c r="S34" s="968"/>
      <c r="T34" s="968"/>
      <c r="U34" s="968">
        <v>10.896917864400001</v>
      </c>
      <c r="V34" s="968">
        <v>6.64430622266</v>
      </c>
      <c r="W34" s="968">
        <v>8.7079556133199993</v>
      </c>
      <c r="X34" s="968">
        <v>64.373972047180004</v>
      </c>
    </row>
    <row r="35" spans="1:24" x14ac:dyDescent="0.2">
      <c r="A35" s="953" t="s">
        <v>287</v>
      </c>
      <c r="B35" s="953" t="s">
        <v>760</v>
      </c>
      <c r="C35" s="953"/>
      <c r="D35" s="953">
        <v>5</v>
      </c>
      <c r="E35" s="1045">
        <v>6.3341147361700004E-2</v>
      </c>
      <c r="I35" s="966" t="s">
        <v>672</v>
      </c>
      <c r="J35" s="968">
        <v>352.21221347153261</v>
      </c>
      <c r="K35" s="968"/>
      <c r="L35" s="968"/>
      <c r="M35" s="968"/>
      <c r="N35" s="968"/>
      <c r="O35" s="968"/>
      <c r="P35" s="968"/>
      <c r="Q35" s="968"/>
      <c r="R35" s="968"/>
      <c r="S35" s="968">
        <v>11.324425955166001</v>
      </c>
      <c r="T35" s="968"/>
      <c r="U35" s="968">
        <v>189.57219688660297</v>
      </c>
      <c r="V35" s="968">
        <v>133.0942605175625</v>
      </c>
      <c r="W35" s="968">
        <v>519.50269073382901</v>
      </c>
      <c r="X35" s="968">
        <v>1205.7057875646929</v>
      </c>
    </row>
    <row r="36" spans="1:24" x14ac:dyDescent="0.2">
      <c r="A36" s="953" t="s">
        <v>287</v>
      </c>
      <c r="B36" s="953" t="s">
        <v>760</v>
      </c>
      <c r="C36" s="953" t="s">
        <v>447</v>
      </c>
      <c r="D36" s="953">
        <v>7</v>
      </c>
      <c r="E36" s="1045">
        <v>6.9613249232600003</v>
      </c>
      <c r="I36" s="966" t="s">
        <v>608</v>
      </c>
      <c r="J36" s="968"/>
      <c r="K36" s="968"/>
      <c r="L36" s="968"/>
      <c r="M36" s="968"/>
      <c r="N36" s="968"/>
      <c r="O36" s="968"/>
      <c r="P36" s="968"/>
      <c r="Q36" s="968"/>
      <c r="R36" s="968"/>
      <c r="S36" s="968"/>
      <c r="T36" s="968"/>
      <c r="U36" s="968"/>
      <c r="V36" s="968"/>
      <c r="W36" s="968"/>
      <c r="X36" s="968"/>
    </row>
    <row r="37" spans="1:24" x14ac:dyDescent="0.2">
      <c r="A37" s="953" t="s">
        <v>287</v>
      </c>
      <c r="B37" s="953" t="s">
        <v>760</v>
      </c>
      <c r="C37" s="953" t="s">
        <v>667</v>
      </c>
      <c r="D37" s="953">
        <v>62</v>
      </c>
      <c r="E37" s="1045">
        <v>70.632247360400001</v>
      </c>
      <c r="I37" s="1050" t="s">
        <v>447</v>
      </c>
      <c r="J37" s="1043"/>
      <c r="K37" s="1043"/>
      <c r="L37" s="1043"/>
      <c r="M37" s="1043"/>
      <c r="N37" s="1043"/>
      <c r="O37" s="1043"/>
      <c r="P37" s="1043"/>
      <c r="Q37" s="1043"/>
      <c r="R37" s="1043"/>
      <c r="S37" s="1043">
        <v>80.732249407099999</v>
      </c>
      <c r="T37" s="1043"/>
      <c r="U37" s="1043"/>
      <c r="V37" s="1043"/>
      <c r="W37" s="1043"/>
      <c r="X37" s="1043">
        <v>80.732249407099999</v>
      </c>
    </row>
    <row r="38" spans="1:24" x14ac:dyDescent="0.2">
      <c r="A38" s="953" t="s">
        <v>287</v>
      </c>
      <c r="B38" s="953" t="s">
        <v>760</v>
      </c>
      <c r="C38" s="953" t="s">
        <v>661</v>
      </c>
      <c r="D38" s="953">
        <v>18</v>
      </c>
      <c r="E38" s="1045">
        <v>9.2046508385500001</v>
      </c>
      <c r="I38" s="967" t="s">
        <v>667</v>
      </c>
      <c r="J38" s="968">
        <v>1.13786457124</v>
      </c>
      <c r="K38" s="968"/>
      <c r="L38" s="968"/>
      <c r="M38" s="968"/>
      <c r="N38" s="968"/>
      <c r="O38" s="968"/>
      <c r="P38" s="968"/>
      <c r="Q38" s="968"/>
      <c r="R38" s="968"/>
      <c r="S38" s="968">
        <v>416.99923116799999</v>
      </c>
      <c r="T38" s="968"/>
      <c r="U38" s="968"/>
      <c r="V38" s="968"/>
      <c r="W38" s="968"/>
      <c r="X38" s="968">
        <v>418.13709573924001</v>
      </c>
    </row>
    <row r="39" spans="1:24" x14ac:dyDescent="0.2">
      <c r="A39" s="953" t="s">
        <v>287</v>
      </c>
      <c r="B39" s="953" t="s">
        <v>760</v>
      </c>
      <c r="C39" s="953" t="s">
        <v>14</v>
      </c>
      <c r="D39" s="953">
        <v>3</v>
      </c>
      <c r="E39" s="1045">
        <v>0.30067095629500001</v>
      </c>
      <c r="I39" s="967" t="s">
        <v>661</v>
      </c>
      <c r="J39" s="968">
        <v>0.34979496324499998</v>
      </c>
      <c r="K39" s="968"/>
      <c r="L39" s="968"/>
      <c r="M39" s="968"/>
      <c r="N39" s="968"/>
      <c r="O39" s="968"/>
      <c r="P39" s="968"/>
      <c r="Q39" s="968"/>
      <c r="R39" s="968"/>
      <c r="S39" s="968"/>
      <c r="T39" s="968"/>
      <c r="U39" s="968">
        <v>0.15495837772000001</v>
      </c>
      <c r="V39" s="968"/>
      <c r="W39" s="968"/>
      <c r="X39" s="968">
        <v>0.50475334096500002</v>
      </c>
    </row>
    <row r="40" spans="1:24" x14ac:dyDescent="0.2">
      <c r="A40" s="953" t="s">
        <v>287</v>
      </c>
      <c r="B40" s="953" t="s">
        <v>760</v>
      </c>
      <c r="C40" s="953" t="s">
        <v>665</v>
      </c>
      <c r="D40" s="953">
        <v>7</v>
      </c>
      <c r="E40" s="1045">
        <v>7.1917618498599998</v>
      </c>
      <c r="I40" s="967" t="s">
        <v>443</v>
      </c>
      <c r="J40" s="968"/>
      <c r="K40" s="968"/>
      <c r="L40" s="968"/>
      <c r="M40" s="968"/>
      <c r="N40" s="968"/>
      <c r="O40" s="968"/>
      <c r="P40" s="968"/>
      <c r="Q40" s="968"/>
      <c r="R40" s="968"/>
      <c r="S40" s="968">
        <v>3.1455311818499997E-2</v>
      </c>
      <c r="T40" s="968"/>
      <c r="U40" s="968"/>
      <c r="V40" s="968"/>
      <c r="W40" s="968"/>
      <c r="X40" s="968">
        <v>3.1455311818499997E-2</v>
      </c>
    </row>
    <row r="41" spans="1:24" x14ac:dyDescent="0.2">
      <c r="A41" s="953" t="s">
        <v>287</v>
      </c>
      <c r="B41" s="953" t="s">
        <v>760</v>
      </c>
      <c r="C41" s="953" t="s">
        <v>662</v>
      </c>
      <c r="D41" s="953">
        <v>60</v>
      </c>
      <c r="E41" s="1045">
        <v>24.9420265065</v>
      </c>
      <c r="I41" s="967" t="s">
        <v>662</v>
      </c>
      <c r="J41" s="968">
        <v>2.7320723549800001</v>
      </c>
      <c r="K41" s="968"/>
      <c r="L41" s="968"/>
      <c r="M41" s="968"/>
      <c r="N41" s="968"/>
      <c r="O41" s="968"/>
      <c r="P41" s="968"/>
      <c r="Q41" s="968"/>
      <c r="R41" s="968"/>
      <c r="S41" s="968">
        <v>1.26749612355</v>
      </c>
      <c r="T41" s="968"/>
      <c r="U41" s="968"/>
      <c r="V41" s="968"/>
      <c r="W41" s="968"/>
      <c r="X41" s="968">
        <v>3.9995684785300001</v>
      </c>
    </row>
    <row r="42" spans="1:24" x14ac:dyDescent="0.2">
      <c r="A42" s="953" t="s">
        <v>287</v>
      </c>
      <c r="B42" s="953" t="s">
        <v>760</v>
      </c>
      <c r="C42" s="953" t="s">
        <v>666</v>
      </c>
      <c r="D42" s="953">
        <v>14</v>
      </c>
      <c r="E42" s="1045">
        <v>1.25399676129</v>
      </c>
      <c r="I42" s="967" t="s">
        <v>666</v>
      </c>
      <c r="J42" s="968"/>
      <c r="K42" s="968"/>
      <c r="L42" s="968"/>
      <c r="M42" s="968"/>
      <c r="N42" s="968"/>
      <c r="O42" s="968"/>
      <c r="P42" s="968"/>
      <c r="Q42" s="968"/>
      <c r="R42" s="968"/>
      <c r="S42" s="968">
        <v>8.7208045287800004E-2</v>
      </c>
      <c r="T42" s="968"/>
      <c r="U42" s="968"/>
      <c r="V42" s="968"/>
      <c r="W42" s="968"/>
      <c r="X42" s="968">
        <v>8.7208045287800004E-2</v>
      </c>
    </row>
    <row r="43" spans="1:24" x14ac:dyDescent="0.2">
      <c r="A43" s="953" t="s">
        <v>287</v>
      </c>
      <c r="B43" s="953" t="s">
        <v>760</v>
      </c>
      <c r="C43" s="953" t="s">
        <v>458</v>
      </c>
      <c r="D43" s="953">
        <v>13</v>
      </c>
      <c r="E43" s="1045">
        <v>1.19577964716</v>
      </c>
      <c r="I43" s="967" t="s">
        <v>663</v>
      </c>
      <c r="J43" s="968"/>
      <c r="K43" s="968"/>
      <c r="L43" s="968"/>
      <c r="M43" s="968"/>
      <c r="N43" s="968"/>
      <c r="O43" s="968"/>
      <c r="P43" s="968"/>
      <c r="Q43" s="968"/>
      <c r="R43" s="968"/>
      <c r="S43" s="968">
        <v>2.2926837941299998</v>
      </c>
      <c r="T43" s="968"/>
      <c r="U43" s="968"/>
      <c r="V43" s="968"/>
      <c r="W43" s="968"/>
      <c r="X43" s="968">
        <v>2.2926837941299998</v>
      </c>
    </row>
    <row r="44" spans="1:24" x14ac:dyDescent="0.2">
      <c r="A44" s="953" t="s">
        <v>287</v>
      </c>
      <c r="B44" s="953" t="s">
        <v>760</v>
      </c>
      <c r="C44" s="953" t="s">
        <v>663</v>
      </c>
      <c r="D44" s="953">
        <v>9</v>
      </c>
      <c r="E44" s="1045">
        <v>14.541304869899999</v>
      </c>
      <c r="I44" s="1050" t="s">
        <v>449</v>
      </c>
      <c r="J44" s="1043"/>
      <c r="K44" s="1043"/>
      <c r="L44" s="1043"/>
      <c r="M44" s="1043"/>
      <c r="N44" s="1043"/>
      <c r="O44" s="1043"/>
      <c r="P44" s="1043"/>
      <c r="Q44" s="1043"/>
      <c r="R44" s="1043"/>
      <c r="S44" s="1043">
        <v>5.36947779666</v>
      </c>
      <c r="T44" s="1043"/>
      <c r="U44" s="1043"/>
      <c r="V44" s="1043"/>
      <c r="W44" s="1043"/>
      <c r="X44" s="1043">
        <v>5.36947779666</v>
      </c>
    </row>
    <row r="45" spans="1:24" x14ac:dyDescent="0.2">
      <c r="A45" s="953" t="s">
        <v>287</v>
      </c>
      <c r="B45" s="953" t="s">
        <v>760</v>
      </c>
      <c r="C45" s="953" t="s">
        <v>449</v>
      </c>
      <c r="D45" s="953">
        <v>191</v>
      </c>
      <c r="E45" s="1045">
        <v>676.42295538899998</v>
      </c>
      <c r="I45" s="1050" t="s">
        <v>446</v>
      </c>
      <c r="J45" s="1043">
        <v>0.69296249221200001</v>
      </c>
      <c r="K45" s="1043"/>
      <c r="L45" s="1043"/>
      <c r="M45" s="1043"/>
      <c r="N45" s="1043"/>
      <c r="O45" s="1043"/>
      <c r="P45" s="1043"/>
      <c r="Q45" s="1043"/>
      <c r="R45" s="1043"/>
      <c r="S45" s="1043"/>
      <c r="T45" s="1043"/>
      <c r="U45" s="1043"/>
      <c r="V45" s="1043"/>
      <c r="W45" s="1043"/>
      <c r="X45" s="1043">
        <v>0.69296249221200001</v>
      </c>
    </row>
    <row r="46" spans="1:24" x14ac:dyDescent="0.2">
      <c r="A46" s="953" t="s">
        <v>287</v>
      </c>
      <c r="B46" s="953" t="s">
        <v>760</v>
      </c>
      <c r="C46" s="953" t="s">
        <v>446</v>
      </c>
      <c r="D46" s="953">
        <v>66</v>
      </c>
      <c r="E46" s="1045">
        <v>47.8342670635</v>
      </c>
      <c r="I46" s="1050" t="s">
        <v>448</v>
      </c>
      <c r="J46" s="1043">
        <v>26.558618253100001</v>
      </c>
      <c r="K46" s="1043"/>
      <c r="L46" s="1043"/>
      <c r="M46" s="1043"/>
      <c r="N46" s="1043"/>
      <c r="O46" s="1043"/>
      <c r="P46" s="1043"/>
      <c r="Q46" s="1043"/>
      <c r="R46" s="1043"/>
      <c r="S46" s="1043"/>
      <c r="T46" s="1043"/>
      <c r="U46" s="1043"/>
      <c r="V46" s="1043"/>
      <c r="W46" s="1043"/>
      <c r="X46" s="1043">
        <v>26.558618253100001</v>
      </c>
    </row>
    <row r="47" spans="1:24" x14ac:dyDescent="0.2">
      <c r="A47" s="953" t="s">
        <v>287</v>
      </c>
      <c r="B47" s="953" t="s">
        <v>760</v>
      </c>
      <c r="C47" s="953" t="s">
        <v>448</v>
      </c>
      <c r="D47" s="953">
        <v>8</v>
      </c>
      <c r="E47" s="1045">
        <v>5.08862189236</v>
      </c>
      <c r="I47" s="967" t="s">
        <v>451</v>
      </c>
      <c r="J47" s="968">
        <v>1.84349483028E-2</v>
      </c>
      <c r="K47" s="968"/>
      <c r="L47" s="968"/>
      <c r="M47" s="968"/>
      <c r="N47" s="968"/>
      <c r="O47" s="968"/>
      <c r="P47" s="968"/>
      <c r="Q47" s="968"/>
      <c r="R47" s="968"/>
      <c r="S47" s="968">
        <v>60.514803367100001</v>
      </c>
      <c r="T47" s="968"/>
      <c r="U47" s="968"/>
      <c r="V47" s="968"/>
      <c r="W47" s="968"/>
      <c r="X47" s="968">
        <v>60.533238315402798</v>
      </c>
    </row>
    <row r="48" spans="1:24" x14ac:dyDescent="0.2">
      <c r="A48" s="953" t="s">
        <v>287</v>
      </c>
      <c r="B48" s="953" t="s">
        <v>760</v>
      </c>
      <c r="C48" s="953" t="s">
        <v>451</v>
      </c>
      <c r="D48" s="953">
        <v>7</v>
      </c>
      <c r="E48" s="1045">
        <v>13.09344488</v>
      </c>
      <c r="I48" s="967" t="s">
        <v>452</v>
      </c>
      <c r="J48" s="968">
        <v>2.6483708292700001</v>
      </c>
      <c r="K48" s="968"/>
      <c r="L48" s="968"/>
      <c r="M48" s="968"/>
      <c r="N48" s="968"/>
      <c r="O48" s="968"/>
      <c r="P48" s="968"/>
      <c r="Q48" s="968"/>
      <c r="R48" s="968"/>
      <c r="S48" s="968">
        <v>757.61323873000003</v>
      </c>
      <c r="T48" s="968"/>
      <c r="U48" s="968"/>
      <c r="V48" s="968"/>
      <c r="W48" s="968"/>
      <c r="X48" s="968">
        <v>760.26160955927003</v>
      </c>
    </row>
    <row r="49" spans="1:24" x14ac:dyDescent="0.2">
      <c r="A49" s="953" t="s">
        <v>287</v>
      </c>
      <c r="B49" s="953" t="s">
        <v>760</v>
      </c>
      <c r="C49" s="953" t="s">
        <v>452</v>
      </c>
      <c r="D49" s="953">
        <v>93</v>
      </c>
      <c r="E49" s="1045">
        <v>110.004770298</v>
      </c>
      <c r="I49" s="966" t="s">
        <v>674</v>
      </c>
      <c r="J49" s="968">
        <v>34.138118412349797</v>
      </c>
      <c r="K49" s="968"/>
      <c r="L49" s="968"/>
      <c r="M49" s="968"/>
      <c r="N49" s="968"/>
      <c r="O49" s="968"/>
      <c r="P49" s="968"/>
      <c r="Q49" s="968"/>
      <c r="R49" s="968"/>
      <c r="S49" s="968">
        <v>1324.9078437436465</v>
      </c>
      <c r="T49" s="968"/>
      <c r="U49" s="968">
        <v>0.15495837772000001</v>
      </c>
      <c r="V49" s="968"/>
      <c r="W49" s="968"/>
      <c r="X49" s="968">
        <v>1359.2009205337163</v>
      </c>
    </row>
    <row r="50" spans="1:24" x14ac:dyDescent="0.2">
      <c r="A50" s="953" t="s">
        <v>287</v>
      </c>
      <c r="B50" s="953" t="s">
        <v>761</v>
      </c>
      <c r="C50" s="953" t="s">
        <v>447</v>
      </c>
      <c r="D50" s="953">
        <v>37</v>
      </c>
      <c r="E50" s="1045">
        <v>625.27745652700003</v>
      </c>
      <c r="I50" s="966" t="s">
        <v>40</v>
      </c>
      <c r="J50" s="968"/>
      <c r="K50" s="968"/>
      <c r="L50" s="968"/>
      <c r="M50" s="968"/>
      <c r="N50" s="968"/>
      <c r="O50" s="968"/>
      <c r="P50" s="968"/>
      <c r="Q50" s="968"/>
      <c r="R50" s="968"/>
      <c r="S50" s="968"/>
      <c r="T50" s="968"/>
      <c r="U50" s="968"/>
      <c r="V50" s="968"/>
      <c r="W50" s="968"/>
      <c r="X50" s="968"/>
    </row>
    <row r="51" spans="1:24" x14ac:dyDescent="0.2">
      <c r="A51" s="953" t="s">
        <v>287</v>
      </c>
      <c r="B51" s="953" t="s">
        <v>761</v>
      </c>
      <c r="C51" s="953" t="s">
        <v>712</v>
      </c>
      <c r="D51" s="953">
        <v>3</v>
      </c>
      <c r="E51" s="1045">
        <v>0.84841636956499999</v>
      </c>
      <c r="I51" s="1050" t="s">
        <v>447</v>
      </c>
      <c r="J51" s="1043">
        <v>1.4753328558499999E-2</v>
      </c>
      <c r="K51" s="1043"/>
      <c r="L51" s="1043"/>
      <c r="M51" s="1043"/>
      <c r="N51" s="1043">
        <v>8.8007871670900004E-2</v>
      </c>
      <c r="O51" s="1043">
        <v>21.918900203300002</v>
      </c>
      <c r="P51" s="1043"/>
      <c r="Q51" s="1043"/>
      <c r="R51" s="1043"/>
      <c r="S51" s="1043"/>
      <c r="T51" s="1043"/>
      <c r="U51" s="1043"/>
      <c r="V51" s="1043"/>
      <c r="W51" s="1043"/>
      <c r="X51" s="1043">
        <v>22.0216614035294</v>
      </c>
    </row>
    <row r="52" spans="1:24" x14ac:dyDescent="0.2">
      <c r="A52" s="953" t="s">
        <v>287</v>
      </c>
      <c r="B52" s="953" t="s">
        <v>761</v>
      </c>
      <c r="C52" s="953" t="s">
        <v>667</v>
      </c>
      <c r="D52" s="953">
        <v>22</v>
      </c>
      <c r="E52" s="1045">
        <v>43.160170394200001</v>
      </c>
      <c r="I52" s="967" t="s">
        <v>667</v>
      </c>
      <c r="J52" s="968">
        <v>0.67818832760199999</v>
      </c>
      <c r="K52" s="968"/>
      <c r="L52" s="968"/>
      <c r="M52" s="968"/>
      <c r="N52" s="968"/>
      <c r="O52" s="968">
        <v>1.64390416016</v>
      </c>
      <c r="P52" s="968"/>
      <c r="Q52" s="968"/>
      <c r="R52" s="968"/>
      <c r="S52" s="968">
        <v>51.114794923600002</v>
      </c>
      <c r="T52" s="968"/>
      <c r="U52" s="968">
        <v>6.4308631885300001</v>
      </c>
      <c r="V52" s="968"/>
      <c r="W52" s="968">
        <v>22.411859260300002</v>
      </c>
      <c r="X52" s="968">
        <v>82.279609860191997</v>
      </c>
    </row>
    <row r="53" spans="1:24" x14ac:dyDescent="0.2">
      <c r="A53" s="953" t="s">
        <v>287</v>
      </c>
      <c r="B53" s="953" t="s">
        <v>761</v>
      </c>
      <c r="C53" s="953" t="s">
        <v>661</v>
      </c>
      <c r="D53" s="953">
        <v>4</v>
      </c>
      <c r="E53" s="1045">
        <v>3.62831366196</v>
      </c>
      <c r="I53" s="967" t="s">
        <v>661</v>
      </c>
      <c r="J53" s="968">
        <v>0.18737845338199999</v>
      </c>
      <c r="K53" s="968"/>
      <c r="L53" s="968"/>
      <c r="M53" s="968"/>
      <c r="N53" s="968"/>
      <c r="O53" s="968"/>
      <c r="P53" s="968"/>
      <c r="Q53" s="968"/>
      <c r="R53" s="968"/>
      <c r="S53" s="968"/>
      <c r="T53" s="968"/>
      <c r="U53" s="968"/>
      <c r="V53" s="968"/>
      <c r="W53" s="968"/>
      <c r="X53" s="968">
        <v>0.18737845338199999</v>
      </c>
    </row>
    <row r="54" spans="1:24" x14ac:dyDescent="0.2">
      <c r="A54" s="953" t="s">
        <v>287</v>
      </c>
      <c r="B54" s="953" t="s">
        <v>761</v>
      </c>
      <c r="C54" s="953" t="s">
        <v>443</v>
      </c>
      <c r="D54" s="953">
        <v>1</v>
      </c>
      <c r="E54" s="1045">
        <v>4.3586632704399997E-2</v>
      </c>
      <c r="I54" s="967" t="s">
        <v>14</v>
      </c>
      <c r="J54" s="968">
        <v>1.11989992518E-2</v>
      </c>
      <c r="K54" s="968"/>
      <c r="L54" s="968"/>
      <c r="M54" s="968"/>
      <c r="N54" s="968"/>
      <c r="O54" s="968"/>
      <c r="P54" s="968"/>
      <c r="Q54" s="968"/>
      <c r="R54" s="968"/>
      <c r="S54" s="968"/>
      <c r="T54" s="968"/>
      <c r="U54" s="968"/>
      <c r="V54" s="968"/>
      <c r="W54" s="968"/>
      <c r="X54" s="968">
        <v>1.11989992518E-2</v>
      </c>
    </row>
    <row r="55" spans="1:24" x14ac:dyDescent="0.2">
      <c r="A55" s="953" t="s">
        <v>287</v>
      </c>
      <c r="B55" s="953" t="s">
        <v>761</v>
      </c>
      <c r="C55" s="953" t="s">
        <v>665</v>
      </c>
      <c r="D55" s="953">
        <v>1</v>
      </c>
      <c r="E55" s="1045">
        <v>1.1616058570400001</v>
      </c>
      <c r="I55" s="967" t="s">
        <v>665</v>
      </c>
      <c r="J55" s="968">
        <v>5.3935241451400003E-2</v>
      </c>
      <c r="K55" s="968"/>
      <c r="L55" s="968"/>
      <c r="M55" s="968"/>
      <c r="N55" s="968"/>
      <c r="O55" s="968"/>
      <c r="P55" s="968"/>
      <c r="Q55" s="968"/>
      <c r="R55" s="968"/>
      <c r="S55" s="968"/>
      <c r="T55" s="968"/>
      <c r="U55" s="968">
        <v>1.7989967817200001E-2</v>
      </c>
      <c r="V55" s="968"/>
      <c r="W55" s="968"/>
      <c r="X55" s="968">
        <v>7.1925209268600007E-2</v>
      </c>
    </row>
    <row r="56" spans="1:24" x14ac:dyDescent="0.2">
      <c r="A56" s="953" t="s">
        <v>287</v>
      </c>
      <c r="B56" s="953" t="s">
        <v>761</v>
      </c>
      <c r="C56" s="953" t="s">
        <v>662</v>
      </c>
      <c r="D56" s="953">
        <v>8</v>
      </c>
      <c r="E56" s="1045">
        <v>6.0346430472400003</v>
      </c>
      <c r="I56" s="967" t="s">
        <v>662</v>
      </c>
      <c r="J56" s="968">
        <v>5.2566825456900004</v>
      </c>
      <c r="K56" s="968"/>
      <c r="L56" s="968"/>
      <c r="M56" s="968"/>
      <c r="N56" s="968"/>
      <c r="O56" s="968">
        <v>0.26295851147100002</v>
      </c>
      <c r="P56" s="968"/>
      <c r="Q56" s="968"/>
      <c r="R56" s="968"/>
      <c r="S56" s="968">
        <v>1.11747512598</v>
      </c>
      <c r="T56" s="968"/>
      <c r="U56" s="968"/>
      <c r="V56" s="968"/>
      <c r="W56" s="968">
        <v>0.16324424106400001</v>
      </c>
      <c r="X56" s="968">
        <v>6.8003604242049995</v>
      </c>
    </row>
    <row r="57" spans="1:24" x14ac:dyDescent="0.2">
      <c r="A57" s="953" t="s">
        <v>287</v>
      </c>
      <c r="B57" s="953" t="s">
        <v>761</v>
      </c>
      <c r="C57" s="953" t="s">
        <v>458</v>
      </c>
      <c r="D57" s="953">
        <v>25</v>
      </c>
      <c r="E57" s="1045">
        <v>4.5035026258200004</v>
      </c>
      <c r="I57" s="967" t="s">
        <v>666</v>
      </c>
      <c r="J57" s="968">
        <v>0.81883608103899996</v>
      </c>
      <c r="K57" s="968"/>
      <c r="L57" s="968"/>
      <c r="M57" s="968"/>
      <c r="N57" s="968"/>
      <c r="O57" s="968"/>
      <c r="P57" s="968"/>
      <c r="Q57" s="968"/>
      <c r="R57" s="968"/>
      <c r="S57" s="968"/>
      <c r="T57" s="968"/>
      <c r="U57" s="968"/>
      <c r="V57" s="968"/>
      <c r="W57" s="968">
        <v>1.5614361838099999E-2</v>
      </c>
      <c r="X57" s="968">
        <v>0.83445044287710002</v>
      </c>
    </row>
    <row r="58" spans="1:24" x14ac:dyDescent="0.2">
      <c r="A58" s="953" t="s">
        <v>287</v>
      </c>
      <c r="B58" s="953" t="s">
        <v>761</v>
      </c>
      <c r="C58" s="953" t="s">
        <v>449</v>
      </c>
      <c r="D58" s="953">
        <v>4</v>
      </c>
      <c r="E58" s="1045">
        <v>1.3803560154200001</v>
      </c>
      <c r="I58" s="967" t="s">
        <v>663</v>
      </c>
      <c r="J58" s="968">
        <v>4.8282090701999998</v>
      </c>
      <c r="K58" s="968"/>
      <c r="L58" s="968"/>
      <c r="M58" s="968"/>
      <c r="N58" s="968"/>
      <c r="O58" s="968"/>
      <c r="P58" s="968"/>
      <c r="Q58" s="968"/>
      <c r="R58" s="968"/>
      <c r="S58" s="968"/>
      <c r="T58" s="968"/>
      <c r="U58" s="968"/>
      <c r="V58" s="968"/>
      <c r="W58" s="968">
        <v>141.26725979899999</v>
      </c>
      <c r="X58" s="968">
        <v>146.09546886919998</v>
      </c>
    </row>
    <row r="59" spans="1:24" x14ac:dyDescent="0.2">
      <c r="A59" s="953" t="s">
        <v>287</v>
      </c>
      <c r="B59" s="953" t="s">
        <v>761</v>
      </c>
      <c r="C59" s="953" t="s">
        <v>446</v>
      </c>
      <c r="D59" s="953">
        <v>5</v>
      </c>
      <c r="E59" s="1045">
        <v>1.51028712445</v>
      </c>
      <c r="I59" s="1050" t="s">
        <v>449</v>
      </c>
      <c r="J59" s="1043"/>
      <c r="K59" s="1043"/>
      <c r="L59" s="1043"/>
      <c r="M59" s="1043"/>
      <c r="N59" s="1043"/>
      <c r="O59" s="1043"/>
      <c r="P59" s="1043"/>
      <c r="Q59" s="1043"/>
      <c r="R59" s="1043"/>
      <c r="S59" s="1043"/>
      <c r="T59" s="1043"/>
      <c r="U59" s="1043">
        <v>6.8235259680400002</v>
      </c>
      <c r="V59" s="1043"/>
      <c r="W59" s="1043"/>
      <c r="X59" s="1043">
        <v>6.8235259680400002</v>
      </c>
    </row>
    <row r="60" spans="1:24" x14ac:dyDescent="0.2">
      <c r="A60" s="953" t="s">
        <v>287</v>
      </c>
      <c r="B60" s="953" t="s">
        <v>761</v>
      </c>
      <c r="C60" s="953" t="s">
        <v>451</v>
      </c>
      <c r="D60" s="953">
        <v>11</v>
      </c>
      <c r="E60" s="1045">
        <v>7.1805345866400003</v>
      </c>
      <c r="I60" s="1050" t="s">
        <v>446</v>
      </c>
      <c r="J60" s="1043">
        <v>5.9820901419199997</v>
      </c>
      <c r="K60" s="1043"/>
      <c r="L60" s="1043"/>
      <c r="M60" s="1043"/>
      <c r="N60" s="1043">
        <v>20.6152706367</v>
      </c>
      <c r="O60" s="1043">
        <v>53.927793952999998</v>
      </c>
      <c r="P60" s="1043"/>
      <c r="Q60" s="1043"/>
      <c r="R60" s="1043"/>
      <c r="S60" s="1043"/>
      <c r="T60" s="1043"/>
      <c r="U60" s="1043"/>
      <c r="V60" s="1043"/>
      <c r="W60" s="1043">
        <v>6.8123609794300002</v>
      </c>
      <c r="X60" s="1043">
        <v>87.337515711050003</v>
      </c>
    </row>
    <row r="61" spans="1:24" x14ac:dyDescent="0.2">
      <c r="A61" s="953" t="s">
        <v>287</v>
      </c>
      <c r="B61" s="953" t="s">
        <v>761</v>
      </c>
      <c r="C61" s="953" t="s">
        <v>452</v>
      </c>
      <c r="D61" s="953">
        <v>47</v>
      </c>
      <c r="E61" s="1045">
        <v>119.574355955</v>
      </c>
      <c r="I61" s="1050" t="s">
        <v>448</v>
      </c>
      <c r="J61" s="1043">
        <v>112.56952031900001</v>
      </c>
      <c r="K61" s="1043"/>
      <c r="L61" s="1043"/>
      <c r="M61" s="1043"/>
      <c r="N61" s="1043">
        <v>9.6939909373600006</v>
      </c>
      <c r="O61" s="1043">
        <v>25.6742810362</v>
      </c>
      <c r="P61" s="1043"/>
      <c r="Q61" s="1043"/>
      <c r="R61" s="1043"/>
      <c r="S61" s="1043">
        <v>5.2536279756299997</v>
      </c>
      <c r="T61" s="1043"/>
      <c r="U61" s="1043"/>
      <c r="V61" s="1043"/>
      <c r="W61" s="1043"/>
      <c r="X61" s="1043">
        <v>153.19142026819</v>
      </c>
    </row>
    <row r="62" spans="1:24" x14ac:dyDescent="0.2">
      <c r="A62" s="953" t="s">
        <v>607</v>
      </c>
      <c r="B62" s="953" t="s">
        <v>759</v>
      </c>
      <c r="C62" s="953" t="s">
        <v>447</v>
      </c>
      <c r="D62" s="953">
        <v>17</v>
      </c>
      <c r="E62" s="1045">
        <v>56.595186114299999</v>
      </c>
      <c r="I62" s="967" t="s">
        <v>451</v>
      </c>
      <c r="J62" s="968">
        <v>0.32865744218199999</v>
      </c>
      <c r="K62" s="968"/>
      <c r="L62" s="968"/>
      <c r="M62" s="968"/>
      <c r="N62" s="968"/>
      <c r="O62" s="968">
        <v>18.066203960399999</v>
      </c>
      <c r="P62" s="968"/>
      <c r="Q62" s="968"/>
      <c r="R62" s="968"/>
      <c r="S62" s="968"/>
      <c r="T62" s="968"/>
      <c r="U62" s="968"/>
      <c r="V62" s="968"/>
      <c r="W62" s="968">
        <v>0.80550256822999999</v>
      </c>
      <c r="X62" s="968">
        <v>19.200363970811999</v>
      </c>
    </row>
    <row r="63" spans="1:24" x14ac:dyDescent="0.2">
      <c r="A63" s="953" t="s">
        <v>607</v>
      </c>
      <c r="B63" s="953" t="s">
        <v>759</v>
      </c>
      <c r="C63" s="953" t="s">
        <v>667</v>
      </c>
      <c r="D63" s="953">
        <v>4</v>
      </c>
      <c r="E63" s="1045">
        <v>0.86137938510099998</v>
      </c>
      <c r="I63" s="967" t="s">
        <v>452</v>
      </c>
      <c r="J63" s="968">
        <v>0.60339408782500004</v>
      </c>
      <c r="K63" s="968"/>
      <c r="L63" s="968"/>
      <c r="M63" s="968"/>
      <c r="N63" s="968"/>
      <c r="O63" s="968">
        <v>25.6226415559</v>
      </c>
      <c r="P63" s="968"/>
      <c r="Q63" s="968"/>
      <c r="R63" s="968"/>
      <c r="S63" s="968">
        <v>28.366846401099998</v>
      </c>
      <c r="T63" s="968"/>
      <c r="U63" s="968">
        <v>2.0993047110599998</v>
      </c>
      <c r="V63" s="968"/>
      <c r="W63" s="968">
        <v>55.608849104199997</v>
      </c>
      <c r="X63" s="968">
        <v>112.30103586008499</v>
      </c>
    </row>
    <row r="64" spans="1:24" x14ac:dyDescent="0.2">
      <c r="A64" s="953" t="s">
        <v>607</v>
      </c>
      <c r="B64" s="953" t="s">
        <v>759</v>
      </c>
      <c r="C64" s="953" t="s">
        <v>665</v>
      </c>
      <c r="D64" s="953">
        <v>1</v>
      </c>
      <c r="E64" s="1045">
        <v>6.8680090533999996E-2</v>
      </c>
      <c r="I64" s="967" t="s">
        <v>829</v>
      </c>
      <c r="J64" s="968">
        <v>2.5855996722000001E-3</v>
      </c>
      <c r="K64" s="968"/>
      <c r="L64" s="968"/>
      <c r="M64" s="968"/>
      <c r="N64" s="968"/>
      <c r="O64" s="968"/>
      <c r="P64" s="968"/>
      <c r="Q64" s="968"/>
      <c r="R64" s="968"/>
      <c r="S64" s="968"/>
      <c r="T64" s="968"/>
      <c r="U64" s="968">
        <v>4.3215442834699998E-4</v>
      </c>
      <c r="V64" s="968"/>
      <c r="W64" s="968"/>
      <c r="X64" s="968">
        <v>3.0177541005470001E-3</v>
      </c>
    </row>
    <row r="65" spans="1:24" x14ac:dyDescent="0.2">
      <c r="A65" s="953" t="s">
        <v>607</v>
      </c>
      <c r="B65" s="953" t="s">
        <v>759</v>
      </c>
      <c r="C65" s="953" t="s">
        <v>662</v>
      </c>
      <c r="D65" s="953">
        <v>25</v>
      </c>
      <c r="E65" s="1045">
        <v>3.74280129968</v>
      </c>
      <c r="I65" s="966" t="s">
        <v>675</v>
      </c>
      <c r="J65" s="968">
        <v>131.33542963777387</v>
      </c>
      <c r="K65" s="968"/>
      <c r="L65" s="968"/>
      <c r="M65" s="968"/>
      <c r="N65" s="968">
        <v>30.397269445730899</v>
      </c>
      <c r="O65" s="968">
        <v>147.116683380431</v>
      </c>
      <c r="P65" s="968"/>
      <c r="Q65" s="968"/>
      <c r="R65" s="968"/>
      <c r="S65" s="968">
        <v>85.852744426310011</v>
      </c>
      <c r="T65" s="968"/>
      <c r="U65" s="968">
        <v>15.372115989875548</v>
      </c>
      <c r="V65" s="968"/>
      <c r="W65" s="968">
        <v>227.08469031406207</v>
      </c>
      <c r="X65" s="968">
        <v>637.15893319418342</v>
      </c>
    </row>
    <row r="66" spans="1:24" x14ac:dyDescent="0.2">
      <c r="A66" s="953" t="s">
        <v>607</v>
      </c>
      <c r="B66" s="953" t="s">
        <v>759</v>
      </c>
      <c r="C66" s="953" t="s">
        <v>449</v>
      </c>
      <c r="D66" s="953">
        <v>11</v>
      </c>
      <c r="E66" s="1045">
        <v>5.0104234194500004</v>
      </c>
      <c r="I66" s="966" t="s">
        <v>609</v>
      </c>
      <c r="J66" s="968"/>
      <c r="K66" s="968"/>
      <c r="L66" s="968"/>
      <c r="M66" s="968"/>
      <c r="N66" s="968"/>
      <c r="O66" s="968"/>
      <c r="P66" s="968"/>
      <c r="Q66" s="968"/>
      <c r="R66" s="968"/>
      <c r="S66" s="968"/>
      <c r="T66" s="968"/>
      <c r="U66" s="968"/>
      <c r="V66" s="968"/>
      <c r="W66" s="968"/>
      <c r="X66" s="968"/>
    </row>
    <row r="67" spans="1:24" x14ac:dyDescent="0.2">
      <c r="A67" s="953" t="s">
        <v>607</v>
      </c>
      <c r="B67" s="953" t="s">
        <v>759</v>
      </c>
      <c r="C67" s="953" t="s">
        <v>446</v>
      </c>
      <c r="D67" s="953">
        <v>11</v>
      </c>
      <c r="E67" s="1045">
        <v>11.8274188993</v>
      </c>
      <c r="I67" s="1050" t="s">
        <v>447</v>
      </c>
      <c r="J67" s="1043">
        <v>10.289250559199999</v>
      </c>
      <c r="K67" s="1043"/>
      <c r="L67" s="1043"/>
      <c r="M67" s="1043"/>
      <c r="N67" s="1043"/>
      <c r="O67" s="1043">
        <v>22.288104644200001</v>
      </c>
      <c r="P67" s="1043"/>
      <c r="Q67" s="1043"/>
      <c r="R67" s="1043"/>
      <c r="S67" s="1043">
        <v>45.7482303934</v>
      </c>
      <c r="T67" s="1043"/>
      <c r="U67" s="1043"/>
      <c r="V67" s="1043"/>
      <c r="W67" s="1043"/>
      <c r="X67" s="1043">
        <v>78.325585596800011</v>
      </c>
    </row>
    <row r="68" spans="1:24" x14ac:dyDescent="0.2">
      <c r="A68" s="953" t="s">
        <v>607</v>
      </c>
      <c r="B68" s="953" t="s">
        <v>759</v>
      </c>
      <c r="C68" s="953" t="s">
        <v>448</v>
      </c>
      <c r="D68" s="953">
        <v>33</v>
      </c>
      <c r="E68" s="1045">
        <v>235.90055736799999</v>
      </c>
      <c r="I68" s="967" t="s">
        <v>667</v>
      </c>
      <c r="J68" s="968">
        <v>1473.30728821</v>
      </c>
      <c r="K68" s="968"/>
      <c r="L68" s="968"/>
      <c r="M68" s="968"/>
      <c r="N68" s="968"/>
      <c r="O68" s="968">
        <v>237.16372918600001</v>
      </c>
      <c r="P68" s="968"/>
      <c r="Q68" s="968"/>
      <c r="R68" s="968"/>
      <c r="S68" s="968">
        <v>80.956604075100003</v>
      </c>
      <c r="T68" s="968"/>
      <c r="U68" s="968"/>
      <c r="V68" s="968"/>
      <c r="W68" s="968"/>
      <c r="X68" s="968">
        <v>1791.4276214710999</v>
      </c>
    </row>
    <row r="69" spans="1:24" x14ac:dyDescent="0.2">
      <c r="A69" s="953" t="s">
        <v>607</v>
      </c>
      <c r="B69" s="953" t="s">
        <v>759</v>
      </c>
      <c r="C69" s="953" t="s">
        <v>451</v>
      </c>
      <c r="D69" s="953">
        <v>7</v>
      </c>
      <c r="E69" s="1045">
        <v>8.0974548367599999E-2</v>
      </c>
      <c r="I69" s="967" t="s">
        <v>662</v>
      </c>
      <c r="J69" s="968">
        <v>4.9607714462899999</v>
      </c>
      <c r="K69" s="968"/>
      <c r="L69" s="968"/>
      <c r="M69" s="968"/>
      <c r="N69" s="968"/>
      <c r="O69" s="968">
        <v>3.9658441409299998</v>
      </c>
      <c r="P69" s="968"/>
      <c r="Q69" s="968"/>
      <c r="R69" s="968"/>
      <c r="S69" s="968">
        <v>3.42648814474</v>
      </c>
      <c r="T69" s="968"/>
      <c r="U69" s="968"/>
      <c r="V69" s="968"/>
      <c r="W69" s="968"/>
      <c r="X69" s="968">
        <v>12.353103731959999</v>
      </c>
    </row>
    <row r="70" spans="1:24" x14ac:dyDescent="0.2">
      <c r="A70" s="953" t="s">
        <v>607</v>
      </c>
      <c r="B70" s="953" t="s">
        <v>759</v>
      </c>
      <c r="C70" s="953" t="s">
        <v>452</v>
      </c>
      <c r="D70" s="953">
        <v>20</v>
      </c>
      <c r="E70" s="1045">
        <v>38.1247923468</v>
      </c>
      <c r="I70" s="967" t="s">
        <v>444</v>
      </c>
      <c r="J70" s="968"/>
      <c r="K70" s="968"/>
      <c r="L70" s="968"/>
      <c r="M70" s="968"/>
      <c r="N70" s="968"/>
      <c r="O70" s="968"/>
      <c r="P70" s="968"/>
      <c r="Q70" s="968"/>
      <c r="R70" s="968"/>
      <c r="S70" s="968">
        <v>4.4127211529399997E-4</v>
      </c>
      <c r="T70" s="968"/>
      <c r="U70" s="968"/>
      <c r="V70" s="968"/>
      <c r="W70" s="968"/>
      <c r="X70" s="968">
        <v>4.4127211529399997E-4</v>
      </c>
    </row>
    <row r="71" spans="1:24" x14ac:dyDescent="0.2">
      <c r="A71" s="953" t="s">
        <v>607</v>
      </c>
      <c r="B71" s="953" t="s">
        <v>763</v>
      </c>
      <c r="C71" s="953" t="s">
        <v>667</v>
      </c>
      <c r="D71" s="953">
        <v>12</v>
      </c>
      <c r="E71" s="1045">
        <v>11.0244529684</v>
      </c>
      <c r="I71" s="967" t="s">
        <v>663</v>
      </c>
      <c r="J71" s="968">
        <v>77.172314695500006</v>
      </c>
      <c r="K71" s="968"/>
      <c r="L71" s="968"/>
      <c r="M71" s="968"/>
      <c r="N71" s="968"/>
      <c r="O71" s="968"/>
      <c r="P71" s="968"/>
      <c r="Q71" s="968"/>
      <c r="R71" s="968"/>
      <c r="S71" s="968"/>
      <c r="T71" s="968"/>
      <c r="U71" s="968"/>
      <c r="V71" s="968"/>
      <c r="W71" s="968"/>
      <c r="X71" s="968">
        <v>77.172314695500006</v>
      </c>
    </row>
    <row r="72" spans="1:24" x14ac:dyDescent="0.2">
      <c r="A72" s="953" t="s">
        <v>607</v>
      </c>
      <c r="B72" s="953" t="s">
        <v>763</v>
      </c>
      <c r="C72" s="953" t="s">
        <v>662</v>
      </c>
      <c r="D72" s="953">
        <v>1</v>
      </c>
      <c r="E72" s="1045">
        <v>0.29997298676599998</v>
      </c>
      <c r="I72" s="1050" t="s">
        <v>449</v>
      </c>
      <c r="J72" s="1043">
        <v>45.602679751300002</v>
      </c>
      <c r="K72" s="1043"/>
      <c r="L72" s="1043"/>
      <c r="M72" s="1043"/>
      <c r="N72" s="1043"/>
      <c r="O72" s="1043"/>
      <c r="P72" s="1043"/>
      <c r="Q72" s="1043"/>
      <c r="R72" s="1043"/>
      <c r="S72" s="1043"/>
      <c r="T72" s="1043"/>
      <c r="U72" s="1043"/>
      <c r="V72" s="1043"/>
      <c r="W72" s="1043"/>
      <c r="X72" s="1043">
        <v>45.602679751300002</v>
      </c>
    </row>
    <row r="73" spans="1:24" x14ac:dyDescent="0.2">
      <c r="A73" s="953" t="s">
        <v>607</v>
      </c>
      <c r="B73" s="953" t="s">
        <v>760</v>
      </c>
      <c r="C73" s="953" t="s">
        <v>447</v>
      </c>
      <c r="D73" s="953">
        <v>9</v>
      </c>
      <c r="E73" s="1045">
        <v>35.743885495999997</v>
      </c>
      <c r="I73" s="1050" t="s">
        <v>446</v>
      </c>
      <c r="J73" s="1043">
        <v>0.29648520609399998</v>
      </c>
      <c r="K73" s="1043"/>
      <c r="L73" s="1043"/>
      <c r="M73" s="1043"/>
      <c r="N73" s="1043"/>
      <c r="O73" s="1043">
        <v>229.75413556300001</v>
      </c>
      <c r="P73" s="1043"/>
      <c r="Q73" s="1043"/>
      <c r="R73" s="1043"/>
      <c r="S73" s="1043">
        <v>155.56077950299999</v>
      </c>
      <c r="T73" s="1043"/>
      <c r="U73" s="1043"/>
      <c r="V73" s="1043"/>
      <c r="W73" s="1043"/>
      <c r="X73" s="1043">
        <v>385.61140027209399</v>
      </c>
    </row>
    <row r="74" spans="1:24" x14ac:dyDescent="0.2">
      <c r="A74" s="953" t="s">
        <v>607</v>
      </c>
      <c r="B74" s="953" t="s">
        <v>760</v>
      </c>
      <c r="C74" s="953" t="s">
        <v>667</v>
      </c>
      <c r="D74" s="953">
        <v>17</v>
      </c>
      <c r="E74" s="1045">
        <v>28.6882980309</v>
      </c>
      <c r="I74" s="1050" t="s">
        <v>448</v>
      </c>
      <c r="J74" s="1043">
        <v>11.0799635498</v>
      </c>
      <c r="K74" s="1043"/>
      <c r="L74" s="1043"/>
      <c r="M74" s="1043"/>
      <c r="N74" s="1043"/>
      <c r="O74" s="1043"/>
      <c r="P74" s="1043"/>
      <c r="Q74" s="1043"/>
      <c r="R74" s="1043"/>
      <c r="S74" s="1043"/>
      <c r="T74" s="1043"/>
      <c r="U74" s="1043"/>
      <c r="V74" s="1043"/>
      <c r="W74" s="1043"/>
      <c r="X74" s="1043">
        <v>11.0799635498</v>
      </c>
    </row>
    <row r="75" spans="1:24" x14ac:dyDescent="0.2">
      <c r="A75" s="953" t="s">
        <v>607</v>
      </c>
      <c r="B75" s="953" t="s">
        <v>760</v>
      </c>
      <c r="C75" s="953" t="s">
        <v>662</v>
      </c>
      <c r="D75" s="953">
        <v>11</v>
      </c>
      <c r="E75" s="1045">
        <v>15.6099201891</v>
      </c>
      <c r="I75" s="967" t="s">
        <v>451</v>
      </c>
      <c r="J75" s="968">
        <v>18.883063484800001</v>
      </c>
      <c r="K75" s="968"/>
      <c r="L75" s="968"/>
      <c r="M75" s="968"/>
      <c r="N75" s="968"/>
      <c r="O75" s="968">
        <v>6.5043069133699998</v>
      </c>
      <c r="P75" s="968"/>
      <c r="Q75" s="968"/>
      <c r="R75" s="968"/>
      <c r="S75" s="968"/>
      <c r="T75" s="968"/>
      <c r="U75" s="968"/>
      <c r="V75" s="968"/>
      <c r="W75" s="968"/>
      <c r="X75" s="968">
        <v>25.387370398169999</v>
      </c>
    </row>
    <row r="76" spans="1:24" x14ac:dyDescent="0.2">
      <c r="A76" s="953" t="s">
        <v>607</v>
      </c>
      <c r="B76" s="953" t="s">
        <v>760</v>
      </c>
      <c r="C76" s="953" t="s">
        <v>666</v>
      </c>
      <c r="D76" s="953">
        <v>4</v>
      </c>
      <c r="E76" s="1045">
        <v>0.198542250373</v>
      </c>
      <c r="I76" s="967" t="s">
        <v>452</v>
      </c>
      <c r="J76" s="968">
        <v>798.60326603800002</v>
      </c>
      <c r="K76" s="968"/>
      <c r="L76" s="968"/>
      <c r="M76" s="968"/>
      <c r="N76" s="968"/>
      <c r="O76" s="968">
        <v>35.607611411500002</v>
      </c>
      <c r="P76" s="968"/>
      <c r="Q76" s="968"/>
      <c r="R76" s="968"/>
      <c r="S76" s="968">
        <v>3.2844038712299999</v>
      </c>
      <c r="T76" s="968"/>
      <c r="U76" s="968"/>
      <c r="V76" s="968"/>
      <c r="W76" s="968"/>
      <c r="X76" s="968">
        <v>837.49528132072999</v>
      </c>
    </row>
    <row r="77" spans="1:24" x14ac:dyDescent="0.2">
      <c r="A77" s="953" t="s">
        <v>607</v>
      </c>
      <c r="B77" s="953" t="s">
        <v>760</v>
      </c>
      <c r="C77" s="953" t="s">
        <v>458</v>
      </c>
      <c r="D77" s="953">
        <v>15</v>
      </c>
      <c r="E77" s="1045">
        <v>4.8862614505900002</v>
      </c>
      <c r="I77" s="966" t="s">
        <v>676</v>
      </c>
      <c r="J77" s="968">
        <v>2440.1950829409839</v>
      </c>
      <c r="K77" s="968"/>
      <c r="L77" s="968"/>
      <c r="M77" s="968"/>
      <c r="N77" s="968"/>
      <c r="O77" s="968">
        <v>535.283731859</v>
      </c>
      <c r="P77" s="968"/>
      <c r="Q77" s="968"/>
      <c r="R77" s="968"/>
      <c r="S77" s="968">
        <v>288.97694725958524</v>
      </c>
      <c r="T77" s="968"/>
      <c r="U77" s="968"/>
      <c r="V77" s="968"/>
      <c r="W77" s="968"/>
      <c r="X77" s="968">
        <v>3264.4557620595692</v>
      </c>
    </row>
    <row r="78" spans="1:24" x14ac:dyDescent="0.2">
      <c r="A78" s="953" t="s">
        <v>607</v>
      </c>
      <c r="B78" s="953" t="s">
        <v>760</v>
      </c>
      <c r="C78" s="953" t="s">
        <v>449</v>
      </c>
      <c r="D78" s="953">
        <v>24</v>
      </c>
      <c r="E78" s="1045">
        <v>45.312181416400001</v>
      </c>
      <c r="I78" s="966" t="s">
        <v>610</v>
      </c>
      <c r="J78" s="968"/>
      <c r="K78" s="968"/>
      <c r="L78" s="968"/>
      <c r="M78" s="968"/>
      <c r="N78" s="968"/>
      <c r="O78" s="968"/>
      <c r="P78" s="968"/>
      <c r="Q78" s="968"/>
      <c r="R78" s="968"/>
      <c r="S78" s="968"/>
      <c r="T78" s="968"/>
      <c r="U78" s="968"/>
      <c r="V78" s="968"/>
      <c r="W78" s="968"/>
      <c r="X78" s="968"/>
    </row>
    <row r="79" spans="1:24" x14ac:dyDescent="0.2">
      <c r="A79" s="953" t="s">
        <v>607</v>
      </c>
      <c r="B79" s="953" t="s">
        <v>760</v>
      </c>
      <c r="C79" s="953" t="s">
        <v>446</v>
      </c>
      <c r="D79" s="953">
        <v>9</v>
      </c>
      <c r="E79" s="1045">
        <v>1.3471931641499999</v>
      </c>
      <c r="I79" s="1050" t="s">
        <v>447</v>
      </c>
      <c r="J79" s="1043">
        <v>18.469700120799999</v>
      </c>
      <c r="K79" s="1043"/>
      <c r="L79" s="1043"/>
      <c r="M79" s="1043"/>
      <c r="N79" s="1043"/>
      <c r="O79" s="1043">
        <v>2.7334278595999999</v>
      </c>
      <c r="P79" s="1043"/>
      <c r="Q79" s="1043"/>
      <c r="R79" s="1043"/>
      <c r="S79" s="1043"/>
      <c r="T79" s="1043"/>
      <c r="U79" s="1043"/>
      <c r="V79" s="1043"/>
      <c r="W79" s="1043"/>
      <c r="X79" s="1043">
        <v>21.203127980399998</v>
      </c>
    </row>
    <row r="80" spans="1:24" x14ac:dyDescent="0.2">
      <c r="A80" s="953" t="s">
        <v>607</v>
      </c>
      <c r="B80" s="953" t="s">
        <v>760</v>
      </c>
      <c r="C80" s="953" t="s">
        <v>448</v>
      </c>
      <c r="D80" s="953">
        <v>10</v>
      </c>
      <c r="E80" s="1045">
        <v>45.787849700999999</v>
      </c>
      <c r="I80" s="967" t="s">
        <v>667</v>
      </c>
      <c r="J80" s="968">
        <v>3.3242561997400002</v>
      </c>
      <c r="K80" s="968"/>
      <c r="L80" s="968"/>
      <c r="M80" s="968"/>
      <c r="N80" s="968"/>
      <c r="O80" s="968">
        <v>3.3177912605</v>
      </c>
      <c r="P80" s="968"/>
      <c r="Q80" s="968"/>
      <c r="R80" s="968"/>
      <c r="S80" s="968">
        <v>3.4310144678299999</v>
      </c>
      <c r="T80" s="968"/>
      <c r="U80" s="968"/>
      <c r="V80" s="968"/>
      <c r="W80" s="968"/>
      <c r="X80" s="968">
        <v>10.07306192807</v>
      </c>
    </row>
    <row r="81" spans="1:24" x14ac:dyDescent="0.2">
      <c r="A81" s="953" t="s">
        <v>607</v>
      </c>
      <c r="B81" s="953" t="s">
        <v>760</v>
      </c>
      <c r="C81" s="953" t="s">
        <v>451</v>
      </c>
      <c r="D81" s="953">
        <v>3</v>
      </c>
      <c r="E81" s="1045">
        <v>1.10114732369</v>
      </c>
      <c r="I81" s="967" t="s">
        <v>661</v>
      </c>
      <c r="J81" s="968">
        <v>2.4931498662499999E-2</v>
      </c>
      <c r="K81" s="968"/>
      <c r="L81" s="968"/>
      <c r="M81" s="968"/>
      <c r="N81" s="968"/>
      <c r="O81" s="968"/>
      <c r="P81" s="968"/>
      <c r="Q81" s="968"/>
      <c r="R81" s="968"/>
      <c r="S81" s="968"/>
      <c r="T81" s="968"/>
      <c r="U81" s="968"/>
      <c r="V81" s="968"/>
      <c r="W81" s="968"/>
      <c r="X81" s="968">
        <v>2.4931498662499999E-2</v>
      </c>
    </row>
    <row r="82" spans="1:24" x14ac:dyDescent="0.2">
      <c r="A82" s="953" t="s">
        <v>607</v>
      </c>
      <c r="B82" s="953" t="s">
        <v>760</v>
      </c>
      <c r="C82" s="953" t="s">
        <v>452</v>
      </c>
      <c r="D82" s="953">
        <v>13</v>
      </c>
      <c r="E82" s="1045">
        <v>10.896917864400001</v>
      </c>
      <c r="I82" s="967" t="s">
        <v>14</v>
      </c>
      <c r="J82" s="968">
        <v>0.80261430573299997</v>
      </c>
      <c r="K82" s="968"/>
      <c r="L82" s="968"/>
      <c r="M82" s="968"/>
      <c r="N82" s="968"/>
      <c r="O82" s="968"/>
      <c r="P82" s="968"/>
      <c r="Q82" s="968"/>
      <c r="R82" s="968"/>
      <c r="S82" s="968"/>
      <c r="T82" s="968"/>
      <c r="U82" s="968"/>
      <c r="V82" s="968"/>
      <c r="W82" s="968"/>
      <c r="X82" s="968">
        <v>0.80261430573299997</v>
      </c>
    </row>
    <row r="83" spans="1:24" x14ac:dyDescent="0.2">
      <c r="A83" s="953" t="s">
        <v>607</v>
      </c>
      <c r="B83" s="953" t="s">
        <v>761</v>
      </c>
      <c r="C83" s="953" t="s">
        <v>447</v>
      </c>
      <c r="D83" s="953">
        <v>10</v>
      </c>
      <c r="E83" s="1045">
        <v>105.6844815</v>
      </c>
      <c r="I83" s="967" t="s">
        <v>665</v>
      </c>
      <c r="J83" s="968">
        <v>0.14858295510700001</v>
      </c>
      <c r="K83" s="968"/>
      <c r="L83" s="968"/>
      <c r="M83" s="968"/>
      <c r="N83" s="968"/>
      <c r="O83" s="968"/>
      <c r="P83" s="968"/>
      <c r="Q83" s="968"/>
      <c r="R83" s="968"/>
      <c r="S83" s="968"/>
      <c r="T83" s="968"/>
      <c r="U83" s="968"/>
      <c r="V83" s="968"/>
      <c r="W83" s="968"/>
      <c r="X83" s="968">
        <v>0.14858295510700001</v>
      </c>
    </row>
    <row r="84" spans="1:24" x14ac:dyDescent="0.2">
      <c r="A84" s="953" t="s">
        <v>607</v>
      </c>
      <c r="B84" s="953" t="s">
        <v>761</v>
      </c>
      <c r="C84" s="953" t="s">
        <v>667</v>
      </c>
      <c r="D84" s="953">
        <v>1</v>
      </c>
      <c r="E84" s="1045">
        <v>0.14094307603799999</v>
      </c>
      <c r="I84" s="967" t="s">
        <v>662</v>
      </c>
      <c r="J84" s="968">
        <v>5.1066033656199998</v>
      </c>
      <c r="K84" s="968"/>
      <c r="L84" s="968"/>
      <c r="M84" s="968"/>
      <c r="N84" s="968"/>
      <c r="O84" s="968"/>
      <c r="P84" s="968"/>
      <c r="Q84" s="968"/>
      <c r="R84" s="968"/>
      <c r="S84" s="968">
        <v>7.48367137652E-2</v>
      </c>
      <c r="T84" s="968"/>
      <c r="U84" s="968"/>
      <c r="V84" s="968"/>
      <c r="W84" s="968"/>
      <c r="X84" s="968">
        <v>5.1814400793852</v>
      </c>
    </row>
    <row r="85" spans="1:24" x14ac:dyDescent="0.2">
      <c r="A85" s="953" t="s">
        <v>607</v>
      </c>
      <c r="B85" s="953" t="s">
        <v>761</v>
      </c>
      <c r="C85" s="953" t="s">
        <v>443</v>
      </c>
      <c r="D85" s="953">
        <v>3</v>
      </c>
      <c r="E85" s="1045">
        <v>8.6200190503399998</v>
      </c>
      <c r="I85" s="1050" t="s">
        <v>449</v>
      </c>
      <c r="J85" s="1043">
        <v>0.25920822775000002</v>
      </c>
      <c r="K85" s="1043"/>
      <c r="L85" s="1043"/>
      <c r="M85" s="1043"/>
      <c r="N85" s="1043"/>
      <c r="O85" s="1043"/>
      <c r="P85" s="1043"/>
      <c r="Q85" s="1043"/>
      <c r="R85" s="1043"/>
      <c r="S85" s="1043"/>
      <c r="T85" s="1043"/>
      <c r="U85" s="1043"/>
      <c r="V85" s="1043"/>
      <c r="W85" s="1043"/>
      <c r="X85" s="1043">
        <v>0.25920822775000002</v>
      </c>
    </row>
    <row r="86" spans="1:24" x14ac:dyDescent="0.2">
      <c r="A86" s="953" t="s">
        <v>607</v>
      </c>
      <c r="B86" s="953" t="s">
        <v>761</v>
      </c>
      <c r="C86" s="953" t="s">
        <v>662</v>
      </c>
      <c r="D86" s="953">
        <v>3</v>
      </c>
      <c r="E86" s="1045">
        <v>1.0189981343600001</v>
      </c>
      <c r="I86" s="1050" t="s">
        <v>446</v>
      </c>
      <c r="J86" s="1043">
        <v>65.402483179399994</v>
      </c>
      <c r="K86" s="1043"/>
      <c r="L86" s="1043"/>
      <c r="M86" s="1043"/>
      <c r="N86" s="1043"/>
      <c r="O86" s="1043">
        <v>5.43792982144</v>
      </c>
      <c r="P86" s="1043"/>
      <c r="Q86" s="1043"/>
      <c r="R86" s="1043"/>
      <c r="S86" s="1043"/>
      <c r="T86" s="1043"/>
      <c r="U86" s="1043"/>
      <c r="V86" s="1043"/>
      <c r="W86" s="1043"/>
      <c r="X86" s="1043">
        <v>70.840413000839987</v>
      </c>
    </row>
    <row r="87" spans="1:24" x14ac:dyDescent="0.2">
      <c r="A87" s="953" t="s">
        <v>607</v>
      </c>
      <c r="B87" s="953" t="s">
        <v>761</v>
      </c>
      <c r="C87" s="953" t="s">
        <v>449</v>
      </c>
      <c r="D87" s="953">
        <v>2</v>
      </c>
      <c r="E87" s="1045">
        <v>6.5705551804499995E-2</v>
      </c>
      <c r="I87" s="967" t="s">
        <v>664</v>
      </c>
      <c r="J87" s="968"/>
      <c r="K87" s="968"/>
      <c r="L87" s="968"/>
      <c r="M87" s="968"/>
      <c r="N87" s="968"/>
      <c r="O87" s="968">
        <v>30.4298786781</v>
      </c>
      <c r="P87" s="968"/>
      <c r="Q87" s="968"/>
      <c r="R87" s="968"/>
      <c r="S87" s="968"/>
      <c r="T87" s="968"/>
      <c r="U87" s="968"/>
      <c r="V87" s="968"/>
      <c r="W87" s="968"/>
      <c r="X87" s="968">
        <v>30.4298786781</v>
      </c>
    </row>
    <row r="88" spans="1:24" x14ac:dyDescent="0.2">
      <c r="A88" s="953" t="s">
        <v>607</v>
      </c>
      <c r="B88" s="953" t="s">
        <v>761</v>
      </c>
      <c r="C88" s="953" t="s">
        <v>446</v>
      </c>
      <c r="D88" s="953">
        <v>11</v>
      </c>
      <c r="E88" s="1045">
        <v>8.6651711903800006</v>
      </c>
      <c r="I88" s="1050" t="s">
        <v>448</v>
      </c>
      <c r="J88" s="1043">
        <v>507.81807278600002</v>
      </c>
      <c r="K88" s="1043"/>
      <c r="L88" s="1043"/>
      <c r="M88" s="1043"/>
      <c r="N88" s="1043"/>
      <c r="O88" s="1043">
        <v>0.40391760623700002</v>
      </c>
      <c r="P88" s="1043"/>
      <c r="Q88" s="1043"/>
      <c r="R88" s="1043"/>
      <c r="S88" s="1043"/>
      <c r="T88" s="1043"/>
      <c r="U88" s="1043"/>
      <c r="V88" s="1043"/>
      <c r="W88" s="1043"/>
      <c r="X88" s="1043">
        <v>508.22199039223699</v>
      </c>
    </row>
    <row r="89" spans="1:24" x14ac:dyDescent="0.2">
      <c r="A89" s="953" t="s">
        <v>607</v>
      </c>
      <c r="B89" s="953" t="s">
        <v>761</v>
      </c>
      <c r="C89" s="953" t="s">
        <v>451</v>
      </c>
      <c r="D89" s="953">
        <v>4</v>
      </c>
      <c r="E89" s="1045">
        <v>2.2546357919800002</v>
      </c>
      <c r="I89" s="967" t="s">
        <v>451</v>
      </c>
      <c r="J89" s="968">
        <v>3.3121718916199998</v>
      </c>
      <c r="K89" s="968"/>
      <c r="L89" s="968"/>
      <c r="M89" s="968"/>
      <c r="N89" s="968"/>
      <c r="O89" s="968"/>
      <c r="P89" s="968"/>
      <c r="Q89" s="968"/>
      <c r="R89" s="968"/>
      <c r="S89" s="968"/>
      <c r="T89" s="968"/>
      <c r="U89" s="968"/>
      <c r="V89" s="968"/>
      <c r="W89" s="968"/>
      <c r="X89" s="968">
        <v>3.3121718916199998</v>
      </c>
    </row>
    <row r="90" spans="1:24" x14ac:dyDescent="0.2">
      <c r="A90" s="953" t="s">
        <v>607</v>
      </c>
      <c r="B90" s="953" t="s">
        <v>761</v>
      </c>
      <c r="C90" s="953" t="s">
        <v>452</v>
      </c>
      <c r="D90" s="953">
        <v>3</v>
      </c>
      <c r="E90" s="1045">
        <v>6.64430622266</v>
      </c>
      <c r="I90" s="967" t="s">
        <v>452</v>
      </c>
      <c r="J90" s="968">
        <v>79.231770620899994</v>
      </c>
      <c r="K90" s="968"/>
      <c r="L90" s="968"/>
      <c r="M90" s="968"/>
      <c r="N90" s="968"/>
      <c r="O90" s="968">
        <v>15.8401741817</v>
      </c>
      <c r="P90" s="968"/>
      <c r="Q90" s="968"/>
      <c r="R90" s="968"/>
      <c r="S90" s="968">
        <v>0.33054512172299999</v>
      </c>
      <c r="T90" s="968"/>
      <c r="U90" s="968"/>
      <c r="V90" s="968"/>
      <c r="W90" s="968"/>
      <c r="X90" s="968">
        <v>95.402489924323007</v>
      </c>
    </row>
    <row r="91" spans="1:24" x14ac:dyDescent="0.2">
      <c r="A91" s="953" t="s">
        <v>607</v>
      </c>
      <c r="B91" s="953" t="s">
        <v>762</v>
      </c>
      <c r="C91" s="953" t="s">
        <v>447</v>
      </c>
      <c r="D91" s="953">
        <v>13</v>
      </c>
      <c r="E91" s="1045">
        <v>49.498619638599997</v>
      </c>
      <c r="I91" s="966" t="s">
        <v>677</v>
      </c>
      <c r="J91" s="968">
        <v>683.90039515133242</v>
      </c>
      <c r="K91" s="968"/>
      <c r="L91" s="968"/>
      <c r="M91" s="968"/>
      <c r="N91" s="968"/>
      <c r="O91" s="968">
        <v>58.163119407577</v>
      </c>
      <c r="P91" s="968"/>
      <c r="Q91" s="968"/>
      <c r="R91" s="968"/>
      <c r="S91" s="968">
        <v>3.8363963033182</v>
      </c>
      <c r="T91" s="968"/>
      <c r="U91" s="968"/>
      <c r="V91" s="968"/>
      <c r="W91" s="968"/>
      <c r="X91" s="968">
        <v>745.89991086222778</v>
      </c>
    </row>
    <row r="92" spans="1:24" x14ac:dyDescent="0.2">
      <c r="A92" s="953" t="s">
        <v>607</v>
      </c>
      <c r="B92" s="953" t="s">
        <v>762</v>
      </c>
      <c r="C92" s="953" t="s">
        <v>667</v>
      </c>
      <c r="D92" s="953">
        <v>13</v>
      </c>
      <c r="E92" s="1045">
        <v>55.095972366300003</v>
      </c>
      <c r="I92" s="966" t="s">
        <v>643</v>
      </c>
      <c r="J92" s="968"/>
      <c r="K92" s="968"/>
      <c r="L92" s="968"/>
      <c r="M92" s="968"/>
      <c r="N92" s="968"/>
      <c r="O92" s="968"/>
      <c r="P92" s="968"/>
      <c r="Q92" s="968"/>
      <c r="R92" s="968"/>
      <c r="S92" s="968"/>
      <c r="T92" s="968"/>
      <c r="U92" s="968"/>
      <c r="V92" s="968"/>
      <c r="W92" s="968"/>
      <c r="X92" s="968"/>
    </row>
    <row r="93" spans="1:24" x14ac:dyDescent="0.2">
      <c r="A93" s="953" t="s">
        <v>607</v>
      </c>
      <c r="B93" s="953" t="s">
        <v>762</v>
      </c>
      <c r="C93" s="953" t="s">
        <v>662</v>
      </c>
      <c r="D93" s="953">
        <v>1</v>
      </c>
      <c r="E93" s="1045">
        <v>2.61757896106E-3</v>
      </c>
      <c r="I93" s="967" t="s">
        <v>667</v>
      </c>
      <c r="J93" s="968">
        <v>6.4816490514199998</v>
      </c>
      <c r="K93" s="968"/>
      <c r="L93" s="968"/>
      <c r="M93" s="968"/>
      <c r="N93" s="968"/>
      <c r="O93" s="968"/>
      <c r="P93" s="968"/>
      <c r="Q93" s="968"/>
      <c r="R93" s="968"/>
      <c r="S93" s="968"/>
      <c r="T93" s="968"/>
      <c r="U93" s="968">
        <v>53.284947886700003</v>
      </c>
      <c r="V93" s="968"/>
      <c r="W93" s="968"/>
      <c r="X93" s="968">
        <v>59.766596938120003</v>
      </c>
    </row>
    <row r="94" spans="1:24" x14ac:dyDescent="0.2">
      <c r="A94" s="953" t="s">
        <v>607</v>
      </c>
      <c r="B94" s="953" t="s">
        <v>762</v>
      </c>
      <c r="C94" s="953" t="s">
        <v>458</v>
      </c>
      <c r="D94" s="953">
        <v>82</v>
      </c>
      <c r="E94" s="1045">
        <v>403.95278347599998</v>
      </c>
      <c r="I94" s="967" t="s">
        <v>662</v>
      </c>
      <c r="J94" s="968">
        <v>2.4498517419499999</v>
      </c>
      <c r="K94" s="968"/>
      <c r="L94" s="968"/>
      <c r="M94" s="968"/>
      <c r="N94" s="968"/>
      <c r="O94" s="968"/>
      <c r="P94" s="968"/>
      <c r="Q94" s="968"/>
      <c r="R94" s="968"/>
      <c r="S94" s="968"/>
      <c r="T94" s="968"/>
      <c r="U94" s="968">
        <v>5.1428561250999998</v>
      </c>
      <c r="V94" s="968"/>
      <c r="W94" s="968"/>
      <c r="X94" s="968">
        <v>7.5927078670499997</v>
      </c>
    </row>
    <row r="95" spans="1:24" x14ac:dyDescent="0.2">
      <c r="A95" s="953" t="s">
        <v>607</v>
      </c>
      <c r="B95" s="953" t="s">
        <v>762</v>
      </c>
      <c r="C95" s="953" t="s">
        <v>449</v>
      </c>
      <c r="D95" s="953">
        <v>1</v>
      </c>
      <c r="E95" s="1045">
        <v>0.141144529538</v>
      </c>
      <c r="I95" s="967" t="s">
        <v>666</v>
      </c>
      <c r="J95" s="968">
        <v>1.14197814878</v>
      </c>
      <c r="K95" s="968"/>
      <c r="L95" s="968"/>
      <c r="M95" s="968"/>
      <c r="N95" s="968"/>
      <c r="O95" s="968"/>
      <c r="P95" s="968"/>
      <c r="Q95" s="968"/>
      <c r="R95" s="968"/>
      <c r="S95" s="968"/>
      <c r="T95" s="968"/>
      <c r="U95" s="968"/>
      <c r="V95" s="968"/>
      <c r="W95" s="968"/>
      <c r="X95" s="968">
        <v>1.14197814878</v>
      </c>
    </row>
    <row r="96" spans="1:24" x14ac:dyDescent="0.2">
      <c r="A96" s="953" t="s">
        <v>607</v>
      </c>
      <c r="B96" s="953" t="s">
        <v>762</v>
      </c>
      <c r="C96" s="953" t="s">
        <v>446</v>
      </c>
      <c r="D96" s="953">
        <v>7</v>
      </c>
      <c r="E96" s="1045">
        <v>2.1035975311100001</v>
      </c>
      <c r="I96" s="967" t="s">
        <v>663</v>
      </c>
      <c r="J96" s="968">
        <v>7.6949711894599995E-2</v>
      </c>
      <c r="K96" s="968"/>
      <c r="L96" s="968"/>
      <c r="M96" s="968"/>
      <c r="N96" s="968"/>
      <c r="O96" s="968"/>
      <c r="P96" s="968"/>
      <c r="Q96" s="968"/>
      <c r="R96" s="968"/>
      <c r="S96" s="968"/>
      <c r="T96" s="968"/>
      <c r="U96" s="968"/>
      <c r="V96" s="968"/>
      <c r="W96" s="968"/>
      <c r="X96" s="968">
        <v>7.6949711894599995E-2</v>
      </c>
    </row>
    <row r="97" spans="1:24" x14ac:dyDescent="0.2">
      <c r="A97" s="953" t="s">
        <v>607</v>
      </c>
      <c r="B97" s="953" t="s">
        <v>762</v>
      </c>
      <c r="C97" s="953" t="s">
        <v>452</v>
      </c>
      <c r="D97" s="953">
        <v>13</v>
      </c>
      <c r="E97" s="1045">
        <v>8.7079556133199993</v>
      </c>
      <c r="I97" s="1050" t="s">
        <v>449</v>
      </c>
      <c r="J97" s="1043">
        <v>0.1502943649</v>
      </c>
      <c r="K97" s="1043"/>
      <c r="L97" s="1043"/>
      <c r="M97" s="1043"/>
      <c r="N97" s="1043"/>
      <c r="O97" s="1043"/>
      <c r="P97" s="1043"/>
      <c r="Q97" s="1043"/>
      <c r="R97" s="1043"/>
      <c r="S97" s="1043"/>
      <c r="T97" s="1043"/>
      <c r="U97" s="1043">
        <v>74.795139605399996</v>
      </c>
      <c r="V97" s="1043"/>
      <c r="W97" s="1043"/>
      <c r="X97" s="1043">
        <v>74.945433970300002</v>
      </c>
    </row>
    <row r="98" spans="1:24" x14ac:dyDescent="0.2">
      <c r="A98" s="953" t="s">
        <v>608</v>
      </c>
      <c r="B98" s="953" t="s">
        <v>759</v>
      </c>
      <c r="C98" s="953" t="s">
        <v>667</v>
      </c>
      <c r="D98" s="953">
        <v>1</v>
      </c>
      <c r="E98" s="1045">
        <v>1.13786457124</v>
      </c>
      <c r="I98" s="1050" t="s">
        <v>446</v>
      </c>
      <c r="J98" s="1043">
        <v>3.5999970192899999</v>
      </c>
      <c r="K98" s="1043"/>
      <c r="L98" s="1043"/>
      <c r="M98" s="1043"/>
      <c r="N98" s="1043"/>
      <c r="O98" s="1043"/>
      <c r="P98" s="1043"/>
      <c r="Q98" s="1043"/>
      <c r="R98" s="1043"/>
      <c r="S98" s="1043"/>
      <c r="T98" s="1043"/>
      <c r="U98" s="1043">
        <v>5.1046277708799996</v>
      </c>
      <c r="V98" s="1043"/>
      <c r="W98" s="1043"/>
      <c r="X98" s="1043">
        <v>8.7046247901699996</v>
      </c>
    </row>
    <row r="99" spans="1:24" x14ac:dyDescent="0.2">
      <c r="A99" s="953" t="s">
        <v>608</v>
      </c>
      <c r="B99" s="953" t="s">
        <v>759</v>
      </c>
      <c r="C99" s="953" t="s">
        <v>661</v>
      </c>
      <c r="D99" s="953">
        <v>2</v>
      </c>
      <c r="E99" s="1045">
        <v>0.34979496324499998</v>
      </c>
      <c r="I99" s="1050" t="s">
        <v>448</v>
      </c>
      <c r="J99" s="1043">
        <v>256.57843070799998</v>
      </c>
      <c r="K99" s="1043"/>
      <c r="L99" s="1043"/>
      <c r="M99" s="1043"/>
      <c r="N99" s="1043"/>
      <c r="O99" s="1043"/>
      <c r="P99" s="1043"/>
      <c r="Q99" s="1043"/>
      <c r="R99" s="1043"/>
      <c r="S99" s="1043"/>
      <c r="T99" s="1043"/>
      <c r="U99" s="1043">
        <v>1.0286769525699999</v>
      </c>
      <c r="V99" s="1043"/>
      <c r="W99" s="1043"/>
      <c r="X99" s="1043">
        <v>257.60710766056997</v>
      </c>
    </row>
    <row r="100" spans="1:24" x14ac:dyDescent="0.2">
      <c r="A100" s="953" t="s">
        <v>608</v>
      </c>
      <c r="B100" s="953" t="s">
        <v>759</v>
      </c>
      <c r="C100" s="953" t="s">
        <v>662</v>
      </c>
      <c r="D100" s="953">
        <v>7</v>
      </c>
      <c r="E100" s="1045">
        <v>2.7320723549800001</v>
      </c>
      <c r="I100" s="967" t="s">
        <v>451</v>
      </c>
      <c r="J100" s="968">
        <v>1.5572220225599999E-3</v>
      </c>
      <c r="K100" s="968"/>
      <c r="L100" s="968"/>
      <c r="M100" s="968"/>
      <c r="N100" s="968"/>
      <c r="O100" s="968"/>
      <c r="P100" s="968"/>
      <c r="Q100" s="968"/>
      <c r="R100" s="968"/>
      <c r="S100" s="968"/>
      <c r="T100" s="968"/>
      <c r="U100" s="968">
        <v>3.5055631736000001</v>
      </c>
      <c r="V100" s="968"/>
      <c r="W100" s="968"/>
      <c r="X100" s="968">
        <v>3.5071203956225601</v>
      </c>
    </row>
    <row r="101" spans="1:24" x14ac:dyDescent="0.2">
      <c r="A101" s="953" t="s">
        <v>608</v>
      </c>
      <c r="B101" s="953" t="s">
        <v>759</v>
      </c>
      <c r="C101" s="953" t="s">
        <v>446</v>
      </c>
      <c r="D101" s="953">
        <v>2</v>
      </c>
      <c r="E101" s="1045">
        <v>0.69296249221200001</v>
      </c>
      <c r="I101" s="967" t="s">
        <v>452</v>
      </c>
      <c r="J101" s="968">
        <v>83.991190133499998</v>
      </c>
      <c r="K101" s="968"/>
      <c r="L101" s="968"/>
      <c r="M101" s="968"/>
      <c r="N101" s="968"/>
      <c r="O101" s="968"/>
      <c r="P101" s="968"/>
      <c r="Q101" s="968"/>
      <c r="R101" s="968"/>
      <c r="S101" s="968"/>
      <c r="T101" s="968"/>
      <c r="U101" s="968">
        <v>32.233668292899999</v>
      </c>
      <c r="V101" s="968"/>
      <c r="W101" s="968"/>
      <c r="X101" s="968">
        <v>116.2248584264</v>
      </c>
    </row>
    <row r="102" spans="1:24" x14ac:dyDescent="0.2">
      <c r="A102" s="953" t="s">
        <v>608</v>
      </c>
      <c r="B102" s="953" t="s">
        <v>759</v>
      </c>
      <c r="C102" s="953" t="s">
        <v>448</v>
      </c>
      <c r="D102" s="953">
        <v>3</v>
      </c>
      <c r="E102" s="1045">
        <v>26.558618253100001</v>
      </c>
      <c r="I102" s="966" t="s">
        <v>678</v>
      </c>
      <c r="J102" s="968">
        <v>354.47189810175712</v>
      </c>
      <c r="K102" s="968"/>
      <c r="L102" s="968"/>
      <c r="M102" s="968"/>
      <c r="N102" s="968"/>
      <c r="O102" s="968"/>
      <c r="P102" s="968"/>
      <c r="Q102" s="968"/>
      <c r="R102" s="968"/>
      <c r="S102" s="968"/>
      <c r="T102" s="968"/>
      <c r="U102" s="968">
        <v>175.09547980715001</v>
      </c>
      <c r="V102" s="968"/>
      <c r="W102" s="968"/>
      <c r="X102" s="968">
        <v>529.56737790890713</v>
      </c>
    </row>
    <row r="103" spans="1:24" x14ac:dyDescent="0.2">
      <c r="A103" s="953" t="s">
        <v>608</v>
      </c>
      <c r="B103" s="953" t="s">
        <v>759</v>
      </c>
      <c r="C103" s="953" t="s">
        <v>451</v>
      </c>
      <c r="D103" s="953">
        <v>1</v>
      </c>
      <c r="E103" s="1045">
        <v>1.84349483028E-2</v>
      </c>
      <c r="I103" s="966" t="s">
        <v>813</v>
      </c>
      <c r="J103" s="968"/>
      <c r="K103" s="968"/>
      <c r="L103" s="968"/>
      <c r="M103" s="968"/>
      <c r="N103" s="968"/>
      <c r="O103" s="968"/>
      <c r="P103" s="968"/>
      <c r="Q103" s="968"/>
      <c r="R103" s="968"/>
      <c r="S103" s="968"/>
      <c r="T103" s="968"/>
      <c r="U103" s="968"/>
      <c r="V103" s="968"/>
      <c r="W103" s="968"/>
      <c r="X103" s="968"/>
    </row>
    <row r="104" spans="1:24" x14ac:dyDescent="0.2">
      <c r="A104" s="953" t="s">
        <v>608</v>
      </c>
      <c r="B104" s="953" t="s">
        <v>759</v>
      </c>
      <c r="C104" s="953" t="s">
        <v>452</v>
      </c>
      <c r="D104" s="953">
        <v>2</v>
      </c>
      <c r="E104" s="1045">
        <v>2.6483708292700001</v>
      </c>
      <c r="I104" s="1050" t="s">
        <v>447</v>
      </c>
      <c r="J104" s="1043">
        <v>85.298983523900006</v>
      </c>
      <c r="K104" s="1043"/>
      <c r="L104" s="1043"/>
      <c r="M104" s="1043"/>
      <c r="N104" s="1043"/>
      <c r="O104" s="1043">
        <v>128.15511992</v>
      </c>
      <c r="P104" s="1043"/>
      <c r="Q104" s="1043"/>
      <c r="R104" s="1043"/>
      <c r="S104" s="1043">
        <v>56.112367299399999</v>
      </c>
      <c r="T104" s="1043"/>
      <c r="U104" s="1043">
        <v>0.43323458216600003</v>
      </c>
      <c r="V104" s="1043"/>
      <c r="W104" s="1043"/>
      <c r="X104" s="1043">
        <v>269.99970532546598</v>
      </c>
    </row>
    <row r="105" spans="1:24" x14ac:dyDescent="0.2">
      <c r="A105" s="953" t="s">
        <v>608</v>
      </c>
      <c r="B105" s="953" t="s">
        <v>763</v>
      </c>
      <c r="C105" s="953" t="s">
        <v>447</v>
      </c>
      <c r="D105" s="953">
        <v>10</v>
      </c>
      <c r="E105" s="1045">
        <v>80.732249407099999</v>
      </c>
      <c r="I105" s="1050" t="s">
        <v>712</v>
      </c>
      <c r="J105" s="1043"/>
      <c r="K105" s="1043"/>
      <c r="L105" s="1043"/>
      <c r="M105" s="1043"/>
      <c r="N105" s="1043"/>
      <c r="O105" s="1043">
        <v>4.2994983893100001</v>
      </c>
      <c r="P105" s="1043"/>
      <c r="Q105" s="1043"/>
      <c r="R105" s="1043"/>
      <c r="S105" s="1043"/>
      <c r="T105" s="1043"/>
      <c r="U105" s="1043"/>
      <c r="V105" s="1043"/>
      <c r="W105" s="1043"/>
      <c r="X105" s="1043">
        <v>4.2994983893100001</v>
      </c>
    </row>
    <row r="106" spans="1:24" x14ac:dyDescent="0.2">
      <c r="A106" s="953" t="s">
        <v>608</v>
      </c>
      <c r="B106" s="953" t="s">
        <v>763</v>
      </c>
      <c r="C106" s="953" t="s">
        <v>667</v>
      </c>
      <c r="D106" s="953">
        <v>52</v>
      </c>
      <c r="E106" s="1045">
        <v>416.99923116799999</v>
      </c>
      <c r="I106" s="967" t="s">
        <v>667</v>
      </c>
      <c r="J106" s="968">
        <v>295.75535249199999</v>
      </c>
      <c r="K106" s="968"/>
      <c r="L106" s="968"/>
      <c r="M106" s="968">
        <v>4.5459815324900003E-2</v>
      </c>
      <c r="N106" s="968"/>
      <c r="O106" s="968">
        <v>143.86199971299999</v>
      </c>
      <c r="P106" s="968"/>
      <c r="Q106" s="968"/>
      <c r="R106" s="968">
        <v>0.60660520713599997</v>
      </c>
      <c r="S106" s="968">
        <v>118.87804549099999</v>
      </c>
      <c r="T106" s="968"/>
      <c r="U106" s="968">
        <v>34.419989902600001</v>
      </c>
      <c r="V106" s="968"/>
      <c r="W106" s="968"/>
      <c r="X106" s="968">
        <v>593.56745262106085</v>
      </c>
    </row>
    <row r="107" spans="1:24" x14ac:dyDescent="0.2">
      <c r="A107" s="953" t="s">
        <v>608</v>
      </c>
      <c r="B107" s="953" t="s">
        <v>763</v>
      </c>
      <c r="C107" s="953" t="s">
        <v>443</v>
      </c>
      <c r="D107" s="953">
        <v>1</v>
      </c>
      <c r="E107" s="1045">
        <v>3.1455311818499997E-2</v>
      </c>
      <c r="I107" s="967" t="s">
        <v>661</v>
      </c>
      <c r="J107" s="968">
        <v>8.7569276787299994</v>
      </c>
      <c r="K107" s="968"/>
      <c r="L107" s="968"/>
      <c r="M107" s="968"/>
      <c r="N107" s="968"/>
      <c r="O107" s="968">
        <v>1.4018671642599999E-2</v>
      </c>
      <c r="P107" s="968"/>
      <c r="Q107" s="968"/>
      <c r="R107" s="968"/>
      <c r="S107" s="968">
        <v>4.7922135492100004E-3</v>
      </c>
      <c r="T107" s="968"/>
      <c r="U107" s="968"/>
      <c r="V107" s="968"/>
      <c r="W107" s="968"/>
      <c r="X107" s="968">
        <v>8.7757385639218093</v>
      </c>
    </row>
    <row r="108" spans="1:24" x14ac:dyDescent="0.2">
      <c r="A108" s="953" t="s">
        <v>608</v>
      </c>
      <c r="B108" s="953" t="s">
        <v>763</v>
      </c>
      <c r="C108" s="953" t="s">
        <v>662</v>
      </c>
      <c r="D108" s="953">
        <v>6</v>
      </c>
      <c r="E108" s="1045">
        <v>1.26749612355</v>
      </c>
      <c r="I108" s="967" t="s">
        <v>14</v>
      </c>
      <c r="J108" s="968">
        <v>0.16828364258199999</v>
      </c>
      <c r="K108" s="968"/>
      <c r="L108" s="968"/>
      <c r="M108" s="968"/>
      <c r="N108" s="968"/>
      <c r="O108" s="968"/>
      <c r="P108" s="968"/>
      <c r="Q108" s="968"/>
      <c r="R108" s="968"/>
      <c r="S108" s="968"/>
      <c r="T108" s="968"/>
      <c r="U108" s="968">
        <v>0.86827133676299995</v>
      </c>
      <c r="V108" s="968"/>
      <c r="W108" s="968"/>
      <c r="X108" s="968">
        <v>1.036554979345</v>
      </c>
    </row>
    <row r="109" spans="1:24" x14ac:dyDescent="0.2">
      <c r="A109" s="953" t="s">
        <v>608</v>
      </c>
      <c r="B109" s="953" t="s">
        <v>763</v>
      </c>
      <c r="C109" s="953" t="s">
        <v>666</v>
      </c>
      <c r="D109" s="953">
        <v>2</v>
      </c>
      <c r="E109" s="1045">
        <v>8.7208045287800004E-2</v>
      </c>
      <c r="I109" s="967" t="s">
        <v>443</v>
      </c>
      <c r="J109" s="968">
        <v>3.6914341028100002</v>
      </c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>
        <v>8.9999571478899991</v>
      </c>
      <c r="V109" s="968"/>
      <c r="W109" s="968"/>
      <c r="X109" s="968">
        <v>12.691391250699999</v>
      </c>
    </row>
    <row r="110" spans="1:24" x14ac:dyDescent="0.2">
      <c r="A110" s="953" t="s">
        <v>608</v>
      </c>
      <c r="B110" s="953" t="s">
        <v>763</v>
      </c>
      <c r="C110" s="953" t="s">
        <v>663</v>
      </c>
      <c r="D110" s="953">
        <v>3</v>
      </c>
      <c r="E110" s="1045">
        <v>2.2926837941299998</v>
      </c>
      <c r="I110" s="967" t="s">
        <v>665</v>
      </c>
      <c r="J110" s="968">
        <v>0.93562575460499997</v>
      </c>
      <c r="K110" s="968"/>
      <c r="L110" s="968"/>
      <c r="M110" s="968"/>
      <c r="N110" s="968"/>
      <c r="O110" s="968">
        <v>0.16542022306199999</v>
      </c>
      <c r="P110" s="968"/>
      <c r="Q110" s="968"/>
      <c r="R110" s="968"/>
      <c r="S110" s="968">
        <v>9.87952815469</v>
      </c>
      <c r="T110" s="968"/>
      <c r="U110" s="968">
        <v>0.92202777306700001</v>
      </c>
      <c r="V110" s="968"/>
      <c r="W110" s="968"/>
      <c r="X110" s="968">
        <v>11.902601905424</v>
      </c>
    </row>
    <row r="111" spans="1:24" x14ac:dyDescent="0.2">
      <c r="A111" s="953" t="s">
        <v>608</v>
      </c>
      <c r="B111" s="953" t="s">
        <v>763</v>
      </c>
      <c r="C111" s="953" t="s">
        <v>449</v>
      </c>
      <c r="D111" s="953">
        <v>2</v>
      </c>
      <c r="E111" s="1045">
        <v>5.36947779666</v>
      </c>
      <c r="I111" s="967" t="s">
        <v>662</v>
      </c>
      <c r="J111" s="968">
        <v>41.2159972989</v>
      </c>
      <c r="K111" s="968"/>
      <c r="L111" s="968"/>
      <c r="M111" s="968"/>
      <c r="N111" s="968"/>
      <c r="O111" s="968">
        <v>20.645760202200002</v>
      </c>
      <c r="P111" s="968"/>
      <c r="Q111" s="968"/>
      <c r="R111" s="968">
        <v>2.3345641347000002E-3</v>
      </c>
      <c r="S111" s="968">
        <v>12.9083634171</v>
      </c>
      <c r="T111" s="968"/>
      <c r="U111" s="968">
        <v>11.0636586662</v>
      </c>
      <c r="V111" s="968"/>
      <c r="W111" s="968"/>
      <c r="X111" s="968">
        <v>85.836114148534705</v>
      </c>
    </row>
    <row r="112" spans="1:24" x14ac:dyDescent="0.2">
      <c r="A112" s="953" t="s">
        <v>608</v>
      </c>
      <c r="B112" s="953" t="s">
        <v>763</v>
      </c>
      <c r="C112" s="953" t="s">
        <v>451</v>
      </c>
      <c r="D112" s="953">
        <v>10</v>
      </c>
      <c r="E112" s="1045">
        <v>60.514803367100001</v>
      </c>
      <c r="I112" s="967" t="s">
        <v>666</v>
      </c>
      <c r="J112" s="968">
        <v>5.2882620817600001</v>
      </c>
      <c r="K112" s="968"/>
      <c r="L112" s="968"/>
      <c r="M112" s="968"/>
      <c r="N112" s="968"/>
      <c r="O112" s="968"/>
      <c r="P112" s="968"/>
      <c r="Q112" s="968"/>
      <c r="R112" s="968"/>
      <c r="S112" s="968"/>
      <c r="T112" s="968"/>
      <c r="U112" s="968">
        <v>1.32502765278</v>
      </c>
      <c r="V112" s="968"/>
      <c r="W112" s="968"/>
      <c r="X112" s="968">
        <v>6.6132897345400004</v>
      </c>
    </row>
    <row r="113" spans="1:24" x14ac:dyDescent="0.2">
      <c r="A113" s="953" t="s">
        <v>608</v>
      </c>
      <c r="B113" s="953" t="s">
        <v>763</v>
      </c>
      <c r="C113" s="953" t="s">
        <v>452</v>
      </c>
      <c r="D113" s="953">
        <v>73</v>
      </c>
      <c r="E113" s="1045">
        <v>757.61323873000003</v>
      </c>
      <c r="I113" s="967" t="s">
        <v>444</v>
      </c>
      <c r="J113" s="968">
        <v>16.7576244985</v>
      </c>
      <c r="K113" s="968"/>
      <c r="L113" s="968"/>
      <c r="M113" s="968"/>
      <c r="N113" s="968"/>
      <c r="O113" s="968">
        <v>17.9043075869</v>
      </c>
      <c r="P113" s="968"/>
      <c r="Q113" s="968"/>
      <c r="R113" s="968"/>
      <c r="S113" s="968">
        <v>0.66030595204999998</v>
      </c>
      <c r="T113" s="968"/>
      <c r="U113" s="968"/>
      <c r="V113" s="968"/>
      <c r="W113" s="968"/>
      <c r="X113" s="968">
        <v>35.322238037449999</v>
      </c>
    </row>
    <row r="114" spans="1:24" x14ac:dyDescent="0.2">
      <c r="A114" s="953" t="s">
        <v>608</v>
      </c>
      <c r="B114" s="953" t="s">
        <v>760</v>
      </c>
      <c r="C114" s="953" t="s">
        <v>661</v>
      </c>
      <c r="D114" s="953">
        <v>1</v>
      </c>
      <c r="E114" s="1045">
        <v>0.15495837772000001</v>
      </c>
      <c r="I114" s="967" t="s">
        <v>663</v>
      </c>
      <c r="J114" s="968">
        <v>49.046325019199998</v>
      </c>
      <c r="K114" s="968"/>
      <c r="L114" s="968"/>
      <c r="M114" s="968"/>
      <c r="N114" s="968"/>
      <c r="O114" s="968">
        <v>1.0494346409099999</v>
      </c>
      <c r="P114" s="968"/>
      <c r="Q114" s="968"/>
      <c r="R114" s="968"/>
      <c r="S114" s="968">
        <v>1.0195313289300001</v>
      </c>
      <c r="T114" s="968"/>
      <c r="U114" s="968">
        <v>3.9375550004800002</v>
      </c>
      <c r="V114" s="968"/>
      <c r="W114" s="968"/>
      <c r="X114" s="968">
        <v>55.052845989520002</v>
      </c>
    </row>
    <row r="115" spans="1:24" x14ac:dyDescent="0.2">
      <c r="A115" s="953" t="s">
        <v>40</v>
      </c>
      <c r="B115" s="953" t="s">
        <v>759</v>
      </c>
      <c r="C115" s="953"/>
      <c r="D115" s="953">
        <v>2</v>
      </c>
      <c r="E115" s="1045">
        <v>2.5855996722000001E-3</v>
      </c>
      <c r="I115" s="1050" t="s">
        <v>449</v>
      </c>
      <c r="J115" s="1043">
        <v>0.93214517314199996</v>
      </c>
      <c r="K115" s="1043"/>
      <c r="L115" s="1043"/>
      <c r="M115" s="1043"/>
      <c r="N115" s="1043"/>
      <c r="O115" s="1043">
        <v>1.0017813290499999</v>
      </c>
      <c r="P115" s="1043"/>
      <c r="Q115" s="1043"/>
      <c r="R115" s="1043"/>
      <c r="S115" s="1043">
        <v>94.495654286700002</v>
      </c>
      <c r="T115" s="1043"/>
      <c r="U115" s="1043">
        <v>466.58094627999998</v>
      </c>
      <c r="V115" s="1043"/>
      <c r="W115" s="1043"/>
      <c r="X115" s="1043">
        <v>563.01052706889197</v>
      </c>
    </row>
    <row r="116" spans="1:24" x14ac:dyDescent="0.2">
      <c r="A116" s="953" t="s">
        <v>40</v>
      </c>
      <c r="B116" s="953" t="s">
        <v>759</v>
      </c>
      <c r="C116" s="953" t="s">
        <v>447</v>
      </c>
      <c r="D116" s="953">
        <v>3</v>
      </c>
      <c r="E116" s="1045">
        <v>1.4753328558499999E-2</v>
      </c>
      <c r="I116" s="1050" t="s">
        <v>446</v>
      </c>
      <c r="J116" s="1043">
        <v>83.680043600000005</v>
      </c>
      <c r="K116" s="1043"/>
      <c r="L116" s="1043"/>
      <c r="M116" s="1043"/>
      <c r="N116" s="1043"/>
      <c r="O116" s="1043">
        <v>751.47488102299997</v>
      </c>
      <c r="P116" s="1043"/>
      <c r="Q116" s="1043"/>
      <c r="R116" s="1043">
        <v>23.267453640199999</v>
      </c>
      <c r="S116" s="1043">
        <v>127.75013409</v>
      </c>
      <c r="T116" s="1043"/>
      <c r="U116" s="1043">
        <v>43.373030336200003</v>
      </c>
      <c r="V116" s="1043"/>
      <c r="W116" s="1043"/>
      <c r="X116" s="1043">
        <v>1029.5455426893998</v>
      </c>
    </row>
    <row r="117" spans="1:24" x14ac:dyDescent="0.2">
      <c r="A117" s="953" t="s">
        <v>40</v>
      </c>
      <c r="B117" s="953" t="s">
        <v>759</v>
      </c>
      <c r="C117" s="953" t="s">
        <v>667</v>
      </c>
      <c r="D117" s="953">
        <v>4</v>
      </c>
      <c r="E117" s="1045">
        <v>0.67818832760199999</v>
      </c>
      <c r="I117" s="1050" t="s">
        <v>448</v>
      </c>
      <c r="J117" s="1043">
        <v>1417.91758336</v>
      </c>
      <c r="K117" s="1043"/>
      <c r="L117" s="1043"/>
      <c r="M117" s="1043">
        <v>4.1314898824600004</v>
      </c>
      <c r="N117" s="1043"/>
      <c r="O117" s="1043">
        <v>391.04929107100003</v>
      </c>
      <c r="P117" s="1043"/>
      <c r="Q117" s="1043"/>
      <c r="R117" s="1043"/>
      <c r="S117" s="1043">
        <v>104.248148343</v>
      </c>
      <c r="T117" s="1043"/>
      <c r="U117" s="1043">
        <v>88.468515750600005</v>
      </c>
      <c r="V117" s="1043"/>
      <c r="W117" s="1043"/>
      <c r="X117" s="1043">
        <v>2005.81502840706</v>
      </c>
    </row>
    <row r="118" spans="1:24" x14ac:dyDescent="0.2">
      <c r="A118" s="953" t="s">
        <v>40</v>
      </c>
      <c r="B118" s="953" t="s">
        <v>759</v>
      </c>
      <c r="C118" s="953" t="s">
        <v>661</v>
      </c>
      <c r="D118" s="953">
        <v>4</v>
      </c>
      <c r="E118" s="1045">
        <v>0.18737845338199999</v>
      </c>
      <c r="I118" s="967" t="s">
        <v>451</v>
      </c>
      <c r="J118" s="968">
        <v>168.11748428999999</v>
      </c>
      <c r="K118" s="968"/>
      <c r="L118" s="968"/>
      <c r="M118" s="968"/>
      <c r="N118" s="968"/>
      <c r="O118" s="968">
        <v>42.903660347600002</v>
      </c>
      <c r="P118" s="968"/>
      <c r="Q118" s="968"/>
      <c r="R118" s="968"/>
      <c r="S118" s="968">
        <v>2.0053204475499999</v>
      </c>
      <c r="T118" s="968"/>
      <c r="U118" s="968">
        <v>25.8467824566</v>
      </c>
      <c r="V118" s="968"/>
      <c r="W118" s="968"/>
      <c r="X118" s="968">
        <v>238.87324754175</v>
      </c>
    </row>
    <row r="119" spans="1:24" x14ac:dyDescent="0.2">
      <c r="A119" s="953" t="s">
        <v>40</v>
      </c>
      <c r="B119" s="953" t="s">
        <v>759</v>
      </c>
      <c r="C119" s="953" t="s">
        <v>14</v>
      </c>
      <c r="D119" s="953">
        <v>2</v>
      </c>
      <c r="E119" s="1045">
        <v>1.11989992518E-2</v>
      </c>
      <c r="I119" s="967" t="s">
        <v>452</v>
      </c>
      <c r="J119" s="968">
        <v>96.645678792400005</v>
      </c>
      <c r="K119" s="968"/>
      <c r="L119" s="968"/>
      <c r="M119" s="968"/>
      <c r="N119" s="968"/>
      <c r="O119" s="968">
        <v>303.45683074099998</v>
      </c>
      <c r="P119" s="968"/>
      <c r="Q119" s="968"/>
      <c r="R119" s="968"/>
      <c r="S119" s="968">
        <v>74.810266022700006</v>
      </c>
      <c r="T119" s="968"/>
      <c r="U119" s="968">
        <v>8.7270895939699997</v>
      </c>
      <c r="V119" s="968"/>
      <c r="W119" s="968"/>
      <c r="X119" s="968">
        <v>483.63986515006997</v>
      </c>
    </row>
    <row r="120" spans="1:24" x14ac:dyDescent="0.2">
      <c r="A120" s="953" t="s">
        <v>40</v>
      </c>
      <c r="B120" s="953" t="s">
        <v>759</v>
      </c>
      <c r="C120" s="953" t="s">
        <v>665</v>
      </c>
      <c r="D120" s="953">
        <v>2</v>
      </c>
      <c r="E120" s="1045">
        <v>5.3935241451400003E-2</v>
      </c>
      <c r="I120" s="966" t="s">
        <v>831</v>
      </c>
      <c r="J120" s="968">
        <v>2274.2077513085287</v>
      </c>
      <c r="K120" s="968"/>
      <c r="L120" s="968"/>
      <c r="M120" s="968">
        <v>4.1769496977849006</v>
      </c>
      <c r="N120" s="968"/>
      <c r="O120" s="968">
        <v>1805.9820038586745</v>
      </c>
      <c r="P120" s="968"/>
      <c r="Q120" s="968"/>
      <c r="R120" s="968">
        <v>23.876393411470698</v>
      </c>
      <c r="S120" s="968">
        <v>602.77245704666927</v>
      </c>
      <c r="T120" s="968"/>
      <c r="U120" s="968">
        <v>694.966086479316</v>
      </c>
      <c r="V120" s="968"/>
      <c r="W120" s="968"/>
      <c r="X120" s="968">
        <v>5405.9816418024438</v>
      </c>
    </row>
    <row r="121" spans="1:24" x14ac:dyDescent="0.2">
      <c r="A121" s="953" t="s">
        <v>40</v>
      </c>
      <c r="B121" s="953" t="s">
        <v>759</v>
      </c>
      <c r="C121" s="953" t="s">
        <v>662</v>
      </c>
      <c r="D121" s="953">
        <v>30</v>
      </c>
      <c r="E121" s="1045">
        <v>5.2566825456900004</v>
      </c>
      <c r="I121" s="966" t="s">
        <v>688</v>
      </c>
      <c r="J121" s="968"/>
      <c r="K121" s="968"/>
      <c r="L121" s="968"/>
      <c r="M121" s="968"/>
      <c r="N121" s="968"/>
      <c r="O121" s="968"/>
      <c r="P121" s="968"/>
      <c r="Q121" s="968"/>
      <c r="R121" s="968"/>
      <c r="S121" s="968"/>
      <c r="T121" s="968"/>
      <c r="U121" s="968"/>
      <c r="V121" s="968"/>
      <c r="W121" s="968"/>
      <c r="X121" s="968"/>
    </row>
    <row r="122" spans="1:24" x14ac:dyDescent="0.2">
      <c r="A122" s="953" t="s">
        <v>40</v>
      </c>
      <c r="B122" s="953" t="s">
        <v>759</v>
      </c>
      <c r="C122" s="953" t="s">
        <v>666</v>
      </c>
      <c r="D122" s="953">
        <v>3</v>
      </c>
      <c r="E122" s="1045">
        <v>0.81883608103899996</v>
      </c>
      <c r="I122" s="1050" t="s">
        <v>447</v>
      </c>
      <c r="J122" s="1043">
        <v>63.655887809500001</v>
      </c>
      <c r="K122" s="1043"/>
      <c r="L122" s="1043"/>
      <c r="M122" s="1043"/>
      <c r="N122" s="1043"/>
      <c r="O122" s="1043">
        <v>97.997746742100006</v>
      </c>
      <c r="P122" s="1043">
        <v>73.920120106599995</v>
      </c>
      <c r="Q122" s="1043"/>
      <c r="R122" s="1043"/>
      <c r="S122" s="1043"/>
      <c r="T122" s="1043"/>
      <c r="U122" s="1043">
        <v>3.9334721202199998</v>
      </c>
      <c r="V122" s="1043"/>
      <c r="W122" s="1043">
        <v>18.214222873400001</v>
      </c>
      <c r="X122" s="1043">
        <v>257.72144965182002</v>
      </c>
    </row>
    <row r="123" spans="1:24" x14ac:dyDescent="0.2">
      <c r="A123" s="953" t="s">
        <v>40</v>
      </c>
      <c r="B123" s="953" t="s">
        <v>759</v>
      </c>
      <c r="C123" s="953" t="s">
        <v>663</v>
      </c>
      <c r="D123" s="953">
        <v>6</v>
      </c>
      <c r="E123" s="1045">
        <v>4.8282090701999998</v>
      </c>
      <c r="I123" s="1050" t="s">
        <v>712</v>
      </c>
      <c r="J123" s="1043"/>
      <c r="K123" s="1043"/>
      <c r="L123" s="1043"/>
      <c r="M123" s="1043"/>
      <c r="N123" s="1043"/>
      <c r="O123" s="1043"/>
      <c r="P123" s="1043"/>
      <c r="Q123" s="1043"/>
      <c r="R123" s="1043"/>
      <c r="S123" s="1043"/>
      <c r="T123" s="1043"/>
      <c r="U123" s="1043">
        <v>2.4285081068599998E-3</v>
      </c>
      <c r="V123" s="1043"/>
      <c r="W123" s="1043"/>
      <c r="X123" s="1043">
        <v>2.4285081068599998E-3</v>
      </c>
    </row>
    <row r="124" spans="1:24" x14ac:dyDescent="0.2">
      <c r="A124" s="953" t="s">
        <v>40</v>
      </c>
      <c r="B124" s="953" t="s">
        <v>759</v>
      </c>
      <c r="C124" s="953" t="s">
        <v>446</v>
      </c>
      <c r="D124" s="953">
        <v>6</v>
      </c>
      <c r="E124" s="1045">
        <v>5.9820901419199997</v>
      </c>
      <c r="I124" s="967" t="s">
        <v>667</v>
      </c>
      <c r="J124" s="968">
        <v>166.076962826</v>
      </c>
      <c r="K124" s="968"/>
      <c r="L124" s="968"/>
      <c r="M124" s="968">
        <v>0.52232036658199998</v>
      </c>
      <c r="N124" s="968"/>
      <c r="O124" s="968">
        <v>248.04351970299999</v>
      </c>
      <c r="P124" s="968">
        <v>8.4260569737599997</v>
      </c>
      <c r="Q124" s="968">
        <v>11.6096032769</v>
      </c>
      <c r="R124" s="968"/>
      <c r="S124" s="968"/>
      <c r="T124" s="968"/>
      <c r="U124" s="968">
        <v>36.349583083799999</v>
      </c>
      <c r="V124" s="968"/>
      <c r="W124" s="968"/>
      <c r="X124" s="968">
        <v>471.02804623004198</v>
      </c>
    </row>
    <row r="125" spans="1:24" x14ac:dyDescent="0.2">
      <c r="A125" s="953" t="s">
        <v>40</v>
      </c>
      <c r="B125" s="953" t="s">
        <v>759</v>
      </c>
      <c r="C125" s="953" t="s">
        <v>448</v>
      </c>
      <c r="D125" s="953">
        <v>35</v>
      </c>
      <c r="E125" s="1045">
        <v>112.56952031900001</v>
      </c>
      <c r="I125" s="967" t="s">
        <v>661</v>
      </c>
      <c r="J125" s="968">
        <v>1.2355289415299999</v>
      </c>
      <c r="K125" s="968"/>
      <c r="L125" s="968"/>
      <c r="M125" s="968"/>
      <c r="N125" s="968"/>
      <c r="O125" s="968">
        <v>0.76918981140499998</v>
      </c>
      <c r="P125" s="968"/>
      <c r="Q125" s="968"/>
      <c r="R125" s="968"/>
      <c r="S125" s="968"/>
      <c r="T125" s="968"/>
      <c r="U125" s="968"/>
      <c r="V125" s="968"/>
      <c r="W125" s="968"/>
      <c r="X125" s="968">
        <v>2.0047187529350001</v>
      </c>
    </row>
    <row r="126" spans="1:24" x14ac:dyDescent="0.2">
      <c r="A126" s="953" t="s">
        <v>40</v>
      </c>
      <c r="B126" s="953" t="s">
        <v>759</v>
      </c>
      <c r="C126" s="953" t="s">
        <v>451</v>
      </c>
      <c r="D126" s="953">
        <v>6</v>
      </c>
      <c r="E126" s="1045">
        <v>0.32865744218199999</v>
      </c>
      <c r="I126" s="967" t="s">
        <v>14</v>
      </c>
      <c r="J126" s="968">
        <v>0.74150241372799996</v>
      </c>
      <c r="K126" s="968"/>
      <c r="L126" s="968"/>
      <c r="M126" s="968"/>
      <c r="N126" s="968"/>
      <c r="O126" s="968"/>
      <c r="P126" s="968"/>
      <c r="Q126" s="968"/>
      <c r="R126" s="968"/>
      <c r="S126" s="968"/>
      <c r="T126" s="968"/>
      <c r="U126" s="968"/>
      <c r="V126" s="968"/>
      <c r="W126" s="968"/>
      <c r="X126" s="968">
        <v>0.74150241372799996</v>
      </c>
    </row>
    <row r="127" spans="1:24" x14ac:dyDescent="0.2">
      <c r="A127" s="953" t="s">
        <v>40</v>
      </c>
      <c r="B127" s="953" t="s">
        <v>759</v>
      </c>
      <c r="C127" s="953" t="s">
        <v>452</v>
      </c>
      <c r="D127" s="953">
        <v>2</v>
      </c>
      <c r="E127" s="1045">
        <v>0.60339408782500004</v>
      </c>
      <c r="I127" s="967" t="s">
        <v>443</v>
      </c>
      <c r="J127" s="968">
        <v>4.22390797583E-3</v>
      </c>
      <c r="K127" s="968"/>
      <c r="L127" s="968"/>
      <c r="M127" s="968"/>
      <c r="N127" s="968"/>
      <c r="O127" s="968"/>
      <c r="P127" s="968"/>
      <c r="Q127" s="968"/>
      <c r="R127" s="968"/>
      <c r="S127" s="968"/>
      <c r="T127" s="968"/>
      <c r="U127" s="968"/>
      <c r="V127" s="968"/>
      <c r="W127" s="968"/>
      <c r="X127" s="968">
        <v>4.22390797583E-3</v>
      </c>
    </row>
    <row r="128" spans="1:24" x14ac:dyDescent="0.2">
      <c r="A128" s="953" t="s">
        <v>40</v>
      </c>
      <c r="B128" s="953" t="s">
        <v>764</v>
      </c>
      <c r="C128" s="953" t="s">
        <v>447</v>
      </c>
      <c r="D128" s="953">
        <v>2</v>
      </c>
      <c r="E128" s="1045">
        <v>8.8007871670900004E-2</v>
      </c>
      <c r="I128" s="967" t="s">
        <v>665</v>
      </c>
      <c r="J128" s="968">
        <v>0.64210577224499998</v>
      </c>
      <c r="K128" s="968"/>
      <c r="L128" s="968"/>
      <c r="M128" s="968"/>
      <c r="N128" s="968"/>
      <c r="O128" s="968">
        <v>1.7742240173099999</v>
      </c>
      <c r="P128" s="968"/>
      <c r="Q128" s="968"/>
      <c r="R128" s="968"/>
      <c r="S128" s="968"/>
      <c r="T128" s="968"/>
      <c r="U128" s="968">
        <v>0.16018198760300001</v>
      </c>
      <c r="V128" s="968"/>
      <c r="W128" s="968"/>
      <c r="X128" s="968">
        <v>2.5765117771579997</v>
      </c>
    </row>
    <row r="129" spans="1:24" x14ac:dyDescent="0.2">
      <c r="A129" s="953" t="s">
        <v>40</v>
      </c>
      <c r="B129" s="953" t="s">
        <v>764</v>
      </c>
      <c r="C129" s="953" t="s">
        <v>446</v>
      </c>
      <c r="D129" s="953">
        <v>4</v>
      </c>
      <c r="E129" s="1045">
        <v>20.6152706367</v>
      </c>
      <c r="I129" s="967" t="s">
        <v>662</v>
      </c>
      <c r="J129" s="968">
        <v>13.6217902064</v>
      </c>
      <c r="K129" s="968"/>
      <c r="L129" s="968"/>
      <c r="M129" s="968">
        <v>0.14768726469599999</v>
      </c>
      <c r="N129" s="968"/>
      <c r="O129" s="968">
        <v>4.8752870596499998</v>
      </c>
      <c r="P129" s="968"/>
      <c r="Q129" s="968"/>
      <c r="R129" s="968">
        <v>5.1043572717899997</v>
      </c>
      <c r="S129" s="968">
        <v>0.19349721531399999</v>
      </c>
      <c r="T129" s="968"/>
      <c r="U129" s="968">
        <v>3.7587051275999999</v>
      </c>
      <c r="V129" s="968"/>
      <c r="W129" s="968"/>
      <c r="X129" s="968">
        <v>27.701324145449998</v>
      </c>
    </row>
    <row r="130" spans="1:24" x14ac:dyDescent="0.2">
      <c r="A130" s="953" t="s">
        <v>40</v>
      </c>
      <c r="B130" s="953" t="s">
        <v>764</v>
      </c>
      <c r="C130" s="953" t="s">
        <v>448</v>
      </c>
      <c r="D130" s="953">
        <v>3</v>
      </c>
      <c r="E130" s="1045">
        <v>9.6939909373600006</v>
      </c>
      <c r="I130" s="967" t="s">
        <v>666</v>
      </c>
      <c r="J130" s="968">
        <v>0.106006280918</v>
      </c>
      <c r="K130" s="968"/>
      <c r="L130" s="968"/>
      <c r="M130" s="968"/>
      <c r="N130" s="968"/>
      <c r="O130" s="968"/>
      <c r="P130" s="968"/>
      <c r="Q130" s="968"/>
      <c r="R130" s="968"/>
      <c r="S130" s="968"/>
      <c r="T130" s="968"/>
      <c r="U130" s="968"/>
      <c r="V130" s="968"/>
      <c r="W130" s="968"/>
      <c r="X130" s="968">
        <v>0.106006280918</v>
      </c>
    </row>
    <row r="131" spans="1:24" x14ac:dyDescent="0.2">
      <c r="A131" s="953" t="s">
        <v>40</v>
      </c>
      <c r="B131" s="953" t="s">
        <v>765</v>
      </c>
      <c r="C131" s="953" t="s">
        <v>447</v>
      </c>
      <c r="D131" s="953">
        <v>5</v>
      </c>
      <c r="E131" s="1045">
        <v>21.918900203300002</v>
      </c>
      <c r="I131" s="967" t="s">
        <v>444</v>
      </c>
      <c r="J131" s="968">
        <v>8.1635945081299996E-2</v>
      </c>
      <c r="K131" s="968"/>
      <c r="L131" s="968"/>
      <c r="M131" s="968"/>
      <c r="N131" s="968"/>
      <c r="O131" s="968">
        <v>110.40388218</v>
      </c>
      <c r="P131" s="968"/>
      <c r="Q131" s="968"/>
      <c r="R131" s="968"/>
      <c r="S131" s="968"/>
      <c r="T131" s="968"/>
      <c r="U131" s="968"/>
      <c r="V131" s="968"/>
      <c r="W131" s="968"/>
      <c r="X131" s="968">
        <v>110.4855181250813</v>
      </c>
    </row>
    <row r="132" spans="1:24" x14ac:dyDescent="0.2">
      <c r="A132" s="953" t="s">
        <v>40</v>
      </c>
      <c r="B132" s="953" t="s">
        <v>765</v>
      </c>
      <c r="C132" s="953" t="s">
        <v>667</v>
      </c>
      <c r="D132" s="953">
        <v>4</v>
      </c>
      <c r="E132" s="1045">
        <v>1.64390416016</v>
      </c>
      <c r="I132" s="967" t="s">
        <v>663</v>
      </c>
      <c r="J132" s="968">
        <v>1.31174187378</v>
      </c>
      <c r="K132" s="968"/>
      <c r="L132" s="968"/>
      <c r="M132" s="968"/>
      <c r="N132" s="968"/>
      <c r="O132" s="968">
        <v>28.092439428399999</v>
      </c>
      <c r="P132" s="968"/>
      <c r="Q132" s="968"/>
      <c r="R132" s="968"/>
      <c r="S132" s="968"/>
      <c r="T132" s="968"/>
      <c r="U132" s="968">
        <v>10.1350513407</v>
      </c>
      <c r="V132" s="968"/>
      <c r="W132" s="968"/>
      <c r="X132" s="968">
        <v>39.539232642880002</v>
      </c>
    </row>
    <row r="133" spans="1:24" x14ac:dyDescent="0.2">
      <c r="A133" s="953" t="s">
        <v>40</v>
      </c>
      <c r="B133" s="953" t="s">
        <v>765</v>
      </c>
      <c r="C133" s="953" t="s">
        <v>662</v>
      </c>
      <c r="D133" s="953">
        <v>3</v>
      </c>
      <c r="E133" s="1045">
        <v>0.26295851147100002</v>
      </c>
      <c r="I133" s="1050" t="s">
        <v>449</v>
      </c>
      <c r="J133" s="1043">
        <v>17.6051495691</v>
      </c>
      <c r="K133" s="1043"/>
      <c r="L133" s="1043"/>
      <c r="M133" s="1043">
        <v>49.815948792599997</v>
      </c>
      <c r="N133" s="1043"/>
      <c r="O133" s="1043">
        <v>9.5613009971299991</v>
      </c>
      <c r="P133" s="1043"/>
      <c r="Q133" s="1043">
        <v>27.311347729000001</v>
      </c>
      <c r="R133" s="1043">
        <v>1.5265110326</v>
      </c>
      <c r="S133" s="1043">
        <v>8.1864703126199991</v>
      </c>
      <c r="T133" s="1043"/>
      <c r="U133" s="1043">
        <v>643.80052912300005</v>
      </c>
      <c r="V133" s="1043"/>
      <c r="W133" s="1043"/>
      <c r="X133" s="1043">
        <v>757.80725755604999</v>
      </c>
    </row>
    <row r="134" spans="1:24" x14ac:dyDescent="0.2">
      <c r="A134" s="953" t="s">
        <v>40</v>
      </c>
      <c r="B134" s="953" t="s">
        <v>765</v>
      </c>
      <c r="C134" s="953" t="s">
        <v>446</v>
      </c>
      <c r="D134" s="953">
        <v>17</v>
      </c>
      <c r="E134" s="1045">
        <v>53.927793952999998</v>
      </c>
      <c r="I134" s="1050" t="s">
        <v>446</v>
      </c>
      <c r="J134" s="1043">
        <v>85.643781097399994</v>
      </c>
      <c r="K134" s="1043"/>
      <c r="L134" s="1043"/>
      <c r="M134" s="1043">
        <v>5.2013331753500003</v>
      </c>
      <c r="N134" s="1043"/>
      <c r="O134" s="1043">
        <v>1497.1360132100001</v>
      </c>
      <c r="P134" s="1043">
        <v>137.39965845500001</v>
      </c>
      <c r="Q134" s="1043">
        <v>1.43545873946</v>
      </c>
      <c r="R134" s="1043">
        <v>1.8785429737299999</v>
      </c>
      <c r="S134" s="1043">
        <v>3.5625825956999998E-5</v>
      </c>
      <c r="T134" s="1043">
        <v>0.95963288502800004</v>
      </c>
      <c r="U134" s="1043">
        <v>116.77369492299999</v>
      </c>
      <c r="V134" s="1043"/>
      <c r="W134" s="1043"/>
      <c r="X134" s="1043">
        <v>1846.4281510847941</v>
      </c>
    </row>
    <row r="135" spans="1:24" x14ac:dyDescent="0.2">
      <c r="A135" s="953" t="s">
        <v>40</v>
      </c>
      <c r="B135" s="953" t="s">
        <v>765</v>
      </c>
      <c r="C135" s="953" t="s">
        <v>448</v>
      </c>
      <c r="D135" s="953">
        <v>7</v>
      </c>
      <c r="E135" s="1045">
        <v>25.6742810362</v>
      </c>
      <c r="I135" s="1050" t="s">
        <v>448</v>
      </c>
      <c r="J135" s="1043">
        <v>2469.1253902399999</v>
      </c>
      <c r="K135" s="1043"/>
      <c r="L135" s="1043"/>
      <c r="M135" s="1043">
        <v>52.669745655200003</v>
      </c>
      <c r="N135" s="1043"/>
      <c r="O135" s="1043">
        <v>3.9504955280799998</v>
      </c>
      <c r="P135" s="1043">
        <v>9.6626612097599998E-2</v>
      </c>
      <c r="Q135" s="1043"/>
      <c r="R135" s="1043"/>
      <c r="S135" s="1043"/>
      <c r="T135" s="1043"/>
      <c r="U135" s="1043">
        <v>180.06853151300001</v>
      </c>
      <c r="V135" s="1043"/>
      <c r="W135" s="1043"/>
      <c r="X135" s="1043">
        <v>2705.9107895483776</v>
      </c>
    </row>
    <row r="136" spans="1:24" x14ac:dyDescent="0.2">
      <c r="A136" s="953" t="s">
        <v>40</v>
      </c>
      <c r="B136" s="953" t="s">
        <v>765</v>
      </c>
      <c r="C136" s="953" t="s">
        <v>451</v>
      </c>
      <c r="D136" s="953">
        <v>1</v>
      </c>
      <c r="E136" s="1045">
        <v>18.066203960399999</v>
      </c>
      <c r="I136" s="967" t="s">
        <v>451</v>
      </c>
      <c r="J136" s="968">
        <v>64.467314998299997</v>
      </c>
      <c r="K136" s="968"/>
      <c r="L136" s="968"/>
      <c r="M136" s="968">
        <v>1.8503608002900001</v>
      </c>
      <c r="N136" s="968"/>
      <c r="O136" s="968">
        <v>61.5611831346</v>
      </c>
      <c r="P136" s="968">
        <v>0.59138518454599998</v>
      </c>
      <c r="Q136" s="968">
        <v>3.6187856644399998</v>
      </c>
      <c r="R136" s="968"/>
      <c r="S136" s="968"/>
      <c r="T136" s="968"/>
      <c r="U136" s="968">
        <v>111.25174580700001</v>
      </c>
      <c r="V136" s="968"/>
      <c r="W136" s="968"/>
      <c r="X136" s="968">
        <v>243.34077558917602</v>
      </c>
    </row>
    <row r="137" spans="1:24" x14ac:dyDescent="0.2">
      <c r="A137" s="953" t="s">
        <v>40</v>
      </c>
      <c r="B137" s="953" t="s">
        <v>765</v>
      </c>
      <c r="C137" s="953" t="s">
        <v>452</v>
      </c>
      <c r="D137" s="953">
        <v>25</v>
      </c>
      <c r="E137" s="1045">
        <v>25.6226415559</v>
      </c>
      <c r="I137" s="967" t="s">
        <v>452</v>
      </c>
      <c r="J137" s="968">
        <v>504.18080466399999</v>
      </c>
      <c r="K137" s="968"/>
      <c r="L137" s="968"/>
      <c r="M137" s="968">
        <v>6.0452497278399999</v>
      </c>
      <c r="N137" s="968"/>
      <c r="O137" s="968">
        <v>1396.4118721</v>
      </c>
      <c r="P137" s="968">
        <v>100.855470997</v>
      </c>
      <c r="Q137" s="968">
        <v>12.682159131300001</v>
      </c>
      <c r="R137" s="968">
        <v>1.39481813223</v>
      </c>
      <c r="S137" s="968"/>
      <c r="T137" s="968"/>
      <c r="U137" s="968">
        <v>211.20192387099999</v>
      </c>
      <c r="V137" s="968"/>
      <c r="W137" s="968">
        <v>5.3336494672999999</v>
      </c>
      <c r="X137" s="968">
        <v>2238.1059480906702</v>
      </c>
    </row>
    <row r="138" spans="1:24" x14ac:dyDescent="0.2">
      <c r="A138" s="953" t="s">
        <v>40</v>
      </c>
      <c r="B138" s="953" t="s">
        <v>763</v>
      </c>
      <c r="C138" s="953" t="s">
        <v>667</v>
      </c>
      <c r="D138" s="953">
        <v>17</v>
      </c>
      <c r="E138" s="1045">
        <v>51.114794923600002</v>
      </c>
      <c r="I138" s="966" t="s">
        <v>832</v>
      </c>
      <c r="J138" s="968">
        <v>3388.4998265459581</v>
      </c>
      <c r="K138" s="968"/>
      <c r="L138" s="968"/>
      <c r="M138" s="968">
        <v>116.25264578255801</v>
      </c>
      <c r="N138" s="968"/>
      <c r="O138" s="968">
        <v>3460.5771539116749</v>
      </c>
      <c r="P138" s="968">
        <v>321.28931832900361</v>
      </c>
      <c r="Q138" s="968">
        <v>56.657354541100005</v>
      </c>
      <c r="R138" s="968">
        <v>9.9042294103500002</v>
      </c>
      <c r="S138" s="968">
        <v>8.3800031537599562</v>
      </c>
      <c r="T138" s="968">
        <v>0.95963288502800004</v>
      </c>
      <c r="U138" s="968">
        <v>1317.4358474050298</v>
      </c>
      <c r="V138" s="968"/>
      <c r="W138" s="968">
        <v>23.5478723407</v>
      </c>
      <c r="X138" s="968">
        <v>8703.5038843051625</v>
      </c>
    </row>
    <row r="139" spans="1:24" x14ac:dyDescent="0.2">
      <c r="A139" s="953" t="s">
        <v>40</v>
      </c>
      <c r="B139" s="953" t="s">
        <v>763</v>
      </c>
      <c r="C139" s="953" t="s">
        <v>662</v>
      </c>
      <c r="D139" s="953">
        <v>1</v>
      </c>
      <c r="E139" s="1045">
        <v>1.11747512598</v>
      </c>
      <c r="I139" s="966" t="s">
        <v>645</v>
      </c>
      <c r="J139" s="968"/>
      <c r="K139" s="968"/>
      <c r="L139" s="968"/>
      <c r="M139" s="968"/>
      <c r="N139" s="968"/>
      <c r="O139" s="968"/>
      <c r="P139" s="968"/>
      <c r="Q139" s="968"/>
      <c r="R139" s="968"/>
      <c r="S139" s="968"/>
      <c r="T139" s="968"/>
      <c r="U139" s="968"/>
      <c r="V139" s="968"/>
      <c r="W139" s="968"/>
      <c r="X139" s="968"/>
    </row>
    <row r="140" spans="1:24" x14ac:dyDescent="0.2">
      <c r="A140" s="953" t="s">
        <v>40</v>
      </c>
      <c r="B140" s="953" t="s">
        <v>763</v>
      </c>
      <c r="C140" s="953" t="s">
        <v>448</v>
      </c>
      <c r="D140" s="953">
        <v>6</v>
      </c>
      <c r="E140" s="1045">
        <v>5.2536279756299997</v>
      </c>
      <c r="I140" s="1050" t="s">
        <v>447</v>
      </c>
      <c r="J140" s="1043">
        <v>17.287393802899999</v>
      </c>
      <c r="K140" s="1043"/>
      <c r="L140" s="1043"/>
      <c r="M140" s="1043"/>
      <c r="N140" s="1043"/>
      <c r="O140" s="1043"/>
      <c r="P140" s="1043"/>
      <c r="Q140" s="1043"/>
      <c r="R140" s="1043"/>
      <c r="S140" s="1043"/>
      <c r="T140" s="1043"/>
      <c r="U140" s="1043"/>
      <c r="V140" s="1043"/>
      <c r="W140" s="1043"/>
      <c r="X140" s="1043">
        <v>17.287393802899999</v>
      </c>
    </row>
    <row r="141" spans="1:24" x14ac:dyDescent="0.2">
      <c r="A141" s="953" t="s">
        <v>40</v>
      </c>
      <c r="B141" s="953" t="s">
        <v>763</v>
      </c>
      <c r="C141" s="953" t="s">
        <v>452</v>
      </c>
      <c r="D141" s="953">
        <v>23</v>
      </c>
      <c r="E141" s="1045">
        <v>28.366846401099998</v>
      </c>
      <c r="I141" s="967" t="s">
        <v>667</v>
      </c>
      <c r="J141" s="968">
        <v>40.154408570999998</v>
      </c>
      <c r="K141" s="968">
        <v>10.874183263000001</v>
      </c>
      <c r="L141" s="968"/>
      <c r="M141" s="968"/>
      <c r="N141" s="968">
        <v>1.1023938633599999E-2</v>
      </c>
      <c r="O141" s="968">
        <v>63.251867364900001</v>
      </c>
      <c r="P141" s="968"/>
      <c r="Q141" s="968"/>
      <c r="R141" s="968"/>
      <c r="S141" s="968">
        <v>0.30119560226699998</v>
      </c>
      <c r="T141" s="968"/>
      <c r="U141" s="968"/>
      <c r="V141" s="968"/>
      <c r="W141" s="968"/>
      <c r="X141" s="968">
        <v>114.59267873980059</v>
      </c>
    </row>
    <row r="142" spans="1:24" x14ac:dyDescent="0.2">
      <c r="A142" s="953" t="s">
        <v>40</v>
      </c>
      <c r="B142" s="953" t="s">
        <v>760</v>
      </c>
      <c r="C142" s="953"/>
      <c r="D142" s="953">
        <v>1</v>
      </c>
      <c r="E142" s="1045">
        <v>4.3215442834699998E-4</v>
      </c>
      <c r="I142" s="967" t="s">
        <v>661</v>
      </c>
      <c r="J142" s="968">
        <v>0.26951348898799998</v>
      </c>
      <c r="K142" s="968"/>
      <c r="L142" s="968"/>
      <c r="M142" s="968"/>
      <c r="N142" s="968"/>
      <c r="O142" s="968"/>
      <c r="P142" s="968"/>
      <c r="Q142" s="968"/>
      <c r="R142" s="968"/>
      <c r="S142" s="968"/>
      <c r="T142" s="968"/>
      <c r="U142" s="968"/>
      <c r="V142" s="968"/>
      <c r="W142" s="968"/>
      <c r="X142" s="968">
        <v>0.26951348898799998</v>
      </c>
    </row>
    <row r="143" spans="1:24" x14ac:dyDescent="0.2">
      <c r="A143" s="953" t="s">
        <v>40</v>
      </c>
      <c r="B143" s="953" t="s">
        <v>760</v>
      </c>
      <c r="C143" s="953" t="s">
        <v>667</v>
      </c>
      <c r="D143" s="953">
        <v>9</v>
      </c>
      <c r="E143" s="1045">
        <v>6.4308631885300001</v>
      </c>
      <c r="I143" s="967" t="s">
        <v>14</v>
      </c>
      <c r="J143" s="968"/>
      <c r="K143" s="968">
        <v>9.1886705510500002E-2</v>
      </c>
      <c r="L143" s="968"/>
      <c r="M143" s="968"/>
      <c r="N143" s="968"/>
      <c r="O143" s="968">
        <v>0.62898237438000004</v>
      </c>
      <c r="P143" s="968"/>
      <c r="Q143" s="968"/>
      <c r="R143" s="968"/>
      <c r="S143" s="968"/>
      <c r="T143" s="968"/>
      <c r="U143" s="968"/>
      <c r="V143" s="968"/>
      <c r="W143" s="968"/>
      <c r="X143" s="968">
        <v>0.72086907989050009</v>
      </c>
    </row>
    <row r="144" spans="1:24" x14ac:dyDescent="0.2">
      <c r="A144" s="953" t="s">
        <v>40</v>
      </c>
      <c r="B144" s="953" t="s">
        <v>760</v>
      </c>
      <c r="C144" s="953" t="s">
        <v>665</v>
      </c>
      <c r="D144" s="953">
        <v>2</v>
      </c>
      <c r="E144" s="1045">
        <v>1.7989967817200001E-2</v>
      </c>
      <c r="I144" s="967" t="s">
        <v>662</v>
      </c>
      <c r="J144" s="968">
        <v>0.47168624246899998</v>
      </c>
      <c r="K144" s="968"/>
      <c r="L144" s="968"/>
      <c r="M144" s="968"/>
      <c r="N144" s="968"/>
      <c r="O144" s="968">
        <v>4.0157713827999997</v>
      </c>
      <c r="P144" s="968"/>
      <c r="Q144" s="968"/>
      <c r="R144" s="968"/>
      <c r="S144" s="968">
        <v>3.6309203918100001</v>
      </c>
      <c r="T144" s="968"/>
      <c r="U144" s="968"/>
      <c r="V144" s="968"/>
      <c r="W144" s="968"/>
      <c r="X144" s="968">
        <v>8.1183780170789994</v>
      </c>
    </row>
    <row r="145" spans="1:24" x14ac:dyDescent="0.2">
      <c r="A145" s="953" t="s">
        <v>40</v>
      </c>
      <c r="B145" s="953" t="s">
        <v>760</v>
      </c>
      <c r="C145" s="953" t="s">
        <v>449</v>
      </c>
      <c r="D145" s="953">
        <v>4</v>
      </c>
      <c r="E145" s="1045">
        <v>6.8235259680400002</v>
      </c>
      <c r="I145" s="967" t="s">
        <v>666</v>
      </c>
      <c r="J145" s="968">
        <v>2.04226027856E-2</v>
      </c>
      <c r="K145" s="968"/>
      <c r="L145" s="968"/>
      <c r="M145" s="968"/>
      <c r="N145" s="968"/>
      <c r="O145" s="968"/>
      <c r="P145" s="968"/>
      <c r="Q145" s="968"/>
      <c r="R145" s="968"/>
      <c r="S145" s="968"/>
      <c r="T145" s="968"/>
      <c r="U145" s="968"/>
      <c r="V145" s="968"/>
      <c r="W145" s="968"/>
      <c r="X145" s="968">
        <v>2.04226027856E-2</v>
      </c>
    </row>
    <row r="146" spans="1:24" x14ac:dyDescent="0.2">
      <c r="A146" s="953" t="s">
        <v>40</v>
      </c>
      <c r="B146" s="953" t="s">
        <v>760</v>
      </c>
      <c r="C146" s="953" t="s">
        <v>452</v>
      </c>
      <c r="D146" s="953">
        <v>2</v>
      </c>
      <c r="E146" s="1045">
        <v>2.0993047110599998</v>
      </c>
      <c r="I146" s="967" t="s">
        <v>663</v>
      </c>
      <c r="J146" s="968">
        <v>10.8844221844</v>
      </c>
      <c r="K146" s="968"/>
      <c r="L146" s="968"/>
      <c r="M146" s="968"/>
      <c r="N146" s="968"/>
      <c r="O146" s="968"/>
      <c r="P146" s="968"/>
      <c r="Q146" s="968"/>
      <c r="R146" s="968"/>
      <c r="S146" s="968"/>
      <c r="T146" s="968"/>
      <c r="U146" s="968"/>
      <c r="V146" s="968"/>
      <c r="W146" s="968"/>
      <c r="X146" s="968">
        <v>10.8844221844</v>
      </c>
    </row>
    <row r="147" spans="1:24" x14ac:dyDescent="0.2">
      <c r="A147" s="953" t="s">
        <v>40</v>
      </c>
      <c r="B147" s="953" t="s">
        <v>762</v>
      </c>
      <c r="C147" s="953" t="s">
        <v>667</v>
      </c>
      <c r="D147" s="953">
        <v>27</v>
      </c>
      <c r="E147" s="1045">
        <v>22.411859260300002</v>
      </c>
      <c r="I147" s="1050" t="s">
        <v>449</v>
      </c>
      <c r="J147" s="1043">
        <v>0.13665979576100001</v>
      </c>
      <c r="K147" s="1043"/>
      <c r="L147" s="1043"/>
      <c r="M147" s="1043"/>
      <c r="N147" s="1043"/>
      <c r="O147" s="1043"/>
      <c r="P147" s="1043"/>
      <c r="Q147" s="1043"/>
      <c r="R147" s="1043"/>
      <c r="S147" s="1043">
        <v>47.312254512400003</v>
      </c>
      <c r="T147" s="1043"/>
      <c r="U147" s="1043"/>
      <c r="V147" s="1043"/>
      <c r="W147" s="1043"/>
      <c r="X147" s="1043">
        <v>47.448914308161001</v>
      </c>
    </row>
    <row r="148" spans="1:24" x14ac:dyDescent="0.2">
      <c r="A148" s="953" t="s">
        <v>40</v>
      </c>
      <c r="B148" s="953" t="s">
        <v>762</v>
      </c>
      <c r="C148" s="953" t="s">
        <v>662</v>
      </c>
      <c r="D148" s="953">
        <v>2</v>
      </c>
      <c r="E148" s="1045">
        <v>0.16324424106400001</v>
      </c>
      <c r="I148" s="1050" t="s">
        <v>446</v>
      </c>
      <c r="J148" s="1043">
        <v>26.9440577831</v>
      </c>
      <c r="K148" s="1043">
        <v>3.9526524794200002</v>
      </c>
      <c r="L148" s="1043"/>
      <c r="M148" s="1043"/>
      <c r="N148" s="1043">
        <v>49.648604090200003</v>
      </c>
      <c r="O148" s="1043">
        <v>74.716438371199999</v>
      </c>
      <c r="P148" s="1043"/>
      <c r="Q148" s="1043"/>
      <c r="R148" s="1043"/>
      <c r="S148" s="1043">
        <v>21.025535705799999</v>
      </c>
      <c r="T148" s="1043"/>
      <c r="U148" s="1043"/>
      <c r="V148" s="1043"/>
      <c r="W148" s="1043"/>
      <c r="X148" s="1043">
        <v>176.28728842971998</v>
      </c>
    </row>
    <row r="149" spans="1:24" x14ac:dyDescent="0.2">
      <c r="A149" s="953" t="s">
        <v>40</v>
      </c>
      <c r="B149" s="953" t="s">
        <v>762</v>
      </c>
      <c r="C149" s="953" t="s">
        <v>666</v>
      </c>
      <c r="D149" s="953">
        <v>1</v>
      </c>
      <c r="E149" s="1045">
        <v>1.5614361838099999E-2</v>
      </c>
      <c r="I149" s="1050" t="s">
        <v>448</v>
      </c>
      <c r="J149" s="1043">
        <v>390.87144125899999</v>
      </c>
      <c r="K149" s="1043">
        <v>42.8620778648</v>
      </c>
      <c r="L149" s="1043"/>
      <c r="M149" s="1043"/>
      <c r="N149" s="1043">
        <v>25.4039462046</v>
      </c>
      <c r="O149" s="1043">
        <v>3.1641426838900002</v>
      </c>
      <c r="P149" s="1043"/>
      <c r="Q149" s="1043"/>
      <c r="R149" s="1043"/>
      <c r="S149" s="1043">
        <v>0.59285711788399997</v>
      </c>
      <c r="T149" s="1043"/>
      <c r="U149" s="1043"/>
      <c r="V149" s="1043"/>
      <c r="W149" s="1043"/>
      <c r="X149" s="1043">
        <v>462.89446513017401</v>
      </c>
    </row>
    <row r="150" spans="1:24" x14ac:dyDescent="0.2">
      <c r="A150" s="953" t="s">
        <v>40</v>
      </c>
      <c r="B150" s="953" t="s">
        <v>762</v>
      </c>
      <c r="C150" s="953" t="s">
        <v>663</v>
      </c>
      <c r="D150" s="953">
        <v>16</v>
      </c>
      <c r="E150" s="1045">
        <v>141.26725979899999</v>
      </c>
      <c r="I150" s="967" t="s">
        <v>451</v>
      </c>
      <c r="J150" s="968">
        <v>22.7562101547</v>
      </c>
      <c r="K150" s="968">
        <v>2.3132088290500001</v>
      </c>
      <c r="L150" s="968"/>
      <c r="M150" s="968"/>
      <c r="N150" s="968"/>
      <c r="O150" s="968">
        <v>53.668059155500003</v>
      </c>
      <c r="P150" s="968"/>
      <c r="Q150" s="968"/>
      <c r="R150" s="968"/>
      <c r="S150" s="968"/>
      <c r="T150" s="968"/>
      <c r="U150" s="968"/>
      <c r="V150" s="968"/>
      <c r="W150" s="968"/>
      <c r="X150" s="968">
        <v>78.737478139250001</v>
      </c>
    </row>
    <row r="151" spans="1:24" x14ac:dyDescent="0.2">
      <c r="A151" s="953" t="s">
        <v>40</v>
      </c>
      <c r="B151" s="953" t="s">
        <v>762</v>
      </c>
      <c r="C151" s="953" t="s">
        <v>446</v>
      </c>
      <c r="D151" s="953">
        <v>5</v>
      </c>
      <c r="E151" s="1045">
        <v>6.8123609794300002</v>
      </c>
      <c r="I151" s="967" t="s">
        <v>452</v>
      </c>
      <c r="J151" s="968">
        <v>51.892591160800002</v>
      </c>
      <c r="K151" s="968">
        <v>10.721109476300001</v>
      </c>
      <c r="L151" s="968"/>
      <c r="M151" s="968"/>
      <c r="N151" s="968"/>
      <c r="O151" s="968">
        <v>171.28741341400001</v>
      </c>
      <c r="P151" s="968"/>
      <c r="Q151" s="968"/>
      <c r="R151" s="968"/>
      <c r="S151" s="968"/>
      <c r="T151" s="968"/>
      <c r="U151" s="968"/>
      <c r="V151" s="968"/>
      <c r="W151" s="968"/>
      <c r="X151" s="968">
        <v>233.90111405110002</v>
      </c>
    </row>
    <row r="152" spans="1:24" x14ac:dyDescent="0.2">
      <c r="A152" s="953" t="s">
        <v>40</v>
      </c>
      <c r="B152" s="953" t="s">
        <v>762</v>
      </c>
      <c r="C152" s="953" t="s">
        <v>451</v>
      </c>
      <c r="D152" s="953">
        <v>2</v>
      </c>
      <c r="E152" s="1045">
        <v>0.80550256822999999</v>
      </c>
      <c r="I152" s="967" t="s">
        <v>829</v>
      </c>
      <c r="J152" s="968"/>
      <c r="K152" s="968"/>
      <c r="L152" s="968"/>
      <c r="M152" s="968"/>
      <c r="N152" s="968"/>
      <c r="O152" s="968">
        <v>9.4714900537100001E-9</v>
      </c>
      <c r="P152" s="968"/>
      <c r="Q152" s="968"/>
      <c r="R152" s="968"/>
      <c r="S152" s="968"/>
      <c r="T152" s="968"/>
      <c r="U152" s="968"/>
      <c r="V152" s="968"/>
      <c r="W152" s="968"/>
      <c r="X152" s="968">
        <v>9.4714900537100001E-9</v>
      </c>
    </row>
    <row r="153" spans="1:24" x14ac:dyDescent="0.2">
      <c r="A153" s="953" t="s">
        <v>40</v>
      </c>
      <c r="B153" s="953" t="s">
        <v>762</v>
      </c>
      <c r="C153" s="953" t="s">
        <v>452</v>
      </c>
      <c r="D153" s="953">
        <v>25</v>
      </c>
      <c r="E153" s="1045">
        <v>55.608849104199997</v>
      </c>
      <c r="I153" s="966" t="s">
        <v>680</v>
      </c>
      <c r="J153" s="968">
        <v>561.68880704590356</v>
      </c>
      <c r="K153" s="968">
        <v>70.815118618080504</v>
      </c>
      <c r="L153" s="968"/>
      <c r="M153" s="968"/>
      <c r="N153" s="968">
        <v>75.063574233433599</v>
      </c>
      <c r="O153" s="968">
        <v>370.73267475614148</v>
      </c>
      <c r="P153" s="968"/>
      <c r="Q153" s="968"/>
      <c r="R153" s="968"/>
      <c r="S153" s="968">
        <v>72.862763330161002</v>
      </c>
      <c r="T153" s="968"/>
      <c r="U153" s="968"/>
      <c r="V153" s="968"/>
      <c r="W153" s="968"/>
      <c r="X153" s="968">
        <v>1151.1629379837202</v>
      </c>
    </row>
    <row r="154" spans="1:24" x14ac:dyDescent="0.2">
      <c r="A154" s="953" t="s">
        <v>609</v>
      </c>
      <c r="B154" s="953" t="s">
        <v>759</v>
      </c>
      <c r="C154" s="953" t="s">
        <v>447</v>
      </c>
      <c r="D154" s="953">
        <v>1</v>
      </c>
      <c r="E154" s="1045">
        <v>10.289250559199999</v>
      </c>
      <c r="I154" s="966" t="s">
        <v>671</v>
      </c>
      <c r="J154" s="968">
        <v>11441.09043482436</v>
      </c>
      <c r="K154" s="968">
        <v>70.815118618080504</v>
      </c>
      <c r="L154" s="968">
        <v>17.422889707310251</v>
      </c>
      <c r="M154" s="968">
        <v>120.42959548034291</v>
      </c>
      <c r="N154" s="968">
        <v>105.4608436791645</v>
      </c>
      <c r="O154" s="968">
        <v>6570.1319318386986</v>
      </c>
      <c r="P154" s="968">
        <v>321.28931832900361</v>
      </c>
      <c r="Q154" s="968">
        <v>56.657354541100005</v>
      </c>
      <c r="R154" s="968">
        <v>33.7806228218207</v>
      </c>
      <c r="S154" s="968">
        <v>2634.7233046642314</v>
      </c>
      <c r="T154" s="968">
        <v>11.128124672356801</v>
      </c>
      <c r="U154" s="968">
        <v>3381.3278493291309</v>
      </c>
      <c r="V154" s="968">
        <v>947.39748931460201</v>
      </c>
      <c r="W154" s="968">
        <v>770.13525338859108</v>
      </c>
      <c r="X154" s="968">
        <v>26481.790131208818</v>
      </c>
    </row>
    <row r="155" spans="1:24" x14ac:dyDescent="0.2">
      <c r="A155" s="953" t="s">
        <v>609</v>
      </c>
      <c r="B155" s="953" t="s">
        <v>759</v>
      </c>
      <c r="C155" s="953" t="s">
        <v>667</v>
      </c>
      <c r="D155" s="953">
        <v>84</v>
      </c>
      <c r="E155" s="1045">
        <v>1473.30728821</v>
      </c>
    </row>
    <row r="156" spans="1:24" x14ac:dyDescent="0.2">
      <c r="A156" s="953" t="s">
        <v>609</v>
      </c>
      <c r="B156" s="953" t="s">
        <v>759</v>
      </c>
      <c r="C156" s="953" t="s">
        <v>662</v>
      </c>
      <c r="D156" s="953">
        <v>20</v>
      </c>
      <c r="E156" s="1045">
        <v>4.9607714462899999</v>
      </c>
    </row>
    <row r="157" spans="1:24" x14ac:dyDescent="0.2">
      <c r="A157" s="953" t="s">
        <v>609</v>
      </c>
      <c r="B157" s="953" t="s">
        <v>759</v>
      </c>
      <c r="C157" s="953" t="s">
        <v>663</v>
      </c>
      <c r="D157" s="953">
        <v>7</v>
      </c>
      <c r="E157" s="1045">
        <v>77.172314695500006</v>
      </c>
    </row>
    <row r="158" spans="1:24" x14ac:dyDescent="0.2">
      <c r="A158" s="953" t="s">
        <v>609</v>
      </c>
      <c r="B158" s="953" t="s">
        <v>759</v>
      </c>
      <c r="C158" s="953" t="s">
        <v>449</v>
      </c>
      <c r="D158" s="953">
        <v>14</v>
      </c>
      <c r="E158" s="1045">
        <v>45.602679751300002</v>
      </c>
    </row>
    <row r="159" spans="1:24" x14ac:dyDescent="0.2">
      <c r="A159" s="953" t="s">
        <v>609</v>
      </c>
      <c r="B159" s="953" t="s">
        <v>759</v>
      </c>
      <c r="C159" s="953" t="s">
        <v>446</v>
      </c>
      <c r="D159" s="953">
        <v>1</v>
      </c>
      <c r="E159" s="1045">
        <v>0.29648520609399998</v>
      </c>
    </row>
    <row r="160" spans="1:24" x14ac:dyDescent="0.2">
      <c r="A160" s="953" t="s">
        <v>609</v>
      </c>
      <c r="B160" s="953" t="s">
        <v>759</v>
      </c>
      <c r="C160" s="953" t="s">
        <v>448</v>
      </c>
      <c r="D160" s="953">
        <v>7</v>
      </c>
      <c r="E160" s="1045">
        <v>11.0799635498</v>
      </c>
    </row>
    <row r="161" spans="1:5" x14ac:dyDescent="0.2">
      <c r="A161" s="953" t="s">
        <v>609</v>
      </c>
      <c r="B161" s="953" t="s">
        <v>759</v>
      </c>
      <c r="C161" s="953" t="s">
        <v>451</v>
      </c>
      <c r="D161" s="953">
        <v>5</v>
      </c>
      <c r="E161" s="1045">
        <v>18.883063484800001</v>
      </c>
    </row>
    <row r="162" spans="1:5" x14ac:dyDescent="0.2">
      <c r="A162" s="953" t="s">
        <v>609</v>
      </c>
      <c r="B162" s="953" t="s">
        <v>759</v>
      </c>
      <c r="C162" s="953" t="s">
        <v>452</v>
      </c>
      <c r="D162" s="953">
        <v>111</v>
      </c>
      <c r="E162" s="1045">
        <v>798.60326603800002</v>
      </c>
    </row>
    <row r="163" spans="1:5" x14ac:dyDescent="0.2">
      <c r="A163" s="953" t="s">
        <v>609</v>
      </c>
      <c r="B163" s="953" t="s">
        <v>765</v>
      </c>
      <c r="C163" s="953" t="s">
        <v>447</v>
      </c>
      <c r="D163" s="953">
        <v>7</v>
      </c>
      <c r="E163" s="1045">
        <v>22.288104644200001</v>
      </c>
    </row>
    <row r="164" spans="1:5" x14ac:dyDescent="0.2">
      <c r="A164" s="953" t="s">
        <v>609</v>
      </c>
      <c r="B164" s="953" t="s">
        <v>765</v>
      </c>
      <c r="C164" s="953" t="s">
        <v>667</v>
      </c>
      <c r="D164" s="953">
        <v>74</v>
      </c>
      <c r="E164" s="1045">
        <v>237.16372918600001</v>
      </c>
    </row>
    <row r="165" spans="1:5" x14ac:dyDescent="0.2">
      <c r="A165" s="953" t="s">
        <v>609</v>
      </c>
      <c r="B165" s="953" t="s">
        <v>765</v>
      </c>
      <c r="C165" s="953" t="s">
        <v>662</v>
      </c>
      <c r="D165" s="953">
        <v>4</v>
      </c>
      <c r="E165" s="1045">
        <v>3.9658441409299998</v>
      </c>
    </row>
    <row r="166" spans="1:5" x14ac:dyDescent="0.2">
      <c r="A166" s="953" t="s">
        <v>609</v>
      </c>
      <c r="B166" s="953" t="s">
        <v>765</v>
      </c>
      <c r="C166" s="953" t="s">
        <v>446</v>
      </c>
      <c r="D166" s="953">
        <v>31</v>
      </c>
      <c r="E166" s="1045">
        <v>229.75413556300001</v>
      </c>
    </row>
    <row r="167" spans="1:5" x14ac:dyDescent="0.2">
      <c r="A167" s="953" t="s">
        <v>609</v>
      </c>
      <c r="B167" s="953" t="s">
        <v>765</v>
      </c>
      <c r="C167" s="953" t="s">
        <v>451</v>
      </c>
      <c r="D167" s="953">
        <v>6</v>
      </c>
      <c r="E167" s="1045">
        <v>6.5043069133699998</v>
      </c>
    </row>
    <row r="168" spans="1:5" x14ac:dyDescent="0.2">
      <c r="A168" s="953" t="s">
        <v>609</v>
      </c>
      <c r="B168" s="953" t="s">
        <v>765</v>
      </c>
      <c r="C168" s="953" t="s">
        <v>452</v>
      </c>
      <c r="D168" s="953">
        <v>40</v>
      </c>
      <c r="E168" s="1045">
        <v>35.607611411500002</v>
      </c>
    </row>
    <row r="169" spans="1:5" x14ac:dyDescent="0.2">
      <c r="A169" s="953" t="s">
        <v>609</v>
      </c>
      <c r="B169" s="953" t="s">
        <v>763</v>
      </c>
      <c r="C169" s="953" t="s">
        <v>447</v>
      </c>
      <c r="D169" s="953">
        <v>3</v>
      </c>
      <c r="E169" s="1045">
        <v>45.7482303934</v>
      </c>
    </row>
    <row r="170" spans="1:5" x14ac:dyDescent="0.2">
      <c r="A170" s="953" t="s">
        <v>609</v>
      </c>
      <c r="B170" s="953" t="s">
        <v>763</v>
      </c>
      <c r="C170" s="953" t="s">
        <v>667</v>
      </c>
      <c r="D170" s="953">
        <v>13</v>
      </c>
      <c r="E170" s="1045">
        <v>80.956604075100003</v>
      </c>
    </row>
    <row r="171" spans="1:5" x14ac:dyDescent="0.2">
      <c r="A171" s="953" t="s">
        <v>609</v>
      </c>
      <c r="B171" s="953" t="s">
        <v>763</v>
      </c>
      <c r="C171" s="953" t="s">
        <v>662</v>
      </c>
      <c r="D171" s="953">
        <v>5</v>
      </c>
      <c r="E171" s="1045">
        <v>3.42648814474</v>
      </c>
    </row>
    <row r="172" spans="1:5" x14ac:dyDescent="0.2">
      <c r="A172" s="953" t="s">
        <v>609</v>
      </c>
      <c r="B172" s="953" t="s">
        <v>763</v>
      </c>
      <c r="C172" s="953" t="s">
        <v>444</v>
      </c>
      <c r="D172" s="953">
        <v>2</v>
      </c>
      <c r="E172" s="1045">
        <v>4.4127211529399997E-4</v>
      </c>
    </row>
    <row r="173" spans="1:5" x14ac:dyDescent="0.2">
      <c r="A173" s="953" t="s">
        <v>609</v>
      </c>
      <c r="B173" s="953" t="s">
        <v>763</v>
      </c>
      <c r="C173" s="953" t="s">
        <v>446</v>
      </c>
      <c r="D173" s="953">
        <v>19</v>
      </c>
      <c r="E173" s="1045">
        <v>155.56077950299999</v>
      </c>
    </row>
    <row r="174" spans="1:5" x14ac:dyDescent="0.2">
      <c r="A174" s="953" t="s">
        <v>609</v>
      </c>
      <c r="B174" s="953" t="s">
        <v>763</v>
      </c>
      <c r="C174" s="953" t="s">
        <v>452</v>
      </c>
      <c r="D174" s="953">
        <v>1</v>
      </c>
      <c r="E174" s="1045">
        <v>3.2844038712299999</v>
      </c>
    </row>
    <row r="175" spans="1:5" x14ac:dyDescent="0.2">
      <c r="A175" s="953" t="s">
        <v>610</v>
      </c>
      <c r="B175" s="953" t="s">
        <v>759</v>
      </c>
      <c r="C175" s="953" t="s">
        <v>447</v>
      </c>
      <c r="D175" s="953">
        <v>15</v>
      </c>
      <c r="E175" s="1045">
        <v>18.469700120799999</v>
      </c>
    </row>
    <row r="176" spans="1:5" x14ac:dyDescent="0.2">
      <c r="A176" s="953" t="s">
        <v>610</v>
      </c>
      <c r="B176" s="953" t="s">
        <v>759</v>
      </c>
      <c r="C176" s="953" t="s">
        <v>667</v>
      </c>
      <c r="D176" s="953">
        <v>14</v>
      </c>
      <c r="E176" s="1045">
        <v>3.3242561997400002</v>
      </c>
    </row>
    <row r="177" spans="1:5" x14ac:dyDescent="0.2">
      <c r="A177" s="953" t="s">
        <v>610</v>
      </c>
      <c r="B177" s="953" t="s">
        <v>759</v>
      </c>
      <c r="C177" s="953" t="s">
        <v>661</v>
      </c>
      <c r="D177" s="953">
        <v>1</v>
      </c>
      <c r="E177" s="1045">
        <v>2.4931498662499999E-2</v>
      </c>
    </row>
    <row r="178" spans="1:5" x14ac:dyDescent="0.2">
      <c r="A178" s="953" t="s">
        <v>610</v>
      </c>
      <c r="B178" s="953" t="s">
        <v>759</v>
      </c>
      <c r="C178" s="953" t="s">
        <v>14</v>
      </c>
      <c r="D178" s="953">
        <v>3</v>
      </c>
      <c r="E178" s="1045">
        <v>0.80261430573299997</v>
      </c>
    </row>
    <row r="179" spans="1:5" x14ac:dyDescent="0.2">
      <c r="A179" s="953" t="s">
        <v>610</v>
      </c>
      <c r="B179" s="953" t="s">
        <v>759</v>
      </c>
      <c r="C179" s="953" t="s">
        <v>665</v>
      </c>
      <c r="D179" s="953">
        <v>2</v>
      </c>
      <c r="E179" s="1045">
        <v>0.14858295510700001</v>
      </c>
    </row>
    <row r="180" spans="1:5" x14ac:dyDescent="0.2">
      <c r="A180" s="953" t="s">
        <v>610</v>
      </c>
      <c r="B180" s="953" t="s">
        <v>759</v>
      </c>
      <c r="C180" s="953" t="s">
        <v>662</v>
      </c>
      <c r="D180" s="953">
        <v>7</v>
      </c>
      <c r="E180" s="1045">
        <v>5.1066033656199998</v>
      </c>
    </row>
    <row r="181" spans="1:5" x14ac:dyDescent="0.2">
      <c r="A181" s="953" t="s">
        <v>610</v>
      </c>
      <c r="B181" s="953" t="s">
        <v>759</v>
      </c>
      <c r="C181" s="953" t="s">
        <v>449</v>
      </c>
      <c r="D181" s="953">
        <v>3</v>
      </c>
      <c r="E181" s="1045">
        <v>0.25920822775000002</v>
      </c>
    </row>
    <row r="182" spans="1:5" x14ac:dyDescent="0.2">
      <c r="A182" s="953" t="s">
        <v>610</v>
      </c>
      <c r="B182" s="953" t="s">
        <v>759</v>
      </c>
      <c r="C182" s="953" t="s">
        <v>446</v>
      </c>
      <c r="D182" s="953">
        <v>8</v>
      </c>
      <c r="E182" s="1045">
        <v>65.402483179399994</v>
      </c>
    </row>
    <row r="183" spans="1:5" x14ac:dyDescent="0.2">
      <c r="A183" s="953" t="s">
        <v>610</v>
      </c>
      <c r="B183" s="953" t="s">
        <v>759</v>
      </c>
      <c r="C183" s="953" t="s">
        <v>448</v>
      </c>
      <c r="D183" s="953">
        <v>41</v>
      </c>
      <c r="E183" s="1045">
        <v>507.81807278600002</v>
      </c>
    </row>
    <row r="184" spans="1:5" x14ac:dyDescent="0.2">
      <c r="A184" s="953" t="s">
        <v>610</v>
      </c>
      <c r="B184" s="953" t="s">
        <v>759</v>
      </c>
      <c r="C184" s="953" t="s">
        <v>451</v>
      </c>
      <c r="D184" s="953">
        <v>8</v>
      </c>
      <c r="E184" s="1045">
        <v>3.3121718916199998</v>
      </c>
    </row>
    <row r="185" spans="1:5" x14ac:dyDescent="0.2">
      <c r="A185" s="953" t="s">
        <v>610</v>
      </c>
      <c r="B185" s="953" t="s">
        <v>759</v>
      </c>
      <c r="C185" s="953" t="s">
        <v>452</v>
      </c>
      <c r="D185" s="953">
        <v>31</v>
      </c>
      <c r="E185" s="1045">
        <v>79.231770620899994</v>
      </c>
    </row>
    <row r="186" spans="1:5" x14ac:dyDescent="0.2">
      <c r="A186" s="953" t="s">
        <v>610</v>
      </c>
      <c r="B186" s="953" t="s">
        <v>765</v>
      </c>
      <c r="C186" s="953" t="s">
        <v>447</v>
      </c>
      <c r="D186" s="953">
        <v>5</v>
      </c>
      <c r="E186" s="1045">
        <v>2.7334278595999999</v>
      </c>
    </row>
    <row r="187" spans="1:5" x14ac:dyDescent="0.2">
      <c r="A187" s="953" t="s">
        <v>610</v>
      </c>
      <c r="B187" s="953" t="s">
        <v>765</v>
      </c>
      <c r="C187" s="953" t="s">
        <v>667</v>
      </c>
      <c r="D187" s="953">
        <v>7</v>
      </c>
      <c r="E187" s="1045">
        <v>3.3177912605</v>
      </c>
    </row>
    <row r="188" spans="1:5" x14ac:dyDescent="0.2">
      <c r="A188" s="953" t="s">
        <v>610</v>
      </c>
      <c r="B188" s="953" t="s">
        <v>765</v>
      </c>
      <c r="C188" s="953" t="s">
        <v>446</v>
      </c>
      <c r="D188" s="953">
        <v>2</v>
      </c>
      <c r="E188" s="1045">
        <v>5.43792982144</v>
      </c>
    </row>
    <row r="189" spans="1:5" x14ac:dyDescent="0.2">
      <c r="A189" s="953" t="s">
        <v>610</v>
      </c>
      <c r="B189" s="953" t="s">
        <v>765</v>
      </c>
      <c r="C189" s="953" t="s">
        <v>664</v>
      </c>
      <c r="D189" s="953">
        <v>12</v>
      </c>
      <c r="E189" s="1045">
        <v>30.4298786781</v>
      </c>
    </row>
    <row r="190" spans="1:5" x14ac:dyDescent="0.2">
      <c r="A190" s="953" t="s">
        <v>610</v>
      </c>
      <c r="B190" s="953" t="s">
        <v>765</v>
      </c>
      <c r="C190" s="953" t="s">
        <v>448</v>
      </c>
      <c r="D190" s="953">
        <v>1</v>
      </c>
      <c r="E190" s="1045">
        <v>0.40391760623700002</v>
      </c>
    </row>
    <row r="191" spans="1:5" x14ac:dyDescent="0.2">
      <c r="A191" s="953" t="s">
        <v>610</v>
      </c>
      <c r="B191" s="953" t="s">
        <v>765</v>
      </c>
      <c r="C191" s="953" t="s">
        <v>452</v>
      </c>
      <c r="D191" s="953">
        <v>13</v>
      </c>
      <c r="E191" s="1045">
        <v>15.8401741817</v>
      </c>
    </row>
    <row r="192" spans="1:5" x14ac:dyDescent="0.2">
      <c r="A192" s="953" t="s">
        <v>610</v>
      </c>
      <c r="B192" s="953" t="s">
        <v>763</v>
      </c>
      <c r="C192" s="953" t="s">
        <v>667</v>
      </c>
      <c r="D192" s="953">
        <v>1</v>
      </c>
      <c r="E192" s="1045">
        <v>3.4310144678299999</v>
      </c>
    </row>
    <row r="193" spans="1:5" x14ac:dyDescent="0.2">
      <c r="A193" s="953" t="s">
        <v>610</v>
      </c>
      <c r="B193" s="953" t="s">
        <v>763</v>
      </c>
      <c r="C193" s="953" t="s">
        <v>662</v>
      </c>
      <c r="D193" s="953">
        <v>2</v>
      </c>
      <c r="E193" s="1045">
        <v>7.48367137652E-2</v>
      </c>
    </row>
    <row r="194" spans="1:5" x14ac:dyDescent="0.2">
      <c r="A194" s="953" t="s">
        <v>610</v>
      </c>
      <c r="B194" s="953" t="s">
        <v>763</v>
      </c>
      <c r="C194" s="953" t="s">
        <v>452</v>
      </c>
      <c r="D194" s="953">
        <v>1</v>
      </c>
      <c r="E194" s="1045">
        <v>0.33054512172299999</v>
      </c>
    </row>
    <row r="195" spans="1:5" x14ac:dyDescent="0.2">
      <c r="A195" s="953" t="s">
        <v>643</v>
      </c>
      <c r="B195" s="953" t="s">
        <v>759</v>
      </c>
      <c r="C195" s="953" t="s">
        <v>667</v>
      </c>
      <c r="D195" s="953">
        <v>9</v>
      </c>
      <c r="E195" s="1045">
        <v>6.4816490514199998</v>
      </c>
    </row>
    <row r="196" spans="1:5" x14ac:dyDescent="0.2">
      <c r="A196" s="953" t="s">
        <v>643</v>
      </c>
      <c r="B196" s="953" t="s">
        <v>759</v>
      </c>
      <c r="C196" s="953" t="s">
        <v>662</v>
      </c>
      <c r="D196" s="953">
        <v>5</v>
      </c>
      <c r="E196" s="1045">
        <v>2.4498517419499999</v>
      </c>
    </row>
    <row r="197" spans="1:5" x14ac:dyDescent="0.2">
      <c r="A197" s="953" t="s">
        <v>643</v>
      </c>
      <c r="B197" s="953" t="s">
        <v>759</v>
      </c>
      <c r="C197" s="953" t="s">
        <v>666</v>
      </c>
      <c r="D197" s="953">
        <v>4</v>
      </c>
      <c r="E197" s="1045">
        <v>1.14197814878</v>
      </c>
    </row>
    <row r="198" spans="1:5" x14ac:dyDescent="0.2">
      <c r="A198" s="953" t="s">
        <v>643</v>
      </c>
      <c r="B198" s="953" t="s">
        <v>759</v>
      </c>
      <c r="C198" s="953" t="s">
        <v>663</v>
      </c>
      <c r="D198" s="953">
        <v>1</v>
      </c>
      <c r="E198" s="1045">
        <v>7.6949711894599995E-2</v>
      </c>
    </row>
    <row r="199" spans="1:5" x14ac:dyDescent="0.2">
      <c r="A199" s="953" t="s">
        <v>643</v>
      </c>
      <c r="B199" s="953" t="s">
        <v>759</v>
      </c>
      <c r="C199" s="953" t="s">
        <v>449</v>
      </c>
      <c r="D199" s="953">
        <v>3</v>
      </c>
      <c r="E199" s="1045">
        <v>0.1502943649</v>
      </c>
    </row>
    <row r="200" spans="1:5" x14ac:dyDescent="0.2">
      <c r="A200" s="953" t="s">
        <v>643</v>
      </c>
      <c r="B200" s="953" t="s">
        <v>759</v>
      </c>
      <c r="C200" s="953" t="s">
        <v>446</v>
      </c>
      <c r="D200" s="953">
        <v>13</v>
      </c>
      <c r="E200" s="1045">
        <v>3.5999970192899999</v>
      </c>
    </row>
    <row r="201" spans="1:5" x14ac:dyDescent="0.2">
      <c r="A201" s="953" t="s">
        <v>643</v>
      </c>
      <c r="B201" s="953" t="s">
        <v>759</v>
      </c>
      <c r="C201" s="953" t="s">
        <v>448</v>
      </c>
      <c r="D201" s="953">
        <v>24</v>
      </c>
      <c r="E201" s="1045">
        <v>256.57843070799998</v>
      </c>
    </row>
    <row r="202" spans="1:5" x14ac:dyDescent="0.2">
      <c r="A202" s="953" t="s">
        <v>643</v>
      </c>
      <c r="B202" s="953" t="s">
        <v>759</v>
      </c>
      <c r="C202" s="953" t="s">
        <v>451</v>
      </c>
      <c r="D202" s="953">
        <v>1</v>
      </c>
      <c r="E202" s="1045">
        <v>1.5572220225599999E-3</v>
      </c>
    </row>
    <row r="203" spans="1:5" x14ac:dyDescent="0.2">
      <c r="A203" s="953" t="s">
        <v>643</v>
      </c>
      <c r="B203" s="953" t="s">
        <v>759</v>
      </c>
      <c r="C203" s="953" t="s">
        <v>452</v>
      </c>
      <c r="D203" s="953">
        <v>28</v>
      </c>
      <c r="E203" s="1045">
        <v>83.991190133499998</v>
      </c>
    </row>
    <row r="204" spans="1:5" x14ac:dyDescent="0.2">
      <c r="A204" s="953" t="s">
        <v>643</v>
      </c>
      <c r="B204" s="953" t="s">
        <v>760</v>
      </c>
      <c r="C204" s="953" t="s">
        <v>667</v>
      </c>
      <c r="D204" s="953">
        <v>7</v>
      </c>
      <c r="E204" s="1045">
        <v>53.284947886700003</v>
      </c>
    </row>
    <row r="205" spans="1:5" x14ac:dyDescent="0.2">
      <c r="A205" s="953" t="s">
        <v>643</v>
      </c>
      <c r="B205" s="953" t="s">
        <v>760</v>
      </c>
      <c r="C205" s="953" t="s">
        <v>662</v>
      </c>
      <c r="D205" s="953">
        <v>5</v>
      </c>
      <c r="E205" s="1045">
        <v>5.1428561250999998</v>
      </c>
    </row>
    <row r="206" spans="1:5" x14ac:dyDescent="0.2">
      <c r="A206" s="953" t="s">
        <v>643</v>
      </c>
      <c r="B206" s="953" t="s">
        <v>760</v>
      </c>
      <c r="C206" s="953" t="s">
        <v>449</v>
      </c>
      <c r="D206" s="953">
        <v>17</v>
      </c>
      <c r="E206" s="1045">
        <v>74.795139605399996</v>
      </c>
    </row>
    <row r="207" spans="1:5" x14ac:dyDescent="0.2">
      <c r="A207" s="953" t="s">
        <v>643</v>
      </c>
      <c r="B207" s="953" t="s">
        <v>760</v>
      </c>
      <c r="C207" s="953" t="s">
        <v>446</v>
      </c>
      <c r="D207" s="953">
        <v>6</v>
      </c>
      <c r="E207" s="1045">
        <v>5.1046277708799996</v>
      </c>
    </row>
    <row r="208" spans="1:5" x14ac:dyDescent="0.2">
      <c r="A208" s="953" t="s">
        <v>643</v>
      </c>
      <c r="B208" s="953" t="s">
        <v>760</v>
      </c>
      <c r="C208" s="953" t="s">
        <v>448</v>
      </c>
      <c r="D208" s="953">
        <v>5</v>
      </c>
      <c r="E208" s="1045">
        <v>1.0286769525699999</v>
      </c>
    </row>
    <row r="209" spans="1:5" x14ac:dyDescent="0.2">
      <c r="A209" s="953" t="s">
        <v>643</v>
      </c>
      <c r="B209" s="953" t="s">
        <v>760</v>
      </c>
      <c r="C209" s="953" t="s">
        <v>451</v>
      </c>
      <c r="D209" s="953">
        <v>5</v>
      </c>
      <c r="E209" s="1045">
        <v>3.5055631736000001</v>
      </c>
    </row>
    <row r="210" spans="1:5" x14ac:dyDescent="0.2">
      <c r="A210" s="953" t="s">
        <v>643</v>
      </c>
      <c r="B210" s="953" t="s">
        <v>760</v>
      </c>
      <c r="C210" s="953" t="s">
        <v>452</v>
      </c>
      <c r="D210" s="953">
        <v>16</v>
      </c>
      <c r="E210" s="1045">
        <v>32.233668292899999</v>
      </c>
    </row>
    <row r="211" spans="1:5" x14ac:dyDescent="0.2">
      <c r="A211" s="953" t="s">
        <v>813</v>
      </c>
      <c r="B211" s="953" t="s">
        <v>759</v>
      </c>
      <c r="C211" s="953" t="s">
        <v>447</v>
      </c>
      <c r="D211" s="953">
        <v>40</v>
      </c>
      <c r="E211" s="1045">
        <v>85.298983523900006</v>
      </c>
    </row>
    <row r="212" spans="1:5" x14ac:dyDescent="0.2">
      <c r="A212" s="953" t="s">
        <v>813</v>
      </c>
      <c r="B212" s="953" t="s">
        <v>759</v>
      </c>
      <c r="C212" s="953" t="s">
        <v>667</v>
      </c>
      <c r="D212" s="953">
        <v>155</v>
      </c>
      <c r="E212" s="1045">
        <v>295.75535249199999</v>
      </c>
    </row>
    <row r="213" spans="1:5" x14ac:dyDescent="0.2">
      <c r="A213" s="953" t="s">
        <v>813</v>
      </c>
      <c r="B213" s="953" t="s">
        <v>759</v>
      </c>
      <c r="C213" s="953" t="s">
        <v>661</v>
      </c>
      <c r="D213" s="953">
        <v>13</v>
      </c>
      <c r="E213" s="1045">
        <v>8.7569276787299994</v>
      </c>
    </row>
    <row r="214" spans="1:5" x14ac:dyDescent="0.2">
      <c r="A214" s="953" t="s">
        <v>813</v>
      </c>
      <c r="B214" s="953" t="s">
        <v>759</v>
      </c>
      <c r="C214" s="953" t="s">
        <v>14</v>
      </c>
      <c r="D214" s="953">
        <v>1</v>
      </c>
      <c r="E214" s="1045">
        <v>0.16828364258199999</v>
      </c>
    </row>
    <row r="215" spans="1:5" x14ac:dyDescent="0.2">
      <c r="A215" s="953" t="s">
        <v>813</v>
      </c>
      <c r="B215" s="953" t="s">
        <v>759</v>
      </c>
      <c r="C215" s="953" t="s">
        <v>443</v>
      </c>
      <c r="D215" s="953">
        <v>2</v>
      </c>
      <c r="E215" s="1045">
        <v>3.6914341028100002</v>
      </c>
    </row>
    <row r="216" spans="1:5" x14ac:dyDescent="0.2">
      <c r="A216" s="953" t="s">
        <v>813</v>
      </c>
      <c r="B216" s="953" t="s">
        <v>759</v>
      </c>
      <c r="C216" s="953" t="s">
        <v>665</v>
      </c>
      <c r="D216" s="953">
        <v>11</v>
      </c>
      <c r="E216" s="1045">
        <v>0.93562575460499997</v>
      </c>
    </row>
    <row r="217" spans="1:5" x14ac:dyDescent="0.2">
      <c r="A217" s="953" t="s">
        <v>813</v>
      </c>
      <c r="B217" s="953" t="s">
        <v>759</v>
      </c>
      <c r="C217" s="953" t="s">
        <v>662</v>
      </c>
      <c r="D217" s="953">
        <v>107</v>
      </c>
      <c r="E217" s="1045">
        <v>41.2159972989</v>
      </c>
    </row>
    <row r="218" spans="1:5" x14ac:dyDescent="0.2">
      <c r="A218" s="953" t="s">
        <v>813</v>
      </c>
      <c r="B218" s="953" t="s">
        <v>759</v>
      </c>
      <c r="C218" s="953" t="s">
        <v>666</v>
      </c>
      <c r="D218" s="953">
        <v>24</v>
      </c>
      <c r="E218" s="1045">
        <v>5.2882620817600001</v>
      </c>
    </row>
    <row r="219" spans="1:5" x14ac:dyDescent="0.2">
      <c r="A219" s="953" t="s">
        <v>813</v>
      </c>
      <c r="B219" s="953" t="s">
        <v>759</v>
      </c>
      <c r="C219" s="953" t="s">
        <v>444</v>
      </c>
      <c r="D219" s="953">
        <v>8</v>
      </c>
      <c r="E219" s="1045">
        <v>16.7576244985</v>
      </c>
    </row>
    <row r="220" spans="1:5" x14ac:dyDescent="0.2">
      <c r="A220" s="953" t="s">
        <v>813</v>
      </c>
      <c r="B220" s="953" t="s">
        <v>759</v>
      </c>
      <c r="C220" s="953" t="s">
        <v>663</v>
      </c>
      <c r="D220" s="953">
        <v>25</v>
      </c>
      <c r="E220" s="1045">
        <v>49.046325019199998</v>
      </c>
    </row>
    <row r="221" spans="1:5" x14ac:dyDescent="0.2">
      <c r="A221" s="953" t="s">
        <v>813</v>
      </c>
      <c r="B221" s="953" t="s">
        <v>759</v>
      </c>
      <c r="C221" s="953" t="s">
        <v>449</v>
      </c>
      <c r="D221" s="953">
        <v>8</v>
      </c>
      <c r="E221" s="1045">
        <v>0.93214517314199996</v>
      </c>
    </row>
    <row r="222" spans="1:5" x14ac:dyDescent="0.2">
      <c r="A222" s="953" t="s">
        <v>813</v>
      </c>
      <c r="B222" s="953" t="s">
        <v>759</v>
      </c>
      <c r="C222" s="953" t="s">
        <v>446</v>
      </c>
      <c r="D222" s="953">
        <v>80</v>
      </c>
      <c r="E222" s="1045">
        <v>83.680043600000005</v>
      </c>
    </row>
    <row r="223" spans="1:5" x14ac:dyDescent="0.2">
      <c r="A223" s="953" t="s">
        <v>813</v>
      </c>
      <c r="B223" s="953" t="s">
        <v>759</v>
      </c>
      <c r="C223" s="953" t="s">
        <v>448</v>
      </c>
      <c r="D223" s="953">
        <v>233</v>
      </c>
      <c r="E223" s="1045">
        <v>1417.91758336</v>
      </c>
    </row>
    <row r="224" spans="1:5" x14ac:dyDescent="0.2">
      <c r="A224" s="953" t="s">
        <v>813</v>
      </c>
      <c r="B224" s="953" t="s">
        <v>759</v>
      </c>
      <c r="C224" s="953" t="s">
        <v>451</v>
      </c>
      <c r="D224" s="953">
        <v>66</v>
      </c>
      <c r="E224" s="1045">
        <v>168.11748428999999</v>
      </c>
    </row>
    <row r="225" spans="1:5" x14ac:dyDescent="0.2">
      <c r="A225" s="953" t="s">
        <v>813</v>
      </c>
      <c r="B225" s="953" t="s">
        <v>759</v>
      </c>
      <c r="C225" s="953" t="s">
        <v>452</v>
      </c>
      <c r="D225" s="953">
        <v>124</v>
      </c>
      <c r="E225" s="1045">
        <v>96.645678792400005</v>
      </c>
    </row>
    <row r="226" spans="1:5" x14ac:dyDescent="0.2">
      <c r="A226" s="953" t="s">
        <v>813</v>
      </c>
      <c r="B226" s="953" t="s">
        <v>814</v>
      </c>
      <c r="C226" s="953" t="s">
        <v>667</v>
      </c>
      <c r="D226" s="953">
        <v>1</v>
      </c>
      <c r="E226" s="1045">
        <v>4.5459815324900003E-2</v>
      </c>
    </row>
    <row r="227" spans="1:5" x14ac:dyDescent="0.2">
      <c r="A227" s="953" t="s">
        <v>813</v>
      </c>
      <c r="B227" s="953" t="s">
        <v>814</v>
      </c>
      <c r="C227" s="953" t="s">
        <v>448</v>
      </c>
      <c r="D227" s="953">
        <v>1</v>
      </c>
      <c r="E227" s="1045">
        <v>4.1314898824600004</v>
      </c>
    </row>
    <row r="228" spans="1:5" x14ac:dyDescent="0.2">
      <c r="A228" s="953" t="s">
        <v>813</v>
      </c>
      <c r="B228" s="953" t="s">
        <v>765</v>
      </c>
      <c r="C228" s="953" t="s">
        <v>447</v>
      </c>
      <c r="D228" s="953">
        <v>21</v>
      </c>
      <c r="E228" s="1045">
        <v>128.15511992</v>
      </c>
    </row>
    <row r="229" spans="1:5" x14ac:dyDescent="0.2">
      <c r="A229" s="953" t="s">
        <v>813</v>
      </c>
      <c r="B229" s="953" t="s">
        <v>765</v>
      </c>
      <c r="C229" s="953" t="s">
        <v>712</v>
      </c>
      <c r="D229" s="953">
        <v>1</v>
      </c>
      <c r="E229" s="1045">
        <v>4.2994983893100001</v>
      </c>
    </row>
    <row r="230" spans="1:5" x14ac:dyDescent="0.2">
      <c r="A230" s="953" t="s">
        <v>813</v>
      </c>
      <c r="B230" s="953" t="s">
        <v>765</v>
      </c>
      <c r="C230" s="953" t="s">
        <v>667</v>
      </c>
      <c r="D230" s="953">
        <v>89</v>
      </c>
      <c r="E230" s="1045">
        <v>143.86199971299999</v>
      </c>
    </row>
    <row r="231" spans="1:5" x14ac:dyDescent="0.2">
      <c r="A231" s="953" t="s">
        <v>813</v>
      </c>
      <c r="B231" s="953" t="s">
        <v>765</v>
      </c>
      <c r="C231" s="953" t="s">
        <v>661</v>
      </c>
      <c r="D231" s="953">
        <v>2</v>
      </c>
      <c r="E231" s="1045">
        <v>1.4018671642599999E-2</v>
      </c>
    </row>
    <row r="232" spans="1:5" x14ac:dyDescent="0.2">
      <c r="A232" s="953" t="s">
        <v>813</v>
      </c>
      <c r="B232" s="953" t="s">
        <v>765</v>
      </c>
      <c r="C232" s="953" t="s">
        <v>665</v>
      </c>
      <c r="D232" s="953">
        <v>1</v>
      </c>
      <c r="E232" s="1045">
        <v>0.16542022306199999</v>
      </c>
    </row>
    <row r="233" spans="1:5" x14ac:dyDescent="0.2">
      <c r="A233" s="953" t="s">
        <v>813</v>
      </c>
      <c r="B233" s="953" t="s">
        <v>765</v>
      </c>
      <c r="C233" s="953" t="s">
        <v>662</v>
      </c>
      <c r="D233" s="953">
        <v>31</v>
      </c>
      <c r="E233" s="1045">
        <v>20.645760202200002</v>
      </c>
    </row>
    <row r="234" spans="1:5" x14ac:dyDescent="0.2">
      <c r="A234" s="953" t="s">
        <v>813</v>
      </c>
      <c r="B234" s="953" t="s">
        <v>765</v>
      </c>
      <c r="C234" s="953" t="s">
        <v>444</v>
      </c>
      <c r="D234" s="953">
        <v>11</v>
      </c>
      <c r="E234" s="1045">
        <v>17.9043075869</v>
      </c>
    </row>
    <row r="235" spans="1:5" x14ac:dyDescent="0.2">
      <c r="A235" s="953" t="s">
        <v>813</v>
      </c>
      <c r="B235" s="953" t="s">
        <v>765</v>
      </c>
      <c r="C235" s="953" t="s">
        <v>663</v>
      </c>
      <c r="D235" s="953">
        <v>4</v>
      </c>
      <c r="E235" s="1045">
        <v>1.0494346409099999</v>
      </c>
    </row>
    <row r="236" spans="1:5" x14ac:dyDescent="0.2">
      <c r="A236" s="953" t="s">
        <v>813</v>
      </c>
      <c r="B236" s="953" t="s">
        <v>765</v>
      </c>
      <c r="C236" s="953" t="s">
        <v>449</v>
      </c>
      <c r="D236" s="953">
        <v>7</v>
      </c>
      <c r="E236" s="1045">
        <v>1.0017813290499999</v>
      </c>
    </row>
    <row r="237" spans="1:5" x14ac:dyDescent="0.2">
      <c r="A237" s="953" t="s">
        <v>813</v>
      </c>
      <c r="B237" s="953" t="s">
        <v>765</v>
      </c>
      <c r="C237" s="953" t="s">
        <v>446</v>
      </c>
      <c r="D237" s="953">
        <v>190</v>
      </c>
      <c r="E237" s="1045">
        <v>751.47488102299997</v>
      </c>
    </row>
    <row r="238" spans="1:5" x14ac:dyDescent="0.2">
      <c r="A238" s="953" t="s">
        <v>813</v>
      </c>
      <c r="B238" s="953" t="s">
        <v>765</v>
      </c>
      <c r="C238" s="953" t="s">
        <v>448</v>
      </c>
      <c r="D238" s="953">
        <v>23</v>
      </c>
      <c r="E238" s="1045">
        <v>391.04929107100003</v>
      </c>
    </row>
    <row r="239" spans="1:5" x14ac:dyDescent="0.2">
      <c r="A239" s="953" t="s">
        <v>813</v>
      </c>
      <c r="B239" s="953" t="s">
        <v>765</v>
      </c>
      <c r="C239" s="953" t="s">
        <v>451</v>
      </c>
      <c r="D239" s="953">
        <v>40</v>
      </c>
      <c r="E239" s="1045">
        <v>42.903660347600002</v>
      </c>
    </row>
    <row r="240" spans="1:5" x14ac:dyDescent="0.2">
      <c r="A240" s="953" t="s">
        <v>813</v>
      </c>
      <c r="B240" s="953" t="s">
        <v>765</v>
      </c>
      <c r="C240" s="953" t="s">
        <v>452</v>
      </c>
      <c r="D240" s="953">
        <v>200</v>
      </c>
      <c r="E240" s="1045">
        <v>303.45683074099998</v>
      </c>
    </row>
    <row r="241" spans="1:5" x14ac:dyDescent="0.2">
      <c r="A241" s="953" t="s">
        <v>813</v>
      </c>
      <c r="B241" s="953" t="s">
        <v>815</v>
      </c>
      <c r="C241" s="953" t="s">
        <v>667</v>
      </c>
      <c r="D241" s="953">
        <v>3</v>
      </c>
      <c r="E241" s="1045">
        <v>0.60660520713599997</v>
      </c>
    </row>
    <row r="242" spans="1:5" x14ac:dyDescent="0.2">
      <c r="A242" s="953" t="s">
        <v>813</v>
      </c>
      <c r="B242" s="953" t="s">
        <v>815</v>
      </c>
      <c r="C242" s="953" t="s">
        <v>662</v>
      </c>
      <c r="D242" s="953">
        <v>1</v>
      </c>
      <c r="E242" s="1045">
        <v>2.3345641347000002E-3</v>
      </c>
    </row>
    <row r="243" spans="1:5" x14ac:dyDescent="0.2">
      <c r="A243" s="953" t="s">
        <v>813</v>
      </c>
      <c r="B243" s="953" t="s">
        <v>815</v>
      </c>
      <c r="C243" s="953" t="s">
        <v>446</v>
      </c>
      <c r="D243" s="953">
        <v>4</v>
      </c>
      <c r="E243" s="1045">
        <v>23.267453640199999</v>
      </c>
    </row>
    <row r="244" spans="1:5" x14ac:dyDescent="0.2">
      <c r="A244" s="953" t="s">
        <v>813</v>
      </c>
      <c r="B244" s="953" t="s">
        <v>763</v>
      </c>
      <c r="C244" s="953" t="s">
        <v>447</v>
      </c>
      <c r="D244" s="953">
        <v>3</v>
      </c>
      <c r="E244" s="1045">
        <v>56.112367299399999</v>
      </c>
    </row>
    <row r="245" spans="1:5" x14ac:dyDescent="0.2">
      <c r="A245" s="953" t="s">
        <v>813</v>
      </c>
      <c r="B245" s="953" t="s">
        <v>763</v>
      </c>
      <c r="C245" s="953" t="s">
        <v>667</v>
      </c>
      <c r="D245" s="953">
        <v>47</v>
      </c>
      <c r="E245" s="1045">
        <v>118.87804549099999</v>
      </c>
    </row>
    <row r="246" spans="1:5" x14ac:dyDescent="0.2">
      <c r="A246" s="953" t="s">
        <v>813</v>
      </c>
      <c r="B246" s="953" t="s">
        <v>763</v>
      </c>
      <c r="C246" s="953" t="s">
        <v>661</v>
      </c>
      <c r="D246" s="953">
        <v>1</v>
      </c>
      <c r="E246" s="1045">
        <v>4.7922135492100004E-3</v>
      </c>
    </row>
    <row r="247" spans="1:5" x14ac:dyDescent="0.2">
      <c r="A247" s="953" t="s">
        <v>813</v>
      </c>
      <c r="B247" s="953" t="s">
        <v>763</v>
      </c>
      <c r="C247" s="953" t="s">
        <v>665</v>
      </c>
      <c r="D247" s="953">
        <v>3</v>
      </c>
      <c r="E247" s="1045">
        <v>9.87952815469</v>
      </c>
    </row>
    <row r="248" spans="1:5" x14ac:dyDescent="0.2">
      <c r="A248" s="953" t="s">
        <v>813</v>
      </c>
      <c r="B248" s="953" t="s">
        <v>763</v>
      </c>
      <c r="C248" s="953" t="s">
        <v>662</v>
      </c>
      <c r="D248" s="953">
        <v>12</v>
      </c>
      <c r="E248" s="1045">
        <v>12.9083634171</v>
      </c>
    </row>
    <row r="249" spans="1:5" x14ac:dyDescent="0.2">
      <c r="A249" s="953" t="s">
        <v>813</v>
      </c>
      <c r="B249" s="953" t="s">
        <v>763</v>
      </c>
      <c r="C249" s="953" t="s">
        <v>444</v>
      </c>
      <c r="D249" s="953">
        <v>2</v>
      </c>
      <c r="E249" s="1045">
        <v>0.66030595204999998</v>
      </c>
    </row>
    <row r="250" spans="1:5" x14ac:dyDescent="0.2">
      <c r="A250" s="953" t="s">
        <v>813</v>
      </c>
      <c r="B250" s="953" t="s">
        <v>763</v>
      </c>
      <c r="C250" s="953" t="s">
        <v>663</v>
      </c>
      <c r="D250" s="953">
        <v>2</v>
      </c>
      <c r="E250" s="1045">
        <v>1.0195313289300001</v>
      </c>
    </row>
    <row r="251" spans="1:5" x14ac:dyDescent="0.2">
      <c r="A251" s="953" t="s">
        <v>813</v>
      </c>
      <c r="B251" s="953" t="s">
        <v>763</v>
      </c>
      <c r="C251" s="953" t="s">
        <v>449</v>
      </c>
      <c r="D251" s="953">
        <v>7</v>
      </c>
      <c r="E251" s="1045">
        <v>94.495654286700002</v>
      </c>
    </row>
    <row r="252" spans="1:5" x14ac:dyDescent="0.2">
      <c r="A252" s="953" t="s">
        <v>813</v>
      </c>
      <c r="B252" s="953" t="s">
        <v>763</v>
      </c>
      <c r="C252" s="953" t="s">
        <v>446</v>
      </c>
      <c r="D252" s="953">
        <v>47</v>
      </c>
      <c r="E252" s="1045">
        <v>127.75013409</v>
      </c>
    </row>
    <row r="253" spans="1:5" x14ac:dyDescent="0.2">
      <c r="A253" s="953" t="s">
        <v>813</v>
      </c>
      <c r="B253" s="953" t="s">
        <v>763</v>
      </c>
      <c r="C253" s="953" t="s">
        <v>448</v>
      </c>
      <c r="D253" s="953">
        <v>16</v>
      </c>
      <c r="E253" s="1045">
        <v>104.248148343</v>
      </c>
    </row>
    <row r="254" spans="1:5" x14ac:dyDescent="0.2">
      <c r="A254" s="953" t="s">
        <v>813</v>
      </c>
      <c r="B254" s="953" t="s">
        <v>763</v>
      </c>
      <c r="C254" s="953" t="s">
        <v>451</v>
      </c>
      <c r="D254" s="953">
        <v>5</v>
      </c>
      <c r="E254" s="1045">
        <v>2.0053204475499999</v>
      </c>
    </row>
    <row r="255" spans="1:5" x14ac:dyDescent="0.2">
      <c r="A255" s="953" t="s">
        <v>813</v>
      </c>
      <c r="B255" s="953" t="s">
        <v>763</v>
      </c>
      <c r="C255" s="953" t="s">
        <v>452</v>
      </c>
      <c r="D255" s="953">
        <v>65</v>
      </c>
      <c r="E255" s="1045">
        <v>74.810266022700006</v>
      </c>
    </row>
    <row r="256" spans="1:5" x14ac:dyDescent="0.2">
      <c r="A256" s="953" t="s">
        <v>813</v>
      </c>
      <c r="B256" s="953" t="s">
        <v>760</v>
      </c>
      <c r="C256" s="953" t="s">
        <v>447</v>
      </c>
      <c r="D256" s="953">
        <v>5</v>
      </c>
      <c r="E256" s="1045">
        <v>0.43323458216600003</v>
      </c>
    </row>
    <row r="257" spans="1:5" x14ac:dyDescent="0.2">
      <c r="A257" s="953" t="s">
        <v>813</v>
      </c>
      <c r="B257" s="953" t="s">
        <v>760</v>
      </c>
      <c r="C257" s="953" t="s">
        <v>667</v>
      </c>
      <c r="D257" s="953">
        <v>67</v>
      </c>
      <c r="E257" s="1045">
        <v>34.419989902600001</v>
      </c>
    </row>
    <row r="258" spans="1:5" x14ac:dyDescent="0.2">
      <c r="A258" s="953" t="s">
        <v>813</v>
      </c>
      <c r="B258" s="953" t="s">
        <v>760</v>
      </c>
      <c r="C258" s="953" t="s">
        <v>14</v>
      </c>
      <c r="D258" s="953">
        <v>5</v>
      </c>
      <c r="E258" s="1045">
        <v>0.86827133676299995</v>
      </c>
    </row>
    <row r="259" spans="1:5" x14ac:dyDescent="0.2">
      <c r="A259" s="953" t="s">
        <v>813</v>
      </c>
      <c r="B259" s="953" t="s">
        <v>760</v>
      </c>
      <c r="C259" s="953" t="s">
        <v>443</v>
      </c>
      <c r="D259" s="953">
        <v>2</v>
      </c>
      <c r="E259" s="1045">
        <v>8.9999571478899991</v>
      </c>
    </row>
    <row r="260" spans="1:5" x14ac:dyDescent="0.2">
      <c r="A260" s="953" t="s">
        <v>813</v>
      </c>
      <c r="B260" s="953" t="s">
        <v>760</v>
      </c>
      <c r="C260" s="953" t="s">
        <v>665</v>
      </c>
      <c r="D260" s="953">
        <v>6</v>
      </c>
      <c r="E260" s="1045">
        <v>0.92202777306700001</v>
      </c>
    </row>
    <row r="261" spans="1:5" x14ac:dyDescent="0.2">
      <c r="A261" s="953" t="s">
        <v>813</v>
      </c>
      <c r="B261" s="953" t="s">
        <v>760</v>
      </c>
      <c r="C261" s="953" t="s">
        <v>662</v>
      </c>
      <c r="D261" s="953">
        <v>32</v>
      </c>
      <c r="E261" s="1045">
        <v>11.0636586662</v>
      </c>
    </row>
    <row r="262" spans="1:5" x14ac:dyDescent="0.2">
      <c r="A262" s="953" t="s">
        <v>813</v>
      </c>
      <c r="B262" s="953" t="s">
        <v>760</v>
      </c>
      <c r="C262" s="953" t="s">
        <v>666</v>
      </c>
      <c r="D262" s="953">
        <v>9</v>
      </c>
      <c r="E262" s="1045">
        <v>1.32502765278</v>
      </c>
    </row>
    <row r="263" spans="1:5" x14ac:dyDescent="0.2">
      <c r="A263" s="953" t="s">
        <v>813</v>
      </c>
      <c r="B263" s="953" t="s">
        <v>760</v>
      </c>
      <c r="C263" s="953" t="s">
        <v>663</v>
      </c>
      <c r="D263" s="953">
        <v>5</v>
      </c>
      <c r="E263" s="1045">
        <v>3.9375550004800002</v>
      </c>
    </row>
    <row r="264" spans="1:5" x14ac:dyDescent="0.2">
      <c r="A264" s="953" t="s">
        <v>813</v>
      </c>
      <c r="B264" s="953" t="s">
        <v>760</v>
      </c>
      <c r="C264" s="953" t="s">
        <v>449</v>
      </c>
      <c r="D264" s="953">
        <v>114</v>
      </c>
      <c r="E264" s="1045">
        <v>466.58094627999998</v>
      </c>
    </row>
    <row r="265" spans="1:5" x14ac:dyDescent="0.2">
      <c r="A265" s="953" t="s">
        <v>813</v>
      </c>
      <c r="B265" s="953" t="s">
        <v>760</v>
      </c>
      <c r="C265" s="953" t="s">
        <v>446</v>
      </c>
      <c r="D265" s="953">
        <v>43</v>
      </c>
      <c r="E265" s="1045">
        <v>43.373030336200003</v>
      </c>
    </row>
    <row r="266" spans="1:5" x14ac:dyDescent="0.2">
      <c r="A266" s="953" t="s">
        <v>813</v>
      </c>
      <c r="B266" s="953" t="s">
        <v>760</v>
      </c>
      <c r="C266" s="953" t="s">
        <v>448</v>
      </c>
      <c r="D266" s="953">
        <v>12</v>
      </c>
      <c r="E266" s="1045">
        <v>88.468515750600005</v>
      </c>
    </row>
    <row r="267" spans="1:5" x14ac:dyDescent="0.2">
      <c r="A267" s="953" t="s">
        <v>813</v>
      </c>
      <c r="B267" s="953" t="s">
        <v>760</v>
      </c>
      <c r="C267" s="953" t="s">
        <v>451</v>
      </c>
      <c r="D267" s="953">
        <v>11</v>
      </c>
      <c r="E267" s="1045">
        <v>25.8467824566</v>
      </c>
    </row>
    <row r="268" spans="1:5" x14ac:dyDescent="0.2">
      <c r="A268" s="953" t="s">
        <v>813</v>
      </c>
      <c r="B268" s="953" t="s">
        <v>760</v>
      </c>
      <c r="C268" s="953" t="s">
        <v>452</v>
      </c>
      <c r="D268" s="953">
        <v>25</v>
      </c>
      <c r="E268" s="1045">
        <v>8.7270895939699997</v>
      </c>
    </row>
    <row r="269" spans="1:5" x14ac:dyDescent="0.2">
      <c r="A269" s="953" t="s">
        <v>688</v>
      </c>
      <c r="B269" s="953" t="s">
        <v>759</v>
      </c>
      <c r="C269" s="953" t="s">
        <v>447</v>
      </c>
      <c r="D269" s="953">
        <v>35</v>
      </c>
      <c r="E269" s="1045">
        <v>63.655887809500001</v>
      </c>
    </row>
    <row r="270" spans="1:5" x14ac:dyDescent="0.2">
      <c r="A270" s="953" t="s">
        <v>688</v>
      </c>
      <c r="B270" s="953" t="s">
        <v>759</v>
      </c>
      <c r="C270" s="953" t="s">
        <v>667</v>
      </c>
      <c r="D270" s="953">
        <v>77</v>
      </c>
      <c r="E270" s="1045">
        <v>166.076962826</v>
      </c>
    </row>
    <row r="271" spans="1:5" x14ac:dyDescent="0.2">
      <c r="A271" s="953" t="s">
        <v>688</v>
      </c>
      <c r="B271" s="953" t="s">
        <v>759</v>
      </c>
      <c r="C271" s="953" t="s">
        <v>661</v>
      </c>
      <c r="D271" s="953">
        <v>19</v>
      </c>
      <c r="E271" s="1045">
        <v>1.2355289415299999</v>
      </c>
    </row>
    <row r="272" spans="1:5" x14ac:dyDescent="0.2">
      <c r="A272" s="953" t="s">
        <v>688</v>
      </c>
      <c r="B272" s="953" t="s">
        <v>759</v>
      </c>
      <c r="C272" s="953" t="s">
        <v>14</v>
      </c>
      <c r="D272" s="953">
        <v>6</v>
      </c>
      <c r="E272" s="1045">
        <v>0.74150241372799996</v>
      </c>
    </row>
    <row r="273" spans="1:5" x14ac:dyDescent="0.2">
      <c r="A273" s="953" t="s">
        <v>688</v>
      </c>
      <c r="B273" s="953" t="s">
        <v>759</v>
      </c>
      <c r="C273" s="953" t="s">
        <v>443</v>
      </c>
      <c r="D273" s="953">
        <v>2</v>
      </c>
      <c r="E273" s="1045">
        <v>4.22390797583E-3</v>
      </c>
    </row>
    <row r="274" spans="1:5" x14ac:dyDescent="0.2">
      <c r="A274" s="953" t="s">
        <v>688</v>
      </c>
      <c r="B274" s="953" t="s">
        <v>759</v>
      </c>
      <c r="C274" s="953" t="s">
        <v>665</v>
      </c>
      <c r="D274" s="953">
        <v>12</v>
      </c>
      <c r="E274" s="1045">
        <v>0.64210577224499998</v>
      </c>
    </row>
    <row r="275" spans="1:5" x14ac:dyDescent="0.2">
      <c r="A275" s="953" t="s">
        <v>688</v>
      </c>
      <c r="B275" s="953" t="s">
        <v>759</v>
      </c>
      <c r="C275" s="953" t="s">
        <v>662</v>
      </c>
      <c r="D275" s="953">
        <v>39</v>
      </c>
      <c r="E275" s="1045">
        <v>13.6217902064</v>
      </c>
    </row>
    <row r="276" spans="1:5" x14ac:dyDescent="0.2">
      <c r="A276" s="953" t="s">
        <v>688</v>
      </c>
      <c r="B276" s="953" t="s">
        <v>759</v>
      </c>
      <c r="C276" s="953" t="s">
        <v>666</v>
      </c>
      <c r="D276" s="953">
        <v>3</v>
      </c>
      <c r="E276" s="1045">
        <v>0.106006280918</v>
      </c>
    </row>
    <row r="277" spans="1:5" x14ac:dyDescent="0.2">
      <c r="A277" s="953" t="s">
        <v>688</v>
      </c>
      <c r="B277" s="953" t="s">
        <v>759</v>
      </c>
      <c r="C277" s="953" t="s">
        <v>444</v>
      </c>
      <c r="D277" s="953">
        <v>1</v>
      </c>
      <c r="E277" s="1045">
        <v>8.1635945081299996E-2</v>
      </c>
    </row>
    <row r="278" spans="1:5" x14ac:dyDescent="0.2">
      <c r="A278" s="953" t="s">
        <v>688</v>
      </c>
      <c r="B278" s="953" t="s">
        <v>759</v>
      </c>
      <c r="C278" s="953" t="s">
        <v>663</v>
      </c>
      <c r="D278" s="953">
        <v>5</v>
      </c>
      <c r="E278" s="1045">
        <v>1.31174187378</v>
      </c>
    </row>
    <row r="279" spans="1:5" x14ac:dyDescent="0.2">
      <c r="A279" s="953" t="s">
        <v>688</v>
      </c>
      <c r="B279" s="953" t="s">
        <v>759</v>
      </c>
      <c r="C279" s="953" t="s">
        <v>449</v>
      </c>
      <c r="D279" s="953">
        <v>9</v>
      </c>
      <c r="E279" s="1045">
        <v>17.6051495691</v>
      </c>
    </row>
    <row r="280" spans="1:5" x14ac:dyDescent="0.2">
      <c r="A280" s="953" t="s">
        <v>688</v>
      </c>
      <c r="B280" s="953" t="s">
        <v>759</v>
      </c>
      <c r="C280" s="953" t="s">
        <v>446</v>
      </c>
      <c r="D280" s="953">
        <v>73</v>
      </c>
      <c r="E280" s="1045">
        <v>85.643781097399994</v>
      </c>
    </row>
    <row r="281" spans="1:5" x14ac:dyDescent="0.2">
      <c r="A281" s="953" t="s">
        <v>688</v>
      </c>
      <c r="B281" s="953" t="s">
        <v>759</v>
      </c>
      <c r="C281" s="953" t="s">
        <v>448</v>
      </c>
      <c r="D281" s="953">
        <v>232</v>
      </c>
      <c r="E281" s="1045">
        <v>2469.1253902399999</v>
      </c>
    </row>
    <row r="282" spans="1:5" x14ac:dyDescent="0.2">
      <c r="A282" s="953" t="s">
        <v>688</v>
      </c>
      <c r="B282" s="953" t="s">
        <v>759</v>
      </c>
      <c r="C282" s="953" t="s">
        <v>451</v>
      </c>
      <c r="D282" s="953">
        <v>29</v>
      </c>
      <c r="E282" s="1045">
        <v>64.467314998299997</v>
      </c>
    </row>
    <row r="283" spans="1:5" x14ac:dyDescent="0.2">
      <c r="A283" s="953" t="s">
        <v>688</v>
      </c>
      <c r="B283" s="953" t="s">
        <v>759</v>
      </c>
      <c r="C283" s="953" t="s">
        <v>452</v>
      </c>
      <c r="D283" s="953">
        <v>277</v>
      </c>
      <c r="E283" s="1045">
        <v>504.18080466399999</v>
      </c>
    </row>
    <row r="284" spans="1:5" x14ac:dyDescent="0.2">
      <c r="A284" s="953" t="s">
        <v>688</v>
      </c>
      <c r="B284" s="953" t="s">
        <v>814</v>
      </c>
      <c r="C284" s="953" t="s">
        <v>667</v>
      </c>
      <c r="D284" s="953">
        <v>5</v>
      </c>
      <c r="E284" s="1045">
        <v>0.52232036658199998</v>
      </c>
    </row>
    <row r="285" spans="1:5" x14ac:dyDescent="0.2">
      <c r="A285" s="953" t="s">
        <v>688</v>
      </c>
      <c r="B285" s="953" t="s">
        <v>814</v>
      </c>
      <c r="C285" s="953" t="s">
        <v>662</v>
      </c>
      <c r="D285" s="953">
        <v>2</v>
      </c>
      <c r="E285" s="1045">
        <v>0.14768726469599999</v>
      </c>
    </row>
    <row r="286" spans="1:5" x14ac:dyDescent="0.2">
      <c r="A286" s="953" t="s">
        <v>688</v>
      </c>
      <c r="B286" s="953" t="s">
        <v>814</v>
      </c>
      <c r="C286" s="953" t="s">
        <v>449</v>
      </c>
      <c r="D286" s="953">
        <v>3</v>
      </c>
      <c r="E286" s="1045">
        <v>49.815948792599997</v>
      </c>
    </row>
    <row r="287" spans="1:5" x14ac:dyDescent="0.2">
      <c r="A287" s="953" t="s">
        <v>688</v>
      </c>
      <c r="B287" s="953" t="s">
        <v>814</v>
      </c>
      <c r="C287" s="953" t="s">
        <v>446</v>
      </c>
      <c r="D287" s="953">
        <v>2</v>
      </c>
      <c r="E287" s="1045">
        <v>5.2013331753500003</v>
      </c>
    </row>
    <row r="288" spans="1:5" x14ac:dyDescent="0.2">
      <c r="A288" s="953" t="s">
        <v>688</v>
      </c>
      <c r="B288" s="953" t="s">
        <v>814</v>
      </c>
      <c r="C288" s="953" t="s">
        <v>448</v>
      </c>
      <c r="D288" s="953">
        <v>5</v>
      </c>
      <c r="E288" s="1045">
        <v>52.669745655200003</v>
      </c>
    </row>
    <row r="289" spans="1:5" x14ac:dyDescent="0.2">
      <c r="A289" s="953" t="s">
        <v>688</v>
      </c>
      <c r="B289" s="953" t="s">
        <v>814</v>
      </c>
      <c r="C289" s="953" t="s">
        <v>451</v>
      </c>
      <c r="D289" s="953">
        <v>5</v>
      </c>
      <c r="E289" s="1045">
        <v>1.8503608002900001</v>
      </c>
    </row>
    <row r="290" spans="1:5" x14ac:dyDescent="0.2">
      <c r="A290" s="953" t="s">
        <v>688</v>
      </c>
      <c r="B290" s="953" t="s">
        <v>814</v>
      </c>
      <c r="C290" s="953" t="s">
        <v>452</v>
      </c>
      <c r="D290" s="953">
        <v>9</v>
      </c>
      <c r="E290" s="1045">
        <v>6.0452497278399999</v>
      </c>
    </row>
    <row r="291" spans="1:5" x14ac:dyDescent="0.2">
      <c r="A291" s="953" t="s">
        <v>688</v>
      </c>
      <c r="B291" s="953" t="s">
        <v>765</v>
      </c>
      <c r="C291" s="953" t="s">
        <v>447</v>
      </c>
      <c r="D291" s="953">
        <v>13</v>
      </c>
      <c r="E291" s="1045">
        <v>97.997746742100006</v>
      </c>
    </row>
    <row r="292" spans="1:5" x14ac:dyDescent="0.2">
      <c r="A292" s="953" t="s">
        <v>688</v>
      </c>
      <c r="B292" s="953" t="s">
        <v>765</v>
      </c>
      <c r="C292" s="953" t="s">
        <v>667</v>
      </c>
      <c r="D292" s="953">
        <v>99</v>
      </c>
      <c r="E292" s="1045">
        <v>248.04351970299999</v>
      </c>
    </row>
    <row r="293" spans="1:5" x14ac:dyDescent="0.2">
      <c r="A293" s="953" t="s">
        <v>688</v>
      </c>
      <c r="B293" s="953" t="s">
        <v>765</v>
      </c>
      <c r="C293" s="953" t="s">
        <v>661</v>
      </c>
      <c r="D293" s="953">
        <v>3</v>
      </c>
      <c r="E293" s="1045">
        <v>0.76918981140499998</v>
      </c>
    </row>
    <row r="294" spans="1:5" x14ac:dyDescent="0.2">
      <c r="A294" s="953" t="s">
        <v>688</v>
      </c>
      <c r="B294" s="953" t="s">
        <v>765</v>
      </c>
      <c r="C294" s="953" t="s">
        <v>665</v>
      </c>
      <c r="D294" s="953">
        <v>1</v>
      </c>
      <c r="E294" s="1045">
        <v>1.7742240173099999</v>
      </c>
    </row>
    <row r="295" spans="1:5" x14ac:dyDescent="0.2">
      <c r="A295" s="953" t="s">
        <v>688</v>
      </c>
      <c r="B295" s="953" t="s">
        <v>765</v>
      </c>
      <c r="C295" s="953" t="s">
        <v>662</v>
      </c>
      <c r="D295" s="953">
        <v>6</v>
      </c>
      <c r="E295" s="1045">
        <v>4.8752870596499998</v>
      </c>
    </row>
    <row r="296" spans="1:5" x14ac:dyDescent="0.2">
      <c r="A296" s="953" t="s">
        <v>688</v>
      </c>
      <c r="B296" s="953" t="s">
        <v>765</v>
      </c>
      <c r="C296" s="953" t="s">
        <v>444</v>
      </c>
      <c r="D296" s="953">
        <v>23</v>
      </c>
      <c r="E296" s="1045">
        <v>110.40388218</v>
      </c>
    </row>
    <row r="297" spans="1:5" x14ac:dyDescent="0.2">
      <c r="A297" s="953" t="s">
        <v>688</v>
      </c>
      <c r="B297" s="953" t="s">
        <v>765</v>
      </c>
      <c r="C297" s="953" t="s">
        <v>663</v>
      </c>
      <c r="D297" s="953">
        <v>2</v>
      </c>
      <c r="E297" s="1045">
        <v>28.092439428399999</v>
      </c>
    </row>
    <row r="298" spans="1:5" x14ac:dyDescent="0.2">
      <c r="A298" s="953" t="s">
        <v>688</v>
      </c>
      <c r="B298" s="953" t="s">
        <v>765</v>
      </c>
      <c r="C298" s="953" t="s">
        <v>449</v>
      </c>
      <c r="D298" s="953">
        <v>7</v>
      </c>
      <c r="E298" s="1045">
        <v>9.5613009971299991</v>
      </c>
    </row>
    <row r="299" spans="1:5" x14ac:dyDescent="0.2">
      <c r="A299" s="953" t="s">
        <v>688</v>
      </c>
      <c r="B299" s="953" t="s">
        <v>765</v>
      </c>
      <c r="C299" s="953" t="s">
        <v>446</v>
      </c>
      <c r="D299" s="953">
        <v>1122</v>
      </c>
      <c r="E299" s="1045">
        <v>1497.1360132100001</v>
      </c>
    </row>
    <row r="300" spans="1:5" x14ac:dyDescent="0.2">
      <c r="A300" s="953" t="s">
        <v>688</v>
      </c>
      <c r="B300" s="953" t="s">
        <v>765</v>
      </c>
      <c r="C300" s="953" t="s">
        <v>448</v>
      </c>
      <c r="D300" s="953">
        <v>3</v>
      </c>
      <c r="E300" s="1045">
        <v>3.9504955280799998</v>
      </c>
    </row>
    <row r="301" spans="1:5" x14ac:dyDescent="0.2">
      <c r="A301" s="953" t="s">
        <v>688</v>
      </c>
      <c r="B301" s="953" t="s">
        <v>765</v>
      </c>
      <c r="C301" s="953" t="s">
        <v>451</v>
      </c>
      <c r="D301" s="953">
        <v>18</v>
      </c>
      <c r="E301" s="1045">
        <v>61.5611831346</v>
      </c>
    </row>
    <row r="302" spans="1:5" x14ac:dyDescent="0.2">
      <c r="A302" s="953" t="s">
        <v>688</v>
      </c>
      <c r="B302" s="953" t="s">
        <v>765</v>
      </c>
      <c r="C302" s="953" t="s">
        <v>452</v>
      </c>
      <c r="D302" s="953">
        <v>1294</v>
      </c>
      <c r="E302" s="1045">
        <v>1396.4118721</v>
      </c>
    </row>
    <row r="303" spans="1:5" x14ac:dyDescent="0.2">
      <c r="A303" s="953" t="s">
        <v>688</v>
      </c>
      <c r="B303" s="953" t="s">
        <v>816</v>
      </c>
      <c r="C303" s="953" t="s">
        <v>447</v>
      </c>
      <c r="D303" s="953">
        <v>4</v>
      </c>
      <c r="E303" s="1045">
        <v>73.920120106599995</v>
      </c>
    </row>
    <row r="304" spans="1:5" x14ac:dyDescent="0.2">
      <c r="A304" s="953" t="s">
        <v>688</v>
      </c>
      <c r="B304" s="953" t="s">
        <v>816</v>
      </c>
      <c r="C304" s="953" t="s">
        <v>667</v>
      </c>
      <c r="D304" s="953">
        <v>8</v>
      </c>
      <c r="E304" s="1045">
        <v>8.4260569737599997</v>
      </c>
    </row>
    <row r="305" spans="1:5" x14ac:dyDescent="0.2">
      <c r="A305" s="953" t="s">
        <v>688</v>
      </c>
      <c r="B305" s="953" t="s">
        <v>816</v>
      </c>
      <c r="C305" s="953" t="s">
        <v>446</v>
      </c>
      <c r="D305" s="953">
        <v>9</v>
      </c>
      <c r="E305" s="1045">
        <v>137.39965845500001</v>
      </c>
    </row>
    <row r="306" spans="1:5" x14ac:dyDescent="0.2">
      <c r="A306" s="953" t="s">
        <v>688</v>
      </c>
      <c r="B306" s="953" t="s">
        <v>816</v>
      </c>
      <c r="C306" s="953" t="s">
        <v>448</v>
      </c>
      <c r="D306" s="953">
        <v>2</v>
      </c>
      <c r="E306" s="1045">
        <v>9.6626612097599998E-2</v>
      </c>
    </row>
    <row r="307" spans="1:5" x14ac:dyDescent="0.2">
      <c r="A307" s="953" t="s">
        <v>688</v>
      </c>
      <c r="B307" s="953" t="s">
        <v>816</v>
      </c>
      <c r="C307" s="953" t="s">
        <v>451</v>
      </c>
      <c r="D307" s="953">
        <v>1</v>
      </c>
      <c r="E307" s="1045">
        <v>0.59138518454599998</v>
      </c>
    </row>
    <row r="308" spans="1:5" x14ac:dyDescent="0.2">
      <c r="A308" s="953" t="s">
        <v>688</v>
      </c>
      <c r="B308" s="953" t="s">
        <v>816</v>
      </c>
      <c r="C308" s="953" t="s">
        <v>452</v>
      </c>
      <c r="D308" s="953">
        <v>29</v>
      </c>
      <c r="E308" s="1045">
        <v>100.855470997</v>
      </c>
    </row>
    <row r="309" spans="1:5" x14ac:dyDescent="0.2">
      <c r="A309" s="953" t="s">
        <v>688</v>
      </c>
      <c r="B309" s="953" t="s">
        <v>817</v>
      </c>
      <c r="C309" s="953" t="s">
        <v>667</v>
      </c>
      <c r="D309" s="953">
        <v>9</v>
      </c>
      <c r="E309" s="1045">
        <v>11.6096032769</v>
      </c>
    </row>
    <row r="310" spans="1:5" x14ac:dyDescent="0.2">
      <c r="A310" s="953" t="s">
        <v>688</v>
      </c>
      <c r="B310" s="953" t="s">
        <v>817</v>
      </c>
      <c r="C310" s="953" t="s">
        <v>449</v>
      </c>
      <c r="D310" s="953">
        <v>9</v>
      </c>
      <c r="E310" s="1045">
        <v>27.311347729000001</v>
      </c>
    </row>
    <row r="311" spans="1:5" x14ac:dyDescent="0.2">
      <c r="A311" s="953" t="s">
        <v>688</v>
      </c>
      <c r="B311" s="953" t="s">
        <v>817</v>
      </c>
      <c r="C311" s="953" t="s">
        <v>446</v>
      </c>
      <c r="D311" s="953">
        <v>6</v>
      </c>
      <c r="E311" s="1045">
        <v>1.43545873946</v>
      </c>
    </row>
    <row r="312" spans="1:5" x14ac:dyDescent="0.2">
      <c r="A312" s="953" t="s">
        <v>688</v>
      </c>
      <c r="B312" s="953" t="s">
        <v>817</v>
      </c>
      <c r="C312" s="953" t="s">
        <v>451</v>
      </c>
      <c r="D312" s="953">
        <v>4</v>
      </c>
      <c r="E312" s="1045">
        <v>3.6187856644399998</v>
      </c>
    </row>
    <row r="313" spans="1:5" x14ac:dyDescent="0.2">
      <c r="A313" s="953" t="s">
        <v>688</v>
      </c>
      <c r="B313" s="953" t="s">
        <v>817</v>
      </c>
      <c r="C313" s="953" t="s">
        <v>452</v>
      </c>
      <c r="D313" s="953">
        <v>17</v>
      </c>
      <c r="E313" s="1045">
        <v>12.682159131300001</v>
      </c>
    </row>
    <row r="314" spans="1:5" x14ac:dyDescent="0.2">
      <c r="A314" s="953" t="s">
        <v>688</v>
      </c>
      <c r="B314" s="953" t="s">
        <v>815</v>
      </c>
      <c r="C314" s="953" t="s">
        <v>662</v>
      </c>
      <c r="D314" s="953">
        <v>3</v>
      </c>
      <c r="E314" s="1045">
        <v>5.1043572717899997</v>
      </c>
    </row>
    <row r="315" spans="1:5" x14ac:dyDescent="0.2">
      <c r="A315" s="953" t="s">
        <v>688</v>
      </c>
      <c r="B315" s="953" t="s">
        <v>815</v>
      </c>
      <c r="C315" s="953" t="s">
        <v>449</v>
      </c>
      <c r="D315" s="953">
        <v>1</v>
      </c>
      <c r="E315" s="1045">
        <v>1.5265110326</v>
      </c>
    </row>
    <row r="316" spans="1:5" x14ac:dyDescent="0.2">
      <c r="A316" s="953" t="s">
        <v>688</v>
      </c>
      <c r="B316" s="953" t="s">
        <v>815</v>
      </c>
      <c r="C316" s="953" t="s">
        <v>446</v>
      </c>
      <c r="D316" s="953">
        <v>2</v>
      </c>
      <c r="E316" s="1045">
        <v>1.8785429737299999</v>
      </c>
    </row>
    <row r="317" spans="1:5" x14ac:dyDescent="0.2">
      <c r="A317" s="953" t="s">
        <v>688</v>
      </c>
      <c r="B317" s="953" t="s">
        <v>815</v>
      </c>
      <c r="C317" s="953" t="s">
        <v>452</v>
      </c>
      <c r="D317" s="953">
        <v>2</v>
      </c>
      <c r="E317" s="1045">
        <v>1.39481813223</v>
      </c>
    </row>
    <row r="318" spans="1:5" x14ac:dyDescent="0.2">
      <c r="A318" s="953" t="s">
        <v>688</v>
      </c>
      <c r="B318" s="953" t="s">
        <v>763</v>
      </c>
      <c r="C318" s="953" t="s">
        <v>662</v>
      </c>
      <c r="D318" s="953">
        <v>1</v>
      </c>
      <c r="E318" s="1045">
        <v>0.19349721531399999</v>
      </c>
    </row>
    <row r="319" spans="1:5" x14ac:dyDescent="0.2">
      <c r="A319" s="953" t="s">
        <v>688</v>
      </c>
      <c r="B319" s="953" t="s">
        <v>763</v>
      </c>
      <c r="C319" s="953" t="s">
        <v>449</v>
      </c>
      <c r="D319" s="953">
        <v>3</v>
      </c>
      <c r="E319" s="1045">
        <v>8.1864703126199991</v>
      </c>
    </row>
    <row r="320" spans="1:5" x14ac:dyDescent="0.2">
      <c r="A320" s="953" t="s">
        <v>688</v>
      </c>
      <c r="B320" s="953" t="s">
        <v>763</v>
      </c>
      <c r="C320" s="953" t="s">
        <v>446</v>
      </c>
      <c r="D320" s="953">
        <v>1</v>
      </c>
      <c r="E320" s="1045">
        <v>3.5625825956999998E-5</v>
      </c>
    </row>
    <row r="321" spans="1:5" x14ac:dyDescent="0.2">
      <c r="A321" s="953" t="s">
        <v>688</v>
      </c>
      <c r="B321" s="953" t="s">
        <v>812</v>
      </c>
      <c r="C321" s="953" t="s">
        <v>446</v>
      </c>
      <c r="D321" s="953">
        <v>3</v>
      </c>
      <c r="E321" s="1045">
        <v>0.95963288502800004</v>
      </c>
    </row>
    <row r="322" spans="1:5" x14ac:dyDescent="0.2">
      <c r="A322" s="953" t="s">
        <v>688</v>
      </c>
      <c r="B322" s="953" t="s">
        <v>760</v>
      </c>
      <c r="C322" s="953" t="s">
        <v>447</v>
      </c>
      <c r="D322" s="953">
        <v>5</v>
      </c>
      <c r="E322" s="1045">
        <v>3.9334721202199998</v>
      </c>
    </row>
    <row r="323" spans="1:5" x14ac:dyDescent="0.2">
      <c r="A323" s="953" t="s">
        <v>688</v>
      </c>
      <c r="B323" s="953" t="s">
        <v>760</v>
      </c>
      <c r="C323" s="953" t="s">
        <v>712</v>
      </c>
      <c r="D323" s="953">
        <v>1</v>
      </c>
      <c r="E323" s="1045">
        <v>2.4285081068599998E-3</v>
      </c>
    </row>
    <row r="324" spans="1:5" x14ac:dyDescent="0.2">
      <c r="A324" s="953" t="s">
        <v>688</v>
      </c>
      <c r="B324" s="953" t="s">
        <v>760</v>
      </c>
      <c r="C324" s="953" t="s">
        <v>667</v>
      </c>
      <c r="D324" s="953">
        <v>44</v>
      </c>
      <c r="E324" s="1045">
        <v>36.349583083799999</v>
      </c>
    </row>
    <row r="325" spans="1:5" x14ac:dyDescent="0.2">
      <c r="A325" s="953" t="s">
        <v>688</v>
      </c>
      <c r="B325" s="953" t="s">
        <v>760</v>
      </c>
      <c r="C325" s="953" t="s">
        <v>665</v>
      </c>
      <c r="D325" s="953">
        <v>1</v>
      </c>
      <c r="E325" s="1045">
        <v>0.16018198760300001</v>
      </c>
    </row>
    <row r="326" spans="1:5" x14ac:dyDescent="0.2">
      <c r="A326" s="953" t="s">
        <v>688</v>
      </c>
      <c r="B326" s="953" t="s">
        <v>760</v>
      </c>
      <c r="C326" s="953" t="s">
        <v>662</v>
      </c>
      <c r="D326" s="953">
        <v>27</v>
      </c>
      <c r="E326" s="1045">
        <v>3.7587051275999999</v>
      </c>
    </row>
    <row r="327" spans="1:5" x14ac:dyDescent="0.2">
      <c r="A327" s="953" t="s">
        <v>688</v>
      </c>
      <c r="B327" s="953" t="s">
        <v>760</v>
      </c>
      <c r="C327" s="953" t="s">
        <v>663</v>
      </c>
      <c r="D327" s="953">
        <v>3</v>
      </c>
      <c r="E327" s="1045">
        <v>10.1350513407</v>
      </c>
    </row>
    <row r="328" spans="1:5" x14ac:dyDescent="0.2">
      <c r="A328" s="953" t="s">
        <v>688</v>
      </c>
      <c r="B328" s="953" t="s">
        <v>760</v>
      </c>
      <c r="C328" s="953" t="s">
        <v>449</v>
      </c>
      <c r="D328" s="953">
        <v>89</v>
      </c>
      <c r="E328" s="1045">
        <v>643.80052912300005</v>
      </c>
    </row>
    <row r="329" spans="1:5" x14ac:dyDescent="0.2">
      <c r="A329" s="953" t="s">
        <v>688</v>
      </c>
      <c r="B329" s="953" t="s">
        <v>760</v>
      </c>
      <c r="C329" s="953" t="s">
        <v>446</v>
      </c>
      <c r="D329" s="953">
        <v>60</v>
      </c>
      <c r="E329" s="1045">
        <v>116.77369492299999</v>
      </c>
    </row>
    <row r="330" spans="1:5" x14ac:dyDescent="0.2">
      <c r="A330" s="953" t="s">
        <v>688</v>
      </c>
      <c r="B330" s="953" t="s">
        <v>760</v>
      </c>
      <c r="C330" s="953" t="s">
        <v>448</v>
      </c>
      <c r="D330" s="953">
        <v>38</v>
      </c>
      <c r="E330" s="1045">
        <v>180.06853151300001</v>
      </c>
    </row>
    <row r="331" spans="1:5" x14ac:dyDescent="0.2">
      <c r="A331" s="953" t="s">
        <v>688</v>
      </c>
      <c r="B331" s="953" t="s">
        <v>760</v>
      </c>
      <c r="C331" s="953" t="s">
        <v>451</v>
      </c>
      <c r="D331" s="953">
        <v>33</v>
      </c>
      <c r="E331" s="1045">
        <v>111.25174580700001</v>
      </c>
    </row>
    <row r="332" spans="1:5" x14ac:dyDescent="0.2">
      <c r="A332" s="953" t="s">
        <v>688</v>
      </c>
      <c r="B332" s="953" t="s">
        <v>760</v>
      </c>
      <c r="C332" s="953" t="s">
        <v>452</v>
      </c>
      <c r="D332" s="953">
        <v>122</v>
      </c>
      <c r="E332" s="1045">
        <v>211.20192387099999</v>
      </c>
    </row>
    <row r="333" spans="1:5" x14ac:dyDescent="0.2">
      <c r="A333" s="953" t="s">
        <v>688</v>
      </c>
      <c r="B333" s="953" t="s">
        <v>762</v>
      </c>
      <c r="C333" s="953" t="s">
        <v>447</v>
      </c>
      <c r="D333" s="953">
        <v>1</v>
      </c>
      <c r="E333" s="1045">
        <v>18.214222873400001</v>
      </c>
    </row>
    <row r="334" spans="1:5" x14ac:dyDescent="0.2">
      <c r="A334" s="953" t="s">
        <v>688</v>
      </c>
      <c r="B334" s="953" t="s">
        <v>762</v>
      </c>
      <c r="C334" s="953" t="s">
        <v>452</v>
      </c>
      <c r="D334" s="953">
        <v>1</v>
      </c>
      <c r="E334" s="1045">
        <v>5.3336494672999999</v>
      </c>
    </row>
    <row r="335" spans="1:5" x14ac:dyDescent="0.2">
      <c r="A335" s="953" t="s">
        <v>645</v>
      </c>
      <c r="B335" s="953" t="s">
        <v>759</v>
      </c>
      <c r="C335" s="953" t="s">
        <v>447</v>
      </c>
      <c r="D335" s="953">
        <v>2</v>
      </c>
      <c r="E335" s="1045">
        <v>17.287393802899999</v>
      </c>
    </row>
    <row r="336" spans="1:5" x14ac:dyDescent="0.2">
      <c r="A336" s="953" t="s">
        <v>645</v>
      </c>
      <c r="B336" s="953" t="s">
        <v>759</v>
      </c>
      <c r="C336" s="953" t="s">
        <v>667</v>
      </c>
      <c r="D336" s="953">
        <v>52</v>
      </c>
      <c r="E336" s="1045">
        <v>40.154408570999998</v>
      </c>
    </row>
    <row r="337" spans="1:5" x14ac:dyDescent="0.2">
      <c r="A337" s="953" t="s">
        <v>645</v>
      </c>
      <c r="B337" s="953" t="s">
        <v>759</v>
      </c>
      <c r="C337" s="953" t="s">
        <v>661</v>
      </c>
      <c r="D337" s="953">
        <v>3</v>
      </c>
      <c r="E337" s="1045">
        <v>0.26951348898799998</v>
      </c>
    </row>
    <row r="338" spans="1:5" x14ac:dyDescent="0.2">
      <c r="A338" s="953" t="s">
        <v>645</v>
      </c>
      <c r="B338" s="953" t="s">
        <v>759</v>
      </c>
      <c r="C338" s="953" t="s">
        <v>662</v>
      </c>
      <c r="D338" s="953">
        <v>10</v>
      </c>
      <c r="E338" s="1045">
        <v>0.47168624246899998</v>
      </c>
    </row>
    <row r="339" spans="1:5" x14ac:dyDescent="0.2">
      <c r="A339" s="953" t="s">
        <v>645</v>
      </c>
      <c r="B339" s="953" t="s">
        <v>759</v>
      </c>
      <c r="C339" s="953" t="s">
        <v>666</v>
      </c>
      <c r="D339" s="953">
        <v>1</v>
      </c>
      <c r="E339" s="1045">
        <v>2.04226027856E-2</v>
      </c>
    </row>
    <row r="340" spans="1:5" x14ac:dyDescent="0.2">
      <c r="A340" s="953" t="s">
        <v>645</v>
      </c>
      <c r="B340" s="953" t="s">
        <v>759</v>
      </c>
      <c r="C340" s="953" t="s">
        <v>663</v>
      </c>
      <c r="D340" s="953">
        <v>4</v>
      </c>
      <c r="E340" s="1045">
        <v>10.8844221844</v>
      </c>
    </row>
    <row r="341" spans="1:5" x14ac:dyDescent="0.2">
      <c r="A341" s="953" t="s">
        <v>645</v>
      </c>
      <c r="B341" s="953" t="s">
        <v>759</v>
      </c>
      <c r="C341" s="953" t="s">
        <v>449</v>
      </c>
      <c r="D341" s="953">
        <v>2</v>
      </c>
      <c r="E341" s="1045">
        <v>0.13665979576100001</v>
      </c>
    </row>
    <row r="342" spans="1:5" x14ac:dyDescent="0.2">
      <c r="A342" s="953" t="s">
        <v>645</v>
      </c>
      <c r="B342" s="953" t="s">
        <v>759</v>
      </c>
      <c r="C342" s="953" t="s">
        <v>446</v>
      </c>
      <c r="D342" s="953">
        <v>24</v>
      </c>
      <c r="E342" s="1045">
        <v>26.9440577831</v>
      </c>
    </row>
    <row r="343" spans="1:5" x14ac:dyDescent="0.2">
      <c r="A343" s="953" t="s">
        <v>645</v>
      </c>
      <c r="B343" s="953" t="s">
        <v>759</v>
      </c>
      <c r="C343" s="953" t="s">
        <v>448</v>
      </c>
      <c r="D343" s="953">
        <v>76</v>
      </c>
      <c r="E343" s="1045">
        <v>390.87144125899999</v>
      </c>
    </row>
    <row r="344" spans="1:5" x14ac:dyDescent="0.2">
      <c r="A344" s="953" t="s">
        <v>645</v>
      </c>
      <c r="B344" s="953" t="s">
        <v>759</v>
      </c>
      <c r="C344" s="953" t="s">
        <v>451</v>
      </c>
      <c r="D344" s="953">
        <v>26</v>
      </c>
      <c r="E344" s="1045">
        <v>22.7562101547</v>
      </c>
    </row>
    <row r="345" spans="1:5" x14ac:dyDescent="0.2">
      <c r="A345" s="953" t="s">
        <v>645</v>
      </c>
      <c r="B345" s="953" t="s">
        <v>759</v>
      </c>
      <c r="C345" s="953" t="s">
        <v>452</v>
      </c>
      <c r="D345" s="953">
        <v>64</v>
      </c>
      <c r="E345" s="1045">
        <v>51.892591160800002</v>
      </c>
    </row>
    <row r="346" spans="1:5" x14ac:dyDescent="0.2">
      <c r="A346" s="953" t="s">
        <v>645</v>
      </c>
      <c r="B346" s="953" t="s">
        <v>766</v>
      </c>
      <c r="C346" s="953" t="s">
        <v>667</v>
      </c>
      <c r="D346" s="953">
        <v>13</v>
      </c>
      <c r="E346" s="1045">
        <v>10.874183263000001</v>
      </c>
    </row>
    <row r="347" spans="1:5" x14ac:dyDescent="0.2">
      <c r="A347" s="953" t="s">
        <v>645</v>
      </c>
      <c r="B347" s="953" t="s">
        <v>766</v>
      </c>
      <c r="C347" s="953" t="s">
        <v>14</v>
      </c>
      <c r="D347" s="953">
        <v>1</v>
      </c>
      <c r="E347" s="1045">
        <v>9.1886705510500002E-2</v>
      </c>
    </row>
    <row r="348" spans="1:5" x14ac:dyDescent="0.2">
      <c r="A348" s="953" t="s">
        <v>645</v>
      </c>
      <c r="B348" s="953" t="s">
        <v>766</v>
      </c>
      <c r="C348" s="953" t="s">
        <v>446</v>
      </c>
      <c r="D348" s="953">
        <v>4</v>
      </c>
      <c r="E348" s="1045">
        <v>3.9526524794200002</v>
      </c>
    </row>
    <row r="349" spans="1:5" x14ac:dyDescent="0.2">
      <c r="A349" s="953" t="s">
        <v>645</v>
      </c>
      <c r="B349" s="953" t="s">
        <v>766</v>
      </c>
      <c r="C349" s="953" t="s">
        <v>448</v>
      </c>
      <c r="D349" s="953">
        <v>11</v>
      </c>
      <c r="E349" s="1045">
        <v>42.8620778648</v>
      </c>
    </row>
    <row r="350" spans="1:5" x14ac:dyDescent="0.2">
      <c r="A350" s="953" t="s">
        <v>645</v>
      </c>
      <c r="B350" s="953" t="s">
        <v>766</v>
      </c>
      <c r="C350" s="953" t="s">
        <v>451</v>
      </c>
      <c r="D350" s="953">
        <v>5</v>
      </c>
      <c r="E350" s="1045">
        <v>2.3132088290500001</v>
      </c>
    </row>
    <row r="351" spans="1:5" x14ac:dyDescent="0.2">
      <c r="A351" s="953" t="s">
        <v>645</v>
      </c>
      <c r="B351" s="953" t="s">
        <v>766</v>
      </c>
      <c r="C351" s="953" t="s">
        <v>452</v>
      </c>
      <c r="D351" s="953">
        <v>8</v>
      </c>
      <c r="E351" s="1045">
        <v>10.721109476300001</v>
      </c>
    </row>
    <row r="352" spans="1:5" x14ac:dyDescent="0.2">
      <c r="A352" s="953" t="s">
        <v>645</v>
      </c>
      <c r="B352" s="953" t="s">
        <v>764</v>
      </c>
      <c r="C352" s="953" t="s">
        <v>667</v>
      </c>
      <c r="D352" s="953">
        <v>1</v>
      </c>
      <c r="E352" s="1045">
        <v>1.1023938633599999E-2</v>
      </c>
    </row>
    <row r="353" spans="1:5" x14ac:dyDescent="0.2">
      <c r="A353" s="953" t="s">
        <v>645</v>
      </c>
      <c r="B353" s="953" t="s">
        <v>764</v>
      </c>
      <c r="C353" s="953" t="s">
        <v>446</v>
      </c>
      <c r="D353" s="953">
        <v>7</v>
      </c>
      <c r="E353" s="1045">
        <v>49.648604090200003</v>
      </c>
    </row>
    <row r="354" spans="1:5" x14ac:dyDescent="0.2">
      <c r="A354" s="953" t="s">
        <v>645</v>
      </c>
      <c r="B354" s="953" t="s">
        <v>764</v>
      </c>
      <c r="C354" s="953" t="s">
        <v>448</v>
      </c>
      <c r="D354" s="953">
        <v>7</v>
      </c>
      <c r="E354" s="1045">
        <v>25.4039462046</v>
      </c>
    </row>
    <row r="355" spans="1:5" x14ac:dyDescent="0.2">
      <c r="A355" s="953" t="s">
        <v>645</v>
      </c>
      <c r="B355" s="953" t="s">
        <v>765</v>
      </c>
      <c r="C355" s="953"/>
      <c r="D355" s="953">
        <v>1</v>
      </c>
      <c r="E355" s="1045">
        <v>9.4714900537100001E-9</v>
      </c>
    </row>
    <row r="356" spans="1:5" x14ac:dyDescent="0.2">
      <c r="A356" s="953" t="s">
        <v>645</v>
      </c>
      <c r="B356" s="953" t="s">
        <v>765</v>
      </c>
      <c r="C356" s="953" t="s">
        <v>667</v>
      </c>
      <c r="D356" s="953">
        <v>55</v>
      </c>
      <c r="E356" s="1045">
        <v>63.251867364900001</v>
      </c>
    </row>
    <row r="357" spans="1:5" x14ac:dyDescent="0.2">
      <c r="A357" s="953" t="s">
        <v>645</v>
      </c>
      <c r="B357" s="953" t="s">
        <v>765</v>
      </c>
      <c r="C357" s="953" t="s">
        <v>14</v>
      </c>
      <c r="D357" s="953">
        <v>5</v>
      </c>
      <c r="E357" s="1045">
        <v>0.62898237438000004</v>
      </c>
    </row>
    <row r="358" spans="1:5" x14ac:dyDescent="0.2">
      <c r="A358" s="953" t="s">
        <v>645</v>
      </c>
      <c r="B358" s="953" t="s">
        <v>765</v>
      </c>
      <c r="C358" s="953" t="s">
        <v>662</v>
      </c>
      <c r="D358" s="953">
        <v>7</v>
      </c>
      <c r="E358" s="1045">
        <v>4.0157713827999997</v>
      </c>
    </row>
    <row r="359" spans="1:5" x14ac:dyDescent="0.2">
      <c r="A359" s="953" t="s">
        <v>645</v>
      </c>
      <c r="B359" s="953" t="s">
        <v>765</v>
      </c>
      <c r="C359" s="953" t="s">
        <v>446</v>
      </c>
      <c r="D359" s="953">
        <v>32</v>
      </c>
      <c r="E359" s="1045">
        <v>74.716438371199999</v>
      </c>
    </row>
    <row r="360" spans="1:5" x14ac:dyDescent="0.2">
      <c r="A360" s="953" t="s">
        <v>645</v>
      </c>
      <c r="B360" s="953" t="s">
        <v>765</v>
      </c>
      <c r="C360" s="953" t="s">
        <v>448</v>
      </c>
      <c r="D360" s="953">
        <v>9</v>
      </c>
      <c r="E360" s="1045">
        <v>3.1641426838900002</v>
      </c>
    </row>
    <row r="361" spans="1:5" x14ac:dyDescent="0.2">
      <c r="A361" s="953" t="s">
        <v>645</v>
      </c>
      <c r="B361" s="953" t="s">
        <v>765</v>
      </c>
      <c r="C361" s="953" t="s">
        <v>451</v>
      </c>
      <c r="D361" s="953">
        <v>17</v>
      </c>
      <c r="E361" s="1045">
        <v>53.668059155500003</v>
      </c>
    </row>
    <row r="362" spans="1:5" x14ac:dyDescent="0.2">
      <c r="A362" s="953" t="s">
        <v>645</v>
      </c>
      <c r="B362" s="953" t="s">
        <v>765</v>
      </c>
      <c r="C362" s="953" t="s">
        <v>452</v>
      </c>
      <c r="D362" s="953">
        <v>69</v>
      </c>
      <c r="E362" s="1045">
        <v>171.28741341400001</v>
      </c>
    </row>
    <row r="363" spans="1:5" x14ac:dyDescent="0.2">
      <c r="A363" s="953" t="s">
        <v>645</v>
      </c>
      <c r="B363" s="953" t="s">
        <v>763</v>
      </c>
      <c r="C363" s="953" t="s">
        <v>667</v>
      </c>
      <c r="D363" s="953">
        <v>1</v>
      </c>
      <c r="E363" s="1045">
        <v>0.30119560226699998</v>
      </c>
    </row>
    <row r="364" spans="1:5" x14ac:dyDescent="0.2">
      <c r="A364" s="953" t="s">
        <v>645</v>
      </c>
      <c r="B364" s="953" t="s">
        <v>763</v>
      </c>
      <c r="C364" s="953" t="s">
        <v>662</v>
      </c>
      <c r="D364" s="953">
        <v>4</v>
      </c>
      <c r="E364" s="1045">
        <v>3.6309203918100001</v>
      </c>
    </row>
    <row r="365" spans="1:5" x14ac:dyDescent="0.2">
      <c r="A365" s="953" t="s">
        <v>645</v>
      </c>
      <c r="B365" s="953" t="s">
        <v>763</v>
      </c>
      <c r="C365" s="953" t="s">
        <v>449</v>
      </c>
      <c r="D365" s="953">
        <v>9</v>
      </c>
      <c r="E365" s="1045">
        <v>47.312254512400003</v>
      </c>
    </row>
    <row r="366" spans="1:5" x14ac:dyDescent="0.2">
      <c r="A366" s="953" t="s">
        <v>645</v>
      </c>
      <c r="B366" s="953" t="s">
        <v>763</v>
      </c>
      <c r="C366" s="953" t="s">
        <v>446</v>
      </c>
      <c r="D366" s="953">
        <v>6</v>
      </c>
      <c r="E366" s="1045">
        <v>21.025535705799999</v>
      </c>
    </row>
    <row r="367" spans="1:5" x14ac:dyDescent="0.2">
      <c r="A367" s="953" t="s">
        <v>645</v>
      </c>
      <c r="B367" s="953" t="s">
        <v>763</v>
      </c>
      <c r="C367" s="953" t="s">
        <v>448</v>
      </c>
      <c r="D367" s="953">
        <v>8</v>
      </c>
      <c r="E367" s="1045">
        <v>0.59285711788399997</v>
      </c>
    </row>
  </sheetData>
  <pageMargins left="0.7" right="0.7" top="0.75" bottom="0.75" header="0.3" footer="0.3"/>
  <pageSetup orientation="portrait" horizontalDpi="200" verticalDpi="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H61"/>
  <sheetViews>
    <sheetView view="pageLayout" topLeftCell="A47" zoomScaleNormal="100" workbookViewId="0">
      <selection activeCell="G60" sqref="G60"/>
    </sheetView>
  </sheetViews>
  <sheetFormatPr defaultRowHeight="12.75" x14ac:dyDescent="0.2"/>
  <cols>
    <col min="1" max="1" width="22.85546875" customWidth="1"/>
    <col min="2" max="3" width="12.5703125" bestFit="1" customWidth="1"/>
    <col min="4" max="4" width="14" bestFit="1" customWidth="1"/>
    <col min="5" max="5" width="13.5703125" customWidth="1"/>
    <col min="6" max="6" width="13.7109375" customWidth="1"/>
    <col min="7" max="7" width="16.7109375" bestFit="1" customWidth="1"/>
    <col min="8" max="8" width="24" customWidth="1"/>
  </cols>
  <sheetData>
    <row r="1" spans="1:8" s="35" customFormat="1" ht="13.5" thickBot="1" x14ac:dyDescent="0.25"/>
    <row r="2" spans="1:8" s="6" customFormat="1" ht="15.75" thickBot="1" x14ac:dyDescent="0.3">
      <c r="A2" s="1129" t="s">
        <v>148</v>
      </c>
      <c r="B2" s="1130"/>
      <c r="C2" s="1130"/>
      <c r="D2" s="1130"/>
      <c r="E2" s="1130"/>
      <c r="F2" s="1130"/>
      <c r="G2" s="1131"/>
    </row>
    <row r="3" spans="1:8" ht="30" x14ac:dyDescent="0.25">
      <c r="A3" s="48" t="s">
        <v>214</v>
      </c>
      <c r="B3" s="106" t="s">
        <v>55</v>
      </c>
      <c r="C3" s="106" t="s">
        <v>11</v>
      </c>
      <c r="D3" s="106" t="s">
        <v>13</v>
      </c>
      <c r="E3" s="106" t="s">
        <v>12</v>
      </c>
      <c r="F3" s="135" t="s">
        <v>10</v>
      </c>
      <c r="G3" s="130" t="s">
        <v>149</v>
      </c>
    </row>
    <row r="4" spans="1:8" ht="15" x14ac:dyDescent="0.25">
      <c r="A4" s="49" t="s">
        <v>48</v>
      </c>
      <c r="B4" s="99"/>
      <c r="C4" s="136">
        <f>'Harris Allocate'!O51</f>
        <v>87.59500060718976</v>
      </c>
      <c r="D4" s="99"/>
      <c r="E4" s="99"/>
      <c r="F4" s="99"/>
      <c r="G4" s="131">
        <f>SUM(B4:F4)</f>
        <v>87.59500060718976</v>
      </c>
      <c r="H4" s="35"/>
    </row>
    <row r="5" spans="1:8" ht="15" x14ac:dyDescent="0.25">
      <c r="A5" s="49" t="s">
        <v>34</v>
      </c>
      <c r="B5" s="99">
        <f>' Palatlakaha allocation TP'!D52</f>
        <v>29.075776996241018</v>
      </c>
      <c r="C5" s="99"/>
      <c r="D5" s="99"/>
      <c r="E5" s="99"/>
      <c r="F5" s="99"/>
      <c r="G5" s="131">
        <f t="shared" ref="G5:G18" si="0">SUM(B5:F5)</f>
        <v>29.075776996241018</v>
      </c>
      <c r="H5" s="35"/>
    </row>
    <row r="6" spans="1:8" ht="15" x14ac:dyDescent="0.25">
      <c r="A6" s="49" t="s">
        <v>40</v>
      </c>
      <c r="B6" s="99"/>
      <c r="C6" s="99"/>
      <c r="D6" s="99"/>
      <c r="E6" s="99">
        <f>'Yale allocation'!L39</f>
        <v>111.1554744531887</v>
      </c>
      <c r="F6" s="99">
        <f>'Trout Allocate'!L35</f>
        <v>15.753341670360461</v>
      </c>
      <c r="G6" s="131">
        <f t="shared" si="0"/>
        <v>126.90881612354916</v>
      </c>
      <c r="H6" s="35"/>
    </row>
    <row r="7" spans="1:8" ht="15" x14ac:dyDescent="0.25">
      <c r="A7" s="49" t="s">
        <v>41</v>
      </c>
      <c r="B7" s="99">
        <f>' Palatlakaha allocation TP'!L46</f>
        <v>16.569662281663138</v>
      </c>
      <c r="C7" s="99">
        <f>'Harris Allocate'!O52</f>
        <v>102.67954901316322</v>
      </c>
      <c r="D7" s="99">
        <f>'Carlton Allocate'!L41</f>
        <v>0.43695611085657965</v>
      </c>
      <c r="E7" s="99">
        <f>'Yale allocation'!L40</f>
        <v>21.956802456455758</v>
      </c>
      <c r="F7" s="99">
        <f>'Trout Allocate'!L36</f>
        <v>2.1529625131389833</v>
      </c>
      <c r="G7" s="131">
        <f t="shared" si="0"/>
        <v>143.79593237527769</v>
      </c>
      <c r="H7" s="35"/>
    </row>
    <row r="8" spans="1:8" ht="15" x14ac:dyDescent="0.25">
      <c r="A8" s="49" t="s">
        <v>35</v>
      </c>
      <c r="B8" s="99">
        <f>' Palatlakaha allocation TP'!D53</f>
        <v>228.22006614451001</v>
      </c>
      <c r="C8" s="99"/>
      <c r="D8" s="99"/>
      <c r="E8" s="99"/>
      <c r="F8" s="99"/>
      <c r="G8" s="131">
        <f t="shared" si="0"/>
        <v>228.22006614451001</v>
      </c>
      <c r="H8" s="35"/>
    </row>
    <row r="9" spans="1:8" ht="15" x14ac:dyDescent="0.25">
      <c r="A9" s="49" t="s">
        <v>49</v>
      </c>
      <c r="B9" s="99"/>
      <c r="C9" s="99">
        <f>'Harris Allocate'!O53</f>
        <v>47.304329866572502</v>
      </c>
      <c r="D9" s="99"/>
      <c r="E9" s="99"/>
      <c r="F9" s="99"/>
      <c r="G9" s="131">
        <f t="shared" si="0"/>
        <v>47.304329866572502</v>
      </c>
      <c r="H9" s="35"/>
    </row>
    <row r="10" spans="1:8" ht="15" x14ac:dyDescent="0.25">
      <c r="A10" s="49" t="s">
        <v>36</v>
      </c>
      <c r="B10" s="99">
        <f>' Palatlakaha allocation TP'!D54</f>
        <v>470.25824558705301</v>
      </c>
      <c r="C10" s="99">
        <f>'Harris Allocate'!O54</f>
        <v>845.12393448266891</v>
      </c>
      <c r="D10" s="99">
        <f>'Carlton Allocate'!L42</f>
        <v>0.3402415370477217</v>
      </c>
      <c r="E10" s="99">
        <f>'Yale allocation'!L41</f>
        <v>171.89660407997121</v>
      </c>
      <c r="F10" s="99">
        <f>'Trout Allocate'!L37</f>
        <v>5.3894792874017732</v>
      </c>
      <c r="G10" s="131">
        <f t="shared" si="0"/>
        <v>1493.0085049741426</v>
      </c>
      <c r="H10" s="35"/>
    </row>
    <row r="11" spans="1:8" ht="15" x14ac:dyDescent="0.25">
      <c r="A11" s="49" t="s">
        <v>37</v>
      </c>
      <c r="B11" s="99">
        <f>' Palatlakaha allocation TP'!D55</f>
        <v>58.524993002359281</v>
      </c>
      <c r="C11" s="99">
        <f>'Harris Allocate'!O55</f>
        <v>853.2307141161225</v>
      </c>
      <c r="D11" s="99"/>
      <c r="E11" s="99"/>
      <c r="F11" s="99"/>
      <c r="G11" s="131">
        <f t="shared" si="0"/>
        <v>911.75570711848172</v>
      </c>
      <c r="H11" s="35"/>
    </row>
    <row r="12" spans="1:8" ht="15" x14ac:dyDescent="0.25">
      <c r="A12" s="49" t="s">
        <v>42</v>
      </c>
      <c r="B12" s="99"/>
      <c r="C12" s="99"/>
      <c r="D12" s="99"/>
      <c r="E12" s="99">
        <f>'Yale allocation'!L42</f>
        <v>7.1453956059395107</v>
      </c>
      <c r="F12" s="99"/>
      <c r="G12" s="131">
        <f t="shared" si="0"/>
        <v>7.1453956059395107</v>
      </c>
      <c r="H12" s="35"/>
    </row>
    <row r="13" spans="1:8" ht="15" x14ac:dyDescent="0.25">
      <c r="A13" s="49" t="s">
        <v>38</v>
      </c>
      <c r="B13" s="99">
        <f>' Palatlakaha allocation TP'!D56</f>
        <v>1.7826966199214209</v>
      </c>
      <c r="C13" s="99"/>
      <c r="D13" s="99"/>
      <c r="E13" s="99"/>
      <c r="F13" s="99"/>
      <c r="G13" s="131">
        <f t="shared" si="0"/>
        <v>1.7826966199214209</v>
      </c>
      <c r="H13" s="35"/>
    </row>
    <row r="14" spans="1:8" ht="15" x14ac:dyDescent="0.25">
      <c r="A14" s="49" t="s">
        <v>39</v>
      </c>
      <c r="B14" s="99">
        <f>' Palatlakaha allocation TP'!D57</f>
        <v>46.057462298814819</v>
      </c>
      <c r="C14" s="99"/>
      <c r="D14" s="99"/>
      <c r="E14" s="99"/>
      <c r="F14" s="99"/>
      <c r="G14" s="131">
        <f t="shared" si="0"/>
        <v>46.057462298814819</v>
      </c>
      <c r="H14" s="35"/>
    </row>
    <row r="15" spans="1:8" ht="15" x14ac:dyDescent="0.25">
      <c r="A15" s="49" t="s">
        <v>47</v>
      </c>
      <c r="B15" s="99"/>
      <c r="C15" s="99"/>
      <c r="D15" s="99">
        <f>'Carlton Allocate'!L43</f>
        <v>2.578850237408723</v>
      </c>
      <c r="E15" s="99"/>
      <c r="F15" s="99"/>
      <c r="G15" s="131">
        <f t="shared" si="0"/>
        <v>2.578850237408723</v>
      </c>
      <c r="H15" s="35"/>
    </row>
    <row r="16" spans="1:8" ht="15" x14ac:dyDescent="0.25">
      <c r="A16" s="49" t="s">
        <v>50</v>
      </c>
      <c r="B16" s="99"/>
      <c r="C16" s="99">
        <f>'Harris Allocate'!O56</f>
        <v>323.43850120307724</v>
      </c>
      <c r="D16" s="99"/>
      <c r="E16" s="99"/>
      <c r="F16" s="99"/>
      <c r="G16" s="131">
        <f t="shared" si="0"/>
        <v>323.43850120307724</v>
      </c>
      <c r="H16" s="35"/>
    </row>
    <row r="17" spans="1:8" ht="15" x14ac:dyDescent="0.25">
      <c r="A17" s="49" t="s">
        <v>43</v>
      </c>
      <c r="B17" s="99"/>
      <c r="C17" s="99"/>
      <c r="D17" s="99"/>
      <c r="E17" s="99">
        <f>'Yale allocation'!L43</f>
        <v>22.294431549988722</v>
      </c>
      <c r="F17" s="99">
        <f>'Trout Allocate'!L38</f>
        <v>12.307207763130899</v>
      </c>
      <c r="G17" s="131">
        <f t="shared" si="0"/>
        <v>34.60163931311962</v>
      </c>
      <c r="H17" s="35"/>
    </row>
    <row r="18" spans="1:8" ht="15" x14ac:dyDescent="0.25">
      <c r="A18" s="49" t="s">
        <v>51</v>
      </c>
      <c r="B18" s="99"/>
      <c r="C18" s="99">
        <f>'Harris Allocate'!O57</f>
        <v>3.3118118889223553</v>
      </c>
      <c r="D18" s="99"/>
      <c r="E18" s="99"/>
      <c r="F18" s="99"/>
      <c r="G18" s="131">
        <f t="shared" si="0"/>
        <v>3.3118118889223553</v>
      </c>
      <c r="H18" s="35"/>
    </row>
    <row r="19" spans="1:8" s="35" customFormat="1" ht="15.75" thickBot="1" x14ac:dyDescent="0.3">
      <c r="A19" s="50" t="s">
        <v>143</v>
      </c>
      <c r="B19" s="137">
        <f>' Palatlakaha allocation TP'!L45</f>
        <v>8.1007560048997043</v>
      </c>
      <c r="C19" s="103"/>
      <c r="D19" s="103"/>
      <c r="E19" s="103"/>
      <c r="F19" s="103"/>
      <c r="G19" s="134">
        <f>SUM(B19:F19)</f>
        <v>8.1007560048997043</v>
      </c>
    </row>
    <row r="20" spans="1:8" ht="13.5" thickBot="1" x14ac:dyDescent="0.25"/>
    <row r="21" spans="1:8" ht="15.75" thickBot="1" x14ac:dyDescent="0.3">
      <c r="A21" s="1123" t="s">
        <v>216</v>
      </c>
      <c r="B21" s="1124"/>
      <c r="C21" s="1124"/>
      <c r="D21" s="1124"/>
      <c r="E21" s="1124"/>
      <c r="F21" s="1125"/>
    </row>
    <row r="22" spans="1:8" ht="45" x14ac:dyDescent="0.25">
      <c r="A22" s="48" t="s">
        <v>214</v>
      </c>
      <c r="B22" s="106" t="s">
        <v>11</v>
      </c>
      <c r="C22" s="106" t="s">
        <v>12</v>
      </c>
      <c r="D22" s="106" t="s">
        <v>13</v>
      </c>
      <c r="E22" s="106" t="s">
        <v>10</v>
      </c>
      <c r="F22" s="130" t="s">
        <v>149</v>
      </c>
    </row>
    <row r="23" spans="1:8" x14ac:dyDescent="0.2">
      <c r="A23" s="36" t="s">
        <v>40</v>
      </c>
      <c r="B23" s="133"/>
      <c r="C23" s="139">
        <f>'Yale allocation'!L30</f>
        <v>3.5829202931202144</v>
      </c>
      <c r="D23" s="139"/>
      <c r="E23" s="139">
        <f>'Trout Allocate'!E43</f>
        <v>9.0909090909090912E-2</v>
      </c>
      <c r="F23" s="131">
        <v>3.9437085365853659</v>
      </c>
    </row>
    <row r="24" spans="1:8" x14ac:dyDescent="0.2">
      <c r="A24" s="36" t="s">
        <v>36</v>
      </c>
      <c r="B24" s="99">
        <f>'Harris Allocate'!L42</f>
        <v>879.79875195007799</v>
      </c>
      <c r="C24" s="99">
        <f>'Yale allocation'!L31</f>
        <v>88.595847248063478</v>
      </c>
      <c r="D24" s="99">
        <f>'Carlton Allocate'!L34</f>
        <v>0.71249999999999991</v>
      </c>
      <c r="E24" s="99">
        <f>'Trout Allocate'!E44</f>
        <v>0.40909090909090912</v>
      </c>
      <c r="F24" s="131">
        <v>942.24739985485974</v>
      </c>
    </row>
    <row r="25" spans="1:8" x14ac:dyDescent="0.2">
      <c r="A25" s="36" t="s">
        <v>48</v>
      </c>
      <c r="B25" s="99">
        <f>'Harris Allocate'!L40</f>
        <v>55.190327613104529</v>
      </c>
      <c r="C25" s="99"/>
      <c r="D25" s="99"/>
      <c r="E25" s="99"/>
      <c r="F25" s="131">
        <v>23.846511627906978</v>
      </c>
    </row>
    <row r="26" spans="1:8" x14ac:dyDescent="0.2">
      <c r="A26" s="36" t="s">
        <v>61</v>
      </c>
      <c r="B26" s="99">
        <f>'Harris Allocate'!L41</f>
        <v>91.442797711908483</v>
      </c>
      <c r="C26" s="99"/>
      <c r="D26" s="99"/>
      <c r="E26" s="99"/>
      <c r="F26" s="131">
        <v>38.107660738714095</v>
      </c>
    </row>
    <row r="27" spans="1:8" x14ac:dyDescent="0.2">
      <c r="A27" s="36" t="s">
        <v>37</v>
      </c>
      <c r="B27" s="99">
        <v>2.5776333789329686</v>
      </c>
      <c r="C27" s="99"/>
      <c r="D27" s="99"/>
      <c r="E27" s="99"/>
      <c r="F27" s="131">
        <v>1.1689466484268125</v>
      </c>
    </row>
    <row r="28" spans="1:8" x14ac:dyDescent="0.2">
      <c r="A28" s="36" t="s">
        <v>50</v>
      </c>
      <c r="B28" s="99">
        <f>'Harris Allocate'!L44</f>
        <v>11.903796151846073</v>
      </c>
      <c r="C28" s="99"/>
      <c r="D28" s="99"/>
      <c r="E28" s="99"/>
      <c r="F28" s="131">
        <v>18.235567715458277</v>
      </c>
    </row>
    <row r="29" spans="1:8" ht="13.5" thickBot="1" x14ac:dyDescent="0.25">
      <c r="A29" s="29" t="s">
        <v>47</v>
      </c>
      <c r="B29" s="103"/>
      <c r="C29" s="103"/>
      <c r="D29" s="103">
        <f>'Carlton Allocate'!L35</f>
        <v>0.78750000000000009</v>
      </c>
      <c r="E29" s="103"/>
      <c r="F29" s="134">
        <v>27.5124</v>
      </c>
    </row>
    <row r="31" spans="1:8" ht="13.5" thickBot="1" x14ac:dyDescent="0.25"/>
    <row r="32" spans="1:8" ht="15.75" thickBot="1" x14ac:dyDescent="0.3">
      <c r="A32" s="1129" t="s">
        <v>125</v>
      </c>
      <c r="B32" s="1130"/>
      <c r="C32" s="1130"/>
      <c r="D32" s="1130"/>
      <c r="E32" s="1130"/>
      <c r="F32" s="1130"/>
      <c r="G32" s="1131"/>
    </row>
    <row r="33" spans="1:7" ht="30" x14ac:dyDescent="0.25">
      <c r="A33" s="48" t="s">
        <v>214</v>
      </c>
      <c r="B33" s="106" t="s">
        <v>55</v>
      </c>
      <c r="C33" s="106" t="s">
        <v>11</v>
      </c>
      <c r="D33" s="106" t="s">
        <v>13</v>
      </c>
      <c r="E33" s="106" t="s">
        <v>12</v>
      </c>
      <c r="F33" s="106" t="s">
        <v>10</v>
      </c>
      <c r="G33" s="130" t="s">
        <v>149</v>
      </c>
    </row>
    <row r="34" spans="1:7" x14ac:dyDescent="0.2">
      <c r="A34" s="36" t="s">
        <v>48</v>
      </c>
      <c r="B34" s="105"/>
      <c r="C34" s="136">
        <f>C4+B25</f>
        <v>142.78532822029428</v>
      </c>
      <c r="D34" s="138"/>
      <c r="E34" s="99"/>
      <c r="F34" s="99"/>
      <c r="G34" s="131">
        <f>SUM(B34:F34)</f>
        <v>142.78532822029428</v>
      </c>
    </row>
    <row r="35" spans="1:7" x14ac:dyDescent="0.2">
      <c r="A35" s="36" t="s">
        <v>34</v>
      </c>
      <c r="B35" s="99">
        <f>' Palatlakaha allocation TP'!D52</f>
        <v>29.075776996241018</v>
      </c>
      <c r="C35" s="99"/>
      <c r="D35" s="99"/>
      <c r="E35" s="99"/>
      <c r="F35" s="99"/>
      <c r="G35" s="131">
        <f t="shared" ref="G35:G50" si="1">SUM(B35:F35)</f>
        <v>29.075776996241018</v>
      </c>
    </row>
    <row r="36" spans="1:7" x14ac:dyDescent="0.2">
      <c r="A36" s="36" t="s">
        <v>40</v>
      </c>
      <c r="B36" s="99"/>
      <c r="C36" s="99"/>
      <c r="D36" s="99"/>
      <c r="E36" s="99">
        <f>E6+C23</f>
        <v>114.73839474630891</v>
      </c>
      <c r="F36" s="99">
        <f>F6+E23</f>
        <v>15.844250761269553</v>
      </c>
      <c r="G36" s="131">
        <f t="shared" si="1"/>
        <v>130.58264550757846</v>
      </c>
    </row>
    <row r="37" spans="1:7" x14ac:dyDescent="0.2">
      <c r="A37" s="36" t="s">
        <v>41</v>
      </c>
      <c r="B37" s="99"/>
      <c r="C37" s="99">
        <f>C7</f>
        <v>102.67954901316322</v>
      </c>
      <c r="D37" s="99">
        <f>D7</f>
        <v>0.43695611085657965</v>
      </c>
      <c r="E37" s="99">
        <f>E7</f>
        <v>21.956802456455758</v>
      </c>
      <c r="F37" s="99">
        <f>F7</f>
        <v>2.1529625131389833</v>
      </c>
      <c r="G37" s="131">
        <f t="shared" si="1"/>
        <v>127.22627009361456</v>
      </c>
    </row>
    <row r="38" spans="1:7" x14ac:dyDescent="0.2">
      <c r="A38" s="36" t="s">
        <v>35</v>
      </c>
      <c r="B38" s="99">
        <f>' Palatlakaha allocation TP'!D53</f>
        <v>228.22006614451001</v>
      </c>
      <c r="C38" s="99"/>
      <c r="D38" s="99"/>
      <c r="E38" s="99"/>
      <c r="F38" s="99"/>
      <c r="G38" s="131">
        <f t="shared" si="1"/>
        <v>228.22006614451001</v>
      </c>
    </row>
    <row r="39" spans="1:7" x14ac:dyDescent="0.2">
      <c r="A39" s="36" t="s">
        <v>49</v>
      </c>
      <c r="B39" s="99"/>
      <c r="C39" s="99">
        <f>C9+B26</f>
        <v>138.74712757848098</v>
      </c>
      <c r="D39" s="99"/>
      <c r="E39" s="99"/>
      <c r="F39" s="99"/>
      <c r="G39" s="131">
        <f t="shared" si="1"/>
        <v>138.74712757848098</v>
      </c>
    </row>
    <row r="40" spans="1:7" x14ac:dyDescent="0.2">
      <c r="A40" s="36" t="s">
        <v>36</v>
      </c>
      <c r="B40" s="99">
        <f>' Palatlakaha allocation TP'!D54</f>
        <v>470.25824558705301</v>
      </c>
      <c r="C40" s="99">
        <f>C10+B24</f>
        <v>1724.922686432747</v>
      </c>
      <c r="D40" s="99">
        <f>D10+D24</f>
        <v>1.0527415370477216</v>
      </c>
      <c r="E40" s="99">
        <f>E10+C24</f>
        <v>260.49245132803469</v>
      </c>
      <c r="F40" s="99">
        <f>F10+E24</f>
        <v>5.7985701964926823</v>
      </c>
      <c r="G40" s="131">
        <f t="shared" si="1"/>
        <v>2462.5246950813748</v>
      </c>
    </row>
    <row r="41" spans="1:7" x14ac:dyDescent="0.2">
      <c r="A41" s="36" t="s">
        <v>37</v>
      </c>
      <c r="B41" s="99">
        <f>' Palatlakaha allocation TP'!D55</f>
        <v>58.524993002359281</v>
      </c>
      <c r="C41" s="99">
        <f>C11+B27</f>
        <v>855.8083474950555</v>
      </c>
      <c r="D41" s="99"/>
      <c r="E41" s="99"/>
      <c r="F41" s="99"/>
      <c r="G41" s="131">
        <f t="shared" si="1"/>
        <v>914.33334049741484</v>
      </c>
    </row>
    <row r="42" spans="1:7" x14ac:dyDescent="0.2">
      <c r="A42" s="36" t="s">
        <v>42</v>
      </c>
      <c r="B42" s="99"/>
      <c r="C42" s="99"/>
      <c r="D42" s="99"/>
      <c r="E42" s="99">
        <f>E12</f>
        <v>7.1453956059395107</v>
      </c>
      <c r="F42" s="99"/>
      <c r="G42" s="131">
        <f t="shared" si="1"/>
        <v>7.1453956059395107</v>
      </c>
    </row>
    <row r="43" spans="1:7" x14ac:dyDescent="0.2">
      <c r="A43" s="36" t="s">
        <v>38</v>
      </c>
      <c r="B43" s="99">
        <f>' Palatlakaha allocation TP'!D56</f>
        <v>1.7826966199214209</v>
      </c>
      <c r="C43" s="99"/>
      <c r="D43" s="99"/>
      <c r="E43" s="99"/>
      <c r="F43" s="99"/>
      <c r="G43" s="131">
        <f t="shared" si="1"/>
        <v>1.7826966199214209</v>
      </c>
    </row>
    <row r="44" spans="1:7" x14ac:dyDescent="0.2">
      <c r="A44" s="36" t="s">
        <v>39</v>
      </c>
      <c r="B44" s="99">
        <f>' Palatlakaha allocation TP'!D57</f>
        <v>46.057462298814819</v>
      </c>
      <c r="C44" s="99"/>
      <c r="D44" s="99"/>
      <c r="E44" s="99"/>
      <c r="F44" s="99"/>
      <c r="G44" s="131">
        <f t="shared" si="1"/>
        <v>46.057462298814819</v>
      </c>
    </row>
    <row r="45" spans="1:7" x14ac:dyDescent="0.2">
      <c r="A45" s="36" t="s">
        <v>47</v>
      </c>
      <c r="B45" s="99"/>
      <c r="C45" s="99"/>
      <c r="D45" s="99">
        <f>D15+D29</f>
        <v>3.3663502374087231</v>
      </c>
      <c r="E45" s="99"/>
      <c r="F45" s="99"/>
      <c r="G45" s="131">
        <f t="shared" si="1"/>
        <v>3.3663502374087231</v>
      </c>
    </row>
    <row r="46" spans="1:7" x14ac:dyDescent="0.2">
      <c r="A46" s="36" t="s">
        <v>50</v>
      </c>
      <c r="B46" s="99"/>
      <c r="C46" s="99">
        <f>C16+B28</f>
        <v>335.34229735492329</v>
      </c>
      <c r="D46" s="99"/>
      <c r="E46" s="99"/>
      <c r="F46" s="99"/>
      <c r="G46" s="131">
        <f t="shared" si="1"/>
        <v>335.34229735492329</v>
      </c>
    </row>
    <row r="47" spans="1:7" x14ac:dyDescent="0.2">
      <c r="A47" s="36" t="s">
        <v>43</v>
      </c>
      <c r="B47" s="99"/>
      <c r="C47" s="99"/>
      <c r="D47" s="99"/>
      <c r="E47" s="99">
        <f>E17</f>
        <v>22.294431549988722</v>
      </c>
      <c r="F47" s="99">
        <f>F17</f>
        <v>12.307207763130899</v>
      </c>
      <c r="G47" s="131">
        <f t="shared" si="1"/>
        <v>34.60163931311962</v>
      </c>
    </row>
    <row r="48" spans="1:7" x14ac:dyDescent="0.2">
      <c r="A48" s="36" t="s">
        <v>51</v>
      </c>
      <c r="B48" s="99"/>
      <c r="C48" s="99">
        <f>C18</f>
        <v>3.3118118889223553</v>
      </c>
      <c r="D48" s="99"/>
      <c r="E48" s="99"/>
      <c r="F48" s="99"/>
      <c r="G48" s="131">
        <f t="shared" si="1"/>
        <v>3.3118118889223553</v>
      </c>
    </row>
    <row r="49" spans="1:7" s="35" customFormat="1" x14ac:dyDescent="0.2">
      <c r="A49" s="71" t="s">
        <v>143</v>
      </c>
      <c r="B49" s="132">
        <f>' Palatlakaha allocation TP'!D58</f>
        <v>8.1007560048997043</v>
      </c>
      <c r="C49" s="132"/>
      <c r="D49" s="132"/>
      <c r="E49" s="132"/>
      <c r="F49" s="132"/>
      <c r="G49" s="131">
        <f t="shared" si="1"/>
        <v>8.1007560048997043</v>
      </c>
    </row>
    <row r="50" spans="1:7" ht="39" thickBot="1" x14ac:dyDescent="0.25">
      <c r="A50" s="642" t="s">
        <v>217</v>
      </c>
      <c r="B50" s="628">
        <f>SUM(B34:B49)</f>
        <v>842.01999665379935</v>
      </c>
      <c r="C50" s="628">
        <f>SUM(C34:C49)</f>
        <v>3303.5971479835866</v>
      </c>
      <c r="D50" s="628">
        <f>SUM(D34:D49)</f>
        <v>4.856047885313024</v>
      </c>
      <c r="E50" s="628">
        <f>SUM(E34:E49)</f>
        <v>426.62747568672756</v>
      </c>
      <c r="F50" s="628">
        <f>SUM(F34:F49)</f>
        <v>36.102991234032118</v>
      </c>
      <c r="G50" s="643">
        <f t="shared" si="1"/>
        <v>4613.2036594434594</v>
      </c>
    </row>
    <row r="51" spans="1:7" ht="13.5" thickBot="1" x14ac:dyDescent="0.25"/>
    <row r="52" spans="1:7" ht="38.25" x14ac:dyDescent="0.2">
      <c r="A52" s="776" t="s">
        <v>580</v>
      </c>
      <c r="B52" s="229" t="s">
        <v>581</v>
      </c>
      <c r="C52" s="229" t="s">
        <v>582</v>
      </c>
      <c r="D52" s="229" t="s">
        <v>583</v>
      </c>
      <c r="E52" s="906" t="s">
        <v>579</v>
      </c>
    </row>
    <row r="53" spans="1:7" s="35" customFormat="1" x14ac:dyDescent="0.2">
      <c r="A53" s="900" t="s">
        <v>287</v>
      </c>
      <c r="B53" s="901"/>
      <c r="C53" s="901"/>
      <c r="D53" s="902">
        <f>Marshall_allocation!O39</f>
        <v>44.773462319988269</v>
      </c>
      <c r="E53" s="907">
        <f>D53</f>
        <v>44.773462319988269</v>
      </c>
    </row>
    <row r="54" spans="1:7" x14ac:dyDescent="0.2">
      <c r="A54" s="36" t="s">
        <v>41</v>
      </c>
      <c r="B54" s="812">
        <f>Denham_allocation!L41</f>
        <v>1.1332621420351887</v>
      </c>
      <c r="C54" s="815"/>
      <c r="D54" s="139">
        <f>Marshall_allocation!O41</f>
        <v>5.8643076611412397</v>
      </c>
      <c r="E54" s="908">
        <f>B54+D54</f>
        <v>6.9975698031764288</v>
      </c>
    </row>
    <row r="55" spans="1:7" x14ac:dyDescent="0.2">
      <c r="A55" s="36" t="s">
        <v>36</v>
      </c>
      <c r="B55" s="812">
        <f>Denham_allocation!L42</f>
        <v>4.8667855228204902</v>
      </c>
      <c r="C55" s="815"/>
      <c r="D55" s="139"/>
      <c r="E55" s="908">
        <f>B55</f>
        <v>4.8667855228204902</v>
      </c>
    </row>
    <row r="56" spans="1:7" x14ac:dyDescent="0.2">
      <c r="A56" s="36" t="s">
        <v>37</v>
      </c>
      <c r="B56" s="812">
        <f>Denham_allocation!L43</f>
        <v>16.989947616610259</v>
      </c>
      <c r="C56" s="815"/>
      <c r="D56" s="139"/>
      <c r="E56" s="908">
        <f>B56</f>
        <v>16.989947616610259</v>
      </c>
    </row>
    <row r="57" spans="1:7" x14ac:dyDescent="0.2">
      <c r="A57" s="36" t="s">
        <v>47</v>
      </c>
      <c r="B57" s="815"/>
      <c r="C57" s="812">
        <f>Roberts_allocation!N38</f>
        <v>34.922687502598336</v>
      </c>
      <c r="D57" s="139">
        <f>Marshall_allocation!O40</f>
        <v>7.4476494108167</v>
      </c>
      <c r="E57" s="908">
        <f>C57+D57</f>
        <v>42.370336913415038</v>
      </c>
    </row>
    <row r="58" spans="1:7" x14ac:dyDescent="0.2">
      <c r="A58" s="36" t="s">
        <v>51</v>
      </c>
      <c r="B58" s="812">
        <f>Denham_allocation!L44</f>
        <v>0.48639366133752798</v>
      </c>
      <c r="C58" s="812"/>
      <c r="D58" s="139"/>
      <c r="E58" s="908">
        <f>B58</f>
        <v>0.48639366133752798</v>
      </c>
    </row>
    <row r="59" spans="1:7" x14ac:dyDescent="0.2">
      <c r="A59" s="71" t="s">
        <v>285</v>
      </c>
      <c r="B59" s="815"/>
      <c r="C59" s="812">
        <f>Roberts_allocation!N39</f>
        <v>16.772536918923819</v>
      </c>
      <c r="D59" s="139"/>
      <c r="E59" s="908">
        <f>C59</f>
        <v>16.772536918923819</v>
      </c>
    </row>
    <row r="60" spans="1:7" ht="25.5" x14ac:dyDescent="0.2">
      <c r="A60" s="903" t="s">
        <v>553</v>
      </c>
      <c r="B60" s="815"/>
      <c r="C60" s="812"/>
      <c r="D60" s="139">
        <f>Marshall_allocation!O42</f>
        <v>12.135692338858762</v>
      </c>
      <c r="E60" s="908">
        <f>D60</f>
        <v>12.135692338858762</v>
      </c>
    </row>
    <row r="61" spans="1:7" ht="39" thickBot="1" x14ac:dyDescent="0.25">
      <c r="A61" s="642" t="s">
        <v>217</v>
      </c>
      <c r="B61" s="397">
        <f>SUM(B53:B60)</f>
        <v>23.476388942803464</v>
      </c>
      <c r="C61" s="397">
        <f t="shared" ref="C61:D61" si="2">SUM(C53:C60)</f>
        <v>51.695224421522155</v>
      </c>
      <c r="D61" s="397">
        <f t="shared" si="2"/>
        <v>70.221111730804978</v>
      </c>
      <c r="E61" s="904"/>
    </row>
  </sheetData>
  <mergeCells count="3">
    <mergeCell ref="A32:G32"/>
    <mergeCell ref="A21:F21"/>
    <mergeCell ref="A2:G2"/>
  </mergeCells>
  <pageMargins left="0.7" right="0.7" top="0.75" bottom="0.75" header="0.3" footer="0.3"/>
  <pageSetup orientation="landscape" r:id="rId1"/>
  <headerFooter>
    <oddHeader>&amp;C&amp;"Arial,Bold"&amp;12Upper Ocklawaha 
Draft Priority Lake Allocation Summary</oddHeader>
    <oddFooter>&amp;LDraft 8/16/16&amp;C&amp;P</oddFooter>
  </headerFooter>
  <rowBreaks count="1" manualBreakCount="1">
    <brk id="29" max="16383" man="1"/>
  </rowBreaks>
  <ignoredErrors>
    <ignoredError sqref="E5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AN37"/>
  <sheetViews>
    <sheetView topLeftCell="AE3" workbookViewId="0">
      <selection activeCell="AI14" sqref="AI14"/>
    </sheetView>
  </sheetViews>
  <sheetFormatPr defaultColWidth="17.140625" defaultRowHeight="12.75" x14ac:dyDescent="0.2"/>
  <cols>
    <col min="1" max="1" width="36.5703125" style="141" customWidth="1"/>
    <col min="2" max="34" width="17.140625" style="309"/>
    <col min="35" max="16384" width="17.140625" style="305"/>
  </cols>
  <sheetData>
    <row r="1" spans="1:40" ht="15.75" thickBot="1" x14ac:dyDescent="0.25">
      <c r="B1" s="1136"/>
      <c r="C1" s="1136"/>
      <c r="D1" s="1136"/>
      <c r="E1" s="1137"/>
      <c r="F1" s="1137"/>
      <c r="G1" s="1137"/>
      <c r="H1" s="1137"/>
      <c r="I1" s="1137"/>
      <c r="J1" s="1137"/>
      <c r="K1" s="1137"/>
      <c r="L1" s="1137"/>
      <c r="M1" s="1137"/>
      <c r="N1" s="1137"/>
      <c r="O1" s="1137"/>
      <c r="P1" s="1137"/>
      <c r="Q1" s="1137"/>
      <c r="R1" s="1137"/>
      <c r="S1" s="1137"/>
      <c r="T1" s="1137"/>
      <c r="U1" s="1137"/>
      <c r="V1" s="1137"/>
      <c r="W1" s="1137"/>
      <c r="X1" s="1137"/>
      <c r="Y1" s="1137"/>
      <c r="Z1" s="1137"/>
      <c r="AA1" s="1137"/>
      <c r="AB1" s="1137"/>
      <c r="AC1" s="1137"/>
      <c r="AD1" s="1137"/>
      <c r="AE1" s="1137"/>
      <c r="AF1" s="1137"/>
      <c r="AG1" s="307"/>
      <c r="AH1" s="307"/>
    </row>
    <row r="2" spans="1:40" ht="38.25" x14ac:dyDescent="0.2">
      <c r="A2" s="310" t="s">
        <v>33</v>
      </c>
      <c r="B2" s="311" t="s">
        <v>291</v>
      </c>
      <c r="C2" s="312" t="s">
        <v>292</v>
      </c>
      <c r="D2" s="306" t="s">
        <v>293</v>
      </c>
      <c r="E2" s="311" t="s">
        <v>294</v>
      </c>
      <c r="F2" s="312" t="s">
        <v>295</v>
      </c>
      <c r="G2" s="313" t="s">
        <v>296</v>
      </c>
      <c r="H2" s="311" t="s">
        <v>297</v>
      </c>
      <c r="I2" s="312" t="s">
        <v>298</v>
      </c>
      <c r="J2" s="313" t="s">
        <v>299</v>
      </c>
      <c r="K2" s="311" t="s">
        <v>300</v>
      </c>
      <c r="L2" s="312" t="s">
        <v>301</v>
      </c>
      <c r="M2" s="313" t="s">
        <v>302</v>
      </c>
      <c r="N2" s="311" t="s">
        <v>303</v>
      </c>
      <c r="O2" s="312" t="s">
        <v>304</v>
      </c>
      <c r="P2" s="313" t="s">
        <v>305</v>
      </c>
      <c r="Q2" s="311" t="s">
        <v>306</v>
      </c>
      <c r="R2" s="312" t="s">
        <v>307</v>
      </c>
      <c r="S2" s="313" t="s">
        <v>308</v>
      </c>
      <c r="T2" s="311" t="s">
        <v>309</v>
      </c>
      <c r="U2" s="312" t="s">
        <v>310</v>
      </c>
      <c r="V2" s="313" t="s">
        <v>311</v>
      </c>
      <c r="W2" s="311" t="s">
        <v>312</v>
      </c>
      <c r="X2" s="312" t="s">
        <v>313</v>
      </c>
      <c r="Y2" s="313" t="s">
        <v>314</v>
      </c>
      <c r="Z2" s="311" t="s">
        <v>315</v>
      </c>
      <c r="AA2" s="312" t="s">
        <v>316</v>
      </c>
      <c r="AB2" s="313" t="s">
        <v>317</v>
      </c>
      <c r="AC2" s="311" t="s">
        <v>318</v>
      </c>
      <c r="AD2" s="312" t="s">
        <v>319</v>
      </c>
      <c r="AE2" s="313" t="s">
        <v>320</v>
      </c>
      <c r="AF2" s="311" t="s">
        <v>321</v>
      </c>
      <c r="AG2" s="312" t="s">
        <v>322</v>
      </c>
      <c r="AH2" s="313" t="s">
        <v>323</v>
      </c>
      <c r="AI2" s="878" t="s">
        <v>568</v>
      </c>
      <c r="AJ2" s="879" t="s">
        <v>569</v>
      </c>
      <c r="AK2" s="880" t="s">
        <v>570</v>
      </c>
      <c r="AL2" s="878" t="s">
        <v>571</v>
      </c>
      <c r="AM2" s="879" t="s">
        <v>573</v>
      </c>
      <c r="AN2" s="881" t="s">
        <v>572</v>
      </c>
    </row>
    <row r="3" spans="1:40" x14ac:dyDescent="0.2">
      <c r="A3" s="314" t="s">
        <v>287</v>
      </c>
      <c r="B3" s="308"/>
      <c r="C3" s="308"/>
      <c r="D3" s="308"/>
      <c r="E3" s="308">
        <v>557</v>
      </c>
      <c r="F3" s="308"/>
      <c r="G3" s="308">
        <f>SUM(E3:F3)</f>
        <v>557</v>
      </c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882"/>
      <c r="AJ3" s="882"/>
      <c r="AK3" s="882"/>
      <c r="AL3" s="882"/>
      <c r="AM3" s="882">
        <v>14.3</v>
      </c>
      <c r="AN3" s="883">
        <f>AL3+AM3</f>
        <v>14.3</v>
      </c>
    </row>
    <row r="4" spans="1:40" x14ac:dyDescent="0.2">
      <c r="A4" s="314" t="s">
        <v>48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882"/>
      <c r="AJ4" s="882"/>
      <c r="AK4" s="882"/>
      <c r="AL4" s="882"/>
      <c r="AM4" s="882"/>
      <c r="AN4" s="883"/>
    </row>
    <row r="5" spans="1:40" x14ac:dyDescent="0.2">
      <c r="A5" s="314" t="s">
        <v>34</v>
      </c>
      <c r="B5" s="308">
        <v>358.7</v>
      </c>
      <c r="C5" s="308">
        <v>0.99490059217906957</v>
      </c>
      <c r="D5" s="308">
        <f>SUM(B5:C5)</f>
        <v>359.69490059217907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882"/>
      <c r="AJ5" s="882"/>
      <c r="AK5" s="882"/>
      <c r="AL5" s="882"/>
      <c r="AM5" s="882"/>
      <c r="AN5" s="883"/>
    </row>
    <row r="6" spans="1:40" x14ac:dyDescent="0.2">
      <c r="A6" s="314" t="s">
        <v>40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>
        <v>0.1</v>
      </c>
      <c r="O6" s="308">
        <v>3.5107800140983714</v>
      </c>
      <c r="P6" s="308">
        <f>SUM(N6:O6)</f>
        <v>3.6107800140983715</v>
      </c>
      <c r="Q6" s="308"/>
      <c r="R6" s="308"/>
      <c r="S6" s="308"/>
      <c r="T6" s="308">
        <v>199</v>
      </c>
      <c r="U6" s="308">
        <v>13.658327677017905</v>
      </c>
      <c r="V6" s="308">
        <f>SUM(T6:U6)</f>
        <v>212.65832767701789</v>
      </c>
      <c r="W6" s="308">
        <v>423.4</v>
      </c>
      <c r="X6" s="308">
        <v>42.03049191093168</v>
      </c>
      <c r="Y6" s="308">
        <f>SUM(W6:X6)</f>
        <v>465.43049191093166</v>
      </c>
      <c r="Z6" s="308">
        <v>1.8</v>
      </c>
      <c r="AA6" s="308">
        <v>13.819253296746611</v>
      </c>
      <c r="AB6" s="308">
        <f>SUM(Z6:AA6)</f>
        <v>15.619253296746612</v>
      </c>
      <c r="AC6" s="308"/>
      <c r="AD6" s="308"/>
      <c r="AE6" s="308"/>
      <c r="AF6" s="308"/>
      <c r="AG6" s="308"/>
      <c r="AH6" s="308"/>
      <c r="AI6" s="882"/>
      <c r="AJ6" s="882"/>
      <c r="AK6" s="882"/>
      <c r="AL6" s="882"/>
      <c r="AM6" s="882"/>
      <c r="AN6" s="883"/>
    </row>
    <row r="7" spans="1:40" x14ac:dyDescent="0.2">
      <c r="A7" s="314" t="s">
        <v>41</v>
      </c>
      <c r="B7" s="651">
        <v>1487.3</v>
      </c>
      <c r="C7" s="308">
        <v>0.12300127338382176</v>
      </c>
      <c r="D7" s="308">
        <f>SUM(B7:C7)</f>
        <v>1487.4230012733838</v>
      </c>
      <c r="E7" s="308">
        <v>2741</v>
      </c>
      <c r="F7" s="308"/>
      <c r="G7" s="308">
        <f>SUM(E7:F7)</f>
        <v>2741</v>
      </c>
      <c r="H7" s="651">
        <v>1207.25</v>
      </c>
      <c r="I7" s="308">
        <v>0.7475293036846955</v>
      </c>
      <c r="J7" s="308">
        <f>SUM(H7:I7)</f>
        <v>1207.9975293036846</v>
      </c>
      <c r="K7" s="651">
        <v>206.5</v>
      </c>
      <c r="L7" s="308">
        <v>8.0239491501704896E-2</v>
      </c>
      <c r="M7" s="308">
        <f>SUM(K7:L7)</f>
        <v>206.58023949150171</v>
      </c>
      <c r="N7" s="308">
        <v>143.4</v>
      </c>
      <c r="O7" s="308">
        <v>8.7654450592891772E-2</v>
      </c>
      <c r="P7" s="308">
        <f>SUM(N7:O7)</f>
        <v>143.48765445059288</v>
      </c>
      <c r="Q7" s="308"/>
      <c r="R7" s="308"/>
      <c r="S7" s="308"/>
      <c r="T7" s="651">
        <v>531.20000000000005</v>
      </c>
      <c r="U7" s="308">
        <v>0.15569121584675361</v>
      </c>
      <c r="V7" s="308">
        <f>SUM(T7:U7)</f>
        <v>531.35569121584683</v>
      </c>
      <c r="W7" s="308">
        <v>226.1</v>
      </c>
      <c r="X7" s="308">
        <v>0.39406856530996581</v>
      </c>
      <c r="Y7" s="308">
        <f>SUM(W7:X7)</f>
        <v>226.49406856530996</v>
      </c>
      <c r="Z7" s="651">
        <v>475.4</v>
      </c>
      <c r="AA7" s="308">
        <v>0.22747913543698464</v>
      </c>
      <c r="AB7" s="308">
        <f>SUM(Z7:AA7)</f>
        <v>475.62747913543694</v>
      </c>
      <c r="AC7" s="308">
        <v>225.99850647088275</v>
      </c>
      <c r="AD7" s="308">
        <v>0.16792655230808404</v>
      </c>
      <c r="AE7" s="308">
        <f>SUM(AC7:AD7)</f>
        <v>226.16643302319082</v>
      </c>
      <c r="AF7" s="308"/>
      <c r="AG7" s="308"/>
      <c r="AH7" s="308"/>
      <c r="AI7" s="882"/>
      <c r="AJ7" s="882"/>
      <c r="AK7" s="882"/>
      <c r="AL7" s="882"/>
      <c r="AM7" s="882"/>
      <c r="AN7" s="883"/>
    </row>
    <row r="8" spans="1:40" x14ac:dyDescent="0.2">
      <c r="A8" s="314" t="s">
        <v>144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>
        <v>7.4999172950386095</v>
      </c>
      <c r="AE8" s="308">
        <f>SUM(AC8:AD8)</f>
        <v>7.4999172950386095</v>
      </c>
      <c r="AF8" s="308"/>
      <c r="AG8" s="308"/>
      <c r="AH8" s="308"/>
      <c r="AI8" s="882"/>
      <c r="AJ8" s="882"/>
      <c r="AK8" s="882"/>
      <c r="AL8" s="882"/>
      <c r="AM8" s="882"/>
      <c r="AN8" s="883"/>
    </row>
    <row r="9" spans="1:40" x14ac:dyDescent="0.2">
      <c r="A9" s="314" t="s">
        <v>35</v>
      </c>
      <c r="B9" s="308">
        <v>15</v>
      </c>
      <c r="C9" s="308">
        <v>7.8091216266954362</v>
      </c>
      <c r="D9" s="308">
        <f>SUM(B9:C9)</f>
        <v>22.809121626695436</v>
      </c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882"/>
      <c r="AJ9" s="882"/>
      <c r="AK9" s="882"/>
      <c r="AL9" s="882"/>
      <c r="AM9" s="882"/>
      <c r="AN9" s="883"/>
    </row>
    <row r="10" spans="1:40" x14ac:dyDescent="0.2">
      <c r="A10" s="314" t="s">
        <v>49</v>
      </c>
      <c r="B10" s="308"/>
      <c r="C10" s="308"/>
      <c r="D10" s="308"/>
      <c r="E10" s="308"/>
      <c r="F10" s="308"/>
      <c r="G10" s="308"/>
      <c r="H10" s="308">
        <v>10.7</v>
      </c>
      <c r="I10" s="308">
        <v>0.7</v>
      </c>
      <c r="J10" s="308">
        <f>H10+I10</f>
        <v>11.399999999999999</v>
      </c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882"/>
      <c r="AJ10" s="882"/>
      <c r="AK10" s="882"/>
      <c r="AL10" s="882"/>
      <c r="AM10" s="882"/>
      <c r="AN10" s="883"/>
    </row>
    <row r="11" spans="1:40" x14ac:dyDescent="0.2">
      <c r="A11" s="314" t="s">
        <v>36</v>
      </c>
      <c r="B11" s="308">
        <v>11.9</v>
      </c>
      <c r="C11" s="308">
        <f>Education_summary!D10</f>
        <v>39.333713556618235</v>
      </c>
      <c r="D11" s="308">
        <f>SUM(B11:C11)</f>
        <v>51.233713556618234</v>
      </c>
      <c r="E11" s="308"/>
      <c r="F11" s="308"/>
      <c r="G11" s="308"/>
      <c r="H11" s="308">
        <v>204.8</v>
      </c>
      <c r="I11" s="308">
        <f>Education_summary!F10</f>
        <v>68.467497365075332</v>
      </c>
      <c r="J11" s="308">
        <f>SUM(H11:I11)</f>
        <v>273.26749736507531</v>
      </c>
      <c r="K11" s="308">
        <v>3</v>
      </c>
      <c r="L11" s="308">
        <f>Education_summary!H10</f>
        <v>0.67478576393758039</v>
      </c>
      <c r="M11" s="308">
        <f>SUM(K11:L11)</f>
        <v>3.6747857639375803</v>
      </c>
      <c r="N11" s="308">
        <v>57</v>
      </c>
      <c r="O11" s="308">
        <f>Education_summary!R10</f>
        <v>40.7719429019795</v>
      </c>
      <c r="P11" s="308">
        <f>SUM(N11:O11)</f>
        <v>97.7719429019795</v>
      </c>
      <c r="Q11" s="308"/>
      <c r="R11" s="308">
        <f>Education_summary!T10</f>
        <v>10.336169115803445</v>
      </c>
      <c r="S11" s="308">
        <f>SUM(Q11:R11)</f>
        <v>10.336169115803445</v>
      </c>
      <c r="T11" s="308">
        <v>142.6</v>
      </c>
      <c r="U11" s="308">
        <f>Education_summary!L10</f>
        <v>4.2724253908308496</v>
      </c>
      <c r="V11" s="308">
        <f>SUM(T11:U11)</f>
        <v>146.87242539083084</v>
      </c>
      <c r="W11" s="308">
        <v>11.7</v>
      </c>
      <c r="X11" s="308">
        <f>Education_summary!P10</f>
        <v>92.926103677845276</v>
      </c>
      <c r="Y11" s="308">
        <f>SUM(W11:X11)</f>
        <v>104.62610367784528</v>
      </c>
      <c r="Z11" s="308">
        <v>15.4</v>
      </c>
      <c r="AA11" s="308">
        <f>Education_summary!J10</f>
        <v>19.589910714018959</v>
      </c>
      <c r="AB11" s="308">
        <f>SUM(Z11:AA11)</f>
        <v>34.989910714018961</v>
      </c>
      <c r="AC11" s="308">
        <v>115.5</v>
      </c>
      <c r="AD11" s="308">
        <f>Education_summary!N10</f>
        <v>61.897383618424051</v>
      </c>
      <c r="AE11" s="308">
        <f>SUM(AC11:AD11)</f>
        <v>177.39738361842404</v>
      </c>
      <c r="AF11" s="308"/>
      <c r="AG11" s="308"/>
      <c r="AH11" s="308"/>
      <c r="AI11" s="882"/>
      <c r="AJ11" s="909">
        <f>Education_summary!Z10*2.2046</f>
        <v>3.7428408683396945</v>
      </c>
      <c r="AK11" s="909">
        <f>AI11+AJ11</f>
        <v>3.7428408683396945</v>
      </c>
      <c r="AL11" s="882"/>
      <c r="AM11" s="882"/>
      <c r="AN11" s="883"/>
    </row>
    <row r="12" spans="1:40" x14ac:dyDescent="0.2">
      <c r="A12" s="314" t="s">
        <v>288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>
        <v>726</v>
      </c>
      <c r="U12" s="308"/>
      <c r="V12" s="308">
        <f>SUM(T12:U12)</f>
        <v>726</v>
      </c>
      <c r="W12" s="308">
        <v>1487</v>
      </c>
      <c r="X12" s="308"/>
      <c r="Y12" s="308">
        <f>SUM(W12:X12)</f>
        <v>1487</v>
      </c>
      <c r="Z12" s="308"/>
      <c r="AA12" s="308"/>
      <c r="AB12" s="308"/>
      <c r="AC12" s="308"/>
      <c r="AD12" s="308"/>
      <c r="AE12" s="308"/>
      <c r="AF12" s="308"/>
      <c r="AG12" s="308"/>
      <c r="AH12" s="308"/>
      <c r="AI12" s="882"/>
      <c r="AJ12" s="882"/>
      <c r="AK12" s="882"/>
      <c r="AL12" s="882"/>
      <c r="AM12" s="882"/>
      <c r="AN12" s="883"/>
    </row>
    <row r="13" spans="1:40" x14ac:dyDescent="0.2">
      <c r="A13" s="314" t="s">
        <v>289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>
        <v>5000</v>
      </c>
      <c r="R13" s="308"/>
      <c r="S13" s="308">
        <f>SUM(Q13:R13)</f>
        <v>5000</v>
      </c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918">
        <v>500</v>
      </c>
      <c r="AJ13" s="882"/>
      <c r="AK13" s="918">
        <f>AI13+AJ13</f>
        <v>500</v>
      </c>
      <c r="AL13" s="882"/>
      <c r="AM13" s="882"/>
      <c r="AN13" s="883"/>
    </row>
    <row r="14" spans="1:40" x14ac:dyDescent="0.2">
      <c r="A14" s="314" t="s">
        <v>37</v>
      </c>
      <c r="B14" s="308"/>
      <c r="C14" s="308">
        <v>5.3408244222800239</v>
      </c>
      <c r="D14" s="308">
        <f>SUM(B14:C14)</f>
        <v>5.3408244222800239</v>
      </c>
      <c r="E14" s="308"/>
      <c r="F14" s="308"/>
      <c r="G14" s="308"/>
      <c r="H14" s="308">
        <v>36.599999999999994</v>
      </c>
      <c r="I14" s="308">
        <v>74.540821012116211</v>
      </c>
      <c r="J14" s="308">
        <f>SUM(H14:I14)</f>
        <v>111.14082101211621</v>
      </c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>
        <v>4.5361295857919828</v>
      </c>
      <c r="Y14" s="308">
        <f>SUM(W14:X14)</f>
        <v>4.5361295857919828</v>
      </c>
      <c r="Z14" s="308"/>
      <c r="AA14" s="308"/>
      <c r="AB14" s="308"/>
      <c r="AC14" s="308">
        <v>202.4</v>
      </c>
      <c r="AD14" s="308">
        <v>30.664171885382913</v>
      </c>
      <c r="AE14" s="308">
        <f>SUM(AC14:AD14)</f>
        <v>233.0641718853829</v>
      </c>
      <c r="AF14" s="308"/>
      <c r="AG14" s="308"/>
      <c r="AH14" s="308"/>
      <c r="AI14" s="882"/>
      <c r="AJ14" s="882">
        <v>14.3</v>
      </c>
      <c r="AK14" s="882">
        <f>AI14+AJ14</f>
        <v>14.3</v>
      </c>
      <c r="AL14" s="882"/>
      <c r="AM14" s="882"/>
      <c r="AN14" s="883"/>
    </row>
    <row r="15" spans="1:40" x14ac:dyDescent="0.2">
      <c r="A15" s="314" t="s">
        <v>42</v>
      </c>
      <c r="B15" s="308"/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  <c r="Z15" s="308"/>
      <c r="AA15" s="308">
        <v>0.81431313134945238</v>
      </c>
      <c r="AB15" s="308">
        <f>SUM(Z15:AA15)</f>
        <v>0.81431313134945238</v>
      </c>
      <c r="AC15" s="308">
        <v>1</v>
      </c>
      <c r="AD15" s="308">
        <v>39.466682782880746</v>
      </c>
      <c r="AE15" s="308">
        <f>SUM(AC15:AD15)</f>
        <v>40.466682782880746</v>
      </c>
      <c r="AF15" s="308"/>
      <c r="AG15" s="308"/>
      <c r="AH15" s="308"/>
      <c r="AI15" s="882"/>
      <c r="AJ15" s="882"/>
      <c r="AK15" s="882"/>
      <c r="AL15" s="882"/>
      <c r="AM15" s="882"/>
      <c r="AN15" s="883"/>
    </row>
    <row r="16" spans="1:40" x14ac:dyDescent="0.2">
      <c r="A16" s="314" t="s">
        <v>38</v>
      </c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882"/>
      <c r="AJ16" s="882"/>
      <c r="AK16" s="882"/>
      <c r="AL16" s="882"/>
      <c r="AM16" s="882"/>
      <c r="AN16" s="883"/>
    </row>
    <row r="17" spans="1:40" x14ac:dyDescent="0.2">
      <c r="A17" s="314" t="s">
        <v>39</v>
      </c>
      <c r="B17" s="308">
        <v>2</v>
      </c>
      <c r="C17" s="308">
        <v>0.7</v>
      </c>
      <c r="D17" s="308">
        <f>B17+C17</f>
        <v>2.7</v>
      </c>
      <c r="E17" s="308"/>
      <c r="F17" s="308"/>
      <c r="G17" s="308"/>
      <c r="H17" s="308"/>
      <c r="I17" s="308"/>
      <c r="J17" s="308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882"/>
      <c r="AJ17" s="882"/>
      <c r="AK17" s="882"/>
      <c r="AL17" s="882"/>
      <c r="AM17" s="882"/>
      <c r="AN17" s="883"/>
    </row>
    <row r="18" spans="1:40" x14ac:dyDescent="0.2">
      <c r="A18" s="314" t="s">
        <v>290</v>
      </c>
      <c r="B18" s="308"/>
      <c r="C18" s="308"/>
      <c r="D18" s="308"/>
      <c r="E18" s="308"/>
      <c r="F18" s="308"/>
      <c r="G18" s="308"/>
      <c r="H18" s="308"/>
      <c r="I18" s="308"/>
      <c r="J18" s="308"/>
      <c r="K18" s="308"/>
      <c r="L18" s="308"/>
      <c r="M18" s="308"/>
      <c r="N18" s="308">
        <v>838.5</v>
      </c>
      <c r="O18" s="308">
        <f>'Harris Chain education'!J37</f>
        <v>4.2404286344139779</v>
      </c>
      <c r="P18" s="308">
        <f>SUM(N18:O18)</f>
        <v>842.740428634414</v>
      </c>
      <c r="Q18" s="308"/>
      <c r="R18" s="308"/>
      <c r="S18" s="308"/>
      <c r="T18" s="308"/>
      <c r="U18" s="308"/>
      <c r="V18" s="308"/>
      <c r="W18" s="308"/>
      <c r="X18" s="308"/>
      <c r="Y18" s="308"/>
      <c r="Z18" s="308"/>
      <c r="AA18" s="308"/>
      <c r="AB18" s="308"/>
      <c r="AC18" s="308"/>
      <c r="AD18" s="308"/>
      <c r="AE18" s="308"/>
      <c r="AF18" s="308"/>
      <c r="AG18" s="308"/>
      <c r="AH18" s="308"/>
      <c r="AI18" s="882"/>
      <c r="AJ18" s="882"/>
      <c r="AK18" s="882"/>
      <c r="AL18" s="882"/>
      <c r="AM18" s="882"/>
      <c r="AN18" s="883"/>
    </row>
    <row r="19" spans="1:40" x14ac:dyDescent="0.2">
      <c r="A19" s="314" t="s">
        <v>286</v>
      </c>
      <c r="B19" s="308"/>
      <c r="C19" s="308"/>
      <c r="D19" s="308"/>
      <c r="E19" s="308">
        <v>262.7</v>
      </c>
      <c r="F19" s="308"/>
      <c r="G19" s="308">
        <f>SUM(E19:F19)</f>
        <v>262.7</v>
      </c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308"/>
      <c r="AG19" s="308"/>
      <c r="AH19" s="308"/>
      <c r="AI19" s="882"/>
      <c r="AJ19" s="882"/>
      <c r="AK19" s="882"/>
      <c r="AL19" s="882"/>
      <c r="AM19" s="882"/>
      <c r="AN19" s="883"/>
    </row>
    <row r="20" spans="1:40" x14ac:dyDescent="0.2">
      <c r="A20" s="314" t="s">
        <v>47</v>
      </c>
      <c r="B20" s="308"/>
      <c r="C20" s="308"/>
      <c r="D20" s="308"/>
      <c r="E20" s="308">
        <v>321.7</v>
      </c>
      <c r="F20" s="308"/>
      <c r="G20" s="308">
        <f>SUM(E20:F20)</f>
        <v>321.7</v>
      </c>
      <c r="H20" s="308"/>
      <c r="I20" s="308"/>
      <c r="J20" s="308"/>
      <c r="K20" s="308"/>
      <c r="L20" s="308">
        <v>5.1006645812696432</v>
      </c>
      <c r="M20" s="308">
        <f>SUM(K20:L20)</f>
        <v>5.1006645812696432</v>
      </c>
      <c r="N20" s="308"/>
      <c r="O20" s="308">
        <v>0.86488009724867976</v>
      </c>
      <c r="P20" s="308">
        <f>SUM(N20:O20)</f>
        <v>0.86488009724867976</v>
      </c>
      <c r="Q20" s="308"/>
      <c r="R20" s="308">
        <v>2.5762812648797322</v>
      </c>
      <c r="S20" s="308">
        <f>SUM(Q20:R20)</f>
        <v>2.5762812648797322</v>
      </c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>
        <v>1511</v>
      </c>
      <c r="AG20" s="308">
        <v>2.2000000000000002</v>
      </c>
      <c r="AH20" s="308">
        <f>AF20+AG20</f>
        <v>1513.2</v>
      </c>
      <c r="AI20" s="882"/>
      <c r="AJ20" s="882"/>
      <c r="AK20" s="882"/>
      <c r="AL20" s="882"/>
      <c r="AM20" s="882">
        <v>2.2000000000000002</v>
      </c>
      <c r="AN20" s="883">
        <f>AL20+AM20</f>
        <v>2.2000000000000002</v>
      </c>
    </row>
    <row r="21" spans="1:40" x14ac:dyDescent="0.2">
      <c r="A21" s="314" t="s">
        <v>50</v>
      </c>
      <c r="B21" s="308"/>
      <c r="C21" s="308"/>
      <c r="D21" s="308"/>
      <c r="E21" s="308"/>
      <c r="F21" s="308"/>
      <c r="G21" s="308"/>
      <c r="H21" s="308">
        <v>9.9</v>
      </c>
      <c r="I21" s="308">
        <v>8.2414734054327692</v>
      </c>
      <c r="J21" s="308">
        <f>SUM(H21:I21)</f>
        <v>18.14147340543277</v>
      </c>
      <c r="K21" s="308"/>
      <c r="L21" s="308"/>
      <c r="M21" s="308"/>
      <c r="N21" s="308">
        <v>443.9</v>
      </c>
      <c r="O21" s="308">
        <v>6.4264851334542481</v>
      </c>
      <c r="P21" s="308">
        <f>SUM(N21:O21)</f>
        <v>450.32648513345424</v>
      </c>
      <c r="Q21" s="308"/>
      <c r="R21" s="308"/>
      <c r="S21" s="308"/>
      <c r="T21" s="308"/>
      <c r="U21" s="308"/>
      <c r="V21" s="308"/>
      <c r="W21" s="308">
        <v>298.95999999999998</v>
      </c>
      <c r="X21" s="308">
        <v>8.6014321267684348</v>
      </c>
      <c r="Y21" s="308">
        <f>SUM(W21:X21)</f>
        <v>307.56143212676841</v>
      </c>
      <c r="Z21" s="308"/>
      <c r="AA21" s="308"/>
      <c r="AB21" s="308"/>
      <c r="AC21" s="308"/>
      <c r="AD21" s="308"/>
      <c r="AE21" s="308"/>
      <c r="AF21" s="308"/>
      <c r="AG21" s="308"/>
      <c r="AH21" s="308"/>
      <c r="AI21" s="882"/>
      <c r="AJ21" s="882"/>
      <c r="AK21" s="882"/>
      <c r="AL21" s="882"/>
      <c r="AM21" s="882"/>
      <c r="AN21" s="883"/>
    </row>
    <row r="22" spans="1:40" x14ac:dyDescent="0.2">
      <c r="A22" s="314" t="s">
        <v>600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882"/>
      <c r="AJ22" s="882"/>
      <c r="AK22" s="882"/>
      <c r="AL22" s="882"/>
      <c r="AM22" s="882"/>
      <c r="AN22" s="883"/>
    </row>
    <row r="23" spans="1:40" x14ac:dyDescent="0.2">
      <c r="A23" s="314" t="s">
        <v>43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>
        <v>105.664</v>
      </c>
      <c r="U23" s="308">
        <v>9.7805521004042824</v>
      </c>
      <c r="V23" s="308">
        <f>SUM(T23:U23)</f>
        <v>115.44455210040428</v>
      </c>
      <c r="W23" s="308"/>
      <c r="X23" s="308"/>
      <c r="Y23" s="308"/>
      <c r="Z23" s="308">
        <v>6.2219999999999995</v>
      </c>
      <c r="AA23" s="308">
        <v>2.5407478281589539</v>
      </c>
      <c r="AB23" s="308">
        <f>SUM(Z23:AA23)</f>
        <v>8.7627478281589539</v>
      </c>
      <c r="AC23" s="308"/>
      <c r="AD23" s="308"/>
      <c r="AE23" s="308"/>
      <c r="AF23" s="308"/>
      <c r="AG23" s="308"/>
      <c r="AH23" s="308"/>
      <c r="AI23" s="882"/>
      <c r="AJ23" s="882"/>
      <c r="AK23" s="882"/>
      <c r="AL23" s="882"/>
      <c r="AM23" s="882"/>
      <c r="AN23" s="883"/>
    </row>
    <row r="24" spans="1:40" x14ac:dyDescent="0.2">
      <c r="A24" s="314" t="s">
        <v>51</v>
      </c>
      <c r="B24" s="308"/>
      <c r="C24" s="308"/>
      <c r="D24" s="308"/>
      <c r="E24" s="308"/>
      <c r="F24" s="308"/>
      <c r="G24" s="308"/>
      <c r="H24" s="308"/>
      <c r="I24" s="308">
        <f>Education_summary!F18</f>
        <v>0.26830428577387094</v>
      </c>
      <c r="J24" s="308">
        <f>H24+I24</f>
        <v>0.26830428577387094</v>
      </c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882"/>
      <c r="AJ24" s="882"/>
      <c r="AK24" s="882"/>
      <c r="AL24" s="882"/>
      <c r="AM24" s="882"/>
      <c r="AN24" s="883"/>
    </row>
    <row r="25" spans="1:40" x14ac:dyDescent="0.2">
      <c r="A25" s="314" t="s">
        <v>285</v>
      </c>
      <c r="B25" s="308"/>
      <c r="C25" s="308"/>
      <c r="D25" s="308"/>
      <c r="E25" s="308">
        <v>1286</v>
      </c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8"/>
      <c r="AA25" s="308"/>
      <c r="AB25" s="308"/>
      <c r="AC25" s="308"/>
      <c r="AD25" s="308"/>
      <c r="AE25" s="308"/>
      <c r="AF25" s="308"/>
      <c r="AG25" s="308">
        <v>1.98</v>
      </c>
      <c r="AH25" s="308">
        <f>AF25+AG25</f>
        <v>1.98</v>
      </c>
      <c r="AI25" s="882"/>
      <c r="AJ25" s="882"/>
      <c r="AK25" s="882"/>
      <c r="AL25" s="882"/>
      <c r="AM25" s="882"/>
      <c r="AN25" s="883"/>
    </row>
    <row r="26" spans="1:40" x14ac:dyDescent="0.2">
      <c r="A26" s="314" t="s">
        <v>402</v>
      </c>
      <c r="B26" s="308"/>
      <c r="C26" s="308">
        <v>13.9</v>
      </c>
      <c r="D26" s="308">
        <f>SUM(B26:C26)</f>
        <v>13.9</v>
      </c>
      <c r="E26" s="308"/>
      <c r="F26" s="308"/>
      <c r="G26" s="308"/>
      <c r="H26" s="308"/>
      <c r="I26" s="308">
        <v>20</v>
      </c>
      <c r="J26" s="308">
        <f>SUM(H26:I26)</f>
        <v>20</v>
      </c>
      <c r="K26" s="308"/>
      <c r="L26" s="308"/>
      <c r="M26" s="308"/>
      <c r="N26" s="308"/>
      <c r="O26" s="308">
        <v>19.5</v>
      </c>
      <c r="P26" s="308">
        <f>SUM(N26:O26)</f>
        <v>19.5</v>
      </c>
      <c r="Q26" s="308"/>
      <c r="R26" s="308"/>
      <c r="S26" s="308"/>
      <c r="T26" s="308"/>
      <c r="U26" s="308"/>
      <c r="V26" s="308"/>
      <c r="W26" s="308"/>
      <c r="X26" s="308">
        <v>14.7</v>
      </c>
      <c r="Y26" s="308">
        <f>SUM(W26:X26)</f>
        <v>14.7</v>
      </c>
      <c r="Z26" s="308"/>
      <c r="AA26" s="308"/>
      <c r="AB26" s="308"/>
      <c r="AC26" s="308"/>
      <c r="AD26" s="308"/>
      <c r="AE26" s="308"/>
      <c r="AF26" s="308"/>
      <c r="AG26" s="308"/>
      <c r="AH26" s="308"/>
      <c r="AI26" s="882"/>
      <c r="AJ26" s="882"/>
      <c r="AK26" s="882"/>
      <c r="AL26" s="882"/>
      <c r="AM26" s="882"/>
      <c r="AN26" s="883"/>
    </row>
    <row r="27" spans="1:40" x14ac:dyDescent="0.2">
      <c r="A27" s="314" t="s">
        <v>606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>
        <v>2015</v>
      </c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8"/>
      <c r="AH27" s="308"/>
      <c r="AI27" s="882"/>
      <c r="AJ27" s="882"/>
      <c r="AK27" s="882"/>
      <c r="AL27" s="882"/>
      <c r="AM27" s="882"/>
      <c r="AN27" s="923"/>
    </row>
    <row r="28" spans="1:40" x14ac:dyDescent="0.2">
      <c r="A28" s="315" t="s">
        <v>324</v>
      </c>
      <c r="B28" s="428">
        <f>SUM(B3:B25)</f>
        <v>1874.9</v>
      </c>
      <c r="C28" s="428">
        <f t="shared" ref="C28:AN28" si="0">SUM(C3:C25)</f>
        <v>54.301561471156589</v>
      </c>
      <c r="D28" s="428">
        <f t="shared" si="0"/>
        <v>1929.2015614711568</v>
      </c>
      <c r="E28" s="428">
        <f t="shared" si="0"/>
        <v>5168.3999999999996</v>
      </c>
      <c r="F28" s="428">
        <f t="shared" si="0"/>
        <v>0</v>
      </c>
      <c r="G28" s="428">
        <f t="shared" si="0"/>
        <v>3882.3999999999996</v>
      </c>
      <c r="H28" s="428">
        <f t="shared" si="0"/>
        <v>1469.25</v>
      </c>
      <c r="I28" s="428">
        <f t="shared" si="0"/>
        <v>152.96562537208285</v>
      </c>
      <c r="J28" s="428">
        <f t="shared" si="0"/>
        <v>1622.215625372083</v>
      </c>
      <c r="K28" s="428">
        <f t="shared" si="0"/>
        <v>209.5</v>
      </c>
      <c r="L28" s="428">
        <f t="shared" si="0"/>
        <v>5.8556898367089287</v>
      </c>
      <c r="M28" s="428">
        <f t="shared" si="0"/>
        <v>215.35568983670896</v>
      </c>
      <c r="N28" s="428">
        <f t="shared" si="0"/>
        <v>1482.9</v>
      </c>
      <c r="O28" s="428">
        <f t="shared" si="0"/>
        <v>55.902171231787676</v>
      </c>
      <c r="P28" s="428">
        <f t="shared" si="0"/>
        <v>1538.8021712317877</v>
      </c>
      <c r="Q28" s="428">
        <f t="shared" si="0"/>
        <v>5000</v>
      </c>
      <c r="R28" s="428">
        <f t="shared" si="0"/>
        <v>12.912450380683177</v>
      </c>
      <c r="S28" s="428">
        <f t="shared" si="0"/>
        <v>5012.9124503806834</v>
      </c>
      <c r="T28" s="428">
        <f>SUM(T3:T25)+T27</f>
        <v>3719.4639999999999</v>
      </c>
      <c r="U28" s="428">
        <f t="shared" si="0"/>
        <v>27.866996384099789</v>
      </c>
      <c r="V28" s="428">
        <f t="shared" si="0"/>
        <v>1732.3309963840998</v>
      </c>
      <c r="W28" s="428">
        <f t="shared" si="0"/>
        <v>2447.16</v>
      </c>
      <c r="X28" s="428">
        <f t="shared" si="0"/>
        <v>148.48822586664733</v>
      </c>
      <c r="Y28" s="428">
        <f t="shared" si="0"/>
        <v>2595.6482258666474</v>
      </c>
      <c r="Z28" s="428">
        <f t="shared" si="0"/>
        <v>498.82199999999995</v>
      </c>
      <c r="AA28" s="428">
        <f t="shared" si="0"/>
        <v>36.991704105710966</v>
      </c>
      <c r="AB28" s="428">
        <f t="shared" si="0"/>
        <v>535.81370410571083</v>
      </c>
      <c r="AC28" s="428">
        <f t="shared" si="0"/>
        <v>544.89850647088269</v>
      </c>
      <c r="AD28" s="428">
        <f t="shared" si="0"/>
        <v>139.69608213403441</v>
      </c>
      <c r="AE28" s="428">
        <f t="shared" si="0"/>
        <v>684.59458860491713</v>
      </c>
      <c r="AF28" s="428">
        <f t="shared" si="0"/>
        <v>1511</v>
      </c>
      <c r="AG28" s="428">
        <f t="shared" si="0"/>
        <v>4.18</v>
      </c>
      <c r="AH28" s="428">
        <f t="shared" si="0"/>
        <v>1515.18</v>
      </c>
      <c r="AI28" s="428">
        <f t="shared" si="0"/>
        <v>500</v>
      </c>
      <c r="AJ28" s="428">
        <f t="shared" si="0"/>
        <v>18.042840868339695</v>
      </c>
      <c r="AK28" s="428">
        <f t="shared" si="0"/>
        <v>518.04284086833968</v>
      </c>
      <c r="AL28" s="428">
        <f t="shared" si="0"/>
        <v>0</v>
      </c>
      <c r="AM28" s="428">
        <f t="shared" si="0"/>
        <v>16.5</v>
      </c>
      <c r="AN28" s="428">
        <f t="shared" si="0"/>
        <v>16.5</v>
      </c>
    </row>
    <row r="31" spans="1:40" ht="15" x14ac:dyDescent="0.25">
      <c r="A31" s="681" t="s">
        <v>405</v>
      </c>
      <c r="B31" s="92" t="s">
        <v>406</v>
      </c>
      <c r="C31" s="92"/>
      <c r="D31" s="92"/>
      <c r="E31" s="92"/>
      <c r="F31" s="92"/>
    </row>
    <row r="32" spans="1:40" ht="14.25" x14ac:dyDescent="0.2">
      <c r="A32" s="92" t="s">
        <v>407</v>
      </c>
      <c r="B32" s="92"/>
      <c r="C32" s="92"/>
      <c r="D32" s="92"/>
      <c r="E32" s="92"/>
      <c r="F32" s="92"/>
    </row>
    <row r="33" spans="1:6" ht="14.25" x14ac:dyDescent="0.2">
      <c r="A33" s="92" t="s">
        <v>408</v>
      </c>
      <c r="B33" s="92"/>
      <c r="C33" s="92"/>
      <c r="D33" s="92"/>
      <c r="E33" s="92"/>
      <c r="F33" s="92"/>
    </row>
    <row r="34" spans="1:6" ht="14.25" x14ac:dyDescent="0.2">
      <c r="A34" s="92" t="s">
        <v>409</v>
      </c>
      <c r="B34" s="92"/>
      <c r="C34" s="92"/>
      <c r="D34" s="92"/>
      <c r="E34" s="92"/>
      <c r="F34" s="92"/>
    </row>
    <row r="35" spans="1:6" x14ac:dyDescent="0.2">
      <c r="A35" s="35"/>
      <c r="B35" s="35"/>
      <c r="C35" s="35"/>
      <c r="D35" s="35"/>
      <c r="E35" s="35"/>
      <c r="F35" s="35"/>
    </row>
    <row r="36" spans="1:6" ht="14.25" x14ac:dyDescent="0.2">
      <c r="A36" s="92" t="s">
        <v>563</v>
      </c>
    </row>
    <row r="37" spans="1:6" x14ac:dyDescent="0.2">
      <c r="A37" s="316" t="s">
        <v>584</v>
      </c>
    </row>
  </sheetData>
  <mergeCells count="1">
    <mergeCell ref="B1:AF1"/>
  </mergeCells>
  <printOptions gridLines="1"/>
  <pageMargins left="0.45" right="0.45" top="0.75" bottom="0.5" header="0.3" footer="0.3"/>
  <pageSetup paperSize="3" scale="85" pageOrder="overThenDown" orientation="landscape" r:id="rId1"/>
  <headerFooter>
    <oddHeader>&amp;LDRAFT Summary&amp;CFDEP Water Quality Restoration Program&amp;RSeptember 8, 2016</oddHeader>
    <oddFooter>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G26" sqref="G26"/>
    </sheetView>
  </sheetViews>
  <sheetFormatPr defaultRowHeight="12.75" x14ac:dyDescent="0.2"/>
  <cols>
    <col min="1" max="1" width="31.7109375" customWidth="1"/>
    <col min="2" max="2" width="15.42578125" customWidth="1"/>
    <col min="3" max="3" width="15.7109375" customWidth="1"/>
    <col min="4" max="5" width="15.42578125" customWidth="1"/>
    <col min="6" max="6" width="15" customWidth="1"/>
    <col min="7" max="7" width="46.28515625" customWidth="1"/>
  </cols>
  <sheetData>
    <row r="1" spans="1:7" ht="54.6" customHeight="1" x14ac:dyDescent="0.2">
      <c r="A1" s="827" t="s">
        <v>1</v>
      </c>
      <c r="B1" s="817" t="s">
        <v>513</v>
      </c>
      <c r="C1" s="817" t="s">
        <v>514</v>
      </c>
      <c r="D1" s="817" t="s">
        <v>515</v>
      </c>
      <c r="E1" s="817" t="s">
        <v>516</v>
      </c>
      <c r="F1" s="828" t="s">
        <v>517</v>
      </c>
      <c r="G1" s="836" t="s">
        <v>548</v>
      </c>
    </row>
    <row r="2" spans="1:7" x14ac:dyDescent="0.2">
      <c r="A2" s="212" t="s">
        <v>22</v>
      </c>
      <c r="B2" s="829">
        <v>2047</v>
      </c>
      <c r="C2" s="453"/>
      <c r="D2" s="453"/>
      <c r="E2" s="453"/>
      <c r="F2" s="825"/>
    </row>
    <row r="3" spans="1:7" x14ac:dyDescent="0.2">
      <c r="A3" s="212" t="s">
        <v>23</v>
      </c>
      <c r="B3" s="829" t="s">
        <v>45</v>
      </c>
      <c r="C3" s="453"/>
      <c r="D3" s="453"/>
      <c r="E3" s="453"/>
      <c r="F3" s="825"/>
    </row>
    <row r="4" spans="1:7" x14ac:dyDescent="0.2">
      <c r="A4" s="39" t="s">
        <v>518</v>
      </c>
      <c r="B4" s="829">
        <v>1827</v>
      </c>
      <c r="C4" s="453"/>
      <c r="D4" s="453"/>
      <c r="E4" s="831">
        <v>455.2</v>
      </c>
      <c r="F4" s="825"/>
    </row>
    <row r="5" spans="1:7" x14ac:dyDescent="0.2">
      <c r="A5" s="212" t="s">
        <v>24</v>
      </c>
      <c r="B5" s="829">
        <v>-1</v>
      </c>
      <c r="C5" s="453"/>
      <c r="D5" s="453"/>
      <c r="E5" s="484">
        <v>539.5</v>
      </c>
      <c r="F5" s="825"/>
    </row>
    <row r="6" spans="1:7" x14ac:dyDescent="0.2">
      <c r="A6" s="212" t="s">
        <v>26</v>
      </c>
      <c r="B6" s="829">
        <v>5422</v>
      </c>
      <c r="C6" s="453"/>
      <c r="D6" s="453">
        <v>118</v>
      </c>
      <c r="E6" s="453">
        <v>29.6</v>
      </c>
      <c r="F6" s="888">
        <v>1443</v>
      </c>
    </row>
    <row r="7" spans="1:7" x14ac:dyDescent="0.2">
      <c r="A7" s="36" t="s">
        <v>340</v>
      </c>
      <c r="B7" s="829">
        <v>84</v>
      </c>
      <c r="C7" s="453"/>
      <c r="D7" s="453"/>
      <c r="E7" s="453"/>
      <c r="F7" s="825"/>
    </row>
    <row r="8" spans="1:7" x14ac:dyDescent="0.2">
      <c r="A8" s="36" t="s">
        <v>18</v>
      </c>
      <c r="B8" s="829">
        <v>4586</v>
      </c>
      <c r="C8" s="453"/>
      <c r="D8" s="453"/>
      <c r="E8" s="453"/>
      <c r="F8" s="825"/>
    </row>
    <row r="9" spans="1:7" x14ac:dyDescent="0.2">
      <c r="A9" s="212" t="s">
        <v>27</v>
      </c>
      <c r="B9" s="829">
        <v>1</v>
      </c>
      <c r="C9" s="453"/>
      <c r="D9" s="453"/>
      <c r="E9" s="453"/>
      <c r="F9" s="825">
        <v>0</v>
      </c>
    </row>
    <row r="10" spans="1:7" x14ac:dyDescent="0.2">
      <c r="A10" s="212" t="s">
        <v>19</v>
      </c>
      <c r="B10" s="829" t="s">
        <v>45</v>
      </c>
      <c r="C10" s="453"/>
      <c r="D10" s="453"/>
      <c r="E10" s="453"/>
      <c r="F10" s="825"/>
    </row>
    <row r="11" spans="1:7" x14ac:dyDescent="0.2">
      <c r="A11" s="213" t="s">
        <v>20</v>
      </c>
      <c r="B11" s="829">
        <v>2253</v>
      </c>
      <c r="C11" s="905">
        <v>1049</v>
      </c>
      <c r="D11" s="453">
        <v>69</v>
      </c>
      <c r="E11" s="453">
        <v>381.70000000000005</v>
      </c>
      <c r="F11" s="825">
        <v>610</v>
      </c>
    </row>
    <row r="12" spans="1:7" x14ac:dyDescent="0.2">
      <c r="A12" s="213" t="s">
        <v>32</v>
      </c>
      <c r="B12" s="829">
        <v>488</v>
      </c>
      <c r="C12" s="453">
        <v>414</v>
      </c>
      <c r="D12" s="453">
        <v>100</v>
      </c>
      <c r="E12" s="453">
        <v>69.8</v>
      </c>
      <c r="F12" s="825">
        <v>361</v>
      </c>
    </row>
    <row r="13" spans="1:7" x14ac:dyDescent="0.2">
      <c r="A13" s="214" t="s">
        <v>21</v>
      </c>
      <c r="B13" s="829">
        <v>3295</v>
      </c>
      <c r="C13" s="905">
        <v>1306</v>
      </c>
      <c r="D13" s="453">
        <v>121</v>
      </c>
      <c r="E13" s="453">
        <v>514.29999999999995</v>
      </c>
      <c r="F13" s="825">
        <v>693</v>
      </c>
    </row>
    <row r="14" spans="1:7" x14ac:dyDescent="0.2">
      <c r="A14" s="39" t="s">
        <v>424</v>
      </c>
      <c r="B14" s="829">
        <v>2205.5715801979231</v>
      </c>
      <c r="C14" s="453">
        <v>696.6</v>
      </c>
      <c r="D14" s="323">
        <v>16.242174468553152</v>
      </c>
      <c r="E14" s="453">
        <v>280.60000000000002</v>
      </c>
      <c r="F14" s="326">
        <v>459.75849138151312</v>
      </c>
    </row>
    <row r="15" spans="1:7" x14ac:dyDescent="0.2">
      <c r="A15" s="39" t="s">
        <v>425</v>
      </c>
      <c r="B15" s="830">
        <v>804.56234936115527</v>
      </c>
      <c r="C15" s="453">
        <v>469.6</v>
      </c>
      <c r="D15" s="323">
        <v>57.193940048461151</v>
      </c>
      <c r="E15" s="453">
        <v>216.5</v>
      </c>
      <c r="F15" s="326">
        <v>185.29632659962397</v>
      </c>
    </row>
    <row r="16" spans="1:7" x14ac:dyDescent="0.2">
      <c r="A16" s="39" t="s">
        <v>426</v>
      </c>
      <c r="B16" s="830">
        <v>284.44991161975202</v>
      </c>
      <c r="C16" s="453">
        <v>139.4</v>
      </c>
      <c r="D16" s="323">
        <v>47.619932295425762</v>
      </c>
      <c r="E16" s="453">
        <v>17.200000000000003</v>
      </c>
      <c r="F16" s="326">
        <v>47.943200540391011</v>
      </c>
    </row>
    <row r="17" spans="1:6" x14ac:dyDescent="0.2">
      <c r="A17" s="36" t="s">
        <v>28</v>
      </c>
      <c r="B17" s="831"/>
      <c r="C17" s="453">
        <v>27</v>
      </c>
      <c r="D17" s="453"/>
      <c r="E17" s="453"/>
      <c r="F17" s="825"/>
    </row>
    <row r="18" spans="1:6" x14ac:dyDescent="0.2">
      <c r="A18" s="212" t="s">
        <v>266</v>
      </c>
      <c r="B18" s="829">
        <v>2191</v>
      </c>
      <c r="C18" s="453"/>
      <c r="D18" s="453">
        <v>70</v>
      </c>
      <c r="E18" s="453">
        <v>7.4</v>
      </c>
      <c r="F18" s="825">
        <v>586</v>
      </c>
    </row>
    <row r="19" spans="1:6" x14ac:dyDescent="0.2">
      <c r="A19" s="265" t="s">
        <v>230</v>
      </c>
      <c r="B19" s="829">
        <v>1515</v>
      </c>
      <c r="C19" s="453"/>
      <c r="D19" s="453">
        <v>54</v>
      </c>
      <c r="E19" s="453">
        <v>7.4</v>
      </c>
      <c r="F19" s="825">
        <v>191</v>
      </c>
    </row>
    <row r="20" spans="1:6" x14ac:dyDescent="0.2">
      <c r="A20" s="26" t="s">
        <v>231</v>
      </c>
      <c r="B20" s="831">
        <v>675</v>
      </c>
      <c r="C20" s="453"/>
      <c r="D20" s="453">
        <v>16</v>
      </c>
      <c r="E20" s="453"/>
      <c r="F20" s="825">
        <v>394</v>
      </c>
    </row>
    <row r="21" spans="1:6" x14ac:dyDescent="0.2">
      <c r="A21" s="75" t="s">
        <v>30</v>
      </c>
      <c r="B21" s="831"/>
      <c r="C21" s="453"/>
      <c r="D21" s="453"/>
      <c r="E21" s="453"/>
      <c r="F21" s="825"/>
    </row>
    <row r="22" spans="1:6" x14ac:dyDescent="0.2">
      <c r="A22" s="833" t="s">
        <v>3</v>
      </c>
      <c r="B22" s="829">
        <v>22191.583841178832</v>
      </c>
      <c r="C22" s="905">
        <v>2796</v>
      </c>
      <c r="D22" s="453">
        <v>478</v>
      </c>
      <c r="E22" s="887">
        <v>1997.4999999999998</v>
      </c>
      <c r="F22" s="888">
        <v>3691.9999999999991</v>
      </c>
    </row>
    <row r="23" spans="1:6" x14ac:dyDescent="0.2">
      <c r="A23" s="834" t="s">
        <v>17</v>
      </c>
      <c r="B23" s="829">
        <v>18302</v>
      </c>
      <c r="C23" s="905">
        <v>2207</v>
      </c>
      <c r="D23" s="453">
        <v>195</v>
      </c>
      <c r="E23" s="453">
        <v>521</v>
      </c>
      <c r="F23" s="888">
        <v>2844</v>
      </c>
    </row>
    <row r="24" spans="1:6" ht="26.25" thickBot="1" x14ac:dyDescent="0.25">
      <c r="A24" s="835" t="s">
        <v>2</v>
      </c>
      <c r="B24" s="832">
        <v>3889.5838411788318</v>
      </c>
      <c r="C24" s="785">
        <v>589</v>
      </c>
      <c r="D24" s="785">
        <v>283</v>
      </c>
      <c r="E24" s="886">
        <v>1476.4999999999998</v>
      </c>
      <c r="F24" s="826">
        <v>847.99999999999909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9"/>
  <sheetViews>
    <sheetView workbookViewId="0">
      <selection activeCell="E22" sqref="E22"/>
    </sheetView>
  </sheetViews>
  <sheetFormatPr defaultRowHeight="12.75" x14ac:dyDescent="0.2"/>
  <cols>
    <col min="1" max="1" width="11.28515625" style="35" bestFit="1" customWidth="1"/>
    <col min="2" max="2" width="27.42578125" customWidth="1"/>
    <col min="3" max="3" width="18.140625" customWidth="1"/>
    <col min="4" max="4" width="19.28515625" customWidth="1"/>
    <col min="5" max="5" width="17.140625" customWidth="1"/>
    <col min="6" max="6" width="17" bestFit="1" customWidth="1"/>
    <col min="7" max="7" width="18.7109375" customWidth="1"/>
  </cols>
  <sheetData>
    <row r="1" spans="1:8" ht="13.5" thickBot="1" x14ac:dyDescent="0.25">
      <c r="A1" s="1138" t="s">
        <v>373</v>
      </c>
      <c r="B1" s="1138"/>
      <c r="C1" s="1138"/>
      <c r="D1" s="1138"/>
      <c r="E1" s="1138"/>
      <c r="F1" s="1138"/>
      <c r="G1" s="1138"/>
    </row>
    <row r="2" spans="1:8" ht="39" thickBot="1" x14ac:dyDescent="0.25">
      <c r="A2" s="609" t="s">
        <v>338</v>
      </c>
      <c r="B2" s="610" t="s">
        <v>339</v>
      </c>
      <c r="C2" s="610" t="s">
        <v>126</v>
      </c>
      <c r="D2" s="610" t="s">
        <v>128</v>
      </c>
      <c r="E2" s="610" t="s">
        <v>129</v>
      </c>
      <c r="F2" s="611" t="s">
        <v>130</v>
      </c>
      <c r="G2" s="644" t="s">
        <v>332</v>
      </c>
    </row>
    <row r="3" spans="1:8" x14ac:dyDescent="0.2">
      <c r="A3" s="353" t="s">
        <v>46</v>
      </c>
      <c r="B3" s="354" t="str">
        <f>'Carlton Allocate'!A72</f>
        <v>Lake County</v>
      </c>
      <c r="C3" s="337">
        <f>'Carlton Allocate'!B72</f>
        <v>0</v>
      </c>
      <c r="D3" s="337">
        <f>'Carlton Allocate'!C72</f>
        <v>1.1477049328217666</v>
      </c>
      <c r="E3" s="337">
        <f>'Carlton Allocate'!D72</f>
        <v>11.121127138770605</v>
      </c>
      <c r="F3" s="338">
        <f>'Carlton Allocate'!E72</f>
        <v>12.268832071592371</v>
      </c>
      <c r="G3" s="612">
        <f>'Carlton Allocate'!F72</f>
        <v>0.1013483290014678</v>
      </c>
    </row>
    <row r="4" spans="1:8" x14ac:dyDescent="0.2">
      <c r="A4" s="341" t="s">
        <v>46</v>
      </c>
      <c r="B4" s="342" t="str">
        <f>'Carlton Allocate'!A71</f>
        <v>FDOT</v>
      </c>
      <c r="C4" s="323">
        <f>'Carlton Allocate'!B71</f>
        <v>15.938493516051416</v>
      </c>
      <c r="D4" s="323">
        <f>'Carlton Allocate'!C71</f>
        <v>0.10940478428956435</v>
      </c>
      <c r="E4" s="323">
        <f>'Carlton Allocate'!D71</f>
        <v>0</v>
      </c>
      <c r="F4" s="340">
        <f>'Carlton Allocate'!E71</f>
        <v>16.047898300340979</v>
      </c>
      <c r="G4" s="393">
        <f>'Carlton Allocate'!F71</f>
        <v>0.13256581125524847</v>
      </c>
    </row>
    <row r="5" spans="1:8" ht="13.5" thickBot="1" x14ac:dyDescent="0.25">
      <c r="A5" s="345" t="s">
        <v>46</v>
      </c>
      <c r="B5" s="346" t="str">
        <f>'Carlton Allocate'!A73</f>
        <v>Orange County</v>
      </c>
      <c r="C5" s="347">
        <f>'Carlton Allocate'!B73</f>
        <v>0.30372815186480906</v>
      </c>
      <c r="D5" s="347">
        <f>'Carlton Allocate'!C73</f>
        <v>55.936824020788514</v>
      </c>
      <c r="E5" s="347">
        <f>'Carlton Allocate'!D73</f>
        <v>36.498803850431102</v>
      </c>
      <c r="F5" s="334">
        <f>'Carlton Allocate'!E73</f>
        <v>92.739356023084426</v>
      </c>
      <c r="G5" s="394">
        <f>'Carlton Allocate'!F73</f>
        <v>0.7660858597432838</v>
      </c>
    </row>
    <row r="6" spans="1:8" x14ac:dyDescent="0.2">
      <c r="A6" s="355" t="s">
        <v>334</v>
      </c>
      <c r="B6" s="356" t="str">
        <f>'Harris Allocate'!A105</f>
        <v>Wildwood</v>
      </c>
      <c r="C6" s="357">
        <f>'Harris Allocate'!B105</f>
        <v>22.055715801979233</v>
      </c>
      <c r="D6" s="357">
        <f>'Harris Allocate'!C105</f>
        <v>4.7747127754078633</v>
      </c>
      <c r="E6" s="357">
        <f>'Harris Allocate'!D105</f>
        <v>0</v>
      </c>
      <c r="F6" s="338">
        <f>'Harris Allocate'!F105</f>
        <v>26.830428577387096</v>
      </c>
      <c r="G6" s="358">
        <f>'Harris Allocate'!G105</f>
        <v>8.0533354353189337E-3</v>
      </c>
    </row>
    <row r="7" spans="1:8" x14ac:dyDescent="0.2">
      <c r="A7" s="265" t="s">
        <v>334</v>
      </c>
      <c r="B7" s="351" t="str">
        <f>'Harris Allocate'!A101</f>
        <v>Howey-in-the-Hills</v>
      </c>
      <c r="C7" s="324">
        <f>'Harris Allocate'!B101</f>
        <v>3.0819478673614324</v>
      </c>
      <c r="D7" s="324">
        <f>'Harris Allocate'!C101</f>
        <v>60.982630191638293</v>
      </c>
      <c r="E7" s="324">
        <f>'Harris Allocate'!D101</f>
        <v>4.8133545441938868</v>
      </c>
      <c r="F7" s="340">
        <f>'Harris Allocate'!F101</f>
        <v>68.971861982216055</v>
      </c>
      <c r="G7" s="393">
        <f>'Harris Allocate'!G101</f>
        <v>2.0702372999343292E-2</v>
      </c>
    </row>
    <row r="8" spans="1:8" x14ac:dyDescent="0.2">
      <c r="A8" s="265" t="s">
        <v>334</v>
      </c>
      <c r="B8" s="351" t="str">
        <f>'Harris Allocate'!A99</f>
        <v>Astatula</v>
      </c>
      <c r="C8" s="324">
        <f>'Harris Allocate'!B99</f>
        <v>49.610644393299651</v>
      </c>
      <c r="D8" s="324">
        <f>'Harris Allocate'!C99</f>
        <v>73.288812276430718</v>
      </c>
      <c r="E8" s="324">
        <f>'Harris Allocate'!D99</f>
        <v>4.6435166924023603</v>
      </c>
      <c r="F8" s="340">
        <f>'Harris Allocate'!F99</f>
        <v>127.54297336213273</v>
      </c>
      <c r="G8" s="393">
        <f>'Harris Allocate'!G99</f>
        <v>3.8282890038099857E-2</v>
      </c>
    </row>
    <row r="9" spans="1:8" x14ac:dyDescent="0.2">
      <c r="A9" s="265" t="s">
        <v>334</v>
      </c>
      <c r="B9" s="351" t="str">
        <f>'Harris Allocate'!A100</f>
        <v>FDOT</v>
      </c>
      <c r="C9" s="324">
        <f>'Harris Allocate'!B100</f>
        <v>142.07820878675409</v>
      </c>
      <c r="D9" s="324">
        <f>'Harris Allocate'!C100</f>
        <v>7.0315724407708737</v>
      </c>
      <c r="E9" s="324">
        <f>'Harris Allocate'!D100</f>
        <v>0.39607950941414494</v>
      </c>
      <c r="F9" s="340">
        <f>'Harris Allocate'!F100</f>
        <v>149.5058607369391</v>
      </c>
      <c r="G9" s="393">
        <f>'Harris Allocate'!G100</f>
        <v>4.48751999092332E-2</v>
      </c>
      <c r="H9" s="165"/>
    </row>
    <row r="10" spans="1:8" x14ac:dyDescent="0.2">
      <c r="A10" s="265" t="s">
        <v>334</v>
      </c>
      <c r="B10" s="351" t="str">
        <f>'Harris Allocate'!A104</f>
        <v>Tavares</v>
      </c>
      <c r="C10" s="324">
        <f>'Harris Allocate'!B104</f>
        <v>383.82847110019651</v>
      </c>
      <c r="D10" s="324">
        <f>'Harris Allocate'!C104</f>
        <v>78.033458126064829</v>
      </c>
      <c r="E10" s="324">
        <f>'Harris Allocate'!D104</f>
        <v>9.0794082270396803</v>
      </c>
      <c r="F10" s="340">
        <f>'Harris Allocate'!F104</f>
        <v>471.45207845173553</v>
      </c>
      <c r="G10" s="393">
        <f>'Harris Allocate'!G104</f>
        <v>0.14150954460153742</v>
      </c>
    </row>
    <row r="11" spans="1:8" x14ac:dyDescent="0.2">
      <c r="A11" s="265" t="s">
        <v>334</v>
      </c>
      <c r="B11" s="351" t="str">
        <f>'Harris Allocate'!A102</f>
        <v>Lake County</v>
      </c>
      <c r="C11" s="324">
        <f>'Harris Allocate'!B102</f>
        <v>743.4478457017326</v>
      </c>
      <c r="D11" s="324">
        <f>'Harris Allocate'!C102</f>
        <v>323.23080406381666</v>
      </c>
      <c r="E11" s="324">
        <f>'Harris Allocate'!D102</f>
        <v>163.8678835503413</v>
      </c>
      <c r="F11" s="340">
        <f>'Harris Allocate'!F102</f>
        <v>1244.8635884559151</v>
      </c>
      <c r="G11" s="393">
        <f>'Harris Allocate'!G102</f>
        <v>0.37365426422967069</v>
      </c>
    </row>
    <row r="12" spans="1:8" ht="13.5" thickBot="1" x14ac:dyDescent="0.25">
      <c r="A12" s="359" t="s">
        <v>334</v>
      </c>
      <c r="B12" s="360" t="str">
        <f>'Harris Allocate'!A103</f>
        <v>Leesburg</v>
      </c>
      <c r="C12" s="348">
        <f>'Harris Allocate'!B103</f>
        <v>883.47698828551836</v>
      </c>
      <c r="D12" s="348">
        <f>'Harris Allocate'!C103</f>
        <v>257.22035948636312</v>
      </c>
      <c r="E12" s="348">
        <f>'Harris Allocate'!D103</f>
        <v>101.64966909672182</v>
      </c>
      <c r="F12" s="334">
        <f>'Harris Allocate'!F103</f>
        <v>1242.4252913511223</v>
      </c>
      <c r="G12" s="394">
        <f>'Harris Allocate'!G103</f>
        <v>0.37292239278679656</v>
      </c>
    </row>
    <row r="13" spans="1:8" x14ac:dyDescent="0.2">
      <c r="A13" s="353" t="s">
        <v>336</v>
      </c>
      <c r="B13" s="361" t="str">
        <f>' Palatlakaha allocation TP'!A96</f>
        <v>Mascotte</v>
      </c>
      <c r="C13" s="357">
        <f>' Palatlakaha allocation TP'!B96</f>
        <v>0.13521929735823521</v>
      </c>
      <c r="D13" s="357">
        <f>' Palatlakaha allocation TP'!C96</f>
        <v>1.1828685224101925</v>
      </c>
      <c r="E13" s="357">
        <f>' Palatlakaha allocation TP'!D96</f>
        <v>1.3929981097318767</v>
      </c>
      <c r="F13" s="338">
        <f>' Palatlakaha allocation TP'!E96</f>
        <v>2.711085929500304</v>
      </c>
      <c r="G13" s="339">
        <f>' Palatlakaha allocation TP'!F96</f>
        <v>2.077609002934965E-3</v>
      </c>
      <c r="H13" s="165"/>
    </row>
    <row r="14" spans="1:8" x14ac:dyDescent="0.2">
      <c r="A14" s="341" t="s">
        <v>336</v>
      </c>
      <c r="B14" s="352" t="str">
        <f>' Palatlakaha allocation TP'!A98</f>
        <v>Florida Turnpike Enterprise</v>
      </c>
      <c r="C14" s="324">
        <f>' Palatlakaha allocation TP'!B98</f>
        <v>0</v>
      </c>
      <c r="D14" s="324">
        <f>' Palatlakaha allocation TP'!C98</f>
        <v>12.31945210294208</v>
      </c>
      <c r="E14" s="324">
        <f>' Palatlakaha allocation TP'!D98</f>
        <v>0</v>
      </c>
      <c r="F14" s="340">
        <f>' Palatlakaha allocation TP'!E98</f>
        <v>12.31945210294208</v>
      </c>
      <c r="G14" s="335">
        <f>' Palatlakaha allocation TP'!F98</f>
        <v>9.4408680749621682E-3</v>
      </c>
    </row>
    <row r="15" spans="1:8" x14ac:dyDescent="0.2">
      <c r="A15" s="341" t="s">
        <v>336</v>
      </c>
      <c r="B15" s="342" t="str">
        <f>' Palatlakaha allocation TP'!A99</f>
        <v>FDOT</v>
      </c>
      <c r="C15" s="323">
        <f>' Palatlakaha allocation TP'!B99</f>
        <v>0.63932543739145409</v>
      </c>
      <c r="D15" s="323">
        <f>' Palatlakaha allocation TP'!C99</f>
        <v>23.741837434950622</v>
      </c>
      <c r="E15" s="323">
        <f>' Palatlakaha allocation TP'!D99</f>
        <v>0</v>
      </c>
      <c r="F15" s="340">
        <f>' Palatlakaha allocation TP'!E99</f>
        <v>24.381162872342074</v>
      </c>
      <c r="G15" s="393">
        <f>' Palatlakaha allocation TP'!F99</f>
        <v>1.8684219092582593E-2</v>
      </c>
    </row>
    <row r="16" spans="1:8" x14ac:dyDescent="0.2">
      <c r="A16" s="341" t="s">
        <v>336</v>
      </c>
      <c r="B16" s="342" t="str">
        <f>' Palatlakaha allocation TP'!A92</f>
        <v>Clermont</v>
      </c>
      <c r="C16" s="323">
        <f>' Palatlakaha allocation TP'!B92</f>
        <v>16.078279103039559</v>
      </c>
      <c r="D16" s="323">
        <f>' Palatlakaha allocation TP'!C92</f>
        <v>23.914932968428928</v>
      </c>
      <c r="E16" s="323">
        <f>' Palatlakaha allocation TP'!D92</f>
        <v>4.224592025379045</v>
      </c>
      <c r="F16" s="340">
        <f>' Palatlakaha allocation TP'!E92</f>
        <v>44.217804096847537</v>
      </c>
      <c r="G16" s="393">
        <f>' Palatlakaha allocation TP'!F92</f>
        <v>3.3885797156771646E-2</v>
      </c>
    </row>
    <row r="17" spans="1:7" x14ac:dyDescent="0.2">
      <c r="A17" s="341" t="s">
        <v>336</v>
      </c>
      <c r="B17" s="342" t="str">
        <f>' Palatlakaha allocation TP'!A97</f>
        <v>Minneola</v>
      </c>
      <c r="C17" s="323">
        <f>' Palatlakaha allocation TP'!B97</f>
        <v>3.6645435410879137</v>
      </c>
      <c r="D17" s="323">
        <f>' Palatlakaha allocation TP'!C97</f>
        <v>63.710564006722727</v>
      </c>
      <c r="E17" s="323">
        <f>' Palatlakaha allocation TP'!D97</f>
        <v>2.6680711913241906</v>
      </c>
      <c r="F17" s="340">
        <f>' Palatlakaha allocation TP'!E97</f>
        <v>70.043178739134831</v>
      </c>
      <c r="G17" s="393">
        <f>' Palatlakaha allocation TP'!F97</f>
        <v>5.3676771052930637E-2</v>
      </c>
    </row>
    <row r="18" spans="1:7" x14ac:dyDescent="0.2">
      <c r="A18" s="341" t="s">
        <v>336</v>
      </c>
      <c r="B18" s="342" t="str">
        <f>' Palatlakaha allocation TP'!A95</f>
        <v>Leesburg</v>
      </c>
      <c r="C18" s="323">
        <f>' Palatlakaha allocation TP'!B95</f>
        <v>71.98570440968426</v>
      </c>
      <c r="D18" s="323">
        <f>' Palatlakaha allocation TP'!C95</f>
        <v>8.1680504483125773</v>
      </c>
      <c r="E18" s="323">
        <f>' Palatlakaha allocation TP'!D95</f>
        <v>8.849771193336462</v>
      </c>
      <c r="F18" s="340">
        <f>' Palatlakaha allocation TP'!E95</f>
        <v>89.003526051333296</v>
      </c>
      <c r="G18" s="393">
        <f>' Palatlakaha allocation TP'!F95</f>
        <v>6.8206811523413957E-2</v>
      </c>
    </row>
    <row r="19" spans="1:7" x14ac:dyDescent="0.2">
      <c r="A19" s="341" t="s">
        <v>336</v>
      </c>
      <c r="B19" s="342" t="str">
        <f>' Palatlakaha allocation TP'!A93</f>
        <v>Groveland</v>
      </c>
      <c r="C19" s="323">
        <f>' Palatlakaha allocation TP'!B93</f>
        <v>239.0443382402315</v>
      </c>
      <c r="D19" s="323">
        <f>' Palatlakaha allocation TP'!C93</f>
        <v>91.997269189786593</v>
      </c>
      <c r="E19" s="323">
        <f>' Palatlakaha allocation TP'!D93</f>
        <v>16.030464867556852</v>
      </c>
      <c r="F19" s="340">
        <f>' Palatlakaha allocation TP'!E93</f>
        <v>347.07207229757495</v>
      </c>
      <c r="G19" s="393">
        <f>' Palatlakaha allocation TP'!F93</f>
        <v>0.26597462449507947</v>
      </c>
    </row>
    <row r="20" spans="1:7" ht="13.5" thickBot="1" x14ac:dyDescent="0.25">
      <c r="A20" s="345" t="s">
        <v>336</v>
      </c>
      <c r="B20" s="346" t="str">
        <f>' Palatlakaha allocation TP'!A94</f>
        <v>Lake County</v>
      </c>
      <c r="C20" s="347">
        <f>' Palatlakaha allocation TP'!B94</f>
        <v>365.0874539187264</v>
      </c>
      <c r="D20" s="347">
        <f>' Palatlakaha allocation TP'!C94</f>
        <v>244.65449371270628</v>
      </c>
      <c r="E20" s="347">
        <f>' Palatlakaha allocation TP'!D94</f>
        <v>105.41648067071699</v>
      </c>
      <c r="F20" s="334">
        <f>' Palatlakaha allocation TP'!E94</f>
        <v>715.15842830214967</v>
      </c>
      <c r="G20" s="394">
        <f>' Palatlakaha allocation TP'!F94</f>
        <v>0.54805329960132465</v>
      </c>
    </row>
    <row r="21" spans="1:7" x14ac:dyDescent="0.2">
      <c r="A21" s="353" t="s">
        <v>335</v>
      </c>
      <c r="B21" s="354" t="str">
        <f>'Trout Allocate'!A77</f>
        <v>FDOT</v>
      </c>
      <c r="C21" s="337">
        <f>'Trout Allocate'!B77</f>
        <v>30.221901389841999</v>
      </c>
      <c r="D21" s="337">
        <f>'Trout Allocate'!C77</f>
        <v>0.90385078473021185</v>
      </c>
      <c r="E21" s="337">
        <f>'Trout Allocate'!D77</f>
        <v>1.2490994778505776E-2</v>
      </c>
      <c r="F21" s="338">
        <f>'Trout Allocate'!E77</f>
        <v>31.138243169350719</v>
      </c>
      <c r="G21" s="612">
        <f>'Trout Allocate'!F77</f>
        <v>6.0546583332988152E-2</v>
      </c>
    </row>
    <row r="22" spans="1:7" x14ac:dyDescent="0.2">
      <c r="A22" s="341" t="s">
        <v>335</v>
      </c>
      <c r="B22" s="342" t="str">
        <f>'Trout Allocate'!A78</f>
        <v>Lake County</v>
      </c>
      <c r="C22" s="323">
        <f>'Trout Allocate'!B78</f>
        <v>8.6986000000000008</v>
      </c>
      <c r="D22" s="323">
        <f>'Trout Allocate'!C78</f>
        <v>57.876252820205259</v>
      </c>
      <c r="E22" s="323">
        <f>'Trout Allocate'!D78</f>
        <v>11.105608831264728</v>
      </c>
      <c r="F22" s="340">
        <f>'Trout Allocate'!E78</f>
        <v>77.680461651469997</v>
      </c>
      <c r="G22" s="393">
        <f>'Trout Allocate'!F78</f>
        <v>0.15104534058476202</v>
      </c>
    </row>
    <row r="23" spans="1:7" x14ac:dyDescent="0.2">
      <c r="A23" s="341" t="s">
        <v>335</v>
      </c>
      <c r="B23" s="342" t="str">
        <f>'Trout Allocate'!A79</f>
        <v>Umatilla</v>
      </c>
      <c r="C23" s="323">
        <f>'Trout Allocate'!B79</f>
        <v>101.08461293363709</v>
      </c>
      <c r="D23" s="323">
        <f>'Trout Allocate'!C79</f>
        <v>73.940419345334391</v>
      </c>
      <c r="E23" s="323">
        <f>'Trout Allocate'!D79</f>
        <v>2.8031877283791129</v>
      </c>
      <c r="F23" s="340">
        <f>'Trout Allocate'!E79</f>
        <v>177.82822000735058</v>
      </c>
      <c r="G23" s="393">
        <f>'Trout Allocate'!F79</f>
        <v>0.34577709098982889</v>
      </c>
    </row>
    <row r="24" spans="1:7" ht="13.5" thickBot="1" x14ac:dyDescent="0.25">
      <c r="A24" s="345" t="s">
        <v>335</v>
      </c>
      <c r="B24" s="346" t="str">
        <f>'Trout Allocate'!A76</f>
        <v>Eustis</v>
      </c>
      <c r="C24" s="347">
        <f>'Trout Allocate'!B76</f>
        <v>140.5806</v>
      </c>
      <c r="D24" s="347">
        <f>'Trout Allocate'!C76</f>
        <v>83.779482834186865</v>
      </c>
      <c r="E24" s="347">
        <f>'Trout Allocate'!D76</f>
        <v>3.2787117827782217</v>
      </c>
      <c r="F24" s="334">
        <f>'Trout Allocate'!E76</f>
        <v>227.6387946169651</v>
      </c>
      <c r="G24" s="394">
        <f>'Trout Allocate'!F76</f>
        <v>0.44263098509242077</v>
      </c>
    </row>
    <row r="25" spans="1:7" x14ac:dyDescent="0.2">
      <c r="A25" s="349" t="s">
        <v>337</v>
      </c>
      <c r="B25" s="350" t="str">
        <f>'Yale allocation'!A80</f>
        <v>Marion County</v>
      </c>
      <c r="C25" s="343">
        <f>'Yale allocation'!B80</f>
        <v>0</v>
      </c>
      <c r="D25" s="343">
        <f>'Yale allocation'!C80</f>
        <v>0</v>
      </c>
      <c r="E25" s="343">
        <f>'Yale allocation'!D80</f>
        <v>14.805693297262771</v>
      </c>
      <c r="F25" s="344">
        <f>'Yale allocation'!E80</f>
        <v>14.805693297262771</v>
      </c>
      <c r="G25" s="613">
        <f>'Yale allocation'!F80</f>
        <v>2.1364697880160474E-2</v>
      </c>
    </row>
    <row r="26" spans="1:7" x14ac:dyDescent="0.2">
      <c r="A26" s="341" t="s">
        <v>337</v>
      </c>
      <c r="B26" s="342" t="str">
        <f>'Yale allocation'!A78</f>
        <v>FDOT</v>
      </c>
      <c r="C26" s="323">
        <f>'Yale allocation'!B78</f>
        <v>44.837505878613278</v>
      </c>
      <c r="D26" s="323">
        <f>'Yale allocation'!C78</f>
        <v>0.62848922588714984</v>
      </c>
      <c r="E26" s="323">
        <f>'Yale allocation'!D78</f>
        <v>2.9831982896493456E-2</v>
      </c>
      <c r="F26" s="340">
        <f>'Yale allocation'!E78</f>
        <v>45.495827087396925</v>
      </c>
      <c r="G26" s="393">
        <f>'Yale allocation'!F78</f>
        <v>6.5650731851237099E-2</v>
      </c>
    </row>
    <row r="27" spans="1:7" x14ac:dyDescent="0.2">
      <c r="A27" s="341" t="s">
        <v>337</v>
      </c>
      <c r="B27" s="342" t="str">
        <f>'Yale allocation'!A81</f>
        <v>Umatilla</v>
      </c>
      <c r="C27" s="323">
        <f>'Yale allocation'!B81</f>
        <v>30.362801817508693</v>
      </c>
      <c r="D27" s="323">
        <f>'Yale allocation'!C81</f>
        <v>12.972052899798353</v>
      </c>
      <c r="E27" s="323">
        <f>'Yale allocation'!D81</f>
        <v>2.86056034012848</v>
      </c>
      <c r="F27" s="340">
        <f>'Yale allocation'!E81</f>
        <v>46.195415057435525</v>
      </c>
      <c r="G27" s="393">
        <f>'Yale allocation'!F81</f>
        <v>6.6660241187975339E-2</v>
      </c>
    </row>
    <row r="28" spans="1:7" x14ac:dyDescent="0.2">
      <c r="A28" s="341" t="s">
        <v>337</v>
      </c>
      <c r="B28" s="342" t="str">
        <f>'Yale allocation'!A77</f>
        <v>Eustis</v>
      </c>
      <c r="C28" s="323">
        <f>'Yale allocation'!B77</f>
        <v>197.67500451040669</v>
      </c>
      <c r="D28" s="323">
        <f>'Yale allocation'!C77</f>
        <v>31.865414447104399</v>
      </c>
      <c r="E28" s="323">
        <f>'Yale allocation'!D77</f>
        <v>0.7804693215991062</v>
      </c>
      <c r="F28" s="340">
        <f>'Yale allocation'!E77</f>
        <v>230.32088827911019</v>
      </c>
      <c r="G28" s="393">
        <f>'Yale allocation'!F77</f>
        <v>0.33235432443296076</v>
      </c>
    </row>
    <row r="29" spans="1:7" ht="13.5" thickBot="1" x14ac:dyDescent="0.25">
      <c r="A29" s="345" t="s">
        <v>337</v>
      </c>
      <c r="B29" s="346" t="str">
        <f>'Yale allocation'!A79</f>
        <v>Lake County</v>
      </c>
      <c r="C29" s="347">
        <f>'Yale allocation'!B79</f>
        <v>186.88317917508465</v>
      </c>
      <c r="D29" s="347">
        <f>'Yale allocation'!C79</f>
        <v>139.83037002666603</v>
      </c>
      <c r="E29" s="347">
        <f>'Yale allocation'!D79</f>
        <v>29.466645598594052</v>
      </c>
      <c r="F29" s="334">
        <f>'Yale allocation'!E79</f>
        <v>356.18019480034468</v>
      </c>
      <c r="G29" s="394">
        <f>'Yale allocation'!F79</f>
        <v>0.5139700046476664</v>
      </c>
    </row>
  </sheetData>
  <sortState xmlns:xlrd2="http://schemas.microsoft.com/office/spreadsheetml/2017/richdata2" ref="A3:G29">
    <sortCondition ref="A3:A29"/>
    <sortCondition ref="G3:G29"/>
  </sortState>
  <mergeCells count="1">
    <mergeCell ref="A1:G1"/>
  </mergeCells>
  <conditionalFormatting sqref="G3:G9">
    <cfRule type="cellIs" dxfId="10" priority="5" operator="between">
      <formula>0</formula>
      <formula>0.01</formula>
    </cfRule>
  </conditionalFormatting>
  <conditionalFormatting sqref="G10:G13">
    <cfRule type="cellIs" dxfId="9" priority="4" operator="between">
      <formula>0</formula>
      <formula>0.01</formula>
    </cfRule>
  </conditionalFormatting>
  <conditionalFormatting sqref="G14:G21">
    <cfRule type="cellIs" dxfId="8" priority="3" operator="between">
      <formula>0</formula>
      <formula>0.01</formula>
    </cfRule>
  </conditionalFormatting>
  <conditionalFormatting sqref="G22:G26">
    <cfRule type="cellIs" dxfId="7" priority="2" operator="between">
      <formula>0</formula>
      <formula>0.01</formula>
    </cfRule>
  </conditionalFormatting>
  <conditionalFormatting sqref="G27:G29">
    <cfRule type="cellIs" dxfId="6" priority="1" operator="between">
      <formula>0</formula>
      <formula>0.01</formula>
    </cfRule>
  </conditionalFormatting>
  <pageMargins left="0.7" right="0.7" top="0.75" bottom="0.75" header="0.3" footer="0.3"/>
  <pageSetup scale="95" orientation="landscape" r:id="rId1"/>
  <headerFooter>
    <oddHeader>&amp;L&amp;"Arial,Bold"&amp;11&amp;KC00000DRAFT&amp;CCalculation of Portion of Stormwater Loading by Jurisdiction&amp;RFDEP, August 16, 2016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6"/>
  <sheetViews>
    <sheetView workbookViewId="0">
      <selection activeCell="E67" sqref="E67"/>
    </sheetView>
  </sheetViews>
  <sheetFormatPr defaultRowHeight="12.75" x14ac:dyDescent="0.2"/>
  <cols>
    <col min="1" max="1" width="41.5703125" customWidth="1"/>
    <col min="2" max="2" width="15.7109375" customWidth="1"/>
    <col min="3" max="3" width="15.140625" customWidth="1"/>
    <col min="4" max="4" width="15" customWidth="1"/>
    <col min="5" max="5" width="16.85546875" customWidth="1"/>
    <col min="6" max="6" width="15.5703125" customWidth="1"/>
    <col min="7" max="7" width="15.7109375" customWidth="1"/>
    <col min="8" max="8" width="16" customWidth="1"/>
    <col min="9" max="9" width="16.42578125" customWidth="1"/>
    <col min="10" max="10" width="16" customWidth="1"/>
    <col min="11" max="12" width="15.85546875" customWidth="1"/>
    <col min="13" max="13" width="24.42578125" customWidth="1"/>
    <col min="14" max="14" width="16.140625" customWidth="1"/>
    <col min="15" max="15" width="16" customWidth="1"/>
  </cols>
  <sheetData>
    <row r="1" spans="1:10" s="35" customFormat="1" x14ac:dyDescent="0.2">
      <c r="A1" s="189" t="s">
        <v>871</v>
      </c>
    </row>
    <row r="2" spans="1:10" s="35" customFormat="1" ht="15.75" thickBot="1" x14ac:dyDescent="0.3">
      <c r="A2" s="13" t="s">
        <v>82</v>
      </c>
    </row>
    <row r="3" spans="1:10" x14ac:dyDescent="0.2">
      <c r="A3" s="53"/>
      <c r="B3" s="1139" t="s">
        <v>355</v>
      </c>
      <c r="C3" s="1140"/>
      <c r="D3" s="1140"/>
      <c r="E3" s="1140"/>
      <c r="F3" s="1141"/>
    </row>
    <row r="4" spans="1:10" ht="13.5" thickBot="1" x14ac:dyDescent="0.25">
      <c r="A4" s="2"/>
      <c r="B4" s="1142"/>
      <c r="C4" s="1143"/>
      <c r="D4" s="1143"/>
      <c r="E4" s="1143"/>
      <c r="F4" s="1144"/>
    </row>
    <row r="5" spans="1:10" ht="64.5" thickBot="1" x14ac:dyDescent="0.25">
      <c r="A5" s="362" t="s">
        <v>1</v>
      </c>
      <c r="B5" s="12" t="s">
        <v>4</v>
      </c>
      <c r="C5" s="11" t="s">
        <v>0</v>
      </c>
      <c r="D5" s="8" t="s">
        <v>9</v>
      </c>
      <c r="E5" s="9" t="s">
        <v>31</v>
      </c>
      <c r="F5" s="14" t="s">
        <v>16</v>
      </c>
      <c r="G5" s="362" t="s">
        <v>99</v>
      </c>
      <c r="H5" s="362" t="s">
        <v>100</v>
      </c>
      <c r="I5" s="363" t="s">
        <v>54</v>
      </c>
      <c r="J5" s="364" t="s">
        <v>53</v>
      </c>
    </row>
    <row r="6" spans="1:10" s="17" customFormat="1" ht="14.25" thickTop="1" thickBot="1" x14ac:dyDescent="0.25">
      <c r="A6" s="206" t="s">
        <v>22</v>
      </c>
      <c r="B6" s="207">
        <v>2047</v>
      </c>
      <c r="C6" s="185"/>
      <c r="D6" s="185"/>
      <c r="E6" s="185"/>
      <c r="F6" s="207">
        <f>IF(SUM(B6:E6)&lt;&gt;0,SUM(B6:E6),"")</f>
        <v>2047</v>
      </c>
      <c r="G6" s="208"/>
      <c r="H6" s="209"/>
      <c r="I6" s="210"/>
      <c r="J6" s="211">
        <v>2047</v>
      </c>
    </row>
    <row r="7" spans="1:10" s="17" customFormat="1" ht="13.5" thickTop="1" x14ac:dyDescent="0.2">
      <c r="A7" s="212" t="s">
        <v>23</v>
      </c>
      <c r="B7" s="54">
        <v>174</v>
      </c>
      <c r="C7" s="43">
        <v>-174</v>
      </c>
      <c r="D7" s="43"/>
      <c r="E7" s="43"/>
      <c r="F7" s="207" t="str">
        <f>IF(SUM(B7:E7)&lt;&gt;0,SUM(B7:E7),"")</f>
        <v/>
      </c>
      <c r="G7" s="56">
        <v>0</v>
      </c>
      <c r="H7" s="19">
        <f>G7/(F$30-F$6-F$11-F$12-F$16)</f>
        <v>0</v>
      </c>
      <c r="I7" s="57">
        <f>F$32*H7</f>
        <v>0</v>
      </c>
      <c r="J7" s="69"/>
    </row>
    <row r="8" spans="1:10" s="17" customFormat="1" x14ac:dyDescent="0.2">
      <c r="A8" s="26" t="s">
        <v>6</v>
      </c>
      <c r="B8" s="54">
        <v>1827</v>
      </c>
      <c r="C8" s="43"/>
      <c r="D8" s="43"/>
      <c r="E8" s="43"/>
      <c r="F8" s="54">
        <f t="shared" ref="F8:F15" si="0">IF(SUM(B8:E8)&lt;&gt;0,SUM(B8:E8),"")</f>
        <v>1827</v>
      </c>
      <c r="G8" s="56">
        <f>F8</f>
        <v>1827</v>
      </c>
      <c r="H8" s="19">
        <f>G8/(F$30-F$6-F$11-F$12-F$16)</f>
        <v>0.14768906815200891</v>
      </c>
      <c r="I8" s="57">
        <f>(ROUND(F$32*H8,1))</f>
        <v>572.20000000000005</v>
      </c>
      <c r="J8" s="69">
        <f>F8-I8</f>
        <v>1254.8</v>
      </c>
    </row>
    <row r="9" spans="1:10" s="17" customFormat="1" x14ac:dyDescent="0.2">
      <c r="A9" s="212" t="s">
        <v>24</v>
      </c>
      <c r="B9" s="54"/>
      <c r="C9" s="18"/>
      <c r="D9" s="43"/>
      <c r="E9" s="43"/>
      <c r="F9" s="54" t="str">
        <f t="shared" si="0"/>
        <v/>
      </c>
      <c r="G9" s="56"/>
      <c r="H9" s="19"/>
      <c r="I9" s="57"/>
      <c r="J9" s="69"/>
    </row>
    <row r="10" spans="1:10" s="17" customFormat="1" x14ac:dyDescent="0.2">
      <c r="A10" s="26" t="s">
        <v>25</v>
      </c>
      <c r="B10" s="54">
        <v>6907</v>
      </c>
      <c r="C10" s="43">
        <v>-4715</v>
      </c>
      <c r="D10" s="43">
        <v>-2193</v>
      </c>
      <c r="E10" s="43"/>
      <c r="F10" s="54">
        <f t="shared" si="0"/>
        <v>-1</v>
      </c>
      <c r="G10" s="56">
        <f>F10</f>
        <v>-1</v>
      </c>
      <c r="H10" s="19">
        <f>G10/(F$30-F$6-F$11-F$12-F$16)</f>
        <v>-8.0836928380957258E-5</v>
      </c>
      <c r="I10" s="57">
        <f>(ROUND(F$32*H10,1))</f>
        <v>-0.3</v>
      </c>
      <c r="J10" s="69">
        <f>F10-I10</f>
        <v>-0.7</v>
      </c>
    </row>
    <row r="11" spans="1:10" s="17" customFormat="1" x14ac:dyDescent="0.2">
      <c r="A11" s="212" t="s">
        <v>26</v>
      </c>
      <c r="B11" s="54">
        <v>5422</v>
      </c>
      <c r="C11" s="43"/>
      <c r="D11" s="43"/>
      <c r="E11" s="43"/>
      <c r="F11" s="54">
        <f t="shared" si="0"/>
        <v>5422</v>
      </c>
      <c r="G11" s="56"/>
      <c r="H11" s="19"/>
      <c r="I11" s="57"/>
      <c r="J11" s="69">
        <f>F11-I11</f>
        <v>5422</v>
      </c>
    </row>
    <row r="12" spans="1:10" s="17" customFormat="1" x14ac:dyDescent="0.2">
      <c r="A12" s="36" t="s">
        <v>340</v>
      </c>
      <c r="B12" s="54">
        <v>183</v>
      </c>
      <c r="C12" s="18"/>
      <c r="D12" s="43">
        <v>-99</v>
      </c>
      <c r="E12" s="43"/>
      <c r="F12" s="54">
        <f t="shared" si="0"/>
        <v>84</v>
      </c>
      <c r="G12" s="56"/>
      <c r="H12" s="19"/>
      <c r="I12" s="57"/>
      <c r="J12" s="69">
        <f>F12-I12</f>
        <v>84</v>
      </c>
    </row>
    <row r="13" spans="1:10" s="17" customFormat="1" x14ac:dyDescent="0.2">
      <c r="A13" s="36" t="s">
        <v>18</v>
      </c>
      <c r="B13" s="54">
        <v>3891</v>
      </c>
      <c r="C13" s="43"/>
      <c r="D13" s="43"/>
      <c r="E13" s="43">
        <v>695</v>
      </c>
      <c r="F13" s="54">
        <f>IF(SUM(B13:E13)&lt;&gt;0,SUM(B13:E13),"")</f>
        <v>4586</v>
      </c>
      <c r="G13" s="56">
        <f>F13</f>
        <v>4586</v>
      </c>
      <c r="H13" s="19">
        <f>G13/(F$30-F$6-F$11-F$12-F$16)</f>
        <v>0.37071815355506998</v>
      </c>
      <c r="I13" s="57">
        <f>(ROUND(F$32*H13,1))</f>
        <v>1436.4</v>
      </c>
      <c r="J13" s="69">
        <f>F13-I13</f>
        <v>3149.6</v>
      </c>
    </row>
    <row r="14" spans="1:10" s="17" customFormat="1" x14ac:dyDescent="0.2">
      <c r="A14" s="212" t="s">
        <v>27</v>
      </c>
      <c r="B14" s="54">
        <v>121</v>
      </c>
      <c r="C14" s="43"/>
      <c r="D14" s="43">
        <v>-120</v>
      </c>
      <c r="E14" s="43"/>
      <c r="F14" s="54">
        <f t="shared" si="0"/>
        <v>1</v>
      </c>
      <c r="G14" s="56">
        <f>F14</f>
        <v>1</v>
      </c>
      <c r="H14" s="19">
        <f>G14/(F$30-F$6-F$11-F$12-F$16)</f>
        <v>8.0836928380957258E-5</v>
      </c>
      <c r="I14" s="57">
        <f>(ROUND(F$32*H14,1))</f>
        <v>0.3</v>
      </c>
      <c r="J14" s="69">
        <f>F14-I14</f>
        <v>0.7</v>
      </c>
    </row>
    <row r="15" spans="1:10" s="17" customFormat="1" x14ac:dyDescent="0.2">
      <c r="A15" s="212" t="s">
        <v>19</v>
      </c>
      <c r="B15" s="54">
        <f>SUM(B16:B20)</f>
        <v>5287</v>
      </c>
      <c r="C15" s="43"/>
      <c r="D15" s="18"/>
      <c r="E15" s="83">
        <f>SUM(E16:E20)</f>
        <v>749</v>
      </c>
      <c r="F15" s="54">
        <f t="shared" si="0"/>
        <v>6036</v>
      </c>
      <c r="G15" s="56"/>
      <c r="H15" s="19"/>
      <c r="I15" s="57"/>
      <c r="J15" s="69"/>
    </row>
    <row r="16" spans="1:10" s="17" customFormat="1" x14ac:dyDescent="0.2">
      <c r="A16" s="213" t="s">
        <v>20</v>
      </c>
      <c r="B16" s="54">
        <v>2211</v>
      </c>
      <c r="C16" s="43"/>
      <c r="D16" s="18"/>
      <c r="E16" s="43">
        <v>42</v>
      </c>
      <c r="F16" s="54">
        <f>IF(SUM(B16:E16)&lt;&gt;0,SUM(B16:E16),"")</f>
        <v>2253</v>
      </c>
      <c r="G16" s="56"/>
      <c r="H16" s="19"/>
      <c r="I16" s="57"/>
      <c r="J16" s="69">
        <f>F16-I16</f>
        <v>2253</v>
      </c>
    </row>
    <row r="17" spans="1:11" s="17" customFormat="1" x14ac:dyDescent="0.2">
      <c r="A17" s="213" t="s">
        <v>32</v>
      </c>
      <c r="B17" s="54">
        <v>372</v>
      </c>
      <c r="C17" s="43"/>
      <c r="D17" s="43"/>
      <c r="E17" s="43">
        <v>116</v>
      </c>
      <c r="F17" s="54">
        <f>IF(SUM(B17:E17)&lt;&gt;0,SUM(B17:E17),"")+F19</f>
        <v>473</v>
      </c>
      <c r="G17" s="56">
        <f>F17</f>
        <v>473</v>
      </c>
      <c r="H17" s="19">
        <f>G17/(F$30-F$6-F$11-F$12-F$16)</f>
        <v>3.8235867124192781E-2</v>
      </c>
      <c r="I17" s="57">
        <f>(ROUND(F$32*H17,1))</f>
        <v>148.1</v>
      </c>
      <c r="J17" s="69">
        <f>F17-I17</f>
        <v>324.89999999999998</v>
      </c>
    </row>
    <row r="18" spans="1:11" s="35" customFormat="1" x14ac:dyDescent="0.2">
      <c r="A18" s="265" t="s">
        <v>846</v>
      </c>
      <c r="B18" s="54"/>
      <c r="C18" s="43"/>
      <c r="D18" s="43"/>
      <c r="E18" s="43"/>
      <c r="F18" s="54"/>
      <c r="G18" s="56"/>
      <c r="H18" s="19"/>
      <c r="I18" s="57"/>
      <c r="J18" s="69"/>
    </row>
    <row r="19" spans="1:11" s="35" customFormat="1" x14ac:dyDescent="0.2">
      <c r="A19" s="265" t="s">
        <v>847</v>
      </c>
      <c r="B19" s="54"/>
      <c r="C19" s="43"/>
      <c r="D19" s="43"/>
      <c r="E19" s="43"/>
      <c r="F19" s="54">
        <v>-15</v>
      </c>
      <c r="G19" s="56"/>
      <c r="H19" s="19"/>
      <c r="I19" s="57"/>
      <c r="J19" s="69"/>
    </row>
    <row r="20" spans="1:11" s="17" customFormat="1" x14ac:dyDescent="0.2">
      <c r="A20" s="214" t="s">
        <v>21</v>
      </c>
      <c r="B20" s="54">
        <v>2704</v>
      </c>
      <c r="C20" s="43"/>
      <c r="D20" s="43"/>
      <c r="E20" s="43">
        <v>591</v>
      </c>
      <c r="F20" s="54">
        <f>B20+E20+F24</f>
        <v>3310</v>
      </c>
      <c r="G20" s="56">
        <f>F20</f>
        <v>3310</v>
      </c>
      <c r="H20" s="19"/>
      <c r="I20" s="57">
        <f>SUM(I21:I24)</f>
        <v>1036.5999999999999</v>
      </c>
      <c r="J20" s="69">
        <f>SUM(J21:J24)</f>
        <v>2272.983841178831</v>
      </c>
    </row>
    <row r="21" spans="1:11" s="34" customFormat="1" x14ac:dyDescent="0.2">
      <c r="A21" s="26" t="s">
        <v>62</v>
      </c>
      <c r="B21" s="54"/>
      <c r="C21" s="43"/>
      <c r="D21" s="43"/>
      <c r="E21" s="43"/>
      <c r="F21" s="419">
        <v>2205.5715801979231</v>
      </c>
      <c r="G21" s="56">
        <v>2205.5715801979231</v>
      </c>
      <c r="H21" s="19">
        <f>G21/(F$30-F$6-F$11-F$12-F$16)</f>
        <v>0.17829163186753422</v>
      </c>
      <c r="I21" s="57">
        <f>(ROUND(F$32*H21,1))</f>
        <v>690.8</v>
      </c>
      <c r="J21" s="69">
        <f t="shared" ref="J21:J24" si="1">F21-I21</f>
        <v>1514.7715801979232</v>
      </c>
      <c r="K21" s="80"/>
    </row>
    <row r="22" spans="1:11" s="34" customFormat="1" x14ac:dyDescent="0.2">
      <c r="A22" s="26" t="s">
        <v>63</v>
      </c>
      <c r="B22" s="54"/>
      <c r="C22" s="43"/>
      <c r="D22" s="43"/>
      <c r="E22" s="43"/>
      <c r="F22" s="47">
        <v>804.56234936115527</v>
      </c>
      <c r="G22" s="56">
        <v>804.56234936115527</v>
      </c>
      <c r="H22" s="19">
        <f>G22/(F$30-F$6-F$11-F$12-F$16)</f>
        <v>6.5038349013322422E-2</v>
      </c>
      <c r="I22" s="57">
        <f>(ROUND(F$32*H22,1))</f>
        <v>252</v>
      </c>
      <c r="J22" s="69">
        <f t="shared" si="1"/>
        <v>552.56234936115527</v>
      </c>
    </row>
    <row r="23" spans="1:11" s="34" customFormat="1" x14ac:dyDescent="0.2">
      <c r="A23" s="26" t="s">
        <v>64</v>
      </c>
      <c r="B23" s="54"/>
      <c r="C23" s="43"/>
      <c r="D23" s="43"/>
      <c r="E23" s="43"/>
      <c r="F23" s="47">
        <v>284.44991161975202</v>
      </c>
      <c r="G23" s="56">
        <v>284.44991161975202</v>
      </c>
      <c r="H23" s="19">
        <f>G23/(F$30-F$6-F$11-F$12-F$16)</f>
        <v>2.2994057133575514E-2</v>
      </c>
      <c r="I23" s="57">
        <f>(ROUND(F$32*H23,1))</f>
        <v>89.1</v>
      </c>
      <c r="J23" s="69">
        <f t="shared" si="1"/>
        <v>195.34991161975202</v>
      </c>
    </row>
    <row r="24" spans="1:11" s="35" customFormat="1" x14ac:dyDescent="0.2">
      <c r="A24" s="39" t="s">
        <v>905</v>
      </c>
      <c r="B24" s="54"/>
      <c r="C24" s="43"/>
      <c r="D24" s="43"/>
      <c r="E24" s="43"/>
      <c r="F24" s="47">
        <v>15</v>
      </c>
      <c r="G24" s="56">
        <v>15</v>
      </c>
      <c r="H24" s="19">
        <f>G24/(F$30-F$6-F$11-F$12-F$16)</f>
        <v>1.2125539257143588E-3</v>
      </c>
      <c r="I24" s="57">
        <f>(ROUND(F$32*H24,1))</f>
        <v>4.7</v>
      </c>
      <c r="J24" s="69">
        <f t="shared" si="1"/>
        <v>10.3</v>
      </c>
    </row>
    <row r="25" spans="1:11" s="17" customFormat="1" x14ac:dyDescent="0.2">
      <c r="A25" s="36" t="s">
        <v>28</v>
      </c>
      <c r="B25" s="54"/>
      <c r="C25" s="43"/>
      <c r="D25" s="18"/>
      <c r="E25" s="43"/>
      <c r="F25" s="44"/>
      <c r="G25" s="56"/>
      <c r="H25" s="19"/>
      <c r="I25" s="57"/>
      <c r="J25" s="69"/>
    </row>
    <row r="26" spans="1:11" s="17" customFormat="1" x14ac:dyDescent="0.2">
      <c r="A26" s="212" t="s">
        <v>266</v>
      </c>
      <c r="B26" s="54">
        <v>1232</v>
      </c>
      <c r="C26" s="43"/>
      <c r="D26" s="43"/>
      <c r="E26" s="43">
        <v>959</v>
      </c>
      <c r="F26" s="54">
        <v>2191</v>
      </c>
      <c r="G26" s="56">
        <f>F26</f>
        <v>2191</v>
      </c>
      <c r="H26" s="19">
        <f>G26/(F$30-F$6-F$11-F$12-F$16)</f>
        <v>0.17711371008267734</v>
      </c>
      <c r="I26" s="57">
        <f>(ROUND(F$32*H26,1))</f>
        <v>686.2</v>
      </c>
      <c r="J26" s="69">
        <f>F26-I26</f>
        <v>1504.8</v>
      </c>
    </row>
    <row r="27" spans="1:11" s="35" customFormat="1" x14ac:dyDescent="0.2">
      <c r="A27" s="265" t="s">
        <v>230</v>
      </c>
      <c r="B27" s="54">
        <v>591</v>
      </c>
      <c r="C27" s="43"/>
      <c r="D27" s="43"/>
      <c r="E27" s="43">
        <v>924</v>
      </c>
      <c r="F27" s="54">
        <f>E27+B27</f>
        <v>1515</v>
      </c>
      <c r="G27" s="56">
        <f>F27</f>
        <v>1515</v>
      </c>
      <c r="H27" s="19">
        <f>G27/(F$30-F$6-F$11-F$12-F$16)</f>
        <v>0.12246794649715023</v>
      </c>
      <c r="I27" s="57">
        <f>(ROUND(F$32*H27,1))</f>
        <v>474.5</v>
      </c>
      <c r="J27" s="69">
        <f t="shared" ref="J27:J28" si="2">F27-I27</f>
        <v>1040.5</v>
      </c>
    </row>
    <row r="28" spans="1:11" s="17" customFormat="1" x14ac:dyDescent="0.2">
      <c r="A28" s="26" t="s">
        <v>231</v>
      </c>
      <c r="B28" s="44">
        <v>640</v>
      </c>
      <c r="C28" s="65"/>
      <c r="D28" s="65"/>
      <c r="E28" s="74">
        <v>35</v>
      </c>
      <c r="F28" s="44">
        <f>E28+B28</f>
        <v>675</v>
      </c>
      <c r="G28" s="56">
        <f>F28</f>
        <v>675</v>
      </c>
      <c r="H28" s="19">
        <f>G28/(F$30-F$6-F$11-F$12-F$16)</f>
        <v>5.4564926657146143E-2</v>
      </c>
      <c r="I28" s="57">
        <f>(ROUND(F$32*H28,1))</f>
        <v>211.4</v>
      </c>
      <c r="J28" s="69">
        <f t="shared" si="2"/>
        <v>463.6</v>
      </c>
    </row>
    <row r="29" spans="1:11" s="17" customFormat="1" x14ac:dyDescent="0.2">
      <c r="A29" s="75" t="s">
        <v>30</v>
      </c>
      <c r="B29" s="44"/>
      <c r="C29" s="65"/>
      <c r="D29" s="65"/>
      <c r="E29" s="74"/>
      <c r="F29" s="44"/>
      <c r="G29" s="56"/>
      <c r="H29" s="19"/>
      <c r="I29" s="57"/>
      <c r="J29" s="69"/>
    </row>
    <row r="30" spans="1:11" s="17" customFormat="1" x14ac:dyDescent="0.2">
      <c r="A30" s="215" t="s">
        <v>3</v>
      </c>
      <c r="B30" s="54">
        <f>SUM(B6:B26)-B15</f>
        <v>27091</v>
      </c>
      <c r="C30" s="43"/>
      <c r="D30" s="43"/>
      <c r="E30" s="216"/>
      <c r="F30" s="54">
        <f>SUM(F6:F28)-F20-F26-F15</f>
        <v>22176.583841178828</v>
      </c>
      <c r="G30" s="56"/>
      <c r="H30" s="19"/>
      <c r="I30" s="57"/>
      <c r="J30" s="69"/>
    </row>
    <row r="31" spans="1:11" s="17" customFormat="1" x14ac:dyDescent="0.2">
      <c r="A31" s="76" t="s">
        <v>17</v>
      </c>
      <c r="B31" s="54">
        <v>18302</v>
      </c>
      <c r="C31" s="65"/>
      <c r="D31" s="65"/>
      <c r="E31" s="216"/>
      <c r="F31" s="54">
        <f>B31</f>
        <v>18302</v>
      </c>
      <c r="G31" s="56"/>
      <c r="H31" s="19"/>
      <c r="I31" s="57"/>
      <c r="J31" s="69"/>
    </row>
    <row r="32" spans="1:11" s="17" customFormat="1" ht="25.5" x14ac:dyDescent="0.2">
      <c r="A32" s="217" t="s">
        <v>2</v>
      </c>
      <c r="B32" s="54">
        <f>B30-B31</f>
        <v>8789</v>
      </c>
      <c r="C32" s="65"/>
      <c r="D32" s="65"/>
      <c r="E32" s="216"/>
      <c r="F32" s="54">
        <f>F30-F31</f>
        <v>3874.5838411788282</v>
      </c>
      <c r="G32" s="18"/>
      <c r="H32" s="19"/>
      <c r="I32" s="55">
        <f>SUM(I7:I31)-I20-I26</f>
        <v>3879.2</v>
      </c>
      <c r="J32" s="67"/>
    </row>
    <row r="33" spans="1:14" s="17" customFormat="1" ht="25.5" x14ac:dyDescent="0.2">
      <c r="A33" s="218" t="s">
        <v>7</v>
      </c>
      <c r="B33" s="44"/>
      <c r="C33" s="65"/>
      <c r="D33" s="65"/>
      <c r="E33" s="74"/>
      <c r="F33" s="219">
        <f>F32/F31</f>
        <v>0.21170275604736249</v>
      </c>
      <c r="G33" s="18"/>
      <c r="H33" s="19">
        <f>H7+H8+H10+H12+H13+H14+H21+H22+H23+H27+H28+H17</f>
        <v>1.0000000000000002</v>
      </c>
      <c r="I33" s="24"/>
      <c r="J33" s="67"/>
    </row>
    <row r="34" spans="1:14" s="17" customFormat="1" x14ac:dyDescent="0.2">
      <c r="A34" s="68" t="s">
        <v>115</v>
      </c>
      <c r="B34" s="44"/>
      <c r="C34" s="65"/>
      <c r="D34" s="65"/>
      <c r="E34" s="74"/>
      <c r="F34" s="44"/>
      <c r="G34" s="18"/>
      <c r="H34" s="18"/>
      <c r="I34" s="24"/>
      <c r="J34" s="172">
        <f>SUM(J6:J31)-J20-J26</f>
        <v>18312.383841178835</v>
      </c>
    </row>
    <row r="35" spans="1:14" s="17" customFormat="1" ht="25.5" customHeight="1" thickBot="1" x14ac:dyDescent="0.25">
      <c r="A35" s="222" t="s">
        <v>227</v>
      </c>
      <c r="B35" s="220"/>
      <c r="C35" s="186"/>
      <c r="D35" s="186"/>
      <c r="E35" s="187"/>
      <c r="F35" s="220"/>
      <c r="G35" s="42"/>
      <c r="H35" s="42"/>
      <c r="I35" s="66"/>
      <c r="J35" s="365">
        <f>J20+J26</f>
        <v>3777.7838411788307</v>
      </c>
    </row>
    <row r="36" spans="1:14" s="35" customFormat="1" x14ac:dyDescent="0.2">
      <c r="B36" s="3"/>
      <c r="C36" s="3"/>
      <c r="D36" s="3"/>
      <c r="E36" s="3"/>
    </row>
    <row r="38" spans="1:14" ht="15.75" thickBot="1" x14ac:dyDescent="0.3">
      <c r="A38" s="408" t="s">
        <v>354</v>
      </c>
      <c r="B38" s="411"/>
      <c r="C38" s="411"/>
      <c r="D38" s="411"/>
      <c r="E38" s="411"/>
      <c r="G38" s="408" t="s">
        <v>341</v>
      </c>
      <c r="H38" s="411"/>
    </row>
    <row r="39" spans="1:14" ht="52.5" customHeight="1" x14ac:dyDescent="0.2">
      <c r="A39" s="371" t="s">
        <v>351</v>
      </c>
      <c r="B39" s="372" t="s">
        <v>122</v>
      </c>
      <c r="C39" s="373" t="s">
        <v>121</v>
      </c>
      <c r="D39" s="373" t="s">
        <v>223</v>
      </c>
      <c r="E39" s="374" t="s">
        <v>222</v>
      </c>
      <c r="G39" s="366" t="s">
        <v>279</v>
      </c>
      <c r="H39" s="367" t="s">
        <v>346</v>
      </c>
      <c r="I39" s="367" t="s">
        <v>347</v>
      </c>
      <c r="J39" s="368" t="s">
        <v>60</v>
      </c>
      <c r="K39" s="369" t="s">
        <v>120</v>
      </c>
      <c r="L39" s="370" t="s">
        <v>114</v>
      </c>
    </row>
    <row r="40" spans="1:14" x14ac:dyDescent="0.2">
      <c r="A40" s="26" t="s">
        <v>48</v>
      </c>
      <c r="B40" s="454">
        <v>450.20119551900001</v>
      </c>
      <c r="C40" s="455">
        <v>3.9284936001104574E-2</v>
      </c>
      <c r="D40" s="435">
        <v>3.9284936001104574E-2</v>
      </c>
      <c r="E40" s="456">
        <f>I$20*D40</f>
        <v>40.722764658745</v>
      </c>
      <c r="G40" s="379" t="s">
        <v>48</v>
      </c>
      <c r="H40" s="459">
        <v>102</v>
      </c>
      <c r="I40" s="460">
        <f>H40/H$45</f>
        <v>5.3042121684867397E-2</v>
      </c>
      <c r="J40" s="461">
        <f>I40</f>
        <v>5.3042121684867397E-2</v>
      </c>
      <c r="K40" s="105">
        <f>I$27*J40</f>
        <v>25.168486739469579</v>
      </c>
      <c r="L40" s="456">
        <f>J$27*J40</f>
        <v>55.190327613104529</v>
      </c>
      <c r="M40" s="141" t="s">
        <v>909</v>
      </c>
    </row>
    <row r="41" spans="1:14" ht="25.5" x14ac:dyDescent="0.2">
      <c r="A41" s="26" t="s">
        <v>41</v>
      </c>
      <c r="B41" s="454">
        <v>243.25919468421</v>
      </c>
      <c r="C41" s="455">
        <v>2.1227002482373719E-2</v>
      </c>
      <c r="D41" s="435">
        <v>2.1227002482373719E-2</v>
      </c>
      <c r="E41" s="456">
        <f t="shared" ref="E41:E46" si="3">I$20*D41</f>
        <v>22.003910773228597</v>
      </c>
      <c r="G41" s="379" t="s">
        <v>61</v>
      </c>
      <c r="H41" s="459">
        <v>169</v>
      </c>
      <c r="I41" s="460">
        <f t="shared" ref="I41:I44" si="4">H41/H$45</f>
        <v>8.788351534061363E-2</v>
      </c>
      <c r="J41" s="461">
        <f>I41</f>
        <v>8.788351534061363E-2</v>
      </c>
      <c r="K41" s="105">
        <f>I$27*J41</f>
        <v>41.700728029121166</v>
      </c>
      <c r="L41" s="456">
        <f>J$27*J41</f>
        <v>91.442797711908483</v>
      </c>
      <c r="M41" t="s">
        <v>861</v>
      </c>
      <c r="N41">
        <f>F26/H45</f>
        <v>1.1393655746229849</v>
      </c>
    </row>
    <row r="42" spans="1:14" x14ac:dyDescent="0.2">
      <c r="A42" s="26" t="s">
        <v>49</v>
      </c>
      <c r="B42" s="454">
        <v>335.33552609643999</v>
      </c>
      <c r="C42" s="455">
        <v>2.9261660814579971E-2</v>
      </c>
      <c r="D42" s="435">
        <v>2.9261660814579971E-2</v>
      </c>
      <c r="E42" s="456">
        <f t="shared" si="3"/>
        <v>30.332637600393596</v>
      </c>
      <c r="G42" s="379" t="s">
        <v>36</v>
      </c>
      <c r="H42" s="459">
        <v>1626</v>
      </c>
      <c r="I42" s="460">
        <f t="shared" si="4"/>
        <v>0.8455538221528861</v>
      </c>
      <c r="J42" s="461">
        <f>I42</f>
        <v>0.8455538221528861</v>
      </c>
      <c r="K42" s="105">
        <f>I$27*J42</f>
        <v>401.21528861154445</v>
      </c>
      <c r="L42" s="456">
        <f>J$27*J42</f>
        <v>879.79875195007799</v>
      </c>
      <c r="M42" t="s">
        <v>862</v>
      </c>
      <c r="N42">
        <f>19*N41</f>
        <v>21.647945917836715</v>
      </c>
    </row>
    <row r="43" spans="1:14" x14ac:dyDescent="0.2">
      <c r="A43" s="26" t="s">
        <v>36</v>
      </c>
      <c r="B43" s="454">
        <v>5263.4174219300003</v>
      </c>
      <c r="C43" s="455">
        <v>0.45929024317504813</v>
      </c>
      <c r="D43" s="435">
        <v>0.45929024317504813</v>
      </c>
      <c r="E43" s="456">
        <f t="shared" si="3"/>
        <v>476.10026607525486</v>
      </c>
      <c r="G43" s="379" t="s">
        <v>37</v>
      </c>
      <c r="H43" s="459">
        <v>4</v>
      </c>
      <c r="I43" s="460">
        <f t="shared" si="4"/>
        <v>2.0800832033281333E-3</v>
      </c>
      <c r="J43" s="461">
        <f>I43</f>
        <v>2.0800832033281333E-3</v>
      </c>
      <c r="K43" s="105">
        <f>I$27*J43</f>
        <v>0.98699947997919923</v>
      </c>
      <c r="L43" s="456">
        <f>J$27*J43</f>
        <v>2.1643265730629229</v>
      </c>
      <c r="M43" t="s">
        <v>863</v>
      </c>
      <c r="N43">
        <f>ROUNDUP(N42,0)</f>
        <v>22</v>
      </c>
    </row>
    <row r="44" spans="1:14" x14ac:dyDescent="0.2">
      <c r="A44" s="26" t="s">
        <v>37</v>
      </c>
      <c r="B44" s="454">
        <v>4112.2227493600003</v>
      </c>
      <c r="C44" s="455">
        <v>0.35883602517904917</v>
      </c>
      <c r="D44" s="435">
        <v>0.35883602517904917</v>
      </c>
      <c r="E44" s="456">
        <f t="shared" si="3"/>
        <v>371.96942370060231</v>
      </c>
      <c r="G44" s="380" t="s">
        <v>50</v>
      </c>
      <c r="H44" s="459">
        <v>22</v>
      </c>
      <c r="I44" s="460">
        <f t="shared" si="4"/>
        <v>1.1440457618304731E-2</v>
      </c>
      <c r="J44" s="462">
        <f>I44</f>
        <v>1.1440457618304731E-2</v>
      </c>
      <c r="K44" s="105">
        <f>I$27*J44</f>
        <v>5.4284971398855948</v>
      </c>
      <c r="L44" s="456">
        <f>J$27*J44</f>
        <v>11.903796151846073</v>
      </c>
      <c r="M44" t="s">
        <v>868</v>
      </c>
      <c r="N44">
        <f>N42*0.5</f>
        <v>10.823972958918358</v>
      </c>
    </row>
    <row r="45" spans="1:14" ht="13.5" thickBot="1" x14ac:dyDescent="0.25">
      <c r="A45" s="26" t="s">
        <v>50</v>
      </c>
      <c r="B45" s="454">
        <v>1036.0833395669999</v>
      </c>
      <c r="C45" s="455">
        <v>9.0409505998263195E-2</v>
      </c>
      <c r="D45" s="435">
        <v>9.0409505998263195E-2</v>
      </c>
      <c r="E45" s="456">
        <f t="shared" si="3"/>
        <v>93.71849391779962</v>
      </c>
      <c r="G45" s="381" t="s">
        <v>15</v>
      </c>
      <c r="H45" s="463">
        <f>SUM(H40:H44)</f>
        <v>1923</v>
      </c>
      <c r="I45" s="464">
        <f>SUM(I40:I44)</f>
        <v>0.99999999999999989</v>
      </c>
      <c r="J45" s="465">
        <f>SUM(J40:J44)</f>
        <v>0.99999999999999989</v>
      </c>
      <c r="K45" s="466">
        <f>SUM(K40:K44)</f>
        <v>474.5</v>
      </c>
      <c r="L45" s="467">
        <f>SUM(L40:L44)</f>
        <v>1040.5</v>
      </c>
      <c r="M45" s="141" t="s">
        <v>910</v>
      </c>
    </row>
    <row r="46" spans="1:14" x14ac:dyDescent="0.2">
      <c r="A46" s="26" t="s">
        <v>51</v>
      </c>
      <c r="B46" s="454">
        <v>19.374398464999999</v>
      </c>
      <c r="C46" s="455">
        <v>1.6906263495812992E-3</v>
      </c>
      <c r="D46" s="435">
        <v>1.6906263495812992E-3</v>
      </c>
      <c r="E46" s="456">
        <f t="shared" si="3"/>
        <v>1.7525032739759747</v>
      </c>
      <c r="G46" s="141" t="s">
        <v>872</v>
      </c>
    </row>
    <row r="47" spans="1:14" ht="13.5" thickBot="1" x14ac:dyDescent="0.25">
      <c r="A47" s="621" t="s">
        <v>15</v>
      </c>
      <c r="B47" s="626">
        <f>SUM(B40:B46)</f>
        <v>11459.89382562165</v>
      </c>
      <c r="C47" s="631">
        <f>SUM(C40:C46)</f>
        <v>1</v>
      </c>
      <c r="D47" s="627">
        <f>SUM(D40:D46)</f>
        <v>1</v>
      </c>
      <c r="E47" s="630">
        <f>SUM(E40:E46)</f>
        <v>1036.5999999999999</v>
      </c>
      <c r="G47" s="331" t="s">
        <v>348</v>
      </c>
    </row>
    <row r="48" spans="1:14" x14ac:dyDescent="0.2">
      <c r="B48" s="188"/>
    </row>
    <row r="49" spans="1:15" ht="15.75" thickBot="1" x14ac:dyDescent="0.3">
      <c r="A49" s="410" t="s">
        <v>80</v>
      </c>
      <c r="B49" s="411"/>
      <c r="C49" s="411"/>
    </row>
    <row r="50" spans="1:15" ht="54" customHeight="1" x14ac:dyDescent="0.2">
      <c r="A50" s="375" t="s">
        <v>350</v>
      </c>
      <c r="B50" s="376" t="s">
        <v>194</v>
      </c>
      <c r="C50" s="376" t="s">
        <v>71</v>
      </c>
      <c r="D50" s="376" t="s">
        <v>75</v>
      </c>
      <c r="E50" s="382" t="s">
        <v>196</v>
      </c>
      <c r="F50" s="376" t="s">
        <v>70</v>
      </c>
      <c r="G50" s="376" t="s">
        <v>76</v>
      </c>
      <c r="H50" s="376" t="s">
        <v>198</v>
      </c>
      <c r="I50" s="376" t="s">
        <v>72</v>
      </c>
      <c r="J50" s="376" t="s">
        <v>77</v>
      </c>
      <c r="K50" s="1107" t="s">
        <v>908</v>
      </c>
      <c r="L50" s="1107" t="s">
        <v>906</v>
      </c>
      <c r="M50" s="1107" t="s">
        <v>907</v>
      </c>
      <c r="N50" s="377" t="s">
        <v>74</v>
      </c>
      <c r="O50" s="378" t="s">
        <v>114</v>
      </c>
    </row>
    <row r="51" spans="1:15" x14ac:dyDescent="0.2">
      <c r="A51" s="26" t="s">
        <v>48</v>
      </c>
      <c r="B51" s="454">
        <v>72.592653589999998</v>
      </c>
      <c r="C51" s="435">
        <v>2.2493327733597156E-2</v>
      </c>
      <c r="D51" s="99">
        <f t="shared" ref="D51:D57" si="5">C51*I$21</f>
        <v>15.538390798368914</v>
      </c>
      <c r="E51" s="454">
        <v>296.31846263699998</v>
      </c>
      <c r="F51" s="435">
        <v>9.1091526137935808E-2</v>
      </c>
      <c r="G51" s="99">
        <f t="shared" ref="G51:G57" si="6">F51*I$22</f>
        <v>22.955064586759825</v>
      </c>
      <c r="H51" s="454">
        <v>81.290079241599997</v>
      </c>
      <c r="I51" s="435">
        <v>1.6324549605097917E-2</v>
      </c>
      <c r="J51" s="99">
        <f t="shared" ref="J51:J57" si="7">I51*I$23</f>
        <v>1.4545173698142244</v>
      </c>
      <c r="K51" s="453">
        <v>0</v>
      </c>
      <c r="L51" s="784"/>
      <c r="M51" s="323"/>
      <c r="N51" s="468">
        <f>D51+G51+J51+M51</f>
        <v>39.947972754942967</v>
      </c>
      <c r="O51" s="131">
        <f t="shared" ref="O51:O57" si="8">J$21*C51+J$22*F51+J$23*I51</f>
        <v>87.59500060718976</v>
      </c>
    </row>
    <row r="52" spans="1:15" x14ac:dyDescent="0.2">
      <c r="A52" s="26" t="s">
        <v>41</v>
      </c>
      <c r="B52" s="454">
        <v>207.89558898614001</v>
      </c>
      <c r="C52" s="435">
        <v>6.4417863406638701E-2</v>
      </c>
      <c r="D52" s="99">
        <f t="shared" si="5"/>
        <v>44.499860041306015</v>
      </c>
      <c r="E52" s="454">
        <v>28.42977834869</v>
      </c>
      <c r="F52" s="435">
        <v>8.7396240283355749E-3</v>
      </c>
      <c r="G52" s="99">
        <f t="shared" si="6"/>
        <v>2.2023852551405647</v>
      </c>
      <c r="H52" s="454">
        <v>6.9338261021399994</v>
      </c>
      <c r="I52" s="435">
        <v>1.3924402618328724E-3</v>
      </c>
      <c r="J52" s="99">
        <f t="shared" si="7"/>
        <v>0.12406642732930892</v>
      </c>
      <c r="K52" s="453">
        <v>0</v>
      </c>
      <c r="L52" s="784"/>
      <c r="M52" s="323"/>
      <c r="N52" s="468">
        <f t="shared" ref="N52:N57" si="9">D52+G52+J52+M52</f>
        <v>46.826311723775888</v>
      </c>
      <c r="O52" s="131">
        <f t="shared" si="8"/>
        <v>102.67954901316322</v>
      </c>
    </row>
    <row r="53" spans="1:15" x14ac:dyDescent="0.2">
      <c r="A53" s="26" t="s">
        <v>49</v>
      </c>
      <c r="B53" s="454">
        <v>4.5096526491900004</v>
      </c>
      <c r="C53" s="435">
        <v>1.3973465631457154E-3</v>
      </c>
      <c r="D53" s="99">
        <f t="shared" si="5"/>
        <v>0.9652870058210602</v>
      </c>
      <c r="E53" s="454">
        <v>246.56258799452098</v>
      </c>
      <c r="F53" s="435">
        <v>7.5796027790835829E-2</v>
      </c>
      <c r="G53" s="99">
        <f t="shared" si="6"/>
        <v>19.100599003290629</v>
      </c>
      <c r="H53" s="454">
        <v>84.263042967169994</v>
      </c>
      <c r="I53" s="435">
        <v>1.6921624326705013E-2</v>
      </c>
      <c r="J53" s="99">
        <f t="shared" si="7"/>
        <v>1.5077167275094165</v>
      </c>
      <c r="K53" s="453">
        <f>'Basin Acreages_032917'!T37</f>
        <v>1.44</v>
      </c>
      <c r="L53" s="784">
        <f>'Basin Acreages_032917'!U37</f>
        <v>6.2619586014959119E-3</v>
      </c>
      <c r="M53" s="323">
        <f>L53*I$24</f>
        <v>2.9431205427030788E-2</v>
      </c>
      <c r="N53" s="468">
        <f t="shared" si="9"/>
        <v>21.603033942048135</v>
      </c>
      <c r="O53" s="131">
        <f t="shared" si="8"/>
        <v>47.304329866572502</v>
      </c>
    </row>
    <row r="54" spans="1:15" x14ac:dyDescent="0.2">
      <c r="A54" s="26" t="s">
        <v>36</v>
      </c>
      <c r="B54" s="454">
        <v>1087.8315814489999</v>
      </c>
      <c r="C54" s="435">
        <v>0.33707717871256632</v>
      </c>
      <c r="D54" s="99">
        <f t="shared" si="5"/>
        <v>232.85291505464079</v>
      </c>
      <c r="E54" s="454">
        <v>1306.4638068219999</v>
      </c>
      <c r="F54" s="435">
        <v>0.40174736528557525</v>
      </c>
      <c r="G54" s="99">
        <f t="shared" si="6"/>
        <v>101.24033605196496</v>
      </c>
      <c r="H54" s="454">
        <v>2868.1172772099999</v>
      </c>
      <c r="I54" s="435">
        <v>0.57608695540534116</v>
      </c>
      <c r="J54" s="99">
        <f t="shared" si="7"/>
        <v>51.329347726615893</v>
      </c>
      <c r="K54" s="453">
        <f>'Basin Acreages_032917'!T38</f>
        <v>219.49</v>
      </c>
      <c r="L54" s="784">
        <f>'Basin Acreages_032917'!U38</f>
        <v>0.95447034266829012</v>
      </c>
      <c r="M54" s="323">
        <f>L54*I$24</f>
        <v>4.4860106105409638</v>
      </c>
      <c r="N54" s="468">
        <f t="shared" si="9"/>
        <v>389.9086094437626</v>
      </c>
      <c r="O54" s="131">
        <f t="shared" si="8"/>
        <v>845.12393448266891</v>
      </c>
    </row>
    <row r="55" spans="1:15" x14ac:dyDescent="0.2">
      <c r="A55" s="26" t="s">
        <v>37</v>
      </c>
      <c r="B55" s="454">
        <v>1292.74553421</v>
      </c>
      <c r="C55" s="435">
        <v>0.40056600122052582</v>
      </c>
      <c r="D55" s="99">
        <f t="shared" si="5"/>
        <v>276.7109936431392</v>
      </c>
      <c r="E55" s="454">
        <v>1040.164569</v>
      </c>
      <c r="F55" s="435">
        <v>0.31970220790297132</v>
      </c>
      <c r="G55" s="99">
        <f t="shared" si="6"/>
        <v>80.564956391548776</v>
      </c>
      <c r="H55" s="454">
        <v>1779.490755</v>
      </c>
      <c r="I55" s="435">
        <v>0.35735524935794472</v>
      </c>
      <c r="J55" s="99">
        <f t="shared" si="7"/>
        <v>31.840352717792872</v>
      </c>
      <c r="K55" s="453">
        <f>'Basin Acreages_032917'!T40</f>
        <v>1.2</v>
      </c>
      <c r="L55" s="784">
        <f>'Basin Acreages_032917'!U40</f>
        <v>5.2182988345799266E-3</v>
      </c>
      <c r="M55" s="323">
        <f t="shared" ref="M55:M56" si="10">L55*I$24</f>
        <v>2.4526004522525655E-2</v>
      </c>
      <c r="N55" s="468">
        <f t="shared" si="9"/>
        <v>389.14082875700336</v>
      </c>
      <c r="O55" s="131">
        <f t="shared" si="8"/>
        <v>853.2307141161225</v>
      </c>
    </row>
    <row r="56" spans="1:15" x14ac:dyDescent="0.2">
      <c r="A56" s="26" t="s">
        <v>50</v>
      </c>
      <c r="B56" s="454">
        <v>561.65272110679996</v>
      </c>
      <c r="C56" s="435">
        <v>0.17402675775580703</v>
      </c>
      <c r="D56" s="99">
        <f t="shared" si="5"/>
        <v>120.2176842577115</v>
      </c>
      <c r="E56" s="454">
        <v>315.73092112654001</v>
      </c>
      <c r="F56" s="435">
        <v>9.6988702228019433E-2</v>
      </c>
      <c r="G56" s="99">
        <f t="shared" si="6"/>
        <v>24.441152961460897</v>
      </c>
      <c r="H56" s="454">
        <v>159.52658775059999</v>
      </c>
      <c r="I56" s="435">
        <v>3.1919181044348099E-2</v>
      </c>
      <c r="J56" s="99">
        <f t="shared" si="7"/>
        <v>2.8439990310514154</v>
      </c>
      <c r="K56" s="453">
        <f>'Basin Acreages_032917'!T39</f>
        <v>7.83</v>
      </c>
      <c r="L56" s="784">
        <f>'Basin Acreages_032917'!U39</f>
        <v>3.4049399895634019E-2</v>
      </c>
      <c r="M56" s="323">
        <f t="shared" si="10"/>
        <v>0.1600321795094799</v>
      </c>
      <c r="N56" s="468">
        <f t="shared" si="9"/>
        <v>147.66286842973329</v>
      </c>
      <c r="O56" s="131">
        <f t="shared" si="8"/>
        <v>323.43850120307724</v>
      </c>
    </row>
    <row r="57" spans="1:15" x14ac:dyDescent="0.2">
      <c r="A57" s="26" t="s">
        <v>51</v>
      </c>
      <c r="B57" s="454">
        <v>6.9466304268599996E-2</v>
      </c>
      <c r="C57" s="435">
        <v>2.1524607120594459E-5</v>
      </c>
      <c r="D57" s="99">
        <f t="shared" si="5"/>
        <v>1.4869198598906652E-2</v>
      </c>
      <c r="E57" s="454">
        <v>19.3049321608</v>
      </c>
      <c r="F57" s="435">
        <v>5.9345466255028177E-3</v>
      </c>
      <c r="G57" s="99">
        <f t="shared" si="6"/>
        <v>1.4955057496267101</v>
      </c>
      <c r="H57" s="469" t="s">
        <v>188</v>
      </c>
      <c r="I57" s="435">
        <v>0</v>
      </c>
      <c r="J57" s="304">
        <f t="shared" si="7"/>
        <v>0</v>
      </c>
      <c r="K57" s="453">
        <v>0</v>
      </c>
      <c r="L57" s="784"/>
      <c r="M57" s="323"/>
      <c r="N57" s="468">
        <f t="shared" si="9"/>
        <v>1.5103749482256168</v>
      </c>
      <c r="O57" s="131">
        <f t="shared" si="8"/>
        <v>3.3118118889223553</v>
      </c>
    </row>
    <row r="58" spans="1:15" ht="13.5" thickBot="1" x14ac:dyDescent="0.25">
      <c r="A58" s="621" t="s">
        <v>15</v>
      </c>
      <c r="B58" s="626">
        <f t="shared" ref="B58:J58" si="11">SUM(B51:B57)</f>
        <v>3227.2971982953986</v>
      </c>
      <c r="C58" s="627">
        <f t="shared" si="11"/>
        <v>0.99999999999940126</v>
      </c>
      <c r="D58" s="628">
        <f t="shared" si="11"/>
        <v>690.79999999958648</v>
      </c>
      <c r="E58" s="626">
        <f t="shared" si="11"/>
        <v>3252.9750580895511</v>
      </c>
      <c r="F58" s="627">
        <f t="shared" si="11"/>
        <v>0.9999999999991761</v>
      </c>
      <c r="G58" s="628">
        <f t="shared" si="11"/>
        <v>251.99999999979235</v>
      </c>
      <c r="H58" s="626">
        <f t="shared" si="11"/>
        <v>4979.6215682715101</v>
      </c>
      <c r="I58" s="627">
        <f t="shared" si="11"/>
        <v>1.0000000000012697</v>
      </c>
      <c r="J58" s="628">
        <f t="shared" si="11"/>
        <v>89.100000000113127</v>
      </c>
      <c r="K58" s="1108">
        <f>SUM(K51:K57)</f>
        <v>229.96</v>
      </c>
      <c r="L58" s="1109">
        <f>SUM(L51:L57)</f>
        <v>1</v>
      </c>
      <c r="M58" s="1108">
        <f>SUM(M51:M57)</f>
        <v>4.6999999999999993</v>
      </c>
      <c r="N58" s="629">
        <f>D58+G58+J58+M58</f>
        <v>1036.599999999492</v>
      </c>
      <c r="O58" s="630">
        <f>SUM(O51:O57)</f>
        <v>2262.6838411777167</v>
      </c>
    </row>
    <row r="60" spans="1:15" ht="15.75" thickBot="1" x14ac:dyDescent="0.3">
      <c r="A60" s="408" t="s">
        <v>79</v>
      </c>
      <c r="B60" s="411"/>
      <c r="C60" s="411"/>
    </row>
    <row r="61" spans="1:15" ht="76.5" x14ac:dyDescent="0.2">
      <c r="A61" s="383" t="s">
        <v>73</v>
      </c>
      <c r="B61" s="376" t="s">
        <v>202</v>
      </c>
      <c r="C61" s="384" t="s">
        <v>353</v>
      </c>
      <c r="D61" s="376" t="s">
        <v>119</v>
      </c>
      <c r="E61" s="385" t="s">
        <v>377</v>
      </c>
      <c r="F61" s="386" t="s">
        <v>114</v>
      </c>
    </row>
    <row r="62" spans="1:15" x14ac:dyDescent="0.2">
      <c r="A62" s="26" t="s">
        <v>48</v>
      </c>
      <c r="B62" s="324">
        <f t="shared" ref="B62:B68" si="12">N51</f>
        <v>39.947972754942967</v>
      </c>
      <c r="C62" s="450">
        <f t="shared" ref="C62:C68" si="13">B62-E40</f>
        <v>-0.77479190380203278</v>
      </c>
      <c r="D62" s="323">
        <f>K40</f>
        <v>25.168486739469579</v>
      </c>
      <c r="E62" s="451">
        <f>B62+D62</f>
        <v>65.116459494412538</v>
      </c>
      <c r="F62" s="452">
        <f>L40+O51</f>
        <v>142.78532822029428</v>
      </c>
    </row>
    <row r="63" spans="1:15" x14ac:dyDescent="0.2">
      <c r="A63" s="26" t="s">
        <v>41</v>
      </c>
      <c r="B63" s="324">
        <f t="shared" si="12"/>
        <v>46.826311723775888</v>
      </c>
      <c r="C63" s="450">
        <f t="shared" si="13"/>
        <v>24.822400950547291</v>
      </c>
      <c r="D63" s="453"/>
      <c r="E63" s="451">
        <f t="shared" ref="E63:E68" si="14">B63+D63</f>
        <v>46.826311723775888</v>
      </c>
      <c r="F63" s="452">
        <f>O52</f>
        <v>102.67954901316322</v>
      </c>
    </row>
    <row r="64" spans="1:15" x14ac:dyDescent="0.2">
      <c r="A64" s="26" t="s">
        <v>49</v>
      </c>
      <c r="B64" s="324">
        <f t="shared" si="12"/>
        <v>21.603033942048135</v>
      </c>
      <c r="C64" s="450">
        <f t="shared" si="13"/>
        <v>-8.7296036583454608</v>
      </c>
      <c r="D64" s="323">
        <f>K41</f>
        <v>41.700728029121166</v>
      </c>
      <c r="E64" s="451">
        <f t="shared" si="14"/>
        <v>63.303761971169301</v>
      </c>
      <c r="F64" s="452">
        <f>L41+O53</f>
        <v>138.74712757848098</v>
      </c>
    </row>
    <row r="65" spans="1:13" x14ac:dyDescent="0.2">
      <c r="A65" s="26" t="s">
        <v>36</v>
      </c>
      <c r="B65" s="324">
        <f t="shared" si="12"/>
        <v>389.9086094437626</v>
      </c>
      <c r="C65" s="450">
        <f t="shared" si="13"/>
        <v>-86.191656631492265</v>
      </c>
      <c r="D65" s="323">
        <f>K42</f>
        <v>401.21528861154445</v>
      </c>
      <c r="E65" s="451">
        <f t="shared" si="14"/>
        <v>791.12389805530711</v>
      </c>
      <c r="F65" s="452">
        <f>L42+O54</f>
        <v>1724.922686432747</v>
      </c>
    </row>
    <row r="66" spans="1:13" x14ac:dyDescent="0.2">
      <c r="A66" s="26" t="s">
        <v>37</v>
      </c>
      <c r="B66" s="324">
        <f t="shared" si="12"/>
        <v>389.14082875700336</v>
      </c>
      <c r="C66" s="450">
        <f t="shared" si="13"/>
        <v>17.171405056401056</v>
      </c>
      <c r="D66" s="323">
        <f>K43</f>
        <v>0.98699947997919923</v>
      </c>
      <c r="E66" s="451">
        <f t="shared" si="14"/>
        <v>390.12782823698257</v>
      </c>
      <c r="F66" s="452">
        <f>L43+O55</f>
        <v>855.39504068918541</v>
      </c>
    </row>
    <row r="67" spans="1:13" x14ac:dyDescent="0.2">
      <c r="A67" s="26" t="s">
        <v>50</v>
      </c>
      <c r="B67" s="324">
        <f t="shared" si="12"/>
        <v>147.66286842973329</v>
      </c>
      <c r="C67" s="450">
        <f t="shared" si="13"/>
        <v>53.944374511933674</v>
      </c>
      <c r="D67" s="323">
        <f>K44</f>
        <v>5.4284971398855948</v>
      </c>
      <c r="E67" s="451">
        <f t="shared" si="14"/>
        <v>153.09136556961889</v>
      </c>
      <c r="F67" s="452">
        <f>L44+O56</f>
        <v>335.34229735492329</v>
      </c>
    </row>
    <row r="68" spans="1:13" x14ac:dyDescent="0.2">
      <c r="A68" s="26" t="s">
        <v>51</v>
      </c>
      <c r="B68" s="324">
        <f t="shared" si="12"/>
        <v>1.5103749482256168</v>
      </c>
      <c r="C68" s="450">
        <f t="shared" si="13"/>
        <v>-0.24212832575035792</v>
      </c>
      <c r="D68" s="453"/>
      <c r="E68" s="451">
        <f t="shared" si="14"/>
        <v>1.5103749482256168</v>
      </c>
      <c r="F68" s="452">
        <f>O57</f>
        <v>3.3118118889223553</v>
      </c>
    </row>
    <row r="69" spans="1:13" ht="13.5" thickBot="1" x14ac:dyDescent="0.25">
      <c r="A69" s="621" t="s">
        <v>98</v>
      </c>
      <c r="B69" s="622">
        <f>SUM(B62:B68)</f>
        <v>1036.599999999492</v>
      </c>
      <c r="C69" s="623"/>
      <c r="D69" s="623">
        <f>SUM(D62:D68)</f>
        <v>474.5</v>
      </c>
      <c r="E69" s="624">
        <f>SUM(E62:E68)</f>
        <v>1511.099999999492</v>
      </c>
      <c r="F69" s="625">
        <f>SUM(F62:F68)</f>
        <v>3303.1838411777167</v>
      </c>
    </row>
    <row r="70" spans="1:13" x14ac:dyDescent="0.2">
      <c r="A70" s="168" t="s">
        <v>352</v>
      </c>
    </row>
    <row r="71" spans="1:13" s="35" customFormat="1" x14ac:dyDescent="0.2">
      <c r="A71" s="7"/>
    </row>
    <row r="72" spans="1:13" ht="15.75" thickBot="1" x14ac:dyDescent="0.3">
      <c r="A72" s="408" t="s">
        <v>189</v>
      </c>
    </row>
    <row r="73" spans="1:13" ht="63.75" x14ac:dyDescent="0.2">
      <c r="A73" s="388" t="s">
        <v>389</v>
      </c>
      <c r="B73" s="389" t="s">
        <v>127</v>
      </c>
      <c r="C73" s="389" t="s">
        <v>126</v>
      </c>
      <c r="D73" s="389" t="s">
        <v>70</v>
      </c>
      <c r="E73" s="389" t="s">
        <v>128</v>
      </c>
      <c r="F73" s="389" t="s">
        <v>72</v>
      </c>
      <c r="G73" s="389" t="s">
        <v>129</v>
      </c>
      <c r="H73" s="389" t="s">
        <v>906</v>
      </c>
      <c r="I73" s="389" t="s">
        <v>911</v>
      </c>
      <c r="J73" s="390" t="s">
        <v>383</v>
      </c>
      <c r="K73" s="391" t="s">
        <v>190</v>
      </c>
      <c r="L73" s="392" t="s">
        <v>342</v>
      </c>
      <c r="M73" s="913" t="s">
        <v>593</v>
      </c>
    </row>
    <row r="74" spans="1:13" x14ac:dyDescent="0.2">
      <c r="A74" s="81" t="s">
        <v>48</v>
      </c>
      <c r="B74" s="437">
        <v>2.2493327733597156E-2</v>
      </c>
      <c r="C74" s="99">
        <f>B74*G$21</f>
        <v>49.610644393299651</v>
      </c>
      <c r="D74" s="435">
        <v>9.1091526137935808E-2</v>
      </c>
      <c r="E74" s="99">
        <f>G$22*D74</f>
        <v>73.288812276430718</v>
      </c>
      <c r="F74" s="435">
        <v>1.6324549605097917E-2</v>
      </c>
      <c r="G74" s="99">
        <f>F74*G$23</f>
        <v>4.6435166924023603</v>
      </c>
      <c r="H74" s="782">
        <v>0</v>
      </c>
      <c r="I74" s="323">
        <f>H74*G$24</f>
        <v>0</v>
      </c>
      <c r="J74" s="446">
        <f>C74+E74+G74+I74</f>
        <v>127.54297336213273</v>
      </c>
      <c r="K74" s="447">
        <v>0</v>
      </c>
      <c r="L74" s="438">
        <f t="shared" ref="L74:L80" si="15">J74*K74</f>
        <v>0</v>
      </c>
      <c r="M74" s="1110">
        <f>L74</f>
        <v>0</v>
      </c>
    </row>
    <row r="75" spans="1:13" x14ac:dyDescent="0.2">
      <c r="A75" s="81" t="s">
        <v>41</v>
      </c>
      <c r="B75" s="437">
        <v>6.4417863406638701E-2</v>
      </c>
      <c r="C75" s="99">
        <f t="shared" ref="C75:C80" si="16">B75*G$21</f>
        <v>142.07820878675409</v>
      </c>
      <c r="D75" s="435">
        <v>8.7396240283355749E-3</v>
      </c>
      <c r="E75" s="99">
        <f t="shared" ref="E75:E80" si="17">G$22*D75</f>
        <v>7.0315724407708737</v>
      </c>
      <c r="F75" s="435">
        <v>1.3924402618328724E-3</v>
      </c>
      <c r="G75" s="99">
        <f t="shared" ref="G75:G80" si="18">F75*G$23</f>
        <v>0.39607950941414494</v>
      </c>
      <c r="H75" s="782">
        <v>0</v>
      </c>
      <c r="I75" s="323">
        <f t="shared" ref="I75:I80" si="19">H75*G$24</f>
        <v>0</v>
      </c>
      <c r="J75" s="446">
        <f t="shared" ref="J75:J80" si="20">C75+E75+G75+I75</f>
        <v>149.5058607369391</v>
      </c>
      <c r="K75" s="447">
        <v>5.0000000000000001E-3</v>
      </c>
      <c r="L75" s="438">
        <f t="shared" si="15"/>
        <v>0.7475293036846955</v>
      </c>
      <c r="M75" s="1110">
        <f>L75-(Denham_allocation!J48*2.2046)</f>
        <v>0.6683694259298516</v>
      </c>
    </row>
    <row r="76" spans="1:13" x14ac:dyDescent="0.2">
      <c r="A76" s="81" t="s">
        <v>49</v>
      </c>
      <c r="B76" s="437">
        <v>1.3973465631457154E-3</v>
      </c>
      <c r="C76" s="99">
        <f t="shared" si="16"/>
        <v>3.0819478673614324</v>
      </c>
      <c r="D76" s="435">
        <v>7.5796027790835829E-2</v>
      </c>
      <c r="E76" s="99">
        <f t="shared" si="17"/>
        <v>60.982630191638293</v>
      </c>
      <c r="F76" s="435">
        <v>1.6921624326705013E-2</v>
      </c>
      <c r="G76" s="99">
        <f t="shared" si="18"/>
        <v>4.8133545441938868</v>
      </c>
      <c r="H76" s="782">
        <v>6.2619586014959119E-3</v>
      </c>
      <c r="I76" s="323">
        <f t="shared" si="19"/>
        <v>9.3929379022438683E-2</v>
      </c>
      <c r="J76" s="446">
        <f t="shared" si="20"/>
        <v>68.971861982216055</v>
      </c>
      <c r="K76" s="447">
        <v>2.5000000000000001E-2</v>
      </c>
      <c r="L76" s="438">
        <f t="shared" si="15"/>
        <v>1.7242965495554015</v>
      </c>
      <c r="M76" s="1110">
        <f>L76</f>
        <v>1.7242965495554015</v>
      </c>
    </row>
    <row r="77" spans="1:13" x14ac:dyDescent="0.2">
      <c r="A77" s="81" t="s">
        <v>36</v>
      </c>
      <c r="B77" s="437">
        <v>0.33707717871256632</v>
      </c>
      <c r="C77" s="99">
        <f t="shared" si="16"/>
        <v>743.4478457017326</v>
      </c>
      <c r="D77" s="435">
        <v>0.40174736528557525</v>
      </c>
      <c r="E77" s="99">
        <f t="shared" si="17"/>
        <v>323.23080406381666</v>
      </c>
      <c r="F77" s="435">
        <v>0.57608695540534116</v>
      </c>
      <c r="G77" s="99">
        <f t="shared" si="18"/>
        <v>163.8678835503413</v>
      </c>
      <c r="H77" s="782">
        <v>0.95447034266829012</v>
      </c>
      <c r="I77" s="323">
        <f t="shared" si="19"/>
        <v>14.317055140024351</v>
      </c>
      <c r="J77" s="446">
        <f t="shared" si="20"/>
        <v>1244.8635884559151</v>
      </c>
      <c r="K77" s="448">
        <v>5.5E-2</v>
      </c>
      <c r="L77" s="438">
        <f t="shared" si="15"/>
        <v>68.467497365075332</v>
      </c>
      <c r="M77" s="1110">
        <f>L77-(Denham_allocation!J49*2.2046)</f>
        <v>64.724656496735633</v>
      </c>
    </row>
    <row r="78" spans="1:13" x14ac:dyDescent="0.2">
      <c r="A78" s="81" t="s">
        <v>37</v>
      </c>
      <c r="B78" s="437">
        <v>0.40056600122052582</v>
      </c>
      <c r="C78" s="99">
        <f t="shared" si="16"/>
        <v>883.47698828551836</v>
      </c>
      <c r="D78" s="435">
        <v>0.31970220790297132</v>
      </c>
      <c r="E78" s="99">
        <f t="shared" si="17"/>
        <v>257.22035948636312</v>
      </c>
      <c r="F78" s="435">
        <v>0.35735524935794472</v>
      </c>
      <c r="G78" s="99">
        <f t="shared" si="18"/>
        <v>101.64966909672182</v>
      </c>
      <c r="H78" s="782">
        <v>5.2182988345799266E-3</v>
      </c>
      <c r="I78" s="323">
        <f t="shared" si="19"/>
        <v>7.8274482518698896E-2</v>
      </c>
      <c r="J78" s="446">
        <f t="shared" si="20"/>
        <v>1242.4252913511223</v>
      </c>
      <c r="K78" s="448">
        <v>5.5E-2</v>
      </c>
      <c r="L78" s="438">
        <f t="shared" si="15"/>
        <v>68.333391024311723</v>
      </c>
      <c r="M78" s="1110">
        <f>L78-(Denham_allocation!J50*2.2046)</f>
        <v>55.215462274719073</v>
      </c>
    </row>
    <row r="79" spans="1:13" x14ac:dyDescent="0.2">
      <c r="A79" s="81" t="s">
        <v>50</v>
      </c>
      <c r="B79" s="437">
        <v>0.17402675775580703</v>
      </c>
      <c r="C79" s="99">
        <f t="shared" si="16"/>
        <v>383.82847110019651</v>
      </c>
      <c r="D79" s="435">
        <v>9.6988702228019433E-2</v>
      </c>
      <c r="E79" s="99">
        <f t="shared" si="17"/>
        <v>78.033458126064829</v>
      </c>
      <c r="F79" s="435">
        <v>3.1919181044348099E-2</v>
      </c>
      <c r="G79" s="99">
        <f t="shared" si="18"/>
        <v>9.0794082270396803</v>
      </c>
      <c r="H79" s="782">
        <v>3.4049399895634019E-2</v>
      </c>
      <c r="I79" s="323">
        <f t="shared" si="19"/>
        <v>0.51074099843451026</v>
      </c>
      <c r="J79" s="446">
        <f t="shared" si="20"/>
        <v>471.45207845173553</v>
      </c>
      <c r="K79" s="448">
        <v>1.7500000000000002E-2</v>
      </c>
      <c r="L79" s="438">
        <f t="shared" si="15"/>
        <v>8.2504113729053721</v>
      </c>
      <c r="M79" s="1110">
        <f>L79</f>
        <v>8.2504113729053721</v>
      </c>
    </row>
    <row r="80" spans="1:13" x14ac:dyDescent="0.2">
      <c r="A80" s="192" t="s">
        <v>51</v>
      </c>
      <c r="B80" s="862">
        <v>0.01</v>
      </c>
      <c r="C80" s="132">
        <f t="shared" si="16"/>
        <v>22.055715801979233</v>
      </c>
      <c r="D80" s="439">
        <v>5.9345466255028177E-3</v>
      </c>
      <c r="E80" s="132">
        <f t="shared" si="17"/>
        <v>4.7747127754078633</v>
      </c>
      <c r="F80" s="439">
        <v>0</v>
      </c>
      <c r="G80" s="132">
        <f t="shared" si="18"/>
        <v>0</v>
      </c>
      <c r="H80" s="782">
        <v>0</v>
      </c>
      <c r="I80" s="323">
        <f t="shared" si="19"/>
        <v>0</v>
      </c>
      <c r="J80" s="446">
        <f t="shared" si="20"/>
        <v>26.830428577387096</v>
      </c>
      <c r="K80" s="449">
        <v>0.01</v>
      </c>
      <c r="L80" s="438">
        <f t="shared" si="15"/>
        <v>0.26830428577387094</v>
      </c>
      <c r="M80" s="1110">
        <f>L80</f>
        <v>0.26830428577387094</v>
      </c>
    </row>
    <row r="81" spans="1:13" ht="13.5" thickBot="1" x14ac:dyDescent="0.25">
      <c r="A81" s="619" t="s">
        <v>98</v>
      </c>
      <c r="B81" s="653">
        <f t="shared" ref="B81:G81" si="21">SUM(B74:B80)</f>
        <v>1.0099784753922807</v>
      </c>
      <c r="C81" s="404">
        <f t="shared" si="21"/>
        <v>2227.5798219368417</v>
      </c>
      <c r="D81" s="465">
        <f t="shared" si="21"/>
        <v>0.9999999999991761</v>
      </c>
      <c r="E81" s="322">
        <f t="shared" si="21"/>
        <v>804.56234936049236</v>
      </c>
      <c r="F81" s="465">
        <f t="shared" si="21"/>
        <v>1.0000000000012697</v>
      </c>
      <c r="G81" s="322">
        <f t="shared" si="21"/>
        <v>284.4499116201132</v>
      </c>
      <c r="H81" s="1112">
        <f>SUM(H74:H80)</f>
        <v>1</v>
      </c>
      <c r="I81" s="1113">
        <f>SUM(I74:I80)</f>
        <v>15</v>
      </c>
      <c r="J81" s="404">
        <f>SUM(J74:J80)</f>
        <v>3331.5920829174479</v>
      </c>
      <c r="K81" s="620"/>
      <c r="L81" s="444">
        <f>SUM(L74:L80)</f>
        <v>147.7914299013064</v>
      </c>
      <c r="M81" s="914"/>
    </row>
    <row r="82" spans="1:13" s="35" customFormat="1" x14ac:dyDescent="0.2">
      <c r="A82" s="667" t="s">
        <v>402</v>
      </c>
      <c r="B82" s="668"/>
      <c r="C82" s="669"/>
      <c r="D82" s="670"/>
      <c r="E82" s="671"/>
      <c r="F82" s="670"/>
      <c r="G82" s="671"/>
      <c r="J82" s="669">
        <f>J74+J76+J79</f>
        <v>667.96691379608433</v>
      </c>
      <c r="K82" s="668">
        <v>0.03</v>
      </c>
      <c r="L82" s="438">
        <f>J82*K82</f>
        <v>20.03900741388253</v>
      </c>
      <c r="M82" s="915"/>
    </row>
    <row r="83" spans="1:13" s="70" customFormat="1" x14ac:dyDescent="0.2">
      <c r="A83" s="672" t="s">
        <v>403</v>
      </c>
      <c r="B83" s="673"/>
      <c r="C83" s="674"/>
      <c r="D83" s="675"/>
      <c r="E83" s="676"/>
      <c r="F83" s="675"/>
      <c r="G83" s="676"/>
      <c r="H83" s="674"/>
      <c r="I83" s="673"/>
      <c r="J83" s="676"/>
    </row>
    <row r="84" spans="1:13" x14ac:dyDescent="0.2">
      <c r="A84" s="141" t="s">
        <v>594</v>
      </c>
      <c r="K84" s="33"/>
    </row>
    <row r="85" spans="1:13" ht="13.5" thickBot="1" x14ac:dyDescent="0.25">
      <c r="A85" s="1145" t="s">
        <v>404</v>
      </c>
      <c r="B85" s="1146"/>
      <c r="C85" s="1146"/>
      <c r="D85" s="1146"/>
      <c r="E85" s="1146"/>
      <c r="F85" s="1146"/>
      <c r="G85" s="1146"/>
      <c r="H85" s="1146"/>
      <c r="I85" s="1146"/>
      <c r="J85" s="1146"/>
      <c r="K85" s="1146"/>
      <c r="L85" s="1146"/>
    </row>
    <row r="86" spans="1:13" ht="93.75" customHeight="1" x14ac:dyDescent="0.2">
      <c r="A86" s="405" t="s">
        <v>349</v>
      </c>
      <c r="B86" s="405" t="s">
        <v>382</v>
      </c>
      <c r="C86" s="405" t="s">
        <v>391</v>
      </c>
      <c r="D86" s="405" t="s">
        <v>393</v>
      </c>
      <c r="E86" s="405" t="s">
        <v>344</v>
      </c>
      <c r="F86" s="406" t="s">
        <v>873</v>
      </c>
      <c r="G86" s="405" t="s">
        <v>394</v>
      </c>
      <c r="H86" s="405" t="s">
        <v>345</v>
      </c>
      <c r="I86" s="405" t="s">
        <v>413</v>
      </c>
      <c r="J86" s="407" t="s">
        <v>586</v>
      </c>
      <c r="K86" s="645" t="s">
        <v>574</v>
      </c>
      <c r="L86" s="652" t="s">
        <v>390</v>
      </c>
      <c r="M86" s="714" t="s">
        <v>415</v>
      </c>
    </row>
    <row r="87" spans="1:13" ht="13.5" thickBot="1" x14ac:dyDescent="0.25">
      <c r="A87" s="453" t="s">
        <v>48</v>
      </c>
      <c r="B87" s="324">
        <f>B62</f>
        <v>39.947972754942967</v>
      </c>
      <c r="C87" s="323">
        <f>ROUNDUP(B87*0.5,1)</f>
        <v>20</v>
      </c>
      <c r="D87" s="324">
        <f>L74</f>
        <v>0</v>
      </c>
      <c r="E87" s="323">
        <f>'Project Summary'!H4</f>
        <v>0</v>
      </c>
      <c r="F87" s="325">
        <f>C87-D87-E87</f>
        <v>20</v>
      </c>
      <c r="G87" s="323">
        <f>B87-C87</f>
        <v>19.947972754942967</v>
      </c>
      <c r="H87" s="453"/>
      <c r="I87" s="323"/>
      <c r="J87" s="326">
        <f t="shared" ref="J87:J90" si="22">F87+G87-I87-H87</f>
        <v>39.947972754942967</v>
      </c>
      <c r="K87" s="646">
        <f>D62</f>
        <v>25.168486739469579</v>
      </c>
      <c r="L87" s="1060">
        <f>J87+K87</f>
        <v>65.116459494412538</v>
      </c>
      <c r="M87" s="715">
        <f>IF((F87+G87-H87-I87+K87)&lt;0,0,(F87+G87-H87-I87+K87))</f>
        <v>65.116459494412538</v>
      </c>
    </row>
    <row r="88" spans="1:13" ht="13.5" thickBot="1" x14ac:dyDescent="0.25">
      <c r="A88" s="453" t="s">
        <v>41</v>
      </c>
      <c r="B88" s="324">
        <f>E63</f>
        <v>46.826311723775888</v>
      </c>
      <c r="C88" s="323">
        <f>ROUNDUP(B88*0.5,1)</f>
        <v>23.5</v>
      </c>
      <c r="D88" s="324">
        <f>M75+(Denham_allocation!J48*2.2046)</f>
        <v>0.7475293036846955</v>
      </c>
      <c r="E88" s="887">
        <v>1224</v>
      </c>
      <c r="F88" s="916">
        <f t="shared" ref="F88:F94" si="23">C88-D88-E88</f>
        <v>-1201.2475293036846</v>
      </c>
      <c r="G88" s="323">
        <f>B88-C88</f>
        <v>23.326311723775888</v>
      </c>
      <c r="H88" s="453"/>
      <c r="I88" s="323"/>
      <c r="J88" s="326">
        <f t="shared" si="22"/>
        <v>-1177.9212175799087</v>
      </c>
      <c r="K88" s="647"/>
      <c r="L88" s="1076">
        <f t="shared" ref="L88:L93" si="24">J88+K88</f>
        <v>-1177.9212175799087</v>
      </c>
      <c r="M88" s="715">
        <f t="shared" ref="M88:M93" si="25">IF((F88+G88-H88-I88+K88)&lt;0,0,(F88+G88-H88-I88+K88))</f>
        <v>0</v>
      </c>
    </row>
    <row r="89" spans="1:13" ht="13.5" thickBot="1" x14ac:dyDescent="0.25">
      <c r="A89" s="453" t="s">
        <v>49</v>
      </c>
      <c r="B89" s="324">
        <f>B64</f>
        <v>21.603033942048135</v>
      </c>
      <c r="C89" s="323">
        <f t="shared" ref="C89:C93" si="26">B89*0.5</f>
        <v>10.801516971024068</v>
      </c>
      <c r="D89" s="324">
        <f>L76</f>
        <v>1.7242965495554015</v>
      </c>
      <c r="E89" s="323">
        <v>21.7</v>
      </c>
      <c r="F89" s="325">
        <f t="shared" si="23"/>
        <v>-12.622779578531333</v>
      </c>
      <c r="G89" s="323">
        <v>10.8</v>
      </c>
      <c r="H89" s="453"/>
      <c r="I89" s="323"/>
      <c r="J89" s="326">
        <f t="shared" si="22"/>
        <v>-1.8227795785313319</v>
      </c>
      <c r="K89" s="646">
        <f>D64</f>
        <v>41.700728029121166</v>
      </c>
      <c r="L89" s="1060">
        <f t="shared" si="24"/>
        <v>39.877948450589834</v>
      </c>
      <c r="M89" s="715">
        <f t="shared" si="25"/>
        <v>39.877948450589834</v>
      </c>
    </row>
    <row r="90" spans="1:13" ht="13.5" thickBot="1" x14ac:dyDescent="0.25">
      <c r="A90" s="453" t="s">
        <v>36</v>
      </c>
      <c r="B90" s="324">
        <f>B65</f>
        <v>389.9086094437626</v>
      </c>
      <c r="C90" s="323">
        <f t="shared" si="26"/>
        <v>194.9543047218813</v>
      </c>
      <c r="D90" s="324">
        <f>M77+L82+(Denham_allocation!J49*2.2046)</f>
        <v>88.506504778957861</v>
      </c>
      <c r="E90" s="323">
        <v>206.8</v>
      </c>
      <c r="F90" s="325">
        <f t="shared" si="23"/>
        <v>-100.35220005707657</v>
      </c>
      <c r="G90" s="323">
        <f>B90-C90</f>
        <v>194.9543047218813</v>
      </c>
      <c r="H90" s="453"/>
      <c r="I90" s="323"/>
      <c r="J90" s="326">
        <f t="shared" si="22"/>
        <v>94.602104664804727</v>
      </c>
      <c r="K90" s="646">
        <f>D65</f>
        <v>401.21528861154445</v>
      </c>
      <c r="L90" s="1060">
        <f t="shared" si="24"/>
        <v>495.81739327634921</v>
      </c>
      <c r="M90" s="715">
        <f t="shared" si="25"/>
        <v>495.81739327634921</v>
      </c>
    </row>
    <row r="91" spans="1:13" ht="13.5" thickBot="1" x14ac:dyDescent="0.25">
      <c r="A91" s="453" t="s">
        <v>37</v>
      </c>
      <c r="B91" s="324">
        <f>B66</f>
        <v>389.14082875700336</v>
      </c>
      <c r="C91" s="323">
        <f>ROUNDUP(B91*0.5,1)</f>
        <v>194.6</v>
      </c>
      <c r="D91" s="324">
        <f>M78+(Denham_allocation!J50*2.2046)</f>
        <v>68.333391024311723</v>
      </c>
      <c r="E91" s="323">
        <f>31</f>
        <v>31</v>
      </c>
      <c r="F91" s="325">
        <f t="shared" si="23"/>
        <v>95.266608975688271</v>
      </c>
      <c r="G91" s="323">
        <f>B91-C91</f>
        <v>194.54082875700337</v>
      </c>
      <c r="H91" s="453">
        <v>156</v>
      </c>
      <c r="I91" s="323"/>
      <c r="J91" s="326">
        <f>F91+G91-I91-H91</f>
        <v>133.80743773269165</v>
      </c>
      <c r="K91" s="646">
        <f>D66</f>
        <v>0.98699947997919923</v>
      </c>
      <c r="L91" s="1060">
        <f t="shared" si="24"/>
        <v>134.79443721267086</v>
      </c>
      <c r="M91" s="715">
        <f t="shared" si="25"/>
        <v>134.79443721267086</v>
      </c>
    </row>
    <row r="92" spans="1:13" ht="13.5" thickBot="1" x14ac:dyDescent="0.25">
      <c r="A92" s="453" t="s">
        <v>50</v>
      </c>
      <c r="B92" s="324">
        <f>B67</f>
        <v>147.66286842973329</v>
      </c>
      <c r="C92" s="323">
        <f>ROUNDUP(B92*0.5,1)</f>
        <v>73.899999999999991</v>
      </c>
      <c r="D92" s="324">
        <f>L79</f>
        <v>8.2504113729053721</v>
      </c>
      <c r="E92" s="323">
        <f>'Project Summary'!H21</f>
        <v>9.9</v>
      </c>
      <c r="F92" s="325">
        <f t="shared" si="23"/>
        <v>55.749588627094617</v>
      </c>
      <c r="G92" s="323">
        <f>B92-C92</f>
        <v>73.762868429733302</v>
      </c>
      <c r="H92" s="453"/>
      <c r="I92" s="323"/>
      <c r="J92" s="326">
        <f t="shared" ref="J92:J93" si="27">F92+G92-I92-H92</f>
        <v>129.51245705682791</v>
      </c>
      <c r="K92" s="646">
        <f>D67</f>
        <v>5.4284971398855948</v>
      </c>
      <c r="L92" s="1060">
        <f t="shared" si="24"/>
        <v>134.94095419671351</v>
      </c>
      <c r="M92" s="715">
        <f t="shared" si="25"/>
        <v>134.94095419671351</v>
      </c>
    </row>
    <row r="93" spans="1:13" ht="13.5" thickBot="1" x14ac:dyDescent="0.25">
      <c r="A93" s="453" t="s">
        <v>51</v>
      </c>
      <c r="B93" s="324">
        <f>E68</f>
        <v>1.5103749482256168</v>
      </c>
      <c r="C93" s="323">
        <f t="shared" si="26"/>
        <v>0.7551874741128084</v>
      </c>
      <c r="D93" s="324">
        <f>L80</f>
        <v>0.26830428577387094</v>
      </c>
      <c r="E93" s="323">
        <f>'Project Summary'!H24</f>
        <v>0</v>
      </c>
      <c r="F93" s="325">
        <f t="shared" si="23"/>
        <v>0.48688318833893746</v>
      </c>
      <c r="G93" s="323">
        <v>0.7</v>
      </c>
      <c r="H93" s="453"/>
      <c r="I93" s="323"/>
      <c r="J93" s="326">
        <f t="shared" si="27"/>
        <v>1.1868831883389375</v>
      </c>
      <c r="K93" s="647"/>
      <c r="L93" s="1060">
        <f t="shared" si="24"/>
        <v>1.1868831883389375</v>
      </c>
      <c r="M93" s="715">
        <f t="shared" si="25"/>
        <v>1.1868831883389375</v>
      </c>
    </row>
    <row r="94" spans="1:13" ht="13.5" thickBot="1" x14ac:dyDescent="0.25">
      <c r="A94" s="1056" t="s">
        <v>98</v>
      </c>
      <c r="B94" s="402">
        <f>B69</f>
        <v>1036.599999999492</v>
      </c>
      <c r="C94" s="398">
        <f>SUM(C87:C93)</f>
        <v>518.51100916701819</v>
      </c>
      <c r="D94" s="398">
        <f>SUM(D87:D93)</f>
        <v>167.83043731518893</v>
      </c>
      <c r="E94" s="402">
        <f>SUM(E87:E93)</f>
        <v>1493.4</v>
      </c>
      <c r="F94" s="1068">
        <f t="shared" si="23"/>
        <v>-1142.7194281481709</v>
      </c>
      <c r="G94" s="398">
        <f>SUM(G87:G93)</f>
        <v>518.03228638733685</v>
      </c>
      <c r="H94" s="1056"/>
      <c r="I94" s="398"/>
      <c r="J94" s="715">
        <f>SUM(J87:J93)</f>
        <v>-780.6871417608337</v>
      </c>
      <c r="K94" s="398">
        <f>SUM(K87:K93)</f>
        <v>474.5</v>
      </c>
      <c r="L94" s="1069">
        <f>SUM(L87:L93)</f>
        <v>-306.18714176083375</v>
      </c>
      <c r="M94" s="1077">
        <f>SUM(M87:M93)</f>
        <v>871.73407581907475</v>
      </c>
    </row>
    <row r="95" spans="1:13" s="35" customFormat="1" x14ac:dyDescent="0.2">
      <c r="A95" s="706" t="s">
        <v>414</v>
      </c>
      <c r="B95" s="669"/>
      <c r="C95" s="671"/>
      <c r="D95" s="671"/>
      <c r="E95" s="671"/>
      <c r="F95" s="707"/>
      <c r="G95" s="671"/>
      <c r="H95" s="706"/>
      <c r="I95" s="671"/>
      <c r="J95" s="671"/>
      <c r="K95" s="671"/>
      <c r="L95" s="671"/>
    </row>
    <row r="96" spans="1:13" x14ac:dyDescent="0.2">
      <c r="A96" s="22" t="s">
        <v>595</v>
      </c>
      <c r="B96" s="790" t="s">
        <v>870</v>
      </c>
      <c r="E96" t="s">
        <v>913</v>
      </c>
    </row>
    <row r="97" spans="1:7" s="35" customFormat="1" ht="15.75" thickBot="1" x14ac:dyDescent="0.3">
      <c r="A97" s="408" t="s">
        <v>333</v>
      </c>
    </row>
    <row r="98" spans="1:7" ht="63.75" x14ac:dyDescent="0.2">
      <c r="A98" s="388" t="str">
        <f t="shared" ref="A98" si="28">A73</f>
        <v>2009 Developed Land Uses Stormwater Loading by Jurisdiction for Lake Harris</v>
      </c>
      <c r="B98" s="389" t="str">
        <f t="shared" ref="B98:B106" si="29">C73</f>
        <v>Total Loading Developed-High lbs/yr TP</v>
      </c>
      <c r="C98" s="389" t="str">
        <f t="shared" ref="C98:C106" si="30">E73</f>
        <v>Total Loading Developed-Medium lbs/yr TP</v>
      </c>
      <c r="D98" s="389" t="str">
        <f t="shared" ref="D98:D106" si="31">G73</f>
        <v>Total Loading Developed-Low lbs/yr TP</v>
      </c>
      <c r="E98" s="1111" t="s">
        <v>911</v>
      </c>
      <c r="F98" s="390" t="str">
        <f t="shared" ref="F98:F106" si="32">J73</f>
        <v>Developed Land Uses (Stormwater) Total Loading lbs/yr TP</v>
      </c>
      <c r="G98" s="400" t="s">
        <v>332</v>
      </c>
    </row>
    <row r="99" spans="1:7" x14ac:dyDescent="0.2">
      <c r="A99" s="332" t="str">
        <f t="shared" ref="A99" si="33">A74</f>
        <v>Astatula</v>
      </c>
      <c r="B99" s="323">
        <f t="shared" si="29"/>
        <v>49.610644393299651</v>
      </c>
      <c r="C99" s="323">
        <f t="shared" si="30"/>
        <v>73.288812276430718</v>
      </c>
      <c r="D99" s="323">
        <f t="shared" si="31"/>
        <v>4.6435166924023603</v>
      </c>
      <c r="E99" s="323">
        <v>0</v>
      </c>
      <c r="F99" s="403">
        <f t="shared" si="32"/>
        <v>127.54297336213273</v>
      </c>
      <c r="G99" s="395">
        <f t="shared" ref="G99:G106" si="34">F99/$F$106</f>
        <v>3.8282890038099857E-2</v>
      </c>
    </row>
    <row r="100" spans="1:7" x14ac:dyDescent="0.2">
      <c r="A100" s="332" t="str">
        <f t="shared" ref="A100" si="35">A75</f>
        <v>FDOT</v>
      </c>
      <c r="B100" s="323">
        <f t="shared" si="29"/>
        <v>142.07820878675409</v>
      </c>
      <c r="C100" s="323">
        <f t="shared" si="30"/>
        <v>7.0315724407708737</v>
      </c>
      <c r="D100" s="323">
        <f t="shared" si="31"/>
        <v>0.39607950941414494</v>
      </c>
      <c r="E100" s="323">
        <v>0</v>
      </c>
      <c r="F100" s="403">
        <f t="shared" si="32"/>
        <v>149.5058607369391</v>
      </c>
      <c r="G100" s="395">
        <f t="shared" si="34"/>
        <v>4.48751999092332E-2</v>
      </c>
    </row>
    <row r="101" spans="1:7" x14ac:dyDescent="0.2">
      <c r="A101" s="332" t="str">
        <f t="shared" ref="A101" si="36">A76</f>
        <v>Howey-in-the-Hills</v>
      </c>
      <c r="B101" s="323">
        <f t="shared" si="29"/>
        <v>3.0819478673614324</v>
      </c>
      <c r="C101" s="323">
        <f t="shared" si="30"/>
        <v>60.982630191638293</v>
      </c>
      <c r="D101" s="323">
        <f t="shared" si="31"/>
        <v>4.8133545441938868</v>
      </c>
      <c r="E101" s="323">
        <v>9.3929379022438683E-2</v>
      </c>
      <c r="F101" s="403">
        <f t="shared" si="32"/>
        <v>68.971861982216055</v>
      </c>
      <c r="G101" s="395">
        <f t="shared" si="34"/>
        <v>2.0702372999343292E-2</v>
      </c>
    </row>
    <row r="102" spans="1:7" x14ac:dyDescent="0.2">
      <c r="A102" s="332" t="str">
        <f t="shared" ref="A102" si="37">A77</f>
        <v>Lake County</v>
      </c>
      <c r="B102" s="323">
        <f t="shared" si="29"/>
        <v>743.4478457017326</v>
      </c>
      <c r="C102" s="323">
        <f t="shared" si="30"/>
        <v>323.23080406381666</v>
      </c>
      <c r="D102" s="323">
        <f t="shared" si="31"/>
        <v>163.8678835503413</v>
      </c>
      <c r="E102" s="323">
        <v>14.317055140024351</v>
      </c>
      <c r="F102" s="403">
        <f t="shared" si="32"/>
        <v>1244.8635884559151</v>
      </c>
      <c r="G102" s="395">
        <f t="shared" si="34"/>
        <v>0.37365426422967069</v>
      </c>
    </row>
    <row r="103" spans="1:7" x14ac:dyDescent="0.2">
      <c r="A103" s="332" t="str">
        <f t="shared" ref="A103" si="38">A78</f>
        <v>Leesburg</v>
      </c>
      <c r="B103" s="323">
        <f t="shared" si="29"/>
        <v>883.47698828551836</v>
      </c>
      <c r="C103" s="323">
        <f t="shared" si="30"/>
        <v>257.22035948636312</v>
      </c>
      <c r="D103" s="323">
        <f t="shared" si="31"/>
        <v>101.64966909672182</v>
      </c>
      <c r="E103" s="323">
        <v>7.8274482518698896E-2</v>
      </c>
      <c r="F103" s="403">
        <f t="shared" si="32"/>
        <v>1242.4252913511223</v>
      </c>
      <c r="G103" s="395">
        <f t="shared" si="34"/>
        <v>0.37292239278679656</v>
      </c>
    </row>
    <row r="104" spans="1:7" x14ac:dyDescent="0.2">
      <c r="A104" s="332" t="str">
        <f t="shared" ref="A104" si="39">A79</f>
        <v>Tavares</v>
      </c>
      <c r="B104" s="323">
        <f t="shared" si="29"/>
        <v>383.82847110019651</v>
      </c>
      <c r="C104" s="323">
        <f t="shared" si="30"/>
        <v>78.033458126064829</v>
      </c>
      <c r="D104" s="323">
        <f t="shared" si="31"/>
        <v>9.0794082270396803</v>
      </c>
      <c r="E104" s="323">
        <v>0.51074099843451026</v>
      </c>
      <c r="F104" s="403">
        <f t="shared" si="32"/>
        <v>471.45207845173553</v>
      </c>
      <c r="G104" s="395">
        <f t="shared" si="34"/>
        <v>0.14150954460153742</v>
      </c>
    </row>
    <row r="105" spans="1:7" x14ac:dyDescent="0.2">
      <c r="A105" s="332" t="str">
        <f t="shared" ref="A105" si="40">A80</f>
        <v>Wildwood</v>
      </c>
      <c r="B105" s="323">
        <f t="shared" si="29"/>
        <v>22.055715801979233</v>
      </c>
      <c r="C105" s="323">
        <f t="shared" si="30"/>
        <v>4.7747127754078633</v>
      </c>
      <c r="D105" s="323">
        <f t="shared" si="31"/>
        <v>0</v>
      </c>
      <c r="E105" s="323">
        <v>0</v>
      </c>
      <c r="F105" s="403">
        <f t="shared" si="32"/>
        <v>26.830428577387096</v>
      </c>
      <c r="G105" s="335">
        <f t="shared" si="34"/>
        <v>8.0533354353189337E-3</v>
      </c>
    </row>
    <row r="106" spans="1:7" ht="13.5" thickBot="1" x14ac:dyDescent="0.25">
      <c r="A106" s="396" t="str">
        <f t="shared" ref="A106" si="41">A81</f>
        <v>Total lbs/yr TP</v>
      </c>
      <c r="B106" s="401">
        <f t="shared" si="29"/>
        <v>2227.5798219368417</v>
      </c>
      <c r="C106" s="401">
        <f t="shared" si="30"/>
        <v>804.56234936049236</v>
      </c>
      <c r="D106" s="401">
        <f t="shared" si="31"/>
        <v>284.4499116201132</v>
      </c>
      <c r="E106" s="1108">
        <v>15</v>
      </c>
      <c r="F106" s="402">
        <f t="shared" si="32"/>
        <v>3331.5920829174479</v>
      </c>
      <c r="G106" s="399">
        <f t="shared" si="34"/>
        <v>1</v>
      </c>
    </row>
  </sheetData>
  <mergeCells count="2">
    <mergeCell ref="B3:F4"/>
    <mergeCell ref="A85:L85"/>
  </mergeCells>
  <conditionalFormatting sqref="G99:G106">
    <cfRule type="cellIs" dxfId="5" priority="1" operator="between">
      <formula>0</formula>
      <formula>0.01</formula>
    </cfRule>
  </conditionalFormatting>
  <printOptions gridLines="1"/>
  <pageMargins left="0.45" right="0.45" top="0.5" bottom="0.75" header="0.3" footer="0.3"/>
  <pageSetup paperSize="5" scale="75" pageOrder="overThenDown" orientation="landscape" r:id="rId1"/>
  <headerFooter>
    <oddHeader>&amp;L&amp;"Arial,Bold"&amp;12&amp;KC00000DRAFT&amp;CLake Harris Allocation Calculations&amp;RFDEP, August 16, 2016</oddHeader>
    <oddFooter xml:space="preserve">&amp;RPage &amp;P of &amp;N </oddFooter>
  </headerFooter>
  <rowBreaks count="2" manualBreakCount="2">
    <brk id="36" max="16383" man="1"/>
    <brk id="70" max="16383" man="1"/>
  </rowBreaks>
  <ignoredErrors>
    <ignoredError sqref="D88 B88 B93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0DFB-4A80-4FD0-BB95-2F7DF12E9A19}">
  <dimension ref="A1"/>
  <sheetViews>
    <sheetView workbookViewId="0">
      <selection activeCell="K16" sqref="K16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0"/>
  <sheetViews>
    <sheetView topLeftCell="A50" workbookViewId="0">
      <selection activeCell="G74" sqref="G74"/>
    </sheetView>
  </sheetViews>
  <sheetFormatPr defaultRowHeight="12.75" x14ac:dyDescent="0.2"/>
  <cols>
    <col min="1" max="1" width="55.28515625" customWidth="1"/>
    <col min="2" max="2" width="13.140625" customWidth="1"/>
    <col min="3" max="3" width="14.5703125" customWidth="1"/>
    <col min="4" max="4" width="13.7109375" customWidth="1"/>
    <col min="5" max="5" width="14.85546875" customWidth="1"/>
    <col min="6" max="6" width="16.140625" customWidth="1"/>
    <col min="7" max="7" width="15" customWidth="1"/>
    <col min="8" max="8" width="13.42578125" customWidth="1"/>
    <col min="9" max="9" width="14.7109375" customWidth="1"/>
    <col min="10" max="10" width="15.7109375" customWidth="1"/>
    <col min="11" max="11" width="14.5703125" customWidth="1"/>
    <col min="12" max="12" width="15.42578125" customWidth="1"/>
    <col min="13" max="13" width="14" customWidth="1"/>
  </cols>
  <sheetData>
    <row r="1" spans="1:10" ht="15" x14ac:dyDescent="0.25">
      <c r="A1" s="13" t="s">
        <v>108</v>
      </c>
    </row>
    <row r="2" spans="1:10" x14ac:dyDescent="0.2">
      <c r="A2" s="6" t="s">
        <v>260</v>
      </c>
    </row>
    <row r="3" spans="1:10" x14ac:dyDescent="0.2">
      <c r="B3" s="1147" t="s">
        <v>356</v>
      </c>
      <c r="C3" s="1148"/>
      <c r="D3" s="1148"/>
      <c r="E3" s="1148"/>
      <c r="F3" s="1148"/>
      <c r="G3" s="1148"/>
      <c r="H3" s="1148"/>
      <c r="I3" s="1148"/>
      <c r="J3" s="1148"/>
    </row>
    <row r="4" spans="1:10" ht="13.5" thickBot="1" x14ac:dyDescent="0.25">
      <c r="B4" s="1149"/>
      <c r="C4" s="1149"/>
      <c r="D4" s="1149"/>
      <c r="E4" s="1149"/>
      <c r="F4" s="1149"/>
      <c r="G4" s="1149"/>
      <c r="H4" s="1149"/>
      <c r="I4" s="1149"/>
      <c r="J4" s="1149"/>
    </row>
    <row r="5" spans="1:10" ht="63.75" x14ac:dyDescent="0.2">
      <c r="A5" s="412" t="s">
        <v>1</v>
      </c>
      <c r="B5" s="413" t="s">
        <v>104</v>
      </c>
      <c r="C5" s="414" t="s">
        <v>0</v>
      </c>
      <c r="D5" s="414" t="s">
        <v>9</v>
      </c>
      <c r="E5" s="415" t="s">
        <v>31</v>
      </c>
      <c r="F5" s="413" t="s">
        <v>16</v>
      </c>
      <c r="G5" s="416" t="s">
        <v>99</v>
      </c>
      <c r="H5" s="414" t="s">
        <v>100</v>
      </c>
      <c r="I5" s="417" t="s">
        <v>54</v>
      </c>
      <c r="J5" s="418" t="s">
        <v>53</v>
      </c>
    </row>
    <row r="6" spans="1:10" x14ac:dyDescent="0.2">
      <c r="A6" s="36" t="s">
        <v>23</v>
      </c>
      <c r="B6" s="482" t="s">
        <v>45</v>
      </c>
      <c r="C6" s="304" t="s">
        <v>45</v>
      </c>
      <c r="D6" s="304" t="s">
        <v>45</v>
      </c>
      <c r="E6" s="483" t="s">
        <v>45</v>
      </c>
      <c r="F6" s="482"/>
      <c r="G6" s="484"/>
      <c r="H6" s="435"/>
      <c r="I6" s="485"/>
      <c r="J6" s="486"/>
    </row>
    <row r="7" spans="1:10" x14ac:dyDescent="0.2">
      <c r="A7" s="26" t="s">
        <v>101</v>
      </c>
      <c r="B7" s="482" t="s">
        <v>45</v>
      </c>
      <c r="C7" s="304" t="s">
        <v>45</v>
      </c>
      <c r="D7" s="304" t="s">
        <v>45</v>
      </c>
      <c r="E7" s="304" t="s">
        <v>45</v>
      </c>
      <c r="F7" s="482"/>
      <c r="G7" s="484"/>
      <c r="H7" s="435"/>
      <c r="I7" s="485"/>
      <c r="J7" s="486"/>
    </row>
    <row r="8" spans="1:10" x14ac:dyDescent="0.2">
      <c r="A8" s="26" t="s">
        <v>102</v>
      </c>
      <c r="B8" s="482">
        <v>474.2</v>
      </c>
      <c r="C8" s="304" t="s">
        <v>45</v>
      </c>
      <c r="D8" s="304">
        <v>-19</v>
      </c>
      <c r="E8" s="304" t="s">
        <v>45</v>
      </c>
      <c r="F8" s="482">
        <f>SUM(B8:E8)</f>
        <v>455.2</v>
      </c>
      <c r="G8" s="484">
        <f>F8</f>
        <v>455.2</v>
      </c>
      <c r="H8" s="435">
        <f>G8/(F$25-F$11-F$14)</f>
        <v>0.28697516076156854</v>
      </c>
      <c r="I8" s="485">
        <f>ROUND(H8*F$27,1)</f>
        <v>423.7</v>
      </c>
      <c r="J8" s="486">
        <f>F8-I8</f>
        <v>31.5</v>
      </c>
    </row>
    <row r="9" spans="1:10" x14ac:dyDescent="0.2">
      <c r="A9" s="36" t="s">
        <v>24</v>
      </c>
      <c r="B9" s="482" t="s">
        <v>45</v>
      </c>
      <c r="C9" s="304" t="s">
        <v>45</v>
      </c>
      <c r="D9" s="304" t="s">
        <v>45</v>
      </c>
      <c r="E9" s="304" t="s">
        <v>45</v>
      </c>
      <c r="F9" s="482"/>
      <c r="G9" s="484"/>
      <c r="H9" s="435"/>
      <c r="I9" s="485"/>
      <c r="J9" s="486"/>
    </row>
    <row r="10" spans="1:10" x14ac:dyDescent="0.2">
      <c r="A10" s="26" t="s">
        <v>103</v>
      </c>
      <c r="B10" s="487">
        <v>1265.5</v>
      </c>
      <c r="C10" s="304" t="s">
        <v>45</v>
      </c>
      <c r="D10" s="304">
        <v>-726</v>
      </c>
      <c r="E10" s="304" t="s">
        <v>45</v>
      </c>
      <c r="F10" s="482">
        <f>SUM(B10:E10)</f>
        <v>539.5</v>
      </c>
      <c r="G10" s="484">
        <f>F10</f>
        <v>539.5</v>
      </c>
      <c r="H10" s="435">
        <f>G10/(F$25-F$11-F$14)</f>
        <v>0.34012104400453913</v>
      </c>
      <c r="I10" s="485">
        <f>ROUND(H10*F$27,1)</f>
        <v>502.2</v>
      </c>
      <c r="J10" s="486">
        <f>F10-I10</f>
        <v>37.300000000000011</v>
      </c>
    </row>
    <row r="11" spans="1:10" x14ac:dyDescent="0.2">
      <c r="A11" s="36" t="s">
        <v>26</v>
      </c>
      <c r="B11" s="482">
        <v>29.6</v>
      </c>
      <c r="C11" s="304" t="s">
        <v>45</v>
      </c>
      <c r="D11" s="304">
        <v>0</v>
      </c>
      <c r="E11" s="304" t="s">
        <v>45</v>
      </c>
      <c r="F11" s="482">
        <f>SUM(B11:E11)</f>
        <v>29.6</v>
      </c>
      <c r="G11" s="484"/>
      <c r="H11" s="435"/>
      <c r="I11" s="485"/>
      <c r="J11" s="486">
        <f>F11-I11</f>
        <v>29.6</v>
      </c>
    </row>
    <row r="12" spans="1:10" x14ac:dyDescent="0.2">
      <c r="A12" s="36" t="s">
        <v>27</v>
      </c>
      <c r="B12" s="482" t="s">
        <v>45</v>
      </c>
      <c r="C12" s="304" t="s">
        <v>45</v>
      </c>
      <c r="D12" s="304" t="s">
        <v>45</v>
      </c>
      <c r="E12" s="304" t="s">
        <v>45</v>
      </c>
      <c r="F12" s="482"/>
      <c r="G12" s="484"/>
      <c r="H12" s="435"/>
      <c r="I12" s="485"/>
      <c r="J12" s="486"/>
    </row>
    <row r="13" spans="1:10" x14ac:dyDescent="0.2">
      <c r="A13" s="36" t="s">
        <v>19</v>
      </c>
      <c r="B13" s="482">
        <f>SUM(B14:B17)</f>
        <v>1115.4000000000001</v>
      </c>
      <c r="C13" s="304" t="s">
        <v>45</v>
      </c>
      <c r="D13" s="304" t="s">
        <v>45</v>
      </c>
      <c r="E13" s="304">
        <f>SUM(E14:E17)</f>
        <v>-149.6</v>
      </c>
      <c r="F13" s="482">
        <f>B13+E13</f>
        <v>965.80000000000007</v>
      </c>
      <c r="G13" s="484">
        <f>F13-F14</f>
        <v>584.1</v>
      </c>
      <c r="H13" s="435"/>
      <c r="I13" s="488">
        <f>I15+I17</f>
        <v>543.73152818055723</v>
      </c>
      <c r="J13" s="486">
        <f>SUM(J14:J20)-J17</f>
        <v>422.10000000000008</v>
      </c>
    </row>
    <row r="14" spans="1:10" x14ac:dyDescent="0.2">
      <c r="A14" s="26" t="s">
        <v>20</v>
      </c>
      <c r="B14" s="482">
        <v>375.6</v>
      </c>
      <c r="C14" s="304" t="s">
        <v>45</v>
      </c>
      <c r="D14" s="304" t="s">
        <v>45</v>
      </c>
      <c r="E14" s="304">
        <v>6.1</v>
      </c>
      <c r="F14" s="482">
        <f>SUM(B14:E14)</f>
        <v>381.70000000000005</v>
      </c>
      <c r="G14" s="484"/>
      <c r="H14" s="435"/>
      <c r="I14" s="485"/>
      <c r="J14" s="486">
        <f>F14-I14</f>
        <v>381.70000000000005</v>
      </c>
    </row>
    <row r="15" spans="1:10" s="35" customFormat="1" x14ac:dyDescent="0.2">
      <c r="A15" s="39" t="s">
        <v>124</v>
      </c>
      <c r="B15" s="482">
        <v>123.5</v>
      </c>
      <c r="C15" s="304"/>
      <c r="D15" s="304"/>
      <c r="E15" s="304">
        <v>-53.7</v>
      </c>
      <c r="F15" s="482">
        <f t="shared" ref="F15:F20" si="0">SUM(B15:E15)</f>
        <v>69.8</v>
      </c>
      <c r="G15" s="484">
        <f>F15</f>
        <v>69.8</v>
      </c>
      <c r="H15" s="435">
        <f>G15/(F$25-F$11-F$14)</f>
        <v>4.4004539150170212E-2</v>
      </c>
      <c r="I15" s="485">
        <f>ROUND(H15*F$27,1)</f>
        <v>65</v>
      </c>
      <c r="J15" s="486">
        <f>F15-I15</f>
        <v>4.7999999999999972</v>
      </c>
    </row>
    <row r="16" spans="1:10" s="35" customFormat="1" x14ac:dyDescent="0.2">
      <c r="A16" s="39" t="s">
        <v>848</v>
      </c>
      <c r="B16" s="482"/>
      <c r="C16" s="304"/>
      <c r="D16" s="304"/>
      <c r="E16" s="304"/>
      <c r="F16" s="482"/>
      <c r="G16" s="484"/>
      <c r="H16" s="435"/>
      <c r="I16" s="485"/>
      <c r="J16" s="486"/>
    </row>
    <row r="17" spans="1:11" s="35" customFormat="1" x14ac:dyDescent="0.2">
      <c r="A17" s="26" t="s">
        <v>21</v>
      </c>
      <c r="B17" s="482">
        <v>616.29999999999995</v>
      </c>
      <c r="C17" s="304"/>
      <c r="D17" s="304"/>
      <c r="E17" s="304">
        <v>-102</v>
      </c>
      <c r="F17" s="482">
        <f t="shared" si="0"/>
        <v>514.29999999999995</v>
      </c>
      <c r="G17" s="484">
        <f>F17</f>
        <v>514.29999999999995</v>
      </c>
      <c r="H17" s="435">
        <f>G17/(F$25-F$11-F$14)</f>
        <v>0.32423401840877564</v>
      </c>
      <c r="I17" s="488">
        <f>H17*F27</f>
        <v>478.73152818055723</v>
      </c>
      <c r="J17" s="486">
        <f>SUM(J18:J20)</f>
        <v>35.600000000000037</v>
      </c>
    </row>
    <row r="18" spans="1:11" s="35" customFormat="1" x14ac:dyDescent="0.2">
      <c r="A18" s="39" t="s">
        <v>105</v>
      </c>
      <c r="B18" s="482">
        <v>332.3</v>
      </c>
      <c r="C18" s="304"/>
      <c r="D18" s="304"/>
      <c r="E18" s="304">
        <v>-51.7</v>
      </c>
      <c r="F18" s="482">
        <f t="shared" si="0"/>
        <v>280.60000000000002</v>
      </c>
      <c r="G18" s="484">
        <f>F18</f>
        <v>280.60000000000002</v>
      </c>
      <c r="H18" s="435">
        <f>G18/(F$25-F$11-F$14)</f>
        <v>0.17690076913377886</v>
      </c>
      <c r="I18" s="485">
        <f>ROUND(H18*F$27,1)</f>
        <v>261.2</v>
      </c>
      <c r="J18" s="486">
        <f>F18-I18</f>
        <v>19.400000000000034</v>
      </c>
    </row>
    <row r="19" spans="1:11" s="35" customFormat="1" x14ac:dyDescent="0.2">
      <c r="A19" s="39" t="s">
        <v>106</v>
      </c>
      <c r="B19" s="482">
        <v>265.3</v>
      </c>
      <c r="C19" s="304"/>
      <c r="D19" s="304"/>
      <c r="E19" s="304">
        <v>-48.8</v>
      </c>
      <c r="F19" s="482">
        <f t="shared" si="0"/>
        <v>216.5</v>
      </c>
      <c r="G19" s="484">
        <f>F19</f>
        <v>216.5</v>
      </c>
      <c r="H19" s="435">
        <f>G19/(F$25-F$11-F$14)</f>
        <v>0.13648972386836464</v>
      </c>
      <c r="I19" s="485">
        <f>ROUND(H19*F$27,1)</f>
        <v>201.5</v>
      </c>
      <c r="J19" s="486">
        <f>F19-I19</f>
        <v>15</v>
      </c>
    </row>
    <row r="20" spans="1:11" x14ac:dyDescent="0.2">
      <c r="A20" s="64" t="s">
        <v>107</v>
      </c>
      <c r="B20" s="482">
        <v>18.600000000000001</v>
      </c>
      <c r="C20" s="304" t="s">
        <v>45</v>
      </c>
      <c r="D20" s="304"/>
      <c r="E20" s="304">
        <v>-1.4</v>
      </c>
      <c r="F20" s="482">
        <f t="shared" si="0"/>
        <v>17.200000000000003</v>
      </c>
      <c r="G20" s="484">
        <f>F20</f>
        <v>17.200000000000003</v>
      </c>
      <c r="H20" s="435">
        <f>G20/(F$25-F$11-F$14)</f>
        <v>1.0843525406632205E-2</v>
      </c>
      <c r="I20" s="485">
        <f>ROUND(H20*F$27,1)</f>
        <v>16</v>
      </c>
      <c r="J20" s="486">
        <f>F20-I20</f>
        <v>1.2000000000000028</v>
      </c>
    </row>
    <row r="21" spans="1:11" x14ac:dyDescent="0.2">
      <c r="A21" s="36" t="s">
        <v>28</v>
      </c>
      <c r="B21" s="482" t="s">
        <v>45</v>
      </c>
      <c r="C21" s="304" t="s">
        <v>45</v>
      </c>
      <c r="D21" s="304" t="s">
        <v>45</v>
      </c>
      <c r="E21" s="304" t="s">
        <v>45</v>
      </c>
      <c r="F21" s="482"/>
      <c r="G21" s="484"/>
      <c r="H21" s="435"/>
      <c r="I21" s="485"/>
      <c r="J21" s="486"/>
    </row>
    <row r="22" spans="1:11" x14ac:dyDescent="0.2">
      <c r="A22" s="36" t="s">
        <v>29</v>
      </c>
      <c r="B22" s="482">
        <v>7.4</v>
      </c>
      <c r="C22" s="304" t="s">
        <v>45</v>
      </c>
      <c r="D22" s="304" t="s">
        <v>45</v>
      </c>
      <c r="E22" s="304" t="s">
        <v>45</v>
      </c>
      <c r="F22" s="482">
        <f>SUM(B22:E22)</f>
        <v>7.4</v>
      </c>
      <c r="G22" s="484">
        <f>F22</f>
        <v>7.4</v>
      </c>
      <c r="H22" s="435">
        <f>G22/(F$25-F$11-F$14)</f>
        <v>4.665237674946413E-3</v>
      </c>
      <c r="I22" s="485">
        <f>ROUND(H22*F$27,1)</f>
        <v>6.9</v>
      </c>
      <c r="J22" s="486">
        <f>F22-I22</f>
        <v>0.5</v>
      </c>
    </row>
    <row r="23" spans="1:11" x14ac:dyDescent="0.2">
      <c r="A23" s="26"/>
      <c r="B23" s="482"/>
      <c r="C23" s="304"/>
      <c r="D23" s="304"/>
      <c r="E23" s="304"/>
      <c r="F23" s="482"/>
      <c r="G23" s="484"/>
      <c r="H23" s="304"/>
      <c r="I23" s="485"/>
      <c r="J23" s="486"/>
    </row>
    <row r="24" spans="1:11" x14ac:dyDescent="0.2">
      <c r="A24" s="75" t="s">
        <v>30</v>
      </c>
      <c r="B24" s="482"/>
      <c r="C24" s="304"/>
      <c r="D24" s="304"/>
      <c r="E24" s="304"/>
      <c r="F24" s="482"/>
      <c r="G24" s="484"/>
      <c r="H24" s="304"/>
      <c r="I24" s="485"/>
      <c r="J24" s="486"/>
    </row>
    <row r="25" spans="1:11" x14ac:dyDescent="0.2">
      <c r="A25" s="76" t="s">
        <v>3</v>
      </c>
      <c r="B25" s="489">
        <f>SUM(B6:B22)-B17-B13</f>
        <v>2891.9999999999995</v>
      </c>
      <c r="C25" s="304">
        <v>0</v>
      </c>
      <c r="D25" s="304">
        <f>SUM(D8:D22)-D20</f>
        <v>-745</v>
      </c>
      <c r="E25" s="304">
        <f>SUM(E6:E22)-E13-E17</f>
        <v>-149.49999999999997</v>
      </c>
      <c r="F25" s="487">
        <f>SUM(F6:F22)-F17-F13</f>
        <v>1997.5</v>
      </c>
      <c r="G25" s="484"/>
      <c r="H25" s="304"/>
      <c r="I25" s="485"/>
      <c r="J25" s="486"/>
      <c r="K25" s="3">
        <f>B25+E25</f>
        <v>2742.4999999999995</v>
      </c>
    </row>
    <row r="26" spans="1:11" x14ac:dyDescent="0.2">
      <c r="A26" s="76" t="s">
        <v>17</v>
      </c>
      <c r="B26" s="489">
        <v>521</v>
      </c>
      <c r="C26" s="304"/>
      <c r="D26" s="304"/>
      <c r="E26" s="304"/>
      <c r="F26" s="487">
        <v>521</v>
      </c>
      <c r="G26" s="484"/>
      <c r="H26" s="304"/>
      <c r="I26" s="485"/>
      <c r="J26" s="486"/>
    </row>
    <row r="27" spans="1:11" x14ac:dyDescent="0.2">
      <c r="A27" s="76" t="s">
        <v>2</v>
      </c>
      <c r="B27" s="489">
        <f>B25-B26</f>
        <v>2370.9999999999995</v>
      </c>
      <c r="C27" s="304"/>
      <c r="D27" s="304"/>
      <c r="E27" s="304"/>
      <c r="F27" s="487">
        <f>F25-F26</f>
        <v>1476.5</v>
      </c>
      <c r="G27" s="484"/>
      <c r="H27" s="304"/>
      <c r="I27" s="488">
        <f>SUM(I8:I22)-I17-I13</f>
        <v>1476.5</v>
      </c>
      <c r="J27" s="486"/>
    </row>
    <row r="28" spans="1:11" x14ac:dyDescent="0.2">
      <c r="A28" s="77" t="s">
        <v>7</v>
      </c>
      <c r="B28" s="490"/>
      <c r="C28" s="491"/>
      <c r="D28" s="491"/>
      <c r="E28" s="491"/>
      <c r="F28" s="492">
        <f>F27/F26</f>
        <v>2.8339731285988483</v>
      </c>
      <c r="G28" s="493"/>
      <c r="H28" s="439">
        <f>SUM(H8:H22)-H17</f>
        <v>0.99999999999999989</v>
      </c>
      <c r="I28" s="494"/>
      <c r="J28" s="495"/>
    </row>
    <row r="29" spans="1:11" x14ac:dyDescent="0.2">
      <c r="A29" s="68" t="s">
        <v>115</v>
      </c>
      <c r="B29" s="482"/>
      <c r="C29" s="304"/>
      <c r="D29" s="304"/>
      <c r="E29" s="304"/>
      <c r="F29" s="482"/>
      <c r="G29" s="304"/>
      <c r="H29" s="304"/>
      <c r="I29" s="485"/>
      <c r="J29" s="486">
        <f>+SUM(J8:J22)-J13-J17</f>
        <v>521.00000000000011</v>
      </c>
    </row>
    <row r="30" spans="1:11" s="35" customFormat="1" ht="26.25" thickBot="1" x14ac:dyDescent="0.25">
      <c r="A30" s="222" t="s">
        <v>227</v>
      </c>
      <c r="B30" s="496"/>
      <c r="C30" s="327"/>
      <c r="D30" s="327"/>
      <c r="E30" s="327"/>
      <c r="F30" s="496"/>
      <c r="G30" s="327"/>
      <c r="H30" s="327"/>
      <c r="I30" s="497"/>
      <c r="J30" s="498">
        <f>SUM(J18:J20)+J22</f>
        <v>36.100000000000037</v>
      </c>
    </row>
    <row r="31" spans="1:11" s="35" customFormat="1" x14ac:dyDescent="0.2"/>
    <row r="33" spans="1:12" ht="15.75" thickBot="1" x14ac:dyDescent="0.3">
      <c r="A33" s="410" t="s">
        <v>80</v>
      </c>
      <c r="B33" s="6"/>
      <c r="C33" s="6"/>
      <c r="D33" s="6"/>
      <c r="E33" s="6"/>
      <c r="F33" s="6"/>
      <c r="G33" s="6"/>
      <c r="H33" s="35"/>
    </row>
    <row r="34" spans="1:12" ht="51" x14ac:dyDescent="0.2">
      <c r="A34" s="383" t="s">
        <v>359</v>
      </c>
      <c r="B34" s="376" t="s">
        <v>194</v>
      </c>
      <c r="C34" s="376" t="s">
        <v>71</v>
      </c>
      <c r="D34" s="376" t="s">
        <v>75</v>
      </c>
      <c r="E34" s="382" t="s">
        <v>196</v>
      </c>
      <c r="F34" s="376" t="s">
        <v>70</v>
      </c>
      <c r="G34" s="376" t="s">
        <v>76</v>
      </c>
      <c r="H34" s="376" t="s">
        <v>198</v>
      </c>
      <c r="I34" s="376" t="s">
        <v>72</v>
      </c>
      <c r="J34" s="376" t="s">
        <v>77</v>
      </c>
      <c r="K34" s="377" t="s">
        <v>74</v>
      </c>
      <c r="L34" s="378" t="s">
        <v>114</v>
      </c>
    </row>
    <row r="35" spans="1:12" x14ac:dyDescent="0.2">
      <c r="A35" s="36" t="s">
        <v>40</v>
      </c>
      <c r="B35" s="475">
        <v>180.22161976500001</v>
      </c>
      <c r="C35" s="435">
        <v>0.50103150672080099</v>
      </c>
      <c r="D35" s="99">
        <f>I$18*C35</f>
        <v>130.8694295554732</v>
      </c>
      <c r="E35" s="476">
        <v>538.40491885799997</v>
      </c>
      <c r="F35" s="435">
        <v>0.38697220708631347</v>
      </c>
      <c r="G35" s="99">
        <f>I$19*F35</f>
        <v>77.974899727892165</v>
      </c>
      <c r="H35" s="475">
        <v>147.346812774</v>
      </c>
      <c r="I35" s="435">
        <v>0.19062277806850123</v>
      </c>
      <c r="J35" s="99">
        <f>I$20*I35</f>
        <v>3.0499644490960196</v>
      </c>
      <c r="K35" s="477">
        <f>D35+G35+J35</f>
        <v>211.89429373246139</v>
      </c>
      <c r="L35" s="478">
        <f>J$18*C35+J$19*F35+J$20*I35</f>
        <v>15.753341670360461</v>
      </c>
    </row>
    <row r="36" spans="1:12" x14ac:dyDescent="0.2">
      <c r="A36" s="36" t="s">
        <v>41</v>
      </c>
      <c r="B36" s="475">
        <v>38.769820466299997</v>
      </c>
      <c r="C36" s="435">
        <v>0.10770456660670705</v>
      </c>
      <c r="D36" s="99">
        <f>I$18*C36</f>
        <v>28.132432797671878</v>
      </c>
      <c r="E36" s="476">
        <v>5.80855456933</v>
      </c>
      <c r="F36" s="435">
        <v>4.1748304144582533E-3</v>
      </c>
      <c r="G36" s="99">
        <f>I$19*F36</f>
        <v>0.84122832851333806</v>
      </c>
      <c r="H36" s="475">
        <v>0.56135110420300005</v>
      </c>
      <c r="I36" s="435">
        <v>7.2622062665731238E-4</v>
      </c>
      <c r="J36" s="99">
        <f>I$20*I36</f>
        <v>1.1619530026516998E-2</v>
      </c>
      <c r="K36" s="477">
        <f>D36+G36+J36</f>
        <v>28.985280656211735</v>
      </c>
      <c r="L36" s="478">
        <f>J$18*C36+J$19*F36+J$20*I36</f>
        <v>2.1529625131389833</v>
      </c>
    </row>
    <row r="37" spans="1:12" x14ac:dyDescent="0.2">
      <c r="A37" s="36" t="s">
        <v>36</v>
      </c>
      <c r="B37" s="475">
        <v>11.2977812496</v>
      </c>
      <c r="C37" s="435">
        <v>3.1173573503664901E-2</v>
      </c>
      <c r="D37" s="99">
        <f>I$18*C37</f>
        <v>8.1425373991572716</v>
      </c>
      <c r="E37" s="476">
        <v>371.93902163500002</v>
      </c>
      <c r="F37" s="435">
        <v>0.26732680286468941</v>
      </c>
      <c r="G37" s="99">
        <f>I$19*F37</f>
        <v>53.866350777234913</v>
      </c>
      <c r="H37" s="475">
        <v>499.09116303799999</v>
      </c>
      <c r="I37" s="435">
        <v>0.64567493205027482</v>
      </c>
      <c r="J37" s="99">
        <f>I$20*I37</f>
        <v>10.330798912804397</v>
      </c>
      <c r="K37" s="477">
        <f>D37+G37+J37</f>
        <v>72.339687089196588</v>
      </c>
      <c r="L37" s="478">
        <f>J$18*C37+J$19*F37+J$20*I37</f>
        <v>5.3894792874017732</v>
      </c>
    </row>
    <row r="38" spans="1:12" x14ac:dyDescent="0.2">
      <c r="A38" s="36" t="s">
        <v>43</v>
      </c>
      <c r="B38" s="475">
        <v>129.67523931700001</v>
      </c>
      <c r="C38" s="435">
        <v>0.36024452221538517</v>
      </c>
      <c r="D38" s="99">
        <f>I$18*C38</f>
        <v>94.095869202658605</v>
      </c>
      <c r="E38" s="476">
        <v>475.17463968599998</v>
      </c>
      <c r="F38" s="435">
        <v>0.3415261863525838</v>
      </c>
      <c r="G38" s="99">
        <f>I$19*F38</f>
        <v>68.817526550045642</v>
      </c>
      <c r="H38" s="475">
        <v>125.976543374</v>
      </c>
      <c r="I38" s="435">
        <v>0.16297603071971584</v>
      </c>
      <c r="J38" s="99">
        <f>I$20*I38</f>
        <v>2.6076164915154534</v>
      </c>
      <c r="K38" s="477">
        <f>D38+G38+J38</f>
        <v>165.52101224421969</v>
      </c>
      <c r="L38" s="478">
        <f>J$18*C38+J$19*F38+J$20*I38</f>
        <v>12.307207763130899</v>
      </c>
    </row>
    <row r="39" spans="1:12" s="35" customFormat="1" ht="13.5" thickBot="1" x14ac:dyDescent="0.25">
      <c r="A39" s="59" t="s">
        <v>324</v>
      </c>
      <c r="B39" s="479">
        <f t="shared" ref="B39:L39" si="1">SUM(B35:B38)</f>
        <v>359.96446079790002</v>
      </c>
      <c r="C39" s="458">
        <f t="shared" si="1"/>
        <v>1.0001541690465581</v>
      </c>
      <c r="D39" s="100">
        <f t="shared" si="1"/>
        <v>261.24026895496092</v>
      </c>
      <c r="E39" s="480">
        <f t="shared" si="1"/>
        <v>1391.3271347483301</v>
      </c>
      <c r="F39" s="458">
        <f t="shared" si="1"/>
        <v>1.0000000267180449</v>
      </c>
      <c r="G39" s="100">
        <f t="shared" si="1"/>
        <v>201.50000538368604</v>
      </c>
      <c r="H39" s="479">
        <f t="shared" si="1"/>
        <v>772.97587029020303</v>
      </c>
      <c r="I39" s="458">
        <f t="shared" si="1"/>
        <v>0.99999996146514913</v>
      </c>
      <c r="J39" s="100">
        <f t="shared" si="1"/>
        <v>15.999999383442386</v>
      </c>
      <c r="K39" s="100">
        <f t="shared" si="1"/>
        <v>478.74027372208946</v>
      </c>
      <c r="L39" s="481">
        <f t="shared" si="1"/>
        <v>35.602991234032118</v>
      </c>
    </row>
    <row r="41" spans="1:12" ht="15.75" thickBot="1" x14ac:dyDescent="0.3">
      <c r="A41" s="410" t="s">
        <v>341</v>
      </c>
    </row>
    <row r="42" spans="1:12" ht="38.25" x14ac:dyDescent="0.2">
      <c r="A42" s="424" t="s">
        <v>279</v>
      </c>
      <c r="B42" s="413" t="s">
        <v>331</v>
      </c>
      <c r="C42" s="413" t="s">
        <v>60</v>
      </c>
      <c r="D42" s="413" t="s">
        <v>226</v>
      </c>
      <c r="E42" s="374" t="s">
        <v>114</v>
      </c>
    </row>
    <row r="43" spans="1:12" x14ac:dyDescent="0.2">
      <c r="A43" s="36" t="s">
        <v>40</v>
      </c>
      <c r="B43" s="304">
        <v>2</v>
      </c>
      <c r="C43" s="435">
        <v>0.18181818181818182</v>
      </c>
      <c r="D43" s="139">
        <f>I$22*C43</f>
        <v>1.2545454545454546</v>
      </c>
      <c r="E43" s="438">
        <f>J$22*C43</f>
        <v>9.0909090909090912E-2</v>
      </c>
    </row>
    <row r="44" spans="1:12" x14ac:dyDescent="0.2">
      <c r="A44" s="71" t="s">
        <v>36</v>
      </c>
      <c r="B44" s="304">
        <v>9</v>
      </c>
      <c r="C44" s="439">
        <v>0.81818181818181823</v>
      </c>
      <c r="D44" s="474">
        <f>I$22*C44</f>
        <v>5.6454545454545464</v>
      </c>
      <c r="E44" s="438">
        <f>J$22*C44</f>
        <v>0.40909090909090912</v>
      </c>
    </row>
    <row r="45" spans="1:12" ht="13.5" thickBot="1" x14ac:dyDescent="0.25">
      <c r="A45" s="59" t="s">
        <v>15</v>
      </c>
      <c r="B45" s="441">
        <v>11</v>
      </c>
      <c r="C45" s="458">
        <f>SUM(C43:C44)</f>
        <v>1</v>
      </c>
      <c r="D45" s="100">
        <f>SUM(D43:D44)</f>
        <v>6.9000000000000012</v>
      </c>
      <c r="E45" s="101">
        <f>SUM(E43:E44)</f>
        <v>0.5</v>
      </c>
    </row>
    <row r="46" spans="1:12" x14ac:dyDescent="0.2">
      <c r="A46" s="141" t="s">
        <v>329</v>
      </c>
    </row>
    <row r="47" spans="1:12" s="35" customFormat="1" x14ac:dyDescent="0.2">
      <c r="A47" s="141"/>
    </row>
    <row r="48" spans="1:12" ht="15.75" thickBot="1" x14ac:dyDescent="0.3">
      <c r="A48" s="408" t="s">
        <v>79</v>
      </c>
      <c r="B48" s="411"/>
      <c r="C48" s="411"/>
    </row>
    <row r="49" spans="1:10" ht="69" customHeight="1" x14ac:dyDescent="0.2">
      <c r="A49" s="383" t="s">
        <v>109</v>
      </c>
      <c r="B49" s="376" t="s">
        <v>74</v>
      </c>
      <c r="C49" s="376" t="s">
        <v>119</v>
      </c>
      <c r="D49" s="425" t="s">
        <v>377</v>
      </c>
      <c r="E49" s="426" t="s">
        <v>117</v>
      </c>
      <c r="F49" s="16"/>
    </row>
    <row r="50" spans="1:10" x14ac:dyDescent="0.2">
      <c r="A50" s="36" t="s">
        <v>40</v>
      </c>
      <c r="B50" s="99">
        <f>K35</f>
        <v>211.89429373246139</v>
      </c>
      <c r="C50" s="99">
        <f>D43</f>
        <v>1.2545454545454546</v>
      </c>
      <c r="D50" s="471">
        <f>SUM(B50:C50)</f>
        <v>213.14883918700684</v>
      </c>
      <c r="E50" s="472">
        <f>L35+E43</f>
        <v>15.844250761269553</v>
      </c>
    </row>
    <row r="51" spans="1:10" x14ac:dyDescent="0.2">
      <c r="A51" s="36" t="s">
        <v>41</v>
      </c>
      <c r="B51" s="99">
        <f>K36</f>
        <v>28.985280656211735</v>
      </c>
      <c r="C51" s="304"/>
      <c r="D51" s="471">
        <f t="shared" ref="D51:D53" si="2">SUM(B51:C51)</f>
        <v>28.985280656211735</v>
      </c>
      <c r="E51" s="472">
        <f>L36</f>
        <v>2.1529625131389833</v>
      </c>
    </row>
    <row r="52" spans="1:10" s="35" customFormat="1" x14ac:dyDescent="0.2">
      <c r="A52" s="36" t="s">
        <v>36</v>
      </c>
      <c r="B52" s="99">
        <f>K37</f>
        <v>72.339687089196588</v>
      </c>
      <c r="C52" s="99">
        <f>D44</f>
        <v>5.6454545454545464</v>
      </c>
      <c r="D52" s="471">
        <f t="shared" si="2"/>
        <v>77.985141634651129</v>
      </c>
      <c r="E52" s="472">
        <f>L37+E44</f>
        <v>5.7985701964926823</v>
      </c>
      <c r="G52" s="15"/>
    </row>
    <row r="53" spans="1:10" s="35" customFormat="1" x14ac:dyDescent="0.2">
      <c r="A53" s="36" t="s">
        <v>43</v>
      </c>
      <c r="B53" s="99">
        <f>K38</f>
        <v>165.52101224421969</v>
      </c>
      <c r="C53" s="304"/>
      <c r="D53" s="471">
        <f t="shared" si="2"/>
        <v>165.52101224421969</v>
      </c>
      <c r="E53" s="472">
        <f>L38</f>
        <v>12.307207763130899</v>
      </c>
      <c r="G53" s="15"/>
    </row>
    <row r="54" spans="1:10" ht="13.5" thickBot="1" x14ac:dyDescent="0.25">
      <c r="A54" s="59" t="s">
        <v>98</v>
      </c>
      <c r="B54" s="100">
        <f>SUM(B50:B53)</f>
        <v>478.74027372208946</v>
      </c>
      <c r="C54" s="100">
        <f>SUM(C50:C53)</f>
        <v>6.9000000000000012</v>
      </c>
      <c r="D54" s="101">
        <f>SUM(D50:D53)</f>
        <v>485.64027372208943</v>
      </c>
      <c r="E54" s="473">
        <f>SUM(E50:E53)</f>
        <v>36.102991234032118</v>
      </c>
      <c r="G54" s="15"/>
    </row>
    <row r="56" spans="1:10" ht="15.75" thickBot="1" x14ac:dyDescent="0.3">
      <c r="A56" s="408" t="s">
        <v>189</v>
      </c>
    </row>
    <row r="57" spans="1:10" ht="66.75" customHeight="1" thickBot="1" x14ac:dyDescent="0.25">
      <c r="A57" s="388" t="s">
        <v>388</v>
      </c>
      <c r="B57" s="421" t="s">
        <v>127</v>
      </c>
      <c r="C57" s="421" t="s">
        <v>126</v>
      </c>
      <c r="D57" s="421" t="s">
        <v>70</v>
      </c>
      <c r="E57" s="421" t="s">
        <v>128</v>
      </c>
      <c r="F57" s="422" t="s">
        <v>72</v>
      </c>
      <c r="G57" s="421" t="s">
        <v>129</v>
      </c>
      <c r="H57" s="390" t="s">
        <v>383</v>
      </c>
      <c r="I57" s="389" t="s">
        <v>190</v>
      </c>
      <c r="J57" s="392" t="s">
        <v>358</v>
      </c>
    </row>
    <row r="58" spans="1:10" x14ac:dyDescent="0.2">
      <c r="A58" s="36" t="s">
        <v>40</v>
      </c>
      <c r="B58" s="519">
        <v>0.501</v>
      </c>
      <c r="C58" s="520">
        <f>B58*G$18</f>
        <v>140.5806</v>
      </c>
      <c r="D58" s="519">
        <v>0.38697220708631347</v>
      </c>
      <c r="E58" s="520">
        <f>D58*G$19</f>
        <v>83.779482834186865</v>
      </c>
      <c r="F58" s="519">
        <v>0.19062277806850123</v>
      </c>
      <c r="G58" s="520">
        <f>F58*G$20</f>
        <v>3.2787117827782217</v>
      </c>
      <c r="H58" s="521">
        <f>C58+E58+G58</f>
        <v>227.6387946169651</v>
      </c>
      <c r="I58" s="522">
        <v>0.06</v>
      </c>
      <c r="J58" s="523">
        <f>I58*H58</f>
        <v>13.658327677017905</v>
      </c>
    </row>
    <row r="59" spans="1:10" x14ac:dyDescent="0.2">
      <c r="A59" s="36" t="s">
        <v>41</v>
      </c>
      <c r="B59" s="435">
        <v>0.10770456660670705</v>
      </c>
      <c r="C59" s="99">
        <f t="shared" ref="C59:C61" si="3">B59*G$18</f>
        <v>30.221901389841999</v>
      </c>
      <c r="D59" s="435">
        <v>4.1748304144582533E-3</v>
      </c>
      <c r="E59" s="99">
        <f t="shared" ref="E59:E61" si="4">D59*G$19</f>
        <v>0.90385078473021185</v>
      </c>
      <c r="F59" s="435">
        <v>7.2622062665731238E-4</v>
      </c>
      <c r="G59" s="99">
        <f t="shared" ref="G59:G61" si="5">F59*G$20</f>
        <v>1.2490994778505776E-2</v>
      </c>
      <c r="H59" s="524">
        <f t="shared" ref="H59:H61" si="6">C59+E59+G59</f>
        <v>31.138243169350719</v>
      </c>
      <c r="I59" s="522">
        <v>5.0000000000000001E-3</v>
      </c>
      <c r="J59" s="523">
        <f t="shared" ref="J59:J61" si="7">I59*H59</f>
        <v>0.15569121584675361</v>
      </c>
    </row>
    <row r="60" spans="1:10" x14ac:dyDescent="0.2">
      <c r="A60" s="36" t="s">
        <v>36</v>
      </c>
      <c r="B60" s="435">
        <v>3.1E-2</v>
      </c>
      <c r="C60" s="99">
        <f t="shared" si="3"/>
        <v>8.6986000000000008</v>
      </c>
      <c r="D60" s="435">
        <v>0.26732680286468941</v>
      </c>
      <c r="E60" s="99">
        <f t="shared" si="4"/>
        <v>57.876252820205259</v>
      </c>
      <c r="F60" s="435">
        <v>0.64567493205027482</v>
      </c>
      <c r="G60" s="99">
        <f t="shared" si="5"/>
        <v>11.105608831264728</v>
      </c>
      <c r="H60" s="524">
        <f t="shared" si="6"/>
        <v>77.680461651469997</v>
      </c>
      <c r="I60" s="522">
        <v>5.5E-2</v>
      </c>
      <c r="J60" s="523">
        <f t="shared" si="7"/>
        <v>4.2724253908308496</v>
      </c>
    </row>
    <row r="61" spans="1:10" x14ac:dyDescent="0.2">
      <c r="A61" s="36" t="s">
        <v>43</v>
      </c>
      <c r="B61" s="435">
        <v>0.36024452221538517</v>
      </c>
      <c r="C61" s="99">
        <f t="shared" si="3"/>
        <v>101.08461293363709</v>
      </c>
      <c r="D61" s="435">
        <v>0.3415261863525838</v>
      </c>
      <c r="E61" s="99">
        <f t="shared" si="4"/>
        <v>73.940419345334391</v>
      </c>
      <c r="F61" s="435">
        <v>0.16297603071971584</v>
      </c>
      <c r="G61" s="99">
        <f t="shared" si="5"/>
        <v>2.8031877283791129</v>
      </c>
      <c r="H61" s="524">
        <f t="shared" si="6"/>
        <v>177.82822000735058</v>
      </c>
      <c r="I61" s="522">
        <v>5.5E-2</v>
      </c>
      <c r="J61" s="523">
        <f t="shared" si="7"/>
        <v>9.7805521004042824</v>
      </c>
    </row>
    <row r="62" spans="1:10" ht="13.5" thickBot="1" x14ac:dyDescent="0.25">
      <c r="A62" s="59" t="s">
        <v>98</v>
      </c>
      <c r="B62" s="458">
        <f t="shared" ref="B62:H62" si="8">SUM(B58:B61)</f>
        <v>0.99994908882209221</v>
      </c>
      <c r="C62" s="100">
        <f t="shared" si="8"/>
        <v>280.58571432347912</v>
      </c>
      <c r="D62" s="458">
        <f t="shared" si="8"/>
        <v>1.0000000267180449</v>
      </c>
      <c r="E62" s="100">
        <f t="shared" si="8"/>
        <v>216.50000578445673</v>
      </c>
      <c r="F62" s="458">
        <f t="shared" si="8"/>
        <v>0.99999996146514913</v>
      </c>
      <c r="G62" s="100">
        <f t="shared" si="8"/>
        <v>17.199999337200566</v>
      </c>
      <c r="H62" s="525">
        <f t="shared" si="8"/>
        <v>514.28571944513646</v>
      </c>
      <c r="I62" s="441"/>
      <c r="J62" s="101">
        <f>SUM(J58:J61)</f>
        <v>27.866996384099789</v>
      </c>
    </row>
    <row r="63" spans="1:10" s="35" customFormat="1" x14ac:dyDescent="0.2">
      <c r="A63" s="7"/>
      <c r="B63" s="15"/>
      <c r="C63" s="58"/>
      <c r="D63" s="15"/>
      <c r="E63" s="58"/>
      <c r="F63" s="15"/>
      <c r="G63" s="58"/>
      <c r="H63" s="58"/>
      <c r="I63" s="15"/>
      <c r="J63" s="58"/>
    </row>
    <row r="64" spans="1:10" ht="15.75" thickBot="1" x14ac:dyDescent="0.3">
      <c r="A64" s="408" t="s">
        <v>376</v>
      </c>
      <c r="B64" s="411"/>
      <c r="C64" s="411"/>
      <c r="D64" s="411"/>
      <c r="E64" s="411"/>
    </row>
    <row r="65" spans="1:13" ht="98.25" customHeight="1" x14ac:dyDescent="0.2">
      <c r="A65" s="420" t="s">
        <v>357</v>
      </c>
      <c r="B65" s="405" t="s">
        <v>382</v>
      </c>
      <c r="C65" s="405" t="s">
        <v>391</v>
      </c>
      <c r="D65" s="405" t="s">
        <v>343</v>
      </c>
      <c r="E65" s="405" t="s">
        <v>344</v>
      </c>
      <c r="F65" s="406" t="s">
        <v>873</v>
      </c>
      <c r="G65" s="405" t="s">
        <v>394</v>
      </c>
      <c r="H65" s="405" t="s">
        <v>345</v>
      </c>
      <c r="I65" s="405" t="s">
        <v>413</v>
      </c>
      <c r="J65" s="407" t="s">
        <v>586</v>
      </c>
      <c r="K65" s="817" t="s">
        <v>574</v>
      </c>
      <c r="L65" s="712" t="s">
        <v>390</v>
      </c>
      <c r="M65" s="652" t="s">
        <v>415</v>
      </c>
    </row>
    <row r="66" spans="1:13" ht="13.5" thickBot="1" x14ac:dyDescent="0.25">
      <c r="A66" s="894" t="s">
        <v>40</v>
      </c>
      <c r="B66" s="1054">
        <f>ROUND(B50,0)</f>
        <v>212</v>
      </c>
      <c r="C66" s="323">
        <f>ROUNDUP(B66*0.5,1)</f>
        <v>106</v>
      </c>
      <c r="D66" s="323">
        <f>ROUND(J58,0)</f>
        <v>14</v>
      </c>
      <c r="E66" s="887">
        <v>199</v>
      </c>
      <c r="F66" s="916">
        <f>C66-D66-E66</f>
        <v>-107</v>
      </c>
      <c r="G66" s="323">
        <f>B66-C66</f>
        <v>106</v>
      </c>
      <c r="H66" s="453"/>
      <c r="I66" s="323">
        <v>0</v>
      </c>
      <c r="J66" s="326">
        <f>F66+G66-I66</f>
        <v>-1</v>
      </c>
      <c r="K66" s="646">
        <f>C50</f>
        <v>1.2545454545454546</v>
      </c>
      <c r="L66" s="1060">
        <f t="shared" ref="L66:L69" si="9">J66+K66</f>
        <v>0.25454545454545463</v>
      </c>
      <c r="M66" s="715">
        <f>IF((F66+G66-H66-I66+K66)&lt;0,0,(F66+G66-H66-I66+K66))</f>
        <v>0.25454545454545463</v>
      </c>
    </row>
    <row r="67" spans="1:13" ht="13.5" thickBot="1" x14ac:dyDescent="0.25">
      <c r="A67" s="894" t="s">
        <v>41</v>
      </c>
      <c r="B67" s="1054">
        <f>B51</f>
        <v>28.985280656211735</v>
      </c>
      <c r="C67" s="323">
        <f>ROUNDUP(B67*0.5,0)</f>
        <v>15</v>
      </c>
      <c r="D67" s="323">
        <f>ROUND(J59,0)</f>
        <v>0</v>
      </c>
      <c r="E67" s="887">
        <f>ROUND('Project Summary'!T7,0)</f>
        <v>531</v>
      </c>
      <c r="F67" s="916">
        <f>C67-D67-E67</f>
        <v>-516</v>
      </c>
      <c r="G67" s="323">
        <f>B67-C67</f>
        <v>13.985280656211735</v>
      </c>
      <c r="H67" s="453"/>
      <c r="I67" s="323">
        <v>0</v>
      </c>
      <c r="J67" s="326">
        <f t="shared" ref="J67:J69" si="10">F67+G67-I67</f>
        <v>-502.01471934378827</v>
      </c>
      <c r="K67" s="647"/>
      <c r="L67" s="1060">
        <f t="shared" si="9"/>
        <v>-502.01471934378827</v>
      </c>
      <c r="M67" s="715">
        <f t="shared" ref="M67:M69" si="11">IF((F67+G67-H67-I67+K67)&lt;0,0,(F67+G67-H67-I67+K67))</f>
        <v>0</v>
      </c>
    </row>
    <row r="68" spans="1:13" ht="13.5" thickBot="1" x14ac:dyDescent="0.25">
      <c r="A68" s="894" t="s">
        <v>36</v>
      </c>
      <c r="B68" s="1054">
        <f>ROUND(B52,0)</f>
        <v>72</v>
      </c>
      <c r="C68" s="323">
        <f>ROUNDUP(B68*0.5,1)</f>
        <v>36</v>
      </c>
      <c r="D68" s="323">
        <f>ROUND(J60,0)</f>
        <v>4</v>
      </c>
      <c r="E68" s="887">
        <f>ROUND('Project Summary'!T11,0)</f>
        <v>143</v>
      </c>
      <c r="F68" s="916">
        <f>C68-D68-E68</f>
        <v>-111</v>
      </c>
      <c r="G68" s="323">
        <f>B68-C68</f>
        <v>36</v>
      </c>
      <c r="H68" s="453"/>
      <c r="I68" s="323">
        <v>0</v>
      </c>
      <c r="J68" s="326">
        <f t="shared" si="10"/>
        <v>-75</v>
      </c>
      <c r="K68" s="646">
        <f>C52</f>
        <v>5.6454545454545464</v>
      </c>
      <c r="L68" s="1060">
        <f t="shared" si="9"/>
        <v>-69.354545454545459</v>
      </c>
      <c r="M68" s="715">
        <f t="shared" si="11"/>
        <v>0</v>
      </c>
    </row>
    <row r="69" spans="1:13" ht="13.5" thickBot="1" x14ac:dyDescent="0.25">
      <c r="A69" s="894" t="s">
        <v>43</v>
      </c>
      <c r="B69" s="1054">
        <f>ROUND(D53,0)</f>
        <v>166</v>
      </c>
      <c r="C69" s="323">
        <f>ROUNDUP(B69*0.5,1)</f>
        <v>83</v>
      </c>
      <c r="D69" s="323">
        <f>ROUND(J61,0)</f>
        <v>10</v>
      </c>
      <c r="E69" s="887">
        <v>137</v>
      </c>
      <c r="F69" s="916">
        <f>C69-D69-E69</f>
        <v>-64</v>
      </c>
      <c r="G69" s="323">
        <f>B69-C69</f>
        <v>83</v>
      </c>
      <c r="H69" s="453"/>
      <c r="I69" s="323">
        <v>0</v>
      </c>
      <c r="J69" s="326">
        <f t="shared" si="10"/>
        <v>19</v>
      </c>
      <c r="K69" s="649">
        <f>C53</f>
        <v>0</v>
      </c>
      <c r="L69" s="1060">
        <f t="shared" si="9"/>
        <v>19</v>
      </c>
      <c r="M69" s="715">
        <f t="shared" si="11"/>
        <v>19</v>
      </c>
    </row>
    <row r="70" spans="1:13" s="35" customFormat="1" ht="13.5" thickBot="1" x14ac:dyDescent="0.25">
      <c r="A70" s="1080" t="s">
        <v>605</v>
      </c>
      <c r="B70" s="1061"/>
      <c r="C70" s="1062"/>
      <c r="D70" s="1062"/>
      <c r="E70" s="1063">
        <v>2015</v>
      </c>
      <c r="F70" s="1064"/>
      <c r="G70" s="1062"/>
      <c r="H70" s="1065"/>
      <c r="I70" s="1062"/>
      <c r="J70" s="1066"/>
      <c r="K70" s="649"/>
      <c r="L70" s="1067"/>
      <c r="M70" s="715">
        <v>0</v>
      </c>
    </row>
    <row r="71" spans="1:13" ht="13.5" thickBot="1" x14ac:dyDescent="0.25">
      <c r="A71" s="1079" t="s">
        <v>98</v>
      </c>
      <c r="B71" s="398">
        <f>SUM(B66:B70)</f>
        <v>478.98528065621173</v>
      </c>
      <c r="C71" s="398">
        <f>SUM(C66:C69)</f>
        <v>240</v>
      </c>
      <c r="D71" s="398">
        <f>SUM(D66:D70)</f>
        <v>28</v>
      </c>
      <c r="E71" s="402">
        <f>SUM(E66:E70)</f>
        <v>3025</v>
      </c>
      <c r="F71" s="1068">
        <f>SUM(F66:F69)</f>
        <v>-798</v>
      </c>
      <c r="G71" s="398">
        <f>ROUND(SUM(G66:G69),0)</f>
        <v>239</v>
      </c>
      <c r="H71" s="1056"/>
      <c r="I71" s="398">
        <f>SUM(I66:I69)</f>
        <v>0</v>
      </c>
      <c r="J71" s="715">
        <f>SUM(J66:J69)</f>
        <v>-559.01471934378833</v>
      </c>
      <c r="K71" s="398">
        <f>SUM(K66:K69)</f>
        <v>6.9000000000000012</v>
      </c>
      <c r="L71" s="1069">
        <f>SUM(L66:L69)</f>
        <v>-552.11471934378824</v>
      </c>
      <c r="M71" s="715">
        <f>SUM(M66:M69)</f>
        <v>19.254545454545454</v>
      </c>
    </row>
    <row r="72" spans="1:13" s="35" customFormat="1" x14ac:dyDescent="0.2">
      <c r="A72" s="706" t="s">
        <v>414</v>
      </c>
      <c r="B72" s="671"/>
      <c r="C72" s="671"/>
      <c r="D72" s="671"/>
      <c r="E72" s="669"/>
      <c r="F72" s="708"/>
      <c r="G72" s="709"/>
      <c r="H72" s="709"/>
      <c r="I72" s="671"/>
      <c r="J72" s="671"/>
      <c r="K72" s="710"/>
      <c r="L72" s="671"/>
    </row>
    <row r="73" spans="1:13" x14ac:dyDescent="0.2">
      <c r="A73" s="922" t="s">
        <v>40</v>
      </c>
      <c r="B73" s="33"/>
    </row>
    <row r="74" spans="1:13" s="35" customFormat="1" ht="13.5" thickBot="1" x14ac:dyDescent="0.25">
      <c r="A74" s="427" t="s">
        <v>333</v>
      </c>
    </row>
    <row r="75" spans="1:13" ht="62.25" customHeight="1" x14ac:dyDescent="0.2">
      <c r="A75" s="388" t="str">
        <f t="shared" ref="A75:A80" si="12">A57</f>
        <v xml:space="preserve">2009 Developed Land Uses Stormwater Loading by Jurisdiction for Trout Lake </v>
      </c>
      <c r="B75" s="389" t="str">
        <f t="shared" ref="B75:B80" si="13">C57</f>
        <v>Total Loading Developed-High lbs/yr TP</v>
      </c>
      <c r="C75" s="389" t="str">
        <f t="shared" ref="C75:C80" si="14">E57</f>
        <v>Total Loading Developed-Medium lbs/yr TP</v>
      </c>
      <c r="D75" s="389" t="str">
        <f t="shared" ref="D75:E80" si="15">G57</f>
        <v>Total Loading Developed-Low lbs/yr TP</v>
      </c>
      <c r="E75" s="390" t="str">
        <f t="shared" si="15"/>
        <v>Developed Land Uses (Stormwater) Total Loading lbs/yr TP</v>
      </c>
      <c r="F75" s="400" t="s">
        <v>332</v>
      </c>
    </row>
    <row r="76" spans="1:13" x14ac:dyDescent="0.2">
      <c r="A76" s="336" t="str">
        <f t="shared" si="12"/>
        <v>Eustis</v>
      </c>
      <c r="B76" s="323">
        <f t="shared" si="13"/>
        <v>140.5806</v>
      </c>
      <c r="C76" s="323">
        <f t="shared" si="14"/>
        <v>83.779482834186865</v>
      </c>
      <c r="D76" s="323">
        <f t="shared" si="15"/>
        <v>3.2787117827782217</v>
      </c>
      <c r="E76" s="333">
        <f t="shared" si="15"/>
        <v>227.6387946169651</v>
      </c>
      <c r="F76" s="395">
        <f>E76/$E$80</f>
        <v>0.44263098509242077</v>
      </c>
    </row>
    <row r="77" spans="1:13" x14ac:dyDescent="0.2">
      <c r="A77" s="336" t="str">
        <f t="shared" si="12"/>
        <v>FDOT</v>
      </c>
      <c r="B77" s="323">
        <f t="shared" si="13"/>
        <v>30.221901389841999</v>
      </c>
      <c r="C77" s="323">
        <f t="shared" si="14"/>
        <v>0.90385078473021185</v>
      </c>
      <c r="D77" s="323">
        <f t="shared" si="15"/>
        <v>1.2490994778505776E-2</v>
      </c>
      <c r="E77" s="333">
        <f t="shared" si="15"/>
        <v>31.138243169350719</v>
      </c>
      <c r="F77" s="395">
        <f t="shared" ref="F77:F80" si="16">E77/$E$80</f>
        <v>6.0546583332988152E-2</v>
      </c>
    </row>
    <row r="78" spans="1:13" x14ac:dyDescent="0.2">
      <c r="A78" s="336" t="str">
        <f t="shared" si="12"/>
        <v>Lake County</v>
      </c>
      <c r="B78" s="323">
        <f t="shared" si="13"/>
        <v>8.6986000000000008</v>
      </c>
      <c r="C78" s="323">
        <f t="shared" si="14"/>
        <v>57.876252820205259</v>
      </c>
      <c r="D78" s="323">
        <f t="shared" si="15"/>
        <v>11.105608831264728</v>
      </c>
      <c r="E78" s="333">
        <f t="shared" si="15"/>
        <v>77.680461651469997</v>
      </c>
      <c r="F78" s="395">
        <f t="shared" si="16"/>
        <v>0.15104534058476202</v>
      </c>
    </row>
    <row r="79" spans="1:13" x14ac:dyDescent="0.2">
      <c r="A79" s="336" t="str">
        <f t="shared" si="12"/>
        <v>Umatilla</v>
      </c>
      <c r="B79" s="323">
        <f t="shared" si="13"/>
        <v>101.08461293363709</v>
      </c>
      <c r="C79" s="323">
        <f t="shared" si="14"/>
        <v>73.940419345334391</v>
      </c>
      <c r="D79" s="323">
        <f t="shared" si="15"/>
        <v>2.8031877283791129</v>
      </c>
      <c r="E79" s="333">
        <f t="shared" si="15"/>
        <v>177.82822000735058</v>
      </c>
      <c r="F79" s="395">
        <f t="shared" si="16"/>
        <v>0.34577709098982889</v>
      </c>
    </row>
    <row r="80" spans="1:13" ht="13.5" thickBot="1" x14ac:dyDescent="0.25">
      <c r="A80" s="445" t="str">
        <f t="shared" si="12"/>
        <v>Total lbs/yr TP</v>
      </c>
      <c r="B80" s="397">
        <f t="shared" si="13"/>
        <v>280.58571432347912</v>
      </c>
      <c r="C80" s="397">
        <f t="shared" si="14"/>
        <v>216.50000578445673</v>
      </c>
      <c r="D80" s="397">
        <f t="shared" si="15"/>
        <v>17.199999337200566</v>
      </c>
      <c r="E80" s="398">
        <f t="shared" si="15"/>
        <v>514.28571944513646</v>
      </c>
      <c r="F80" s="399">
        <f t="shared" si="16"/>
        <v>1</v>
      </c>
    </row>
  </sheetData>
  <mergeCells count="1">
    <mergeCell ref="B3:J4"/>
  </mergeCells>
  <conditionalFormatting sqref="F76:F80">
    <cfRule type="cellIs" dxfId="4" priority="1" operator="between">
      <formula>0</formula>
      <formula>0.01</formula>
    </cfRule>
  </conditionalFormatting>
  <printOptions gridLines="1"/>
  <pageMargins left="0.7" right="0.7" top="0.5" bottom="1" header="0.3" footer="0.3"/>
  <pageSetup paperSize="5" scale="80" pageOrder="overThenDown" orientation="landscape" r:id="rId1"/>
  <headerFooter>
    <oddHeader>&amp;L&amp;"Arial,Bold"&amp;11&amp;KC00000DRAFT&amp;CTrout Lake Allocation Calculations&amp;RFDEP, August 16, 2016</oddHeader>
    <oddFooter>&amp;RPage &amp;P of &amp;N</oddFooter>
  </headerFooter>
  <rowBreaks count="2" manualBreakCount="2">
    <brk id="39" max="16383" man="1"/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8</vt:i4>
      </vt:variant>
    </vt:vector>
  </HeadingPairs>
  <TitlesOfParts>
    <vt:vector size="36" baseType="lpstr">
      <vt:lpstr>Notes</vt:lpstr>
      <vt:lpstr>priority lake reduction summary</vt:lpstr>
      <vt:lpstr>prioritylake allocation summary</vt:lpstr>
      <vt:lpstr>Project Summary</vt:lpstr>
      <vt:lpstr>summary priority budget</vt:lpstr>
      <vt:lpstr>De minimis Summary</vt:lpstr>
      <vt:lpstr>Harris Allocate</vt:lpstr>
      <vt:lpstr>Hydrology</vt:lpstr>
      <vt:lpstr>Trout Allocate</vt:lpstr>
      <vt:lpstr> Palatlakaha allocation TP</vt:lpstr>
      <vt:lpstr>Yale allocation</vt:lpstr>
      <vt:lpstr>Carlton Allocate</vt:lpstr>
      <vt:lpstr>Harris Chain education</vt:lpstr>
      <vt:lpstr>Education_summary</vt:lpstr>
      <vt:lpstr>education credit scheme</vt:lpstr>
      <vt:lpstr>Denham_allocation</vt:lpstr>
      <vt:lpstr>Roberts_allocation</vt:lpstr>
      <vt:lpstr>Marshall_allocation</vt:lpstr>
      <vt:lpstr>summary budgets nonpriority</vt:lpstr>
      <vt:lpstr>Trout Expanded</vt:lpstr>
      <vt:lpstr>ag converted</vt:lpstr>
      <vt:lpstr>Ag_BMPs Palatlakaha</vt:lpstr>
      <vt:lpstr>Harris Chain Ag BMPs_032017</vt:lpstr>
      <vt:lpstr>Basin Acreages_032917</vt:lpstr>
      <vt:lpstr>Harris Chain ag summary</vt:lpstr>
      <vt:lpstr>Basin_acreages_122017</vt:lpstr>
      <vt:lpstr>UOB 2020 Ag</vt:lpstr>
      <vt:lpstr>122017 ag asummary</vt:lpstr>
      <vt:lpstr>' Palatlakaha allocation TP'!Print_Area</vt:lpstr>
      <vt:lpstr>'Carlton Allocate'!Print_Area</vt:lpstr>
      <vt:lpstr>Education_summary!Print_Area</vt:lpstr>
      <vt:lpstr>'Harris Allocate'!Print_Area</vt:lpstr>
      <vt:lpstr>'Project Summary'!Print_Area</vt:lpstr>
      <vt:lpstr>'Trout Allocate'!Print_Area</vt:lpstr>
      <vt:lpstr>'Yale allocation'!Print_Area</vt:lpstr>
      <vt:lpstr>'Project Summary'!Print_Titles</vt:lpstr>
    </vt:vector>
  </TitlesOfParts>
  <Company>SJRWMD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dc:description>corrected 8/21/06 to reflect removal of GRIF12 project and 11 pounds reduction in TP</dc:description>
  <cp:lastModifiedBy>Paulic, Mary</cp:lastModifiedBy>
  <cp:lastPrinted>2017-08-23T20:17:26Z</cp:lastPrinted>
  <dcterms:created xsi:type="dcterms:W3CDTF">2004-09-16T14:17:07Z</dcterms:created>
  <dcterms:modified xsi:type="dcterms:W3CDTF">2021-09-27T15:17:44Z</dcterms:modified>
</cp:coreProperties>
</file>