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UOB presentations\April_2016\"/>
    </mc:Choice>
  </mc:AlternateContent>
  <bookViews>
    <workbookView xWindow="0" yWindow="0" windowWidth="19200" windowHeight="11595" tabRatio="874" firstSheet="2" activeTab="6"/>
  </bookViews>
  <sheets>
    <sheet name="Notes" sheetId="94" r:id="rId1"/>
    <sheet name="priority lake reduction summary" sheetId="87" r:id="rId2"/>
    <sheet name="prioritylake allocation summary" sheetId="89" r:id="rId3"/>
    <sheet name="Project Summary" sheetId="96" r:id="rId4"/>
    <sheet name="De minimis Summary" sheetId="97" r:id="rId5"/>
    <sheet name="Harris Allocate" sheetId="83" r:id="rId6"/>
    <sheet name="Trout Allocate" sheetId="88" r:id="rId7"/>
    <sheet name="Palatlakaha allocate" sheetId="84" r:id="rId8"/>
    <sheet name="Yale allocation" sheetId="86" r:id="rId9"/>
    <sheet name="Carlton Allocate" sheetId="82" r:id="rId10"/>
    <sheet name="Harris Chain education" sheetId="90" r:id="rId11"/>
    <sheet name="Education_summary" sheetId="92" r:id="rId12"/>
    <sheet name="education credit scheme" sheetId="93" r:id="rId13"/>
    <sheet name="Trout Expanded" sheetId="95" r:id="rId14"/>
  </sheets>
  <definedNames>
    <definedName name="_xlnm.Print_Area" localSheetId="9">'Carlton Allocate'!$A$1:$L$73</definedName>
    <definedName name="_xlnm.Print_Area" localSheetId="5">'Harris Allocate'!$A$1:$L$101</definedName>
    <definedName name="_xlnm.Print_Area" localSheetId="7">'Palatlakaha allocate'!$A$1:$L$96</definedName>
    <definedName name="_xlnm.Print_Area" localSheetId="6">'Trout Allocate'!$A$1:$L$77</definedName>
    <definedName name="_xlnm.Print_Area" localSheetId="8">'Yale allocation'!$A$1:$L$81</definedName>
  </definedNames>
  <calcPr calcId="152511"/>
</workbook>
</file>

<file path=xl/calcChain.xml><?xml version="1.0" encoding="utf-8"?>
<calcChain xmlns="http://schemas.openxmlformats.org/spreadsheetml/2006/main">
  <c r="D36" i="82" l="1"/>
  <c r="C36" i="82"/>
  <c r="I43" i="82"/>
  <c r="F43" i="82"/>
  <c r="C43" i="82"/>
  <c r="J35" i="82"/>
  <c r="I35" i="82"/>
  <c r="I71" i="86"/>
  <c r="G71" i="86"/>
  <c r="G66" i="86"/>
  <c r="I43" i="86"/>
  <c r="F43" i="86"/>
  <c r="C43" i="86"/>
  <c r="J31" i="86"/>
  <c r="I31" i="86"/>
  <c r="I46" i="84"/>
  <c r="F46" i="84"/>
  <c r="C46" i="84"/>
  <c r="I38" i="88"/>
  <c r="H38" i="88"/>
  <c r="F38" i="88"/>
  <c r="E38" i="88"/>
  <c r="C38" i="88"/>
  <c r="B38" i="88"/>
  <c r="C44" i="88"/>
  <c r="I55" i="83"/>
  <c r="F55" i="83"/>
  <c r="C55" i="83"/>
  <c r="D44" i="83"/>
  <c r="C44" i="83"/>
  <c r="F84" i="84"/>
  <c r="I84" i="84"/>
  <c r="F27" i="88" l="1"/>
  <c r="B21" i="86" l="1"/>
  <c r="F7" i="83" l="1"/>
  <c r="B19" i="82" l="1"/>
  <c r="B27" i="83"/>
  <c r="B29" i="83" s="1"/>
  <c r="B28" i="97" l="1"/>
  <c r="C28" i="97"/>
  <c r="D28" i="97"/>
  <c r="E28" i="97"/>
  <c r="F28" i="97"/>
  <c r="G28" i="97"/>
  <c r="B26" i="97"/>
  <c r="C26" i="97"/>
  <c r="D26" i="97"/>
  <c r="E26" i="97"/>
  <c r="F26" i="97"/>
  <c r="G26" i="97"/>
  <c r="B29" i="97"/>
  <c r="C29" i="97"/>
  <c r="D29" i="97"/>
  <c r="E29" i="97"/>
  <c r="F29" i="97"/>
  <c r="G29" i="97"/>
  <c r="B25" i="97"/>
  <c r="C25" i="97"/>
  <c r="D25" i="97"/>
  <c r="E25" i="97"/>
  <c r="F25" i="97"/>
  <c r="G25" i="97"/>
  <c r="B27" i="97"/>
  <c r="C27" i="97"/>
  <c r="D27" i="97"/>
  <c r="E27" i="97"/>
  <c r="F27" i="97"/>
  <c r="G27" i="97"/>
  <c r="B24" i="97"/>
  <c r="C24" i="97"/>
  <c r="D24" i="97"/>
  <c r="E24" i="97"/>
  <c r="F24" i="97"/>
  <c r="B21" i="97"/>
  <c r="C21" i="97"/>
  <c r="D21" i="97"/>
  <c r="E21" i="97"/>
  <c r="F21" i="97"/>
  <c r="B22" i="97"/>
  <c r="C22" i="97"/>
  <c r="D22" i="97"/>
  <c r="E22" i="97"/>
  <c r="F22" i="97"/>
  <c r="B23" i="97"/>
  <c r="C23" i="97"/>
  <c r="D23" i="97"/>
  <c r="E23" i="97"/>
  <c r="F23" i="97"/>
  <c r="B8" i="97"/>
  <c r="B11" i="97"/>
  <c r="B12" i="97"/>
  <c r="E68" i="82"/>
  <c r="D68" i="82"/>
  <c r="C68" i="82"/>
  <c r="B68" i="82"/>
  <c r="A68" i="82"/>
  <c r="A69" i="82"/>
  <c r="B4" i="97" s="1"/>
  <c r="A70" i="82"/>
  <c r="B3" i="97" s="1"/>
  <c r="A71" i="82"/>
  <c r="B5" i="97" s="1"/>
  <c r="F76" i="86"/>
  <c r="F77" i="86"/>
  <c r="F78" i="86"/>
  <c r="F79" i="86"/>
  <c r="F80" i="86"/>
  <c r="F75" i="86"/>
  <c r="E74" i="86"/>
  <c r="E75" i="86"/>
  <c r="E76" i="86"/>
  <c r="E77" i="86"/>
  <c r="E78" i="86"/>
  <c r="E79" i="86"/>
  <c r="E80" i="86"/>
  <c r="D74" i="86"/>
  <c r="D75" i="86"/>
  <c r="D76" i="86"/>
  <c r="D77" i="86"/>
  <c r="D78" i="86"/>
  <c r="D79" i="86"/>
  <c r="D80" i="86"/>
  <c r="C74" i="86"/>
  <c r="C75" i="86"/>
  <c r="C76" i="86"/>
  <c r="C77" i="86"/>
  <c r="C78" i="86"/>
  <c r="C79" i="86"/>
  <c r="C80" i="86"/>
  <c r="B74" i="86"/>
  <c r="B75" i="86"/>
  <c r="B76" i="86"/>
  <c r="B77" i="86"/>
  <c r="B78" i="86"/>
  <c r="B79" i="86"/>
  <c r="B80" i="86"/>
  <c r="A74" i="86"/>
  <c r="A75" i="86"/>
  <c r="A76" i="86"/>
  <c r="A77" i="86"/>
  <c r="A78" i="86"/>
  <c r="A79" i="86"/>
  <c r="E87" i="84"/>
  <c r="D87" i="84"/>
  <c r="D95" i="84"/>
  <c r="E15" i="97" s="1"/>
  <c r="C87" i="84"/>
  <c r="B87" i="84"/>
  <c r="A87" i="84"/>
  <c r="A88" i="84"/>
  <c r="B16" i="97" s="1"/>
  <c r="A89" i="84"/>
  <c r="B19" i="97" s="1"/>
  <c r="A90" i="84"/>
  <c r="B20" i="97" s="1"/>
  <c r="A91" i="84"/>
  <c r="B18" i="97" s="1"/>
  <c r="A92" i="84"/>
  <c r="B13" i="97" s="1"/>
  <c r="A93" i="84"/>
  <c r="B17" i="97" s="1"/>
  <c r="A94" i="84"/>
  <c r="B14" i="97" s="1"/>
  <c r="A95" i="84"/>
  <c r="B15" i="97" s="1"/>
  <c r="A96" i="84"/>
  <c r="E72" i="88"/>
  <c r="D72" i="88"/>
  <c r="C72" i="88"/>
  <c r="B72" i="88"/>
  <c r="A72" i="88"/>
  <c r="A73" i="88"/>
  <c r="A74" i="88"/>
  <c r="A75" i="88"/>
  <c r="A76" i="88"/>
  <c r="A77" i="88"/>
  <c r="A92" i="83"/>
  <c r="B92" i="83"/>
  <c r="C92" i="83"/>
  <c r="D92" i="83"/>
  <c r="E92" i="83"/>
  <c r="A93" i="83"/>
  <c r="A94" i="83"/>
  <c r="B9" i="97" s="1"/>
  <c r="A95" i="83"/>
  <c r="B7" i="97" s="1"/>
  <c r="A96" i="83"/>
  <c r="A97" i="83"/>
  <c r="A98" i="83"/>
  <c r="B10" i="97" s="1"/>
  <c r="A99" i="83"/>
  <c r="B6" i="97" s="1"/>
  <c r="A100" i="83"/>
  <c r="G82" i="83" l="1"/>
  <c r="G65" i="88"/>
  <c r="H35" i="82" l="1"/>
  <c r="I33" i="82" s="1"/>
  <c r="J33" i="82" s="1"/>
  <c r="H31" i="86"/>
  <c r="I30" i="86" s="1"/>
  <c r="J30" i="86" s="1"/>
  <c r="H42" i="83"/>
  <c r="I38" i="83" s="1"/>
  <c r="J38" i="83" s="1"/>
  <c r="I34" i="82" l="1"/>
  <c r="J34" i="82" s="1"/>
  <c r="I39" i="83"/>
  <c r="J39" i="83" s="1"/>
  <c r="I40" i="83"/>
  <c r="J40" i="83" s="1"/>
  <c r="I37" i="83"/>
  <c r="I41" i="83"/>
  <c r="J41" i="83" s="1"/>
  <c r="I29" i="86"/>
  <c r="J29" i="86" s="1"/>
  <c r="F71" i="84"/>
  <c r="F69" i="84"/>
  <c r="F68" i="84"/>
  <c r="F67" i="84"/>
  <c r="F66" i="84"/>
  <c r="F65" i="84"/>
  <c r="F64" i="84"/>
  <c r="D71" i="84"/>
  <c r="D70" i="84"/>
  <c r="D69" i="84"/>
  <c r="D68" i="84"/>
  <c r="D67" i="84"/>
  <c r="D66" i="84"/>
  <c r="D65" i="84"/>
  <c r="D64" i="84"/>
  <c r="B71" i="84"/>
  <c r="B70" i="84"/>
  <c r="B69" i="84"/>
  <c r="B68" i="84"/>
  <c r="B67" i="84"/>
  <c r="B66" i="84"/>
  <c r="B65" i="84"/>
  <c r="B64" i="84"/>
  <c r="I42" i="83" l="1"/>
  <c r="J37" i="83"/>
  <c r="J42" i="83" s="1"/>
  <c r="G69" i="88"/>
  <c r="J8" i="82" l="1"/>
  <c r="J5" i="82"/>
  <c r="G17" i="82"/>
  <c r="G16" i="82"/>
  <c r="G15" i="82"/>
  <c r="G13" i="82"/>
  <c r="G12" i="82"/>
  <c r="G11" i="82"/>
  <c r="G10" i="82"/>
  <c r="G9" i="82"/>
  <c r="E64" i="82" l="1"/>
  <c r="E63" i="82"/>
  <c r="E62" i="82"/>
  <c r="I56" i="82"/>
  <c r="I55" i="82"/>
  <c r="I57" i="82"/>
  <c r="E70" i="86"/>
  <c r="E69" i="86"/>
  <c r="E68" i="86"/>
  <c r="E67" i="86"/>
  <c r="E66" i="86"/>
  <c r="E83" i="84"/>
  <c r="E82" i="84"/>
  <c r="E81" i="84"/>
  <c r="E80" i="84"/>
  <c r="E79" i="84"/>
  <c r="E78" i="84"/>
  <c r="E77" i="84"/>
  <c r="E76" i="84"/>
  <c r="E68" i="88"/>
  <c r="E67" i="88"/>
  <c r="E66" i="88"/>
  <c r="E65" i="88"/>
  <c r="E88" i="83"/>
  <c r="E87" i="83"/>
  <c r="E86" i="83"/>
  <c r="E85" i="83"/>
  <c r="E84" i="83"/>
  <c r="E83" i="83"/>
  <c r="E82" i="83"/>
  <c r="C26" i="96"/>
  <c r="D26" i="96"/>
  <c r="E26" i="96"/>
  <c r="F26" i="96"/>
  <c r="G26" i="96"/>
  <c r="H26" i="96"/>
  <c r="I26" i="96"/>
  <c r="J26" i="96"/>
  <c r="K26" i="96"/>
  <c r="L26" i="96"/>
  <c r="M26" i="96"/>
  <c r="N26" i="96"/>
  <c r="O26" i="96"/>
  <c r="P26" i="96"/>
  <c r="Q26" i="96"/>
  <c r="R26" i="96"/>
  <c r="S26" i="96"/>
  <c r="T26" i="96"/>
  <c r="U26" i="96"/>
  <c r="V26" i="96"/>
  <c r="W26" i="96"/>
  <c r="X26" i="96"/>
  <c r="Y26" i="96"/>
  <c r="Z26" i="96"/>
  <c r="AA26" i="96"/>
  <c r="AB26" i="96"/>
  <c r="AC26" i="96"/>
  <c r="AD26" i="96"/>
  <c r="AE26" i="96"/>
  <c r="AF26" i="96"/>
  <c r="AG26" i="96"/>
  <c r="AH26" i="96"/>
  <c r="B26" i="96"/>
  <c r="E65" i="82" l="1"/>
  <c r="E84" i="84"/>
  <c r="E69" i="88"/>
  <c r="E71" i="86"/>
  <c r="E89" i="83"/>
  <c r="F21" i="92" l="1"/>
  <c r="F20" i="92"/>
  <c r="F19" i="92"/>
  <c r="F17" i="92"/>
  <c r="F15" i="92"/>
  <c r="F14" i="92"/>
  <c r="F13" i="92"/>
  <c r="F8" i="92"/>
  <c r="F6" i="92"/>
  <c r="F5" i="92"/>
  <c r="D21" i="92"/>
  <c r="U21" i="92" s="1"/>
  <c r="D20" i="92"/>
  <c r="D18" i="92"/>
  <c r="D17" i="92"/>
  <c r="D16" i="92"/>
  <c r="D15" i="92"/>
  <c r="D12" i="92"/>
  <c r="D9" i="92"/>
  <c r="D6" i="92"/>
  <c r="D4" i="92"/>
  <c r="F12" i="92"/>
  <c r="I14" i="90"/>
  <c r="H46" i="84" l="1"/>
  <c r="E46" i="84"/>
  <c r="B46" i="84" l="1"/>
  <c r="I44" i="95" l="1"/>
  <c r="H37" i="95"/>
  <c r="I37" i="95" s="1"/>
  <c r="H20" i="95"/>
  <c r="I20" i="95" s="1"/>
  <c r="F37" i="95"/>
  <c r="F36" i="95"/>
  <c r="F35" i="95"/>
  <c r="F34" i="95"/>
  <c r="G34" i="95" s="1"/>
  <c r="H34" i="95" s="1"/>
  <c r="I34" i="95" s="1"/>
  <c r="F33" i="95"/>
  <c r="G33" i="95" s="1"/>
  <c r="H33" i="95" s="1"/>
  <c r="I33" i="95" s="1"/>
  <c r="F32" i="95"/>
  <c r="F31" i="95"/>
  <c r="G31" i="95" s="1"/>
  <c r="H31" i="95" s="1"/>
  <c r="I31" i="95" s="1"/>
  <c r="F30" i="95"/>
  <c r="G30" i="95" s="1"/>
  <c r="H30" i="95" s="1"/>
  <c r="I30" i="95" s="1"/>
  <c r="F29" i="95"/>
  <c r="G29" i="95" s="1"/>
  <c r="H29" i="95" s="1"/>
  <c r="I29" i="95" s="1"/>
  <c r="F28" i="95"/>
  <c r="F27" i="95"/>
  <c r="G27" i="95" s="1"/>
  <c r="H27" i="95" s="1"/>
  <c r="I27" i="95" s="1"/>
  <c r="F26" i="95"/>
  <c r="G26" i="95" s="1"/>
  <c r="H26" i="95" s="1"/>
  <c r="I26" i="95" s="1"/>
  <c r="F25" i="95"/>
  <c r="G25" i="95" s="1"/>
  <c r="H25" i="95" s="1"/>
  <c r="I25" i="95" s="1"/>
  <c r="F24" i="95"/>
  <c r="F23" i="95"/>
  <c r="G23" i="95" s="1"/>
  <c r="H23" i="95" s="1"/>
  <c r="I23" i="95" s="1"/>
  <c r="F22" i="95"/>
  <c r="G22" i="95" s="1"/>
  <c r="H22" i="95" s="1"/>
  <c r="I22" i="95" s="1"/>
  <c r="F21" i="95"/>
  <c r="G21" i="95" s="1"/>
  <c r="H21" i="95" s="1"/>
  <c r="I21" i="95" s="1"/>
  <c r="F20" i="95"/>
  <c r="G20" i="95" s="1"/>
  <c r="G36" i="95"/>
  <c r="H36" i="95" s="1"/>
  <c r="I36" i="95" s="1"/>
  <c r="G35" i="95"/>
  <c r="H35" i="95" s="1"/>
  <c r="I35" i="95" s="1"/>
  <c r="G32" i="95"/>
  <c r="H32" i="95" s="1"/>
  <c r="I32" i="95" s="1"/>
  <c r="G28" i="95"/>
  <c r="H28" i="95" s="1"/>
  <c r="I28" i="95" s="1"/>
  <c r="G24" i="95"/>
  <c r="H24" i="95" s="1"/>
  <c r="I24" i="95" s="1"/>
  <c r="J32" i="95" l="1"/>
  <c r="J36" i="95"/>
  <c r="J37" i="95"/>
  <c r="G73" i="95"/>
  <c r="G98" i="95"/>
  <c r="J34" i="95"/>
  <c r="G86" i="95"/>
  <c r="G64" i="95"/>
  <c r="J22" i="95"/>
  <c r="G90" i="95"/>
  <c r="G105" i="95"/>
  <c r="G80" i="95"/>
  <c r="G65" i="95"/>
  <c r="J26" i="95"/>
  <c r="G84" i="95"/>
  <c r="G62" i="95"/>
  <c r="G100" i="95"/>
  <c r="G75" i="95"/>
  <c r="G82" i="95"/>
  <c r="G92" i="95"/>
  <c r="G107" i="95"/>
  <c r="G67" i="95"/>
  <c r="G69" i="95"/>
  <c r="G94" i="95"/>
  <c r="J30" i="95"/>
  <c r="G106" i="95"/>
  <c r="G91" i="95"/>
  <c r="G66" i="95"/>
  <c r="J27" i="95"/>
  <c r="G70" i="95"/>
  <c r="G95" i="95"/>
  <c r="J31" i="95"/>
  <c r="G63" i="95"/>
  <c r="G85" i="95"/>
  <c r="G87" i="95"/>
  <c r="G77" i="95"/>
  <c r="K63" i="95" s="1"/>
  <c r="G102" i="95"/>
  <c r="J23" i="95"/>
  <c r="G88" i="95"/>
  <c r="G78" i="95"/>
  <c r="L63" i="95" s="1"/>
  <c r="G103" i="95"/>
  <c r="J24" i="95"/>
  <c r="J28" i="95"/>
  <c r="G71" i="95"/>
  <c r="G96" i="95"/>
  <c r="G104" i="95"/>
  <c r="G89" i="95"/>
  <c r="G79" i="95"/>
  <c r="M63" i="95" s="1"/>
  <c r="G68" i="95"/>
  <c r="G93" i="95"/>
  <c r="G97" i="95"/>
  <c r="G72" i="95"/>
  <c r="G99" i="95"/>
  <c r="G74" i="95"/>
  <c r="G81" i="95"/>
  <c r="J35" i="95"/>
  <c r="G76" i="95"/>
  <c r="G101" i="95"/>
  <c r="G83" i="95"/>
  <c r="J20" i="95"/>
  <c r="J21" i="95"/>
  <c r="J25" i="95"/>
  <c r="J29" i="95"/>
  <c r="J33" i="95"/>
  <c r="G58" i="95"/>
  <c r="G57" i="95"/>
  <c r="G56" i="95"/>
  <c r="G55" i="95"/>
  <c r="G54" i="95"/>
  <c r="G53" i="95"/>
  <c r="E58" i="95"/>
  <c r="E57" i="95"/>
  <c r="E56" i="95"/>
  <c r="E55" i="95"/>
  <c r="E54" i="95"/>
  <c r="E53" i="95"/>
  <c r="C58" i="95"/>
  <c r="C57" i="95"/>
  <c r="C56" i="95"/>
  <c r="C55" i="95"/>
  <c r="C54" i="95"/>
  <c r="C53" i="95"/>
  <c r="K65" i="95" l="1"/>
  <c r="M65" i="95"/>
  <c r="L64" i="95"/>
  <c r="K64" i="95"/>
  <c r="M64" i="95"/>
  <c r="L65" i="95"/>
  <c r="N65" i="95"/>
  <c r="L72" i="95" s="1"/>
  <c r="M72" i="95" s="1"/>
  <c r="L62" i="95"/>
  <c r="N63" i="95"/>
  <c r="L70" i="95" s="1"/>
  <c r="M70" i="95" s="1"/>
  <c r="K62" i="95"/>
  <c r="G108" i="95"/>
  <c r="M62" i="95"/>
  <c r="F21" i="82"/>
  <c r="F22" i="82" s="1"/>
  <c r="H17" i="82"/>
  <c r="H16" i="82"/>
  <c r="E19" i="86"/>
  <c r="B19" i="86"/>
  <c r="I16" i="82" l="1"/>
  <c r="K34" i="82" s="1"/>
  <c r="D49" i="82" s="1"/>
  <c r="N62" i="95"/>
  <c r="J16" i="82"/>
  <c r="K33" i="82"/>
  <c r="D48" i="82" s="1"/>
  <c r="I17" i="82"/>
  <c r="J17" i="82" s="1"/>
  <c r="L69" i="95"/>
  <c r="N64" i="95"/>
  <c r="L71" i="95" s="1"/>
  <c r="M71" i="95" s="1"/>
  <c r="N66" i="95" l="1"/>
  <c r="M69" i="95"/>
  <c r="L73" i="95"/>
  <c r="L33" i="82"/>
  <c r="D24" i="89" s="1"/>
  <c r="L34" i="82"/>
  <c r="D29" i="89" s="1"/>
  <c r="F17" i="86"/>
  <c r="F16" i="86"/>
  <c r="F25" i="83"/>
  <c r="F24" i="83"/>
  <c r="G25" i="83" l="1"/>
  <c r="G24" i="83"/>
  <c r="G16" i="86"/>
  <c r="G17" i="86"/>
  <c r="H55" i="83" l="1"/>
  <c r="E55" i="83"/>
  <c r="B55" i="83"/>
  <c r="B44" i="83"/>
  <c r="B36" i="82" l="1"/>
  <c r="H43" i="82"/>
  <c r="E43" i="82"/>
  <c r="B43" i="82"/>
  <c r="H43" i="86" l="1"/>
  <c r="E43" i="86"/>
  <c r="B43" i="86"/>
  <c r="E19" i="87" l="1"/>
  <c r="D19" i="87"/>
  <c r="C19" i="87"/>
  <c r="D9" i="90" l="1"/>
  <c r="H26" i="90" s="1"/>
  <c r="D7" i="90"/>
  <c r="H18" i="90" s="1"/>
  <c r="D5" i="90"/>
  <c r="H34" i="90" s="1"/>
  <c r="D3" i="90"/>
  <c r="H43" i="90" s="1"/>
  <c r="S10" i="92" l="1"/>
  <c r="T10" i="92" s="1"/>
  <c r="J43" i="90"/>
  <c r="H15" i="90"/>
  <c r="Q10" i="92"/>
  <c r="R10" i="92" s="1"/>
  <c r="J34" i="90"/>
  <c r="H23" i="90"/>
  <c r="O16" i="92"/>
  <c r="P16" i="92" s="1"/>
  <c r="J18" i="90"/>
  <c r="H27" i="90"/>
  <c r="M11" i="92"/>
  <c r="N11" i="92" s="1"/>
  <c r="J26" i="90"/>
  <c r="H44" i="90"/>
  <c r="H47" i="90" s="1"/>
  <c r="H16" i="90"/>
  <c r="H24" i="90"/>
  <c r="H32" i="90"/>
  <c r="H36" i="90"/>
  <c r="H45" i="90"/>
  <c r="H35" i="90"/>
  <c r="H17" i="90"/>
  <c r="H33" i="90"/>
  <c r="H37" i="90"/>
  <c r="H46" i="90"/>
  <c r="H25" i="90"/>
  <c r="H14" i="90"/>
  <c r="O6" i="92" l="1"/>
  <c r="P6" i="92" s="1"/>
  <c r="J14" i="90"/>
  <c r="H19" i="90"/>
  <c r="M10" i="92"/>
  <c r="N10" i="92" s="1"/>
  <c r="J25" i="90"/>
  <c r="S16" i="92"/>
  <c r="T16" i="92" s="1"/>
  <c r="J46" i="90"/>
  <c r="Q21" i="92"/>
  <c r="J35" i="90"/>
  <c r="M20" i="92"/>
  <c r="N20" i="92" s="1"/>
  <c r="U20" i="92" s="1"/>
  <c r="J24" i="90"/>
  <c r="O7" i="92"/>
  <c r="P7" i="92" s="1"/>
  <c r="J15" i="90"/>
  <c r="Q16" i="92"/>
  <c r="R16" i="92" s="1"/>
  <c r="J37" i="90"/>
  <c r="S15" i="92"/>
  <c r="T15" i="92" s="1"/>
  <c r="T22" i="92" s="1"/>
  <c r="J45" i="90"/>
  <c r="O10" i="92"/>
  <c r="P10" i="92" s="1"/>
  <c r="J16" i="90"/>
  <c r="M7" i="92"/>
  <c r="N7" i="92" s="1"/>
  <c r="N22" i="92" s="1"/>
  <c r="J23" i="90"/>
  <c r="H28" i="90"/>
  <c r="J36" i="90"/>
  <c r="Q15" i="92"/>
  <c r="R15" i="92" s="1"/>
  <c r="M12" i="92"/>
  <c r="N12" i="92" s="1"/>
  <c r="J27" i="90"/>
  <c r="Q7" i="92"/>
  <c r="R7" i="92" s="1"/>
  <c r="J33" i="90"/>
  <c r="O11" i="92"/>
  <c r="P11" i="92" s="1"/>
  <c r="J17" i="90"/>
  <c r="Q6" i="92"/>
  <c r="R6" i="92" s="1"/>
  <c r="J32" i="90"/>
  <c r="J38" i="90" s="1"/>
  <c r="H38" i="90"/>
  <c r="S21" i="92"/>
  <c r="J44" i="90"/>
  <c r="J47" i="90" s="1"/>
  <c r="O22" i="92"/>
  <c r="B18" i="84"/>
  <c r="F18" i="84"/>
  <c r="H10" i="84" s="1"/>
  <c r="R22" i="92" l="1"/>
  <c r="S22" i="92"/>
  <c r="Q22" i="92"/>
  <c r="P22" i="92"/>
  <c r="M22" i="92"/>
  <c r="J19" i="90"/>
  <c r="J28" i="90"/>
  <c r="F20" i="84"/>
  <c r="F21" i="84" s="1"/>
  <c r="G57" i="82" l="1"/>
  <c r="D71" i="82" s="1"/>
  <c r="E5" i="97" s="1"/>
  <c r="G56" i="82"/>
  <c r="D70" i="82" s="1"/>
  <c r="E3" i="97" s="1"/>
  <c r="G55" i="82"/>
  <c r="D69" i="82" s="1"/>
  <c r="E4" i="97" s="1"/>
  <c r="E57" i="82"/>
  <c r="C71" i="82" s="1"/>
  <c r="D5" i="97" s="1"/>
  <c r="E56" i="82"/>
  <c r="C70" i="82" s="1"/>
  <c r="D3" i="97" s="1"/>
  <c r="E55" i="82"/>
  <c r="C69" i="82" s="1"/>
  <c r="D4" i="97" s="1"/>
  <c r="C57" i="82"/>
  <c r="B71" i="82" s="1"/>
  <c r="C5" i="97" s="1"/>
  <c r="C56" i="82"/>
  <c r="B70" i="82" s="1"/>
  <c r="C3" i="97" s="1"/>
  <c r="C55" i="82"/>
  <c r="B69" i="82" s="1"/>
  <c r="C4" i="97" s="1"/>
  <c r="G77" i="83"/>
  <c r="D99" i="83" s="1"/>
  <c r="E6" i="97" s="1"/>
  <c r="G76" i="83"/>
  <c r="D98" i="83" s="1"/>
  <c r="E10" i="97" s="1"/>
  <c r="G75" i="83"/>
  <c r="D97" i="83" s="1"/>
  <c r="E12" i="97" s="1"/>
  <c r="G74" i="83"/>
  <c r="D96" i="83" s="1"/>
  <c r="E11" i="97" s="1"/>
  <c r="G73" i="83"/>
  <c r="D95" i="83" s="1"/>
  <c r="E7" i="97" s="1"/>
  <c r="G72" i="83"/>
  <c r="D94" i="83" s="1"/>
  <c r="E9" i="97" s="1"/>
  <c r="G71" i="83"/>
  <c r="D93" i="83" s="1"/>
  <c r="E8" i="97" s="1"/>
  <c r="E77" i="83"/>
  <c r="C99" i="83" s="1"/>
  <c r="D6" i="97" s="1"/>
  <c r="E76" i="83"/>
  <c r="C98" i="83" s="1"/>
  <c r="D10" i="97" s="1"/>
  <c r="E75" i="83"/>
  <c r="C97" i="83" s="1"/>
  <c r="D12" i="97" s="1"/>
  <c r="E74" i="83"/>
  <c r="C96" i="83" s="1"/>
  <c r="D11" i="97" s="1"/>
  <c r="E73" i="83"/>
  <c r="C95" i="83" s="1"/>
  <c r="D7" i="97" s="1"/>
  <c r="E72" i="83"/>
  <c r="C94" i="83" s="1"/>
  <c r="D9" i="97" s="1"/>
  <c r="E71" i="83"/>
  <c r="C93" i="83" s="1"/>
  <c r="D8" i="97" s="1"/>
  <c r="C77" i="83"/>
  <c r="B99" i="83" s="1"/>
  <c r="C6" i="97" s="1"/>
  <c r="C76" i="83"/>
  <c r="B98" i="83" s="1"/>
  <c r="C10" i="97" s="1"/>
  <c r="C75" i="83"/>
  <c r="B97" i="83" s="1"/>
  <c r="C12" i="97" s="1"/>
  <c r="C74" i="83"/>
  <c r="B96" i="83" s="1"/>
  <c r="C11" i="97" s="1"/>
  <c r="C73" i="83"/>
  <c r="B95" i="83" s="1"/>
  <c r="C7" i="97" s="1"/>
  <c r="C72" i="83"/>
  <c r="B94" i="83" s="1"/>
  <c r="C9" i="97" s="1"/>
  <c r="C71" i="83"/>
  <c r="B93" i="83" s="1"/>
  <c r="C8" i="97" s="1"/>
  <c r="H72" i="83" l="1"/>
  <c r="H76" i="83"/>
  <c r="E16" i="92" s="1"/>
  <c r="F16" i="92" s="1"/>
  <c r="U16" i="92" s="1"/>
  <c r="H56" i="82"/>
  <c r="H57" i="82"/>
  <c r="H55" i="82"/>
  <c r="E69" i="82" s="1"/>
  <c r="F4" i="97" s="1"/>
  <c r="H73" i="83"/>
  <c r="H77" i="83"/>
  <c r="G78" i="83"/>
  <c r="D100" i="83" s="1"/>
  <c r="H74" i="83"/>
  <c r="E78" i="83"/>
  <c r="C100" i="83" s="1"/>
  <c r="H71" i="83"/>
  <c r="E93" i="83" s="1"/>
  <c r="F8" i="97" s="1"/>
  <c r="C78" i="83"/>
  <c r="B100" i="83" s="1"/>
  <c r="H75" i="83"/>
  <c r="E9" i="92"/>
  <c r="F9" i="92" s="1"/>
  <c r="U9" i="92" s="1"/>
  <c r="E18" i="92"/>
  <c r="F18" i="92" s="1"/>
  <c r="U18" i="92" s="1"/>
  <c r="E7" i="92"/>
  <c r="F7" i="92" s="1"/>
  <c r="G15" i="92" l="1"/>
  <c r="H15" i="92" s="1"/>
  <c r="U15" i="92" s="1"/>
  <c r="E71" i="82"/>
  <c r="G10" i="92"/>
  <c r="H10" i="92" s="1"/>
  <c r="E70" i="82"/>
  <c r="J77" i="83"/>
  <c r="E99" i="83"/>
  <c r="F6" i="97" s="1"/>
  <c r="J76" i="83"/>
  <c r="E98" i="83"/>
  <c r="F10" i="97" s="1"/>
  <c r="J75" i="83"/>
  <c r="E97" i="83"/>
  <c r="F12" i="97" s="1"/>
  <c r="J74" i="83"/>
  <c r="E96" i="83"/>
  <c r="F11" i="97" s="1"/>
  <c r="J73" i="83"/>
  <c r="E95" i="83"/>
  <c r="F7" i="97" s="1"/>
  <c r="J72" i="83"/>
  <c r="E94" i="83"/>
  <c r="F9" i="97" s="1"/>
  <c r="E10" i="92"/>
  <c r="F10" i="92" s="1"/>
  <c r="J56" i="82"/>
  <c r="D63" i="82" s="1"/>
  <c r="J57" i="82"/>
  <c r="D64" i="82" s="1"/>
  <c r="E11" i="92"/>
  <c r="F11" i="92" s="1"/>
  <c r="G7" i="92"/>
  <c r="J55" i="82"/>
  <c r="H78" i="83"/>
  <c r="E100" i="83" s="1"/>
  <c r="J71" i="83"/>
  <c r="E4" i="92"/>
  <c r="F4" i="92" s="1"/>
  <c r="U4" i="92" s="1"/>
  <c r="F5" i="97" l="1"/>
  <c r="F3" i="97"/>
  <c r="F94" i="83"/>
  <c r="G9" i="97" s="1"/>
  <c r="F100" i="83"/>
  <c r="F93" i="83"/>
  <c r="G8" i="97" s="1"/>
  <c r="F97" i="83"/>
  <c r="G12" i="97" s="1"/>
  <c r="F99" i="83"/>
  <c r="G6" i="97" s="1"/>
  <c r="F96" i="83"/>
  <c r="G11" i="97" s="1"/>
  <c r="F98" i="83"/>
  <c r="G10" i="97" s="1"/>
  <c r="F95" i="83"/>
  <c r="G7" i="97" s="1"/>
  <c r="D83" i="83"/>
  <c r="D85" i="83"/>
  <c r="D87" i="83"/>
  <c r="D84" i="83"/>
  <c r="D86" i="83"/>
  <c r="D88" i="83"/>
  <c r="J78" i="83"/>
  <c r="D82" i="83"/>
  <c r="D62" i="82"/>
  <c r="H7" i="92"/>
  <c r="H22" i="92" s="1"/>
  <c r="G22" i="92"/>
  <c r="E22" i="92"/>
  <c r="D89" i="83" l="1"/>
  <c r="F19" i="88"/>
  <c r="G19" i="88" s="1"/>
  <c r="F18" i="88"/>
  <c r="G18" i="88" s="1"/>
  <c r="F17" i="88"/>
  <c r="G17" i="88" s="1"/>
  <c r="F16" i="88"/>
  <c r="G16" i="88" s="1"/>
  <c r="F15" i="88"/>
  <c r="B24" i="88"/>
  <c r="E24" i="88"/>
  <c r="F21" i="88"/>
  <c r="F14" i="88"/>
  <c r="J14" i="88" s="1"/>
  <c r="F11" i="88"/>
  <c r="J11" i="88" s="1"/>
  <c r="F10" i="88"/>
  <c r="G10" i="88" s="1"/>
  <c r="F8" i="88"/>
  <c r="C58" i="88" l="1"/>
  <c r="B74" i="88" s="1"/>
  <c r="C57" i="88"/>
  <c r="B73" i="88" s="1"/>
  <c r="C59" i="88"/>
  <c r="B75" i="88" s="1"/>
  <c r="C60" i="88"/>
  <c r="B76" i="88" s="1"/>
  <c r="E58" i="88"/>
  <c r="C74" i="88" s="1"/>
  <c r="E59" i="88"/>
  <c r="C75" i="88" s="1"/>
  <c r="E57" i="88"/>
  <c r="C73" i="88" s="1"/>
  <c r="E60" i="88"/>
  <c r="C76" i="88" s="1"/>
  <c r="G58" i="88"/>
  <c r="D74" i="88" s="1"/>
  <c r="G57" i="88"/>
  <c r="D73" i="88" s="1"/>
  <c r="G59" i="88"/>
  <c r="D75" i="88" s="1"/>
  <c r="G60" i="88"/>
  <c r="D76" i="88" s="1"/>
  <c r="F24" i="88"/>
  <c r="F26" i="88" s="1"/>
  <c r="G15" i="88"/>
  <c r="G8" i="88"/>
  <c r="G21" i="88"/>
  <c r="E61" i="88" l="1"/>
  <c r="C77" i="88" s="1"/>
  <c r="G61" i="88"/>
  <c r="D77" i="88" s="1"/>
  <c r="C61" i="88"/>
  <c r="B77" i="88" s="1"/>
  <c r="H21" i="88"/>
  <c r="I21" i="88" s="1"/>
  <c r="J21" i="88" s="1"/>
  <c r="H60" i="88"/>
  <c r="E76" i="88" s="1"/>
  <c r="H59" i="88"/>
  <c r="E75" i="88" s="1"/>
  <c r="H19" i="88"/>
  <c r="I19" i="88" s="1"/>
  <c r="J19" i="88" s="1"/>
  <c r="H57" i="88"/>
  <c r="E73" i="88" s="1"/>
  <c r="H58" i="88"/>
  <c r="E74" i="88" s="1"/>
  <c r="H10" i="88"/>
  <c r="I10" i="88" s="1"/>
  <c r="J10" i="88" s="1"/>
  <c r="H8" i="88"/>
  <c r="H15" i="88"/>
  <c r="I15" i="88" s="1"/>
  <c r="J15" i="88" s="1"/>
  <c r="H18" i="88"/>
  <c r="I18" i="88" s="1"/>
  <c r="H17" i="88"/>
  <c r="I17" i="88" s="1"/>
  <c r="H16" i="88"/>
  <c r="I16" i="88" s="1"/>
  <c r="B26" i="88"/>
  <c r="D24" i="88"/>
  <c r="F76" i="88" l="1"/>
  <c r="G23" i="97" s="1"/>
  <c r="D42" i="88"/>
  <c r="E60" i="87" s="1"/>
  <c r="K6" i="92"/>
  <c r="L6" i="92" s="1"/>
  <c r="H61" i="88"/>
  <c r="E77" i="88" s="1"/>
  <c r="F77" i="88" s="1"/>
  <c r="J57" i="88"/>
  <c r="D65" i="88" s="1"/>
  <c r="D43" i="88"/>
  <c r="J35" i="88"/>
  <c r="K10" i="92"/>
  <c r="L10" i="92" s="1"/>
  <c r="J59" i="88"/>
  <c r="D67" i="88" s="1"/>
  <c r="J36" i="88"/>
  <c r="K7" i="92"/>
  <c r="L7" i="92" s="1"/>
  <c r="J58" i="88"/>
  <c r="D66" i="88" s="1"/>
  <c r="K17" i="92"/>
  <c r="L17" i="92" s="1"/>
  <c r="J60" i="88"/>
  <c r="D68" i="88" s="1"/>
  <c r="J37" i="88"/>
  <c r="J34" i="88"/>
  <c r="E42" i="88"/>
  <c r="E23" i="89" s="1"/>
  <c r="E43" i="88"/>
  <c r="E24" i="89" s="1"/>
  <c r="D44" i="88"/>
  <c r="C49" i="88"/>
  <c r="J18" i="88"/>
  <c r="G37" i="88"/>
  <c r="G36" i="88"/>
  <c r="G35" i="88"/>
  <c r="G34" i="88"/>
  <c r="H27" i="88"/>
  <c r="J17" i="88"/>
  <c r="D37" i="88"/>
  <c r="D36" i="88"/>
  <c r="D35" i="88"/>
  <c r="D34" i="88"/>
  <c r="I8" i="88"/>
  <c r="I26" i="88" s="1"/>
  <c r="F74" i="88" l="1"/>
  <c r="G21" i="97" s="1"/>
  <c r="F75" i="88"/>
  <c r="G22" i="97" s="1"/>
  <c r="F73" i="88"/>
  <c r="G24" i="97" s="1"/>
  <c r="C51" i="88"/>
  <c r="C53" i="88" s="1"/>
  <c r="E61" i="87"/>
  <c r="J61" i="88"/>
  <c r="D69" i="88" s="1"/>
  <c r="L22" i="92"/>
  <c r="K22" i="92"/>
  <c r="J38" i="88"/>
  <c r="E44" i="88"/>
  <c r="K34" i="88"/>
  <c r="F42" i="87" s="1"/>
  <c r="D38" i="88"/>
  <c r="L34" i="88"/>
  <c r="F6" i="89" s="1"/>
  <c r="F36" i="89" s="1"/>
  <c r="L37" i="88"/>
  <c r="L36" i="88"/>
  <c r="L35" i="88"/>
  <c r="G38" i="88"/>
  <c r="K37" i="88"/>
  <c r="J29" i="88"/>
  <c r="K35" i="88"/>
  <c r="K36" i="88"/>
  <c r="J8" i="88"/>
  <c r="J28" i="88" s="1"/>
  <c r="F26" i="87"/>
  <c r="B52" i="88" l="1"/>
  <c r="D52" i="88" s="1"/>
  <c r="B68" i="88" s="1"/>
  <c r="C68" i="88" s="1"/>
  <c r="F68" i="88" s="1"/>
  <c r="I68" i="88" s="1"/>
  <c r="F53" i="87"/>
  <c r="F83" i="87" s="1"/>
  <c r="E52" i="88"/>
  <c r="F17" i="89"/>
  <c r="F47" i="89" s="1"/>
  <c r="B51" i="88"/>
  <c r="D51" i="88" s="1"/>
  <c r="B67" i="88" s="1"/>
  <c r="C67" i="88" s="1"/>
  <c r="F67" i="88" s="1"/>
  <c r="I67" i="88" s="1"/>
  <c r="F46" i="87"/>
  <c r="F76" i="87" s="1"/>
  <c r="B50" i="88"/>
  <c r="D50" i="88" s="1"/>
  <c r="B66" i="88" s="1"/>
  <c r="C66" i="88" s="1"/>
  <c r="F66" i="88" s="1"/>
  <c r="I66" i="88" s="1"/>
  <c r="F43" i="87"/>
  <c r="F73" i="87" s="1"/>
  <c r="E50" i="88"/>
  <c r="F7" i="89"/>
  <c r="F37" i="89" s="1"/>
  <c r="E51" i="88"/>
  <c r="F10" i="89"/>
  <c r="F40" i="89" s="1"/>
  <c r="F72" i="87"/>
  <c r="K38" i="88"/>
  <c r="B49" i="88"/>
  <c r="L38" i="88"/>
  <c r="E49" i="88"/>
  <c r="D50" i="82"/>
  <c r="E49" i="82"/>
  <c r="B64" i="82" s="1"/>
  <c r="F64" i="82" s="1"/>
  <c r="I64" i="82" s="1"/>
  <c r="E48" i="82"/>
  <c r="B63" i="82" s="1"/>
  <c r="C63" i="82" s="1"/>
  <c r="E47" i="82"/>
  <c r="B62" i="82" s="1"/>
  <c r="E65" i="83"/>
  <c r="B88" i="83" s="1"/>
  <c r="C88" i="83" s="1"/>
  <c r="F88" i="83" s="1"/>
  <c r="I88" i="83" s="1"/>
  <c r="E60" i="83"/>
  <c r="B83" i="83" s="1"/>
  <c r="B66" i="83"/>
  <c r="C62" i="82" l="1"/>
  <c r="C65" i="82" s="1"/>
  <c r="B65" i="82"/>
  <c r="G83" i="83"/>
  <c r="C83" i="83"/>
  <c r="F83" i="83" s="1"/>
  <c r="G62" i="82"/>
  <c r="E53" i="88"/>
  <c r="G63" i="82"/>
  <c r="G65" i="82" s="1"/>
  <c r="F63" i="82"/>
  <c r="F50" i="89"/>
  <c r="F86" i="87"/>
  <c r="F56" i="87"/>
  <c r="E50" i="82"/>
  <c r="B53" i="88"/>
  <c r="D49" i="88"/>
  <c r="G13" i="86"/>
  <c r="G12" i="86"/>
  <c r="G11" i="86"/>
  <c r="F62" i="82" l="1"/>
  <c r="I62" i="82" s="1"/>
  <c r="I83" i="83"/>
  <c r="I63" i="82"/>
  <c r="D53" i="88"/>
  <c r="B69" i="88" s="1"/>
  <c r="B65" i="88"/>
  <c r="C65" i="88" s="1"/>
  <c r="C61" i="86"/>
  <c r="C57" i="86"/>
  <c r="C60" i="86"/>
  <c r="C59" i="86"/>
  <c r="C58" i="86"/>
  <c r="G59" i="86"/>
  <c r="G58" i="86"/>
  <c r="G57" i="86"/>
  <c r="G60" i="86"/>
  <c r="G61" i="86"/>
  <c r="E60" i="86"/>
  <c r="E57" i="86"/>
  <c r="E59" i="86"/>
  <c r="E58" i="86"/>
  <c r="E61" i="86"/>
  <c r="H13" i="82"/>
  <c r="I13" i="82" s="1"/>
  <c r="J13" i="82" s="1"/>
  <c r="H12" i="82"/>
  <c r="I12" i="82" s="1"/>
  <c r="J12" i="82" s="1"/>
  <c r="H11" i="82"/>
  <c r="I11" i="82" s="1"/>
  <c r="F65" i="82" l="1"/>
  <c r="I65" i="82"/>
  <c r="F65" i="88"/>
  <c r="E62" i="86"/>
  <c r="G62" i="86"/>
  <c r="H59" i="86"/>
  <c r="C62" i="86"/>
  <c r="H60" i="86"/>
  <c r="H57" i="86"/>
  <c r="H58" i="86"/>
  <c r="H61" i="86"/>
  <c r="D42" i="82"/>
  <c r="D41" i="82"/>
  <c r="D40" i="82"/>
  <c r="I10" i="82"/>
  <c r="G41" i="82"/>
  <c r="G40" i="82"/>
  <c r="G42" i="82"/>
  <c r="J42" i="82"/>
  <c r="J41" i="82"/>
  <c r="J40" i="82"/>
  <c r="J11" i="82"/>
  <c r="I65" i="88" l="1"/>
  <c r="F69" i="88"/>
  <c r="K41" i="82"/>
  <c r="D46" i="87" s="1"/>
  <c r="I10" i="92"/>
  <c r="J10" i="92" s="1"/>
  <c r="J59" i="86"/>
  <c r="D68" i="86" s="1"/>
  <c r="I17" i="92"/>
  <c r="J17" i="92" s="1"/>
  <c r="U17" i="92" s="1"/>
  <c r="J61" i="86"/>
  <c r="D70" i="86" s="1"/>
  <c r="H62" i="86"/>
  <c r="I7" i="92"/>
  <c r="J7" i="92" s="1"/>
  <c r="J58" i="86"/>
  <c r="D67" i="86" s="1"/>
  <c r="I6" i="92"/>
  <c r="J6" i="92" s="1"/>
  <c r="U6" i="92" s="1"/>
  <c r="J57" i="86"/>
  <c r="D66" i="86" s="1"/>
  <c r="I12" i="92"/>
  <c r="J12" i="92" s="1"/>
  <c r="U12" i="92" s="1"/>
  <c r="J60" i="86"/>
  <c r="D69" i="86" s="1"/>
  <c r="L40" i="82"/>
  <c r="D7" i="89" s="1"/>
  <c r="D37" i="89" s="1"/>
  <c r="L42" i="82"/>
  <c r="D15" i="89" s="1"/>
  <c r="L41" i="82"/>
  <c r="D10" i="89" s="1"/>
  <c r="D40" i="89" s="1"/>
  <c r="J43" i="82"/>
  <c r="D43" i="82"/>
  <c r="K40" i="82"/>
  <c r="D43" i="87" s="1"/>
  <c r="G43" i="82"/>
  <c r="K42" i="82"/>
  <c r="D51" i="87" s="1"/>
  <c r="G51" i="87" s="1"/>
  <c r="G13" i="84"/>
  <c r="G70" i="84" s="1"/>
  <c r="D94" i="84" s="1"/>
  <c r="E14" i="97" s="1"/>
  <c r="G12" i="84"/>
  <c r="G11" i="84"/>
  <c r="C70" i="84" l="1"/>
  <c r="B94" i="84" s="1"/>
  <c r="C14" i="97" s="1"/>
  <c r="C71" i="84"/>
  <c r="B95" i="84" s="1"/>
  <c r="C15" i="97" s="1"/>
  <c r="E70" i="84"/>
  <c r="C94" i="84" s="1"/>
  <c r="D14" i="97" s="1"/>
  <c r="E71" i="84"/>
  <c r="C95" i="84" s="1"/>
  <c r="D15" i="97" s="1"/>
  <c r="D56" i="87"/>
  <c r="D73" i="87"/>
  <c r="D45" i="89"/>
  <c r="G45" i="89" s="1"/>
  <c r="G15" i="89"/>
  <c r="I22" i="92"/>
  <c r="J62" i="86"/>
  <c r="D71" i="86" s="1"/>
  <c r="J22" i="92"/>
  <c r="K43" i="82"/>
  <c r="H13" i="84"/>
  <c r="I13" i="84" s="1"/>
  <c r="J45" i="84" s="1"/>
  <c r="G69" i="84"/>
  <c r="D93" i="84" s="1"/>
  <c r="E17" i="97" s="1"/>
  <c r="G65" i="84"/>
  <c r="D89" i="84" s="1"/>
  <c r="E19" i="97" s="1"/>
  <c r="G68" i="84"/>
  <c r="D92" i="84" s="1"/>
  <c r="E13" i="97" s="1"/>
  <c r="G64" i="84"/>
  <c r="D88" i="84" s="1"/>
  <c r="E16" i="97" s="1"/>
  <c r="G67" i="84"/>
  <c r="D91" i="84" s="1"/>
  <c r="E18" i="97" s="1"/>
  <c r="G66" i="84"/>
  <c r="D90" i="84" s="1"/>
  <c r="E20" i="97" s="1"/>
  <c r="H11" i="84"/>
  <c r="I11" i="84" s="1"/>
  <c r="C69" i="84"/>
  <c r="B93" i="84" s="1"/>
  <c r="C17" i="97" s="1"/>
  <c r="C65" i="84"/>
  <c r="B89" i="84" s="1"/>
  <c r="C19" i="97" s="1"/>
  <c r="C68" i="84"/>
  <c r="B92" i="84" s="1"/>
  <c r="C13" i="97" s="1"/>
  <c r="C64" i="84"/>
  <c r="B88" i="84" s="1"/>
  <c r="C16" i="97" s="1"/>
  <c r="C67" i="84"/>
  <c r="B91" i="84" s="1"/>
  <c r="C18" i="97" s="1"/>
  <c r="C66" i="84"/>
  <c r="B90" i="84" s="1"/>
  <c r="C20" i="97" s="1"/>
  <c r="H12" i="84"/>
  <c r="I12" i="84" s="1"/>
  <c r="G45" i="84" s="1"/>
  <c r="E67" i="84"/>
  <c r="C91" i="84" s="1"/>
  <c r="D18" i="97" s="1"/>
  <c r="E66" i="84"/>
  <c r="C90" i="84" s="1"/>
  <c r="D20" i="97" s="1"/>
  <c r="E69" i="84"/>
  <c r="C93" i="84" s="1"/>
  <c r="D17" i="97" s="1"/>
  <c r="E65" i="84"/>
  <c r="C89" i="84" s="1"/>
  <c r="D19" i="97" s="1"/>
  <c r="E68" i="84"/>
  <c r="C92" i="84" s="1"/>
  <c r="D13" i="97" s="1"/>
  <c r="E64" i="84"/>
  <c r="C88" i="84" s="1"/>
  <c r="D16" i="97" s="1"/>
  <c r="L43" i="82"/>
  <c r="F47" i="82"/>
  <c r="F18" i="87"/>
  <c r="F17" i="87"/>
  <c r="F16" i="87"/>
  <c r="F15" i="87"/>
  <c r="F12" i="87"/>
  <c r="F9" i="87"/>
  <c r="F7" i="87"/>
  <c r="F6" i="87"/>
  <c r="F4" i="87"/>
  <c r="D45" i="84" l="1"/>
  <c r="D44" i="84"/>
  <c r="G72" i="84"/>
  <c r="D96" i="84" s="1"/>
  <c r="H70" i="84"/>
  <c r="H71" i="84"/>
  <c r="E95" i="84" s="1"/>
  <c r="F15" i="97" s="1"/>
  <c r="C72" i="84"/>
  <c r="B96" i="84" s="1"/>
  <c r="K45" i="84"/>
  <c r="E72" i="84"/>
  <c r="C96" i="84" s="1"/>
  <c r="D50" i="89"/>
  <c r="H67" i="84"/>
  <c r="G44" i="84"/>
  <c r="K44" i="84" s="1"/>
  <c r="G39" i="84"/>
  <c r="D43" i="84"/>
  <c r="D38" i="84"/>
  <c r="J11" i="84"/>
  <c r="H65" i="84"/>
  <c r="E89" i="84" s="1"/>
  <c r="F19" i="97" s="1"/>
  <c r="H66" i="84"/>
  <c r="E90" i="84" s="1"/>
  <c r="F20" i="97" s="1"/>
  <c r="J38" i="84"/>
  <c r="J13" i="84"/>
  <c r="J42" i="84"/>
  <c r="H68" i="84"/>
  <c r="E92" i="84" s="1"/>
  <c r="F13" i="97" s="1"/>
  <c r="J12" i="84"/>
  <c r="G43" i="84"/>
  <c r="I10" i="84"/>
  <c r="D42" i="84"/>
  <c r="J40" i="84"/>
  <c r="J39" i="84"/>
  <c r="G38" i="84"/>
  <c r="G40" i="84"/>
  <c r="D40" i="84"/>
  <c r="D39" i="84"/>
  <c r="J41" i="84"/>
  <c r="J43" i="84"/>
  <c r="H69" i="84"/>
  <c r="E93" i="84" s="1"/>
  <c r="F17" i="97" s="1"/>
  <c r="G42" i="84"/>
  <c r="G41" i="84"/>
  <c r="D41" i="84"/>
  <c r="H64" i="84"/>
  <c r="E88" i="84" s="1"/>
  <c r="F16" i="97" s="1"/>
  <c r="G23" i="83"/>
  <c r="F28" i="83"/>
  <c r="C19" i="92" l="1"/>
  <c r="D19" i="92" s="1"/>
  <c r="U19" i="92" s="1"/>
  <c r="E94" i="84"/>
  <c r="F14" i="97" s="1"/>
  <c r="C11" i="92"/>
  <c r="D11" i="92" s="1"/>
  <c r="U11" i="92" s="1"/>
  <c r="E91" i="84"/>
  <c r="F18" i="97" s="1"/>
  <c r="J70" i="84"/>
  <c r="D82" i="84" s="1"/>
  <c r="B58" i="84"/>
  <c r="B83" i="84" s="1"/>
  <c r="C83" i="84" s="1"/>
  <c r="B43" i="87"/>
  <c r="C7" i="92"/>
  <c r="D7" i="92" s="1"/>
  <c r="U7" i="92" s="1"/>
  <c r="J71" i="84"/>
  <c r="D83" i="84" s="1"/>
  <c r="J67" i="84"/>
  <c r="D79" i="84" s="1"/>
  <c r="L45" i="84"/>
  <c r="J46" i="84"/>
  <c r="D46" i="84"/>
  <c r="G46" i="84"/>
  <c r="C5" i="92"/>
  <c r="D5" i="92" s="1"/>
  <c r="U5" i="92" s="1"/>
  <c r="J64" i="84"/>
  <c r="D76" i="84" s="1"/>
  <c r="L38" i="84"/>
  <c r="D51" i="84" s="1"/>
  <c r="L42" i="84"/>
  <c r="D55" i="84" s="1"/>
  <c r="B43" i="89" s="1"/>
  <c r="G43" i="89" s="1"/>
  <c r="L43" i="84"/>
  <c r="D56" i="84" s="1"/>
  <c r="B14" i="89" s="1"/>
  <c r="G14" i="89" s="1"/>
  <c r="K42" i="84"/>
  <c r="B55" i="84" s="1"/>
  <c r="B80" i="84" s="1"/>
  <c r="C80" i="84" s="1"/>
  <c r="C10" i="92"/>
  <c r="D10" i="92" s="1"/>
  <c r="U10" i="92" s="1"/>
  <c r="J66" i="84"/>
  <c r="D78" i="84" s="1"/>
  <c r="L41" i="84"/>
  <c r="D54" i="84" s="1"/>
  <c r="B11" i="89" s="1"/>
  <c r="L39" i="84"/>
  <c r="D52" i="84" s="1"/>
  <c r="B8" i="89" s="1"/>
  <c r="G8" i="89" s="1"/>
  <c r="C14" i="92"/>
  <c r="D14" i="92" s="1"/>
  <c r="U14" i="92" s="1"/>
  <c r="J69" i="84"/>
  <c r="D81" i="84" s="1"/>
  <c r="C8" i="92"/>
  <c r="D8" i="92" s="1"/>
  <c r="U8" i="92" s="1"/>
  <c r="J65" i="84"/>
  <c r="D77" i="84" s="1"/>
  <c r="L44" i="84"/>
  <c r="L40" i="84"/>
  <c r="K41" i="84"/>
  <c r="B54" i="84" s="1"/>
  <c r="B79" i="84" s="1"/>
  <c r="C79" i="84" s="1"/>
  <c r="C13" i="92"/>
  <c r="D13" i="92" s="1"/>
  <c r="U13" i="92" s="1"/>
  <c r="J68" i="84"/>
  <c r="D80" i="84" s="1"/>
  <c r="K40" i="84"/>
  <c r="B53" i="84" s="1"/>
  <c r="B78" i="84" s="1"/>
  <c r="C78" i="84" s="1"/>
  <c r="K39" i="84"/>
  <c r="B52" i="84" s="1"/>
  <c r="B77" i="84" s="1"/>
  <c r="C77" i="84" s="1"/>
  <c r="K43" i="84"/>
  <c r="B50" i="87" s="1"/>
  <c r="B57" i="84"/>
  <c r="B82" i="84" s="1"/>
  <c r="C82" i="84" s="1"/>
  <c r="B85" i="87"/>
  <c r="G85" i="87" s="1"/>
  <c r="B55" i="87"/>
  <c r="G55" i="87" s="1"/>
  <c r="H72" i="84"/>
  <c r="E96" i="84" s="1"/>
  <c r="F96" i="84" s="1"/>
  <c r="K38" i="84"/>
  <c r="F11" i="83"/>
  <c r="F6" i="83"/>
  <c r="F18" i="83"/>
  <c r="G18" i="83" s="1"/>
  <c r="F17" i="83"/>
  <c r="F8" i="83"/>
  <c r="F9" i="83"/>
  <c r="F10" i="83"/>
  <c r="F14" i="83"/>
  <c r="F15" i="83"/>
  <c r="F16" i="83"/>
  <c r="F12" i="83"/>
  <c r="F13" i="83"/>
  <c r="F27" i="83" l="1"/>
  <c r="F92" i="84"/>
  <c r="G13" i="97" s="1"/>
  <c r="F93" i="84"/>
  <c r="G17" i="97" s="1"/>
  <c r="F88" i="84"/>
  <c r="G16" i="97" s="1"/>
  <c r="F94" i="84"/>
  <c r="G14" i="97" s="1"/>
  <c r="F95" i="84"/>
  <c r="G15" i="97" s="1"/>
  <c r="F91" i="84"/>
  <c r="G18" i="97" s="1"/>
  <c r="F90" i="84"/>
  <c r="G20" i="97" s="1"/>
  <c r="F89" i="84"/>
  <c r="G19" i="97" s="1"/>
  <c r="F82" i="84"/>
  <c r="G82" i="84"/>
  <c r="F80" i="84"/>
  <c r="F79" i="84"/>
  <c r="F77" i="84"/>
  <c r="F78" i="84"/>
  <c r="F83" i="84"/>
  <c r="G83" i="84"/>
  <c r="D57" i="84"/>
  <c r="B49" i="89" s="1"/>
  <c r="G49" i="89" s="1"/>
  <c r="B19" i="89"/>
  <c r="G19" i="89" s="1"/>
  <c r="J72" i="84"/>
  <c r="D84" i="84" s="1"/>
  <c r="U22" i="92"/>
  <c r="D58" i="84"/>
  <c r="B7" i="89"/>
  <c r="B73" i="87"/>
  <c r="F22" i="92"/>
  <c r="D53" i="84"/>
  <c r="B40" i="89" s="1"/>
  <c r="L46" i="84"/>
  <c r="D59" i="84" s="1"/>
  <c r="C22" i="92"/>
  <c r="D22" i="92"/>
  <c r="B44" i="89"/>
  <c r="G44" i="89" s="1"/>
  <c r="B47" i="87"/>
  <c r="B41" i="89"/>
  <c r="B44" i="87"/>
  <c r="B74" i="87" s="1"/>
  <c r="G74" i="87" s="1"/>
  <c r="B13" i="89"/>
  <c r="G13" i="89" s="1"/>
  <c r="B49" i="87"/>
  <c r="B79" i="87" s="1"/>
  <c r="G79" i="87" s="1"/>
  <c r="B38" i="89"/>
  <c r="G38" i="89" s="1"/>
  <c r="B56" i="84"/>
  <c r="B81" i="84" s="1"/>
  <c r="C81" i="84" s="1"/>
  <c r="K46" i="84"/>
  <c r="B59" i="84" s="1"/>
  <c r="B84" i="84" s="1"/>
  <c r="B46" i="87"/>
  <c r="B76" i="87" s="1"/>
  <c r="B35" i="89"/>
  <c r="B5" i="89"/>
  <c r="G5" i="89" s="1"/>
  <c r="G50" i="87"/>
  <c r="B80" i="87"/>
  <c r="G80" i="87" s="1"/>
  <c r="B51" i="84"/>
  <c r="B76" i="84" s="1"/>
  <c r="C76" i="84" s="1"/>
  <c r="B41" i="87"/>
  <c r="G13" i="83"/>
  <c r="G8" i="83"/>
  <c r="G14" i="83"/>
  <c r="G17" i="83"/>
  <c r="G10" i="83"/>
  <c r="H10" i="83" s="1"/>
  <c r="D34" i="86"/>
  <c r="F20" i="86"/>
  <c r="B20" i="84"/>
  <c r="H23" i="83" l="1"/>
  <c r="H17" i="83"/>
  <c r="H21" i="83"/>
  <c r="H7" i="83"/>
  <c r="H25" i="83"/>
  <c r="H20" i="83"/>
  <c r="H13" i="83"/>
  <c r="H24" i="83"/>
  <c r="H19" i="83"/>
  <c r="H14" i="83"/>
  <c r="H8" i="83"/>
  <c r="I83" i="84"/>
  <c r="G44" i="87"/>
  <c r="B10" i="89"/>
  <c r="F76" i="84"/>
  <c r="I76" i="84" s="1"/>
  <c r="C84" i="84"/>
  <c r="G84" i="84" s="1"/>
  <c r="F81" i="84"/>
  <c r="G81" i="84"/>
  <c r="I77" i="84"/>
  <c r="I80" i="84"/>
  <c r="I78" i="84"/>
  <c r="I79" i="84"/>
  <c r="I82" i="84"/>
  <c r="G49" i="87"/>
  <c r="B56" i="87"/>
  <c r="B77" i="87"/>
  <c r="B50" i="89"/>
  <c r="G35" i="89"/>
  <c r="G41" i="87"/>
  <c r="B71" i="87"/>
  <c r="F29" i="83"/>
  <c r="C19" i="86"/>
  <c r="F7" i="86"/>
  <c r="F8" i="86"/>
  <c r="J8" i="86" s="1"/>
  <c r="D19" i="86"/>
  <c r="F9" i="86"/>
  <c r="F10" i="86"/>
  <c r="F14" i="86"/>
  <c r="F15" i="86"/>
  <c r="F19" i="86" s="1"/>
  <c r="F5" i="86"/>
  <c r="D34" i="84"/>
  <c r="H30" i="83" l="1"/>
  <c r="I25" i="83"/>
  <c r="J25" i="83" s="1"/>
  <c r="I81" i="84"/>
  <c r="H17" i="86"/>
  <c r="H16" i="86"/>
  <c r="H12" i="86"/>
  <c r="H13" i="86"/>
  <c r="H11" i="86"/>
  <c r="I21" i="83"/>
  <c r="J54" i="83" s="1"/>
  <c r="I24" i="83"/>
  <c r="B86" i="87"/>
  <c r="G71" i="87"/>
  <c r="I20" i="83"/>
  <c r="G50" i="83" s="1"/>
  <c r="I7" i="83"/>
  <c r="F30" i="83"/>
  <c r="I8" i="83"/>
  <c r="J8" i="83" s="1"/>
  <c r="I14" i="83"/>
  <c r="J14" i="83" s="1"/>
  <c r="I19" i="83"/>
  <c r="D49" i="83" s="1"/>
  <c r="I13" i="83"/>
  <c r="J13" i="83" s="1"/>
  <c r="I23" i="83"/>
  <c r="J12" i="83"/>
  <c r="J16" i="83"/>
  <c r="I17" i="83"/>
  <c r="J17" i="83" s="1"/>
  <c r="J11" i="83"/>
  <c r="I10" i="83"/>
  <c r="J10" i="83" s="1"/>
  <c r="J52" i="83"/>
  <c r="G10" i="86"/>
  <c r="J5" i="86"/>
  <c r="G9" i="86"/>
  <c r="H9" i="86" s="1"/>
  <c r="G15" i="86"/>
  <c r="H15" i="86" s="1"/>
  <c r="I15" i="86" s="1"/>
  <c r="G9" i="84"/>
  <c r="J53" i="83" l="1"/>
  <c r="J50" i="83"/>
  <c r="J51" i="83"/>
  <c r="J49" i="83"/>
  <c r="J48" i="83"/>
  <c r="J21" i="83"/>
  <c r="K39" i="83"/>
  <c r="K38" i="83"/>
  <c r="B63" i="87" s="1"/>
  <c r="K41" i="83"/>
  <c r="K37" i="83"/>
  <c r="K40" i="83"/>
  <c r="B64" i="87" s="1"/>
  <c r="J24" i="83"/>
  <c r="H9" i="84"/>
  <c r="H18" i="84" s="1"/>
  <c r="G52" i="83"/>
  <c r="G53" i="83"/>
  <c r="G54" i="83"/>
  <c r="J20" i="83"/>
  <c r="G49" i="83"/>
  <c r="G51" i="83"/>
  <c r="G48" i="83"/>
  <c r="D54" i="83"/>
  <c r="D50" i="83"/>
  <c r="K50" i="83" s="1"/>
  <c r="C45" i="87" s="1"/>
  <c r="G45" i="87" s="1"/>
  <c r="J23" i="83"/>
  <c r="I18" i="83"/>
  <c r="D52" i="83"/>
  <c r="D53" i="83"/>
  <c r="D63" i="83"/>
  <c r="E63" i="83" s="1"/>
  <c r="B86" i="83" s="1"/>
  <c r="D48" i="83"/>
  <c r="J19" i="83"/>
  <c r="D51" i="83"/>
  <c r="E29" i="84"/>
  <c r="E31" i="84"/>
  <c r="E30" i="84"/>
  <c r="F21" i="86"/>
  <c r="I14" i="82"/>
  <c r="E33" i="82"/>
  <c r="C47" i="82" s="1"/>
  <c r="E35" i="82"/>
  <c r="C49" i="82" s="1"/>
  <c r="E34" i="82"/>
  <c r="C48" i="82" s="1"/>
  <c r="J55" i="83" l="1"/>
  <c r="K49" i="83"/>
  <c r="C43" i="87" s="1"/>
  <c r="D61" i="83"/>
  <c r="E61" i="83" s="1"/>
  <c r="B84" i="83" s="1"/>
  <c r="K51" i="83"/>
  <c r="C46" i="87" s="1"/>
  <c r="K54" i="83"/>
  <c r="C54" i="87" s="1"/>
  <c r="G54" i="87" s="1"/>
  <c r="G86" i="83"/>
  <c r="C86" i="83"/>
  <c r="F86" i="83" s="1"/>
  <c r="G84" i="83"/>
  <c r="C84" i="83"/>
  <c r="F84" i="83" s="1"/>
  <c r="C73" i="87"/>
  <c r="L38" i="83"/>
  <c r="B26" i="89" s="1"/>
  <c r="L41" i="83"/>
  <c r="B28" i="89" s="1"/>
  <c r="L37" i="83"/>
  <c r="B25" i="89" s="1"/>
  <c r="L40" i="83"/>
  <c r="L39" i="83"/>
  <c r="B24" i="89" s="1"/>
  <c r="F64" i="87"/>
  <c r="E42" i="83"/>
  <c r="C64" i="83" s="1"/>
  <c r="I29" i="83"/>
  <c r="I17" i="86"/>
  <c r="J17" i="86" s="1"/>
  <c r="I16" i="86"/>
  <c r="H22" i="86"/>
  <c r="K42" i="83"/>
  <c r="L54" i="83"/>
  <c r="L50" i="83"/>
  <c r="C9" i="89" s="1"/>
  <c r="L49" i="83"/>
  <c r="L53" i="83"/>
  <c r="C16" i="89" s="1"/>
  <c r="L48" i="83"/>
  <c r="C4" i="89" s="1"/>
  <c r="L51" i="83"/>
  <c r="C10" i="89" s="1"/>
  <c r="J18" i="83"/>
  <c r="J31" i="83" s="1"/>
  <c r="L52" i="83"/>
  <c r="C11" i="89" s="1"/>
  <c r="C52" i="84"/>
  <c r="B8" i="87"/>
  <c r="F8" i="87" s="1"/>
  <c r="C53" i="84"/>
  <c r="B10" i="87"/>
  <c r="F10" i="87" s="1"/>
  <c r="C54" i="84"/>
  <c r="B11" i="87"/>
  <c r="F11" i="87" s="1"/>
  <c r="I9" i="84"/>
  <c r="I20" i="84" s="1"/>
  <c r="D64" i="83"/>
  <c r="E64" i="83" s="1"/>
  <c r="B87" i="83" s="1"/>
  <c r="B65" i="87"/>
  <c r="D59" i="83"/>
  <c r="E59" i="83" s="1"/>
  <c r="B82" i="83" s="1"/>
  <c r="B62" i="87"/>
  <c r="F63" i="87"/>
  <c r="C75" i="87"/>
  <c r="G75" i="87" s="1"/>
  <c r="D62" i="83"/>
  <c r="E62" i="83" s="1"/>
  <c r="B85" i="83" s="1"/>
  <c r="B61" i="87"/>
  <c r="K53" i="83"/>
  <c r="C52" i="87" s="1"/>
  <c r="G52" i="87" s="1"/>
  <c r="K52" i="83"/>
  <c r="C47" i="87" s="1"/>
  <c r="G47" i="87" s="1"/>
  <c r="G55" i="83"/>
  <c r="D55" i="83"/>
  <c r="K48" i="83"/>
  <c r="C40" i="87" s="1"/>
  <c r="E37" i="83"/>
  <c r="C59" i="83" s="1"/>
  <c r="E41" i="83"/>
  <c r="C63" i="83" s="1"/>
  <c r="E43" i="83"/>
  <c r="C65" i="83" s="1"/>
  <c r="E40" i="83"/>
  <c r="C62" i="83" s="1"/>
  <c r="E39" i="83"/>
  <c r="C61" i="83" s="1"/>
  <c r="E38" i="83"/>
  <c r="C60" i="83" s="1"/>
  <c r="I11" i="86"/>
  <c r="I13" i="86"/>
  <c r="I12" i="86"/>
  <c r="E36" i="82"/>
  <c r="E28" i="84"/>
  <c r="J10" i="84"/>
  <c r="E33" i="84"/>
  <c r="E32" i="84"/>
  <c r="F22" i="86"/>
  <c r="I9" i="86"/>
  <c r="H15" i="82"/>
  <c r="I15" i="82" s="1"/>
  <c r="H9" i="82"/>
  <c r="I9" i="82" s="1"/>
  <c r="C84" i="87" l="1"/>
  <c r="G84" i="87" s="1"/>
  <c r="I86" i="83"/>
  <c r="C76" i="87"/>
  <c r="J9" i="84"/>
  <c r="J22" i="84" s="1"/>
  <c r="I84" i="83"/>
  <c r="C87" i="83"/>
  <c r="F87" i="83" s="1"/>
  <c r="I87" i="83" s="1"/>
  <c r="G85" i="83"/>
  <c r="C85" i="83"/>
  <c r="F85" i="83" s="1"/>
  <c r="C82" i="83"/>
  <c r="G40" i="87"/>
  <c r="C56" i="87"/>
  <c r="C40" i="89"/>
  <c r="C39" i="89"/>
  <c r="G39" i="89" s="1"/>
  <c r="G9" i="89"/>
  <c r="C34" i="89"/>
  <c r="G4" i="89"/>
  <c r="F65" i="83"/>
  <c r="C18" i="89"/>
  <c r="C77" i="87"/>
  <c r="G77" i="87" s="1"/>
  <c r="C41" i="89"/>
  <c r="G41" i="89" s="1"/>
  <c r="G11" i="89"/>
  <c r="C46" i="89"/>
  <c r="G46" i="89" s="1"/>
  <c r="G16" i="89"/>
  <c r="F60" i="83"/>
  <c r="C7" i="89"/>
  <c r="J16" i="86"/>
  <c r="K29" i="86"/>
  <c r="C60" i="87" s="1"/>
  <c r="F60" i="87" s="1"/>
  <c r="K30" i="86"/>
  <c r="F62" i="83"/>
  <c r="L55" i="83"/>
  <c r="F59" i="83"/>
  <c r="L42" i="83"/>
  <c r="C56" i="84"/>
  <c r="B14" i="87"/>
  <c r="F14" i="87" s="1"/>
  <c r="C51" i="84"/>
  <c r="B5" i="87"/>
  <c r="E66" i="83"/>
  <c r="B89" i="83" s="1"/>
  <c r="F64" i="83"/>
  <c r="C55" i="84"/>
  <c r="B13" i="87"/>
  <c r="F13" i="87" s="1"/>
  <c r="D66" i="83"/>
  <c r="J32" i="83"/>
  <c r="F61" i="83"/>
  <c r="F63" i="83"/>
  <c r="F62" i="87"/>
  <c r="C70" i="87" s="1"/>
  <c r="F65" i="87"/>
  <c r="C82" i="87"/>
  <c r="G82" i="87" s="1"/>
  <c r="J23" i="84"/>
  <c r="E34" i="84"/>
  <c r="I21" i="82"/>
  <c r="J9" i="82"/>
  <c r="D66" i="87"/>
  <c r="J15" i="82"/>
  <c r="H22" i="82"/>
  <c r="K55" i="83"/>
  <c r="E44" i="83"/>
  <c r="G42" i="86"/>
  <c r="G38" i="86"/>
  <c r="G41" i="86"/>
  <c r="G40" i="86"/>
  <c r="G39" i="86"/>
  <c r="J12" i="86"/>
  <c r="J41" i="86"/>
  <c r="J40" i="86"/>
  <c r="J39" i="86"/>
  <c r="J42" i="86"/>
  <c r="J38" i="86"/>
  <c r="J13" i="86"/>
  <c r="I10" i="86"/>
  <c r="J10" i="86" s="1"/>
  <c r="D39" i="86"/>
  <c r="K39" i="86" s="1"/>
  <c r="D42" i="86"/>
  <c r="D38" i="86"/>
  <c r="D41" i="86"/>
  <c r="D40" i="86"/>
  <c r="J11" i="86"/>
  <c r="J15" i="86"/>
  <c r="J9" i="86"/>
  <c r="I85" i="83" l="1"/>
  <c r="G89" i="83"/>
  <c r="F89" i="83"/>
  <c r="F82" i="83"/>
  <c r="I82" i="83" s="1"/>
  <c r="B48" i="86"/>
  <c r="E48" i="86" s="1"/>
  <c r="B67" i="86" s="1"/>
  <c r="C67" i="86" s="1"/>
  <c r="F67" i="86" s="1"/>
  <c r="I67" i="86" s="1"/>
  <c r="E43" i="87"/>
  <c r="G34" i="89"/>
  <c r="C37" i="89"/>
  <c r="C48" i="89"/>
  <c r="G48" i="89" s="1"/>
  <c r="G18" i="89"/>
  <c r="D49" i="86"/>
  <c r="C61" i="87"/>
  <c r="L30" i="86"/>
  <c r="C24" i="89" s="1"/>
  <c r="L29" i="86"/>
  <c r="C23" i="89" s="1"/>
  <c r="I21" i="86"/>
  <c r="D43" i="86"/>
  <c r="F66" i="83"/>
  <c r="J43" i="86"/>
  <c r="G43" i="86"/>
  <c r="L39" i="86"/>
  <c r="L40" i="86"/>
  <c r="E10" i="89" s="1"/>
  <c r="L42" i="86"/>
  <c r="L38" i="86"/>
  <c r="E6" i="89" s="1"/>
  <c r="L41" i="86"/>
  <c r="D47" i="86"/>
  <c r="K31" i="86"/>
  <c r="J23" i="86"/>
  <c r="J24" i="86"/>
  <c r="B19" i="87"/>
  <c r="F5" i="87"/>
  <c r="F19" i="87" s="1"/>
  <c r="G70" i="87"/>
  <c r="C86" i="87"/>
  <c r="F49" i="82"/>
  <c r="J23" i="82"/>
  <c r="J24" i="82"/>
  <c r="K35" i="82"/>
  <c r="D61" i="87"/>
  <c r="F66" i="87"/>
  <c r="D81" i="87"/>
  <c r="G81" i="87" s="1"/>
  <c r="E30" i="86"/>
  <c r="C48" i="86" s="1"/>
  <c r="E34" i="86"/>
  <c r="E31" i="86"/>
  <c r="E29" i="86"/>
  <c r="K42" i="86"/>
  <c r="K40" i="86"/>
  <c r="K41" i="86"/>
  <c r="E33" i="86"/>
  <c r="E32" i="86"/>
  <c r="K38" i="86"/>
  <c r="E42" i="87" s="1"/>
  <c r="I89" i="83" l="1"/>
  <c r="C50" i="89"/>
  <c r="D52" i="86"/>
  <c r="F50" i="86"/>
  <c r="E12" i="89"/>
  <c r="F48" i="86"/>
  <c r="E7" i="89"/>
  <c r="B51" i="86"/>
  <c r="E51" i="86" s="1"/>
  <c r="B70" i="86" s="1"/>
  <c r="C70" i="86" s="1"/>
  <c r="F70" i="86" s="1"/>
  <c r="I70" i="86" s="1"/>
  <c r="E53" i="87"/>
  <c r="E36" i="89"/>
  <c r="G6" i="89"/>
  <c r="L31" i="86"/>
  <c r="G42" i="87"/>
  <c r="E72" i="87"/>
  <c r="B50" i="86"/>
  <c r="C50" i="86" s="1"/>
  <c r="E48" i="87"/>
  <c r="F51" i="86"/>
  <c r="E17" i="89"/>
  <c r="E73" i="87"/>
  <c r="G73" i="87" s="1"/>
  <c r="G43" i="87"/>
  <c r="B49" i="86"/>
  <c r="E49" i="86" s="1"/>
  <c r="B68" i="86" s="1"/>
  <c r="C68" i="86" s="1"/>
  <c r="E46" i="87"/>
  <c r="G46" i="87" s="1"/>
  <c r="E40" i="89"/>
  <c r="G40" i="89" s="1"/>
  <c r="G10" i="89"/>
  <c r="F47" i="86"/>
  <c r="L43" i="86"/>
  <c r="B47" i="86"/>
  <c r="C47" i="86" s="1"/>
  <c r="K43" i="86"/>
  <c r="F49" i="86"/>
  <c r="L35" i="82"/>
  <c r="F48" i="82"/>
  <c r="F50" i="82" s="1"/>
  <c r="F61" i="87"/>
  <c r="D76" i="87"/>
  <c r="E50" i="86" l="1"/>
  <c r="B69" i="86" s="1"/>
  <c r="C69" i="86" s="1"/>
  <c r="F69" i="86" s="1"/>
  <c r="I69" i="86" s="1"/>
  <c r="F68" i="86"/>
  <c r="C51" i="86"/>
  <c r="C49" i="86"/>
  <c r="G48" i="87"/>
  <c r="E78" i="87"/>
  <c r="G78" i="87" s="1"/>
  <c r="E56" i="87"/>
  <c r="G36" i="89"/>
  <c r="E76" i="87"/>
  <c r="G76" i="87" s="1"/>
  <c r="G53" i="87"/>
  <c r="E83" i="87"/>
  <c r="G83" i="87" s="1"/>
  <c r="E42" i="89"/>
  <c r="G42" i="89" s="1"/>
  <c r="G12" i="89"/>
  <c r="E47" i="89"/>
  <c r="G47" i="89" s="1"/>
  <c r="G17" i="89"/>
  <c r="G72" i="87"/>
  <c r="E37" i="89"/>
  <c r="G37" i="89" s="1"/>
  <c r="G7" i="89"/>
  <c r="F52" i="86"/>
  <c r="E47" i="86"/>
  <c r="B66" i="86" s="1"/>
  <c r="B52" i="86"/>
  <c r="E52" i="86" s="1"/>
  <c r="B71" i="86" s="1"/>
  <c r="D86" i="87"/>
  <c r="C66" i="86" l="1"/>
  <c r="I68" i="86"/>
  <c r="E86" i="87"/>
  <c r="E50" i="89"/>
  <c r="G50" i="89" s="1"/>
  <c r="F66" i="86" l="1"/>
  <c r="C71" i="86"/>
  <c r="I66" i="86" l="1"/>
  <c r="F71" i="86"/>
  <c r="E58" i="82"/>
  <c r="C72" i="82" s="1"/>
  <c r="J58" i="82"/>
  <c r="D65" i="82" s="1"/>
  <c r="G58" i="82"/>
  <c r="D72" i="82" s="1"/>
  <c r="C58" i="82"/>
  <c r="B72" i="82" s="1"/>
  <c r="H58" i="82"/>
  <c r="E72" i="82" s="1"/>
  <c r="F72" i="82" l="1"/>
  <c r="F70" i="82"/>
  <c r="G3" i="97" s="1"/>
  <c r="F69" i="82"/>
  <c r="G4" i="97" s="1"/>
  <c r="F71" i="82"/>
  <c r="G5" i="97" s="1"/>
</calcChain>
</file>

<file path=xl/sharedStrings.xml><?xml version="1.0" encoding="utf-8"?>
<sst xmlns="http://schemas.openxmlformats.org/spreadsheetml/2006/main" count="1387" uniqueCount="408">
  <si>
    <t>Estimated load change from current projects (through 2005)</t>
  </si>
  <si>
    <t>Sources of Total Phosphorus (loading in lbs/yr)</t>
  </si>
  <si>
    <t>Additional reduction needed in TP-loading to meet TMDL (lbs/yr)</t>
  </si>
  <si>
    <t>Baseline and net TP-loading (lbs/yr)</t>
  </si>
  <si>
    <t>TMDL Baseline loading (1991-2000)</t>
  </si>
  <si>
    <t>Total Phosphorus loading baseline, needed reductions, and estimated reductions from restoration and stormwater projects</t>
  </si>
  <si>
    <t xml:space="preserve">  muck farm 4 (active)</t>
  </si>
  <si>
    <t>Additional percent reduction in TP-loading needed to meet TMDL</t>
  </si>
  <si>
    <t>TMDL Baseline loading        (1991-2000)</t>
  </si>
  <si>
    <t>Estimated load change from future projects (2005 on)</t>
  </si>
  <si>
    <t>Trout Lake</t>
  </si>
  <si>
    <t>Lake Harris</t>
  </si>
  <si>
    <t>Lake Yale</t>
  </si>
  <si>
    <t>Lake Carlton</t>
  </si>
  <si>
    <t>High density residential</t>
  </si>
  <si>
    <t>Total</t>
  </si>
  <si>
    <t>Net estimated TP load</t>
  </si>
  <si>
    <t>Total Maximum Daily Load (lbs/yr)</t>
  </si>
  <si>
    <t>Discharge from Palatlakaha River</t>
  </si>
  <si>
    <t>Stormwater runoff</t>
  </si>
  <si>
    <t xml:space="preserve">  Natural area runoff</t>
  </si>
  <si>
    <t xml:space="preserve">  Runoff from developed uses</t>
  </si>
  <si>
    <t>Spring discharge</t>
  </si>
  <si>
    <t>Muck farm discharges</t>
  </si>
  <si>
    <t>Restoration area discharges</t>
  </si>
  <si>
    <t xml:space="preserve">  Harris Bayou</t>
  </si>
  <si>
    <t>Atmospheric deposition (wet/dry)</t>
  </si>
  <si>
    <t>Point sources</t>
  </si>
  <si>
    <t>Seepage/groundwater</t>
  </si>
  <si>
    <t>Septic tanks</t>
  </si>
  <si>
    <t>Loading information</t>
  </si>
  <si>
    <t>Estimated load change from growth (2009 land uses)</t>
  </si>
  <si>
    <t xml:space="preserve">  Agricultural runoff</t>
  </si>
  <si>
    <t>City</t>
  </si>
  <si>
    <t>Clermont</t>
  </si>
  <si>
    <t>Groveland</t>
  </si>
  <si>
    <t>Lake County</t>
  </si>
  <si>
    <t>Leesburg</t>
  </si>
  <si>
    <t>Mascotte</t>
  </si>
  <si>
    <t>Minneola</t>
  </si>
  <si>
    <t>Eustis</t>
  </si>
  <si>
    <t>FDOT</t>
  </si>
  <si>
    <t>Marion County</t>
  </si>
  <si>
    <t>Umatilla</t>
  </si>
  <si>
    <t>Lake</t>
  </si>
  <si>
    <t/>
  </si>
  <si>
    <t>Carlton</t>
  </si>
  <si>
    <t>Orange County</t>
  </si>
  <si>
    <t>Astatula</t>
  </si>
  <si>
    <t>Howey-in-the-Hills</t>
  </si>
  <si>
    <t>Tavares</t>
  </si>
  <si>
    <t>Wildwood</t>
  </si>
  <si>
    <t>Apportionment of Developed Land Uses Reduction lbs TP/yr</t>
  </si>
  <si>
    <t>Allowable Loading or Allocation</t>
  </si>
  <si>
    <t>Proportional reduction needed to meet TMDL</t>
  </si>
  <si>
    <t>Palatlakaha</t>
  </si>
  <si>
    <t>Developed- High</t>
  </si>
  <si>
    <t>Developed- Medium</t>
  </si>
  <si>
    <t>Developed- Low</t>
  </si>
  <si>
    <t>Septic Systems</t>
  </si>
  <si>
    <t>Percent of Systems</t>
  </si>
  <si>
    <t>Howey-In-The-Hills</t>
  </si>
  <si>
    <t>Developed-high</t>
  </si>
  <si>
    <t>Developed-medium</t>
  </si>
  <si>
    <t>Developed-low</t>
  </si>
  <si>
    <t>Developed-High</t>
  </si>
  <si>
    <t>Developed-Medium</t>
  </si>
  <si>
    <t>Developed-Low</t>
  </si>
  <si>
    <t>Lake Yale Reductions</t>
  </si>
  <si>
    <t>Total Loading Reduction by Jurisdiction for Lake Yale</t>
  </si>
  <si>
    <t>Developed-Medium Percent of Area</t>
  </si>
  <si>
    <t>Developed-High Percent of Area</t>
  </si>
  <si>
    <t>Developed-Low Percent of Area</t>
  </si>
  <si>
    <t>Total Loading Reduction by Jurisdiction for Lake Harris</t>
  </si>
  <si>
    <t>Total Reduction Developed lbs/yr TP</t>
  </si>
  <si>
    <t>Reduction for Developed-High lbs/yr TP</t>
  </si>
  <si>
    <t>Reduction for Developed-Medium lbs/yr TP</t>
  </si>
  <si>
    <t>Reduction for Developed-Low lbs/yr TP</t>
  </si>
  <si>
    <t>Palatlakaha River</t>
  </si>
  <si>
    <t>Sum of loading reduction for developed land uses and septic systems.</t>
  </si>
  <si>
    <t>Loading Reduction using 3 categories of developed land use</t>
  </si>
  <si>
    <t xml:space="preserve">  Lake Yale - Summary of Reduction Goals and Estimated Reductions of Total Phosphorus from BMAP Projects</t>
  </si>
  <si>
    <t xml:space="preserve">  Lake Harris - Summary of Reduction Goals and Estimated Reductions of Total Phosphorus from BMAP Projects</t>
  </si>
  <si>
    <t xml:space="preserve"> Palatlakaha River - Summary of Reduction Goals and Estimated Reductions of Total Phosphorus from BMAP Projects</t>
  </si>
  <si>
    <t xml:space="preserve"> Lake Carlton - Summary of Reduction Goals and Estimated Reductions of Total Phosphorus from BMAP Projects</t>
  </si>
  <si>
    <t>Total Loading Reductions - Developed Land Use and Septic Systems</t>
  </si>
  <si>
    <t>Developed Land Use -High</t>
  </si>
  <si>
    <t>Developed Land Use-Medium</t>
  </si>
  <si>
    <t>Developed Land Use- Low</t>
  </si>
  <si>
    <t>Description</t>
  </si>
  <si>
    <t>Harris Chain Land Use Category</t>
  </si>
  <si>
    <t>Palatlakaha River Land Use Category</t>
  </si>
  <si>
    <t>High density residential, high density commercial, and industrial.</t>
  </si>
  <si>
    <t>Medium density residential and low density commercial</t>
  </si>
  <si>
    <t>Low density residential, mining, sprayfields, and open land/recreation</t>
  </si>
  <si>
    <t>Medium density residential and transportation</t>
  </si>
  <si>
    <t>Urban open and low density residential</t>
  </si>
  <si>
    <t xml:space="preserve">Sum of loading reduction for developed land uses. </t>
  </si>
  <si>
    <t>Total lbs/yr TP</t>
  </si>
  <si>
    <t>TMDL Controllable 2009 loading Estimate</t>
  </si>
  <si>
    <t>Controllable 2009 estimated % contribution</t>
  </si>
  <si>
    <t xml:space="preserve">  muck farm 2 (inactive)</t>
  </si>
  <si>
    <t xml:space="preserve">  muck farm 3 (inactive)</t>
  </si>
  <si>
    <t xml:space="preserve">  Pine Meadows restoration area</t>
  </si>
  <si>
    <t>TMDL Baseline loading        (1995-2000)</t>
  </si>
  <si>
    <t xml:space="preserve">    Developed Land Uses-High</t>
  </si>
  <si>
    <t xml:space="preserve">    Developed Land Uses-Medium</t>
  </si>
  <si>
    <t xml:space="preserve">    Developed Land Uses-Low</t>
  </si>
  <si>
    <t>Trout Lake - Summary of Reduction Goals and Estimated Reductions of Total Phosphorus from BMAP Projects</t>
  </si>
  <si>
    <t>Total Loading Reduction by Jurisdiction for Trout Lake</t>
  </si>
  <si>
    <t>Acres Developed</t>
  </si>
  <si>
    <t>Portion Developed</t>
  </si>
  <si>
    <t>Percent Developed</t>
  </si>
  <si>
    <t>Total Allocation lbs /yr TP</t>
  </si>
  <si>
    <t>Total Allocation lbs/yr TP</t>
  </si>
  <si>
    <t>Total Allocation in TP- loading (lbs/yr)</t>
  </si>
  <si>
    <t>Total Developed Land Uses Allocation (lbs/yr TP)</t>
  </si>
  <si>
    <t>Total Allocation Developed lbs/yr TP</t>
  </si>
  <si>
    <t>Additional reduction needed in TP-loading  to meet TMDL (lbs/yr)</t>
  </si>
  <si>
    <t>Total Reduction Septic System lbs/yr TP</t>
  </si>
  <si>
    <t>Loading Reduction lbs/yr TP</t>
  </si>
  <si>
    <t>Portion of Lake Watershed</t>
  </si>
  <si>
    <t xml:space="preserve">Acres Developed </t>
  </si>
  <si>
    <t>Total Acres Developed for Lake</t>
  </si>
  <si>
    <t xml:space="preserve">  Agriculture runoff</t>
  </si>
  <si>
    <t>Total Allocations - Developed Land Use and Septic Systems</t>
  </si>
  <si>
    <t>Total Loading Developed-High lbs/yr TP</t>
  </si>
  <si>
    <t>Developed-High Percent Area</t>
  </si>
  <si>
    <t>Total Loading Developed-Medium lbs/yr TP</t>
  </si>
  <si>
    <t>Total Loading Developed-Low lbs/yr TP</t>
  </si>
  <si>
    <t>Total Stormwater  Loading lbs/yr TP</t>
  </si>
  <si>
    <t>Stormwater Total Loading lbs/yr TP</t>
  </si>
  <si>
    <t xml:space="preserve">2009 Developed Stormwater  Loading by Jurisdiction for Trout Lake </t>
  </si>
  <si>
    <t>2009 Developed Stormwater  Loading by Jurisdiction for Lake Harris</t>
  </si>
  <si>
    <t>Total Stormwater Loading lbs/yr TP</t>
  </si>
  <si>
    <t>2009 Developed Stormwater  Loading by Jurisdiction for Lake Yale</t>
  </si>
  <si>
    <t>Education Credit Loading Information</t>
  </si>
  <si>
    <t>TMDL Baseline loading  (1995-2000)</t>
  </si>
  <si>
    <t>Lake Beauclair</t>
  </si>
  <si>
    <t>Lake Dora</t>
  </si>
  <si>
    <t>Lake Eustis</t>
  </si>
  <si>
    <t>Lake Griffin</t>
  </si>
  <si>
    <t>Total Acres</t>
  </si>
  <si>
    <t>Percent of Entire Basin</t>
  </si>
  <si>
    <t>Stormwater Loading lbs TP/yr</t>
  </si>
  <si>
    <t>Stormwater Loading calculated from baseline loading +change from 2009 land use.  Project reductions were removed from calculation.</t>
  </si>
  <si>
    <t>Fruitland Park</t>
  </si>
  <si>
    <t>Mount Dora</t>
  </si>
  <si>
    <t>Turnpike</t>
  </si>
  <si>
    <t xml:space="preserve">Fruitland Park </t>
  </si>
  <si>
    <t>Total Stormwater Loading lbs TP/yr</t>
  </si>
  <si>
    <t>Total Reduction (lbs/yr TP)</t>
  </si>
  <si>
    <t>Total Load (lbs/yr TP)</t>
  </si>
  <si>
    <t xml:space="preserve">Total Reduction </t>
  </si>
  <si>
    <t>Allocation for Developed Land Uses</t>
  </si>
  <si>
    <t>Total Allocation (lbs/yr TP)</t>
  </si>
  <si>
    <t xml:space="preserve">Palatlakaha Reductions </t>
  </si>
  <si>
    <t>Lake Harris Reductions</t>
  </si>
  <si>
    <t>Lake Carlton Reductions</t>
  </si>
  <si>
    <t>Trout Lake Reductions</t>
  </si>
  <si>
    <t xml:space="preserve">Lake Griffin Reductions </t>
  </si>
  <si>
    <t xml:space="preserve">Lake Eustis Reductions </t>
  </si>
  <si>
    <t xml:space="preserve">Lake Dora Reductions </t>
  </si>
  <si>
    <t>Lake Beauclair Reductions</t>
  </si>
  <si>
    <t>Palatlakaha SW Loading</t>
  </si>
  <si>
    <t>Lake Harris SW Loading</t>
  </si>
  <si>
    <t xml:space="preserve">Lake Carlton SW Loading </t>
  </si>
  <si>
    <t xml:space="preserve">Lake Yale SW Loading </t>
  </si>
  <si>
    <t xml:space="preserve">Trout Lake SW Loading </t>
  </si>
  <si>
    <t xml:space="preserve">Lake Griffin SW Loading </t>
  </si>
  <si>
    <t xml:space="preserve">Lake Eustis SW Loading </t>
  </si>
  <si>
    <t>Lake Dora SW Loading</t>
  </si>
  <si>
    <t>Lake Beauclair SW Loading</t>
  </si>
  <si>
    <t>-</t>
  </si>
  <si>
    <t>Activity</t>
  </si>
  <si>
    <t>Activity Details</t>
  </si>
  <si>
    <t xml:space="preserve"> Florida Yards and Neighborhoods program</t>
  </si>
  <si>
    <t xml:space="preserve"> Landscaping local code/ordinance</t>
  </si>
  <si>
    <t xml:space="preserve"> Irrigation local code/ordinance</t>
  </si>
  <si>
    <t xml:space="preserve"> Fertilizer local code/ordinance</t>
  </si>
  <si>
    <t xml:space="preserve"> Pet waste management local code/ordinance</t>
  </si>
  <si>
    <t xml:space="preserve"> Public Service Announcements (PSAs)</t>
  </si>
  <si>
    <t xml:space="preserve"> Informational pamphlets</t>
  </si>
  <si>
    <t xml:space="preserve"> Website</t>
  </si>
  <si>
    <t xml:space="preserve"> Inspection program and call-in number for illicit discharges</t>
  </si>
  <si>
    <t>Total Credit for Education Activities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</si>
  <si>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</si>
  <si>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</si>
  <si>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</si>
  <si>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</si>
  <si>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</si>
  <si>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</si>
  <si>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Credit</t>
  </si>
  <si>
    <t>Support IFAS program or alternative</t>
  </si>
  <si>
    <t>NA</t>
  </si>
  <si>
    <t>Education Credit Information</t>
  </si>
  <si>
    <t>Education Credit as Percent</t>
  </si>
  <si>
    <t>Credit Given as lbs TP/yr Reduction</t>
  </si>
  <si>
    <t>Total Acreage as Portion of All Developed Land Uses in Entire Basin</t>
  </si>
  <si>
    <t>Credit for Educational Activities as Percent</t>
  </si>
  <si>
    <t>Acres Developed-High</t>
  </si>
  <si>
    <t>Percent Developed-High</t>
  </si>
  <si>
    <t>Acres Developed-Medium</t>
  </si>
  <si>
    <t>Percent Developed-Medium</t>
  </si>
  <si>
    <t>Acres Developed-Low</t>
  </si>
  <si>
    <t>Percent Developed-Low</t>
  </si>
  <si>
    <t>Difference Between Developed Land Use Estimates *</t>
  </si>
  <si>
    <t>Harris watershed includes Little Lake Harris watershed.  Models cannot distinquish between lakes.</t>
  </si>
  <si>
    <t>All information in these spreadsheets is draft.</t>
  </si>
  <si>
    <t>Total Reduction Developed Land Use lbs/yr TP</t>
  </si>
  <si>
    <t>Developed Land Uses Reduction lbs/yr TP</t>
  </si>
  <si>
    <t>Total Allocation Developed Land Uses lbs/yr TP</t>
  </si>
  <si>
    <t xml:space="preserve">Lake Griffin Watershed </t>
  </si>
  <si>
    <t xml:space="preserve">Lake Dora  Watershed </t>
  </si>
  <si>
    <t xml:space="preserve">Lake Beauclair  Watershed </t>
  </si>
  <si>
    <t>Note Number</t>
  </si>
  <si>
    <r>
      <rPr>
        <b/>
        <sz val="10"/>
        <rFont val="Arial"/>
        <family val="2"/>
      </rPr>
      <t xml:space="preserve">Lake Harris Model: </t>
    </r>
    <r>
      <rPr>
        <sz val="10"/>
        <rFont val="Arial"/>
        <family val="2"/>
      </rPr>
      <t>Lake Harris and Little Lake Harris modeled as one basin.  Area (acreage) of the Lake Harris basin is the combined area of the Lake Harris and Little Lake Harris Basins.</t>
    </r>
  </si>
  <si>
    <r>
      <rPr>
        <b/>
        <sz val="10"/>
        <rFont val="Arial"/>
        <family val="2"/>
      </rPr>
      <t>NA=</t>
    </r>
    <r>
      <rPr>
        <sz val="10"/>
        <rFont val="Arial"/>
        <family val="2"/>
      </rPr>
      <t>not applicable</t>
    </r>
  </si>
  <si>
    <t>One Developed Land Use Category without Trout Lake-not including Septic Systems</t>
  </si>
  <si>
    <t>Estimated Total TP Load from Three Categories of Developed Land Uses (lbs/yr)</t>
  </si>
  <si>
    <t>Reductions by Three Developed Land Use Categories: Low, Medium, and High Intensity</t>
  </si>
  <si>
    <t>lbs/yr TP</t>
  </si>
  <si>
    <t>Septic System Loading Reduction-Based on Number of Septic Systems</t>
  </si>
  <si>
    <t>Allocation for Septic Systems</t>
  </si>
  <si>
    <t>Total Allocation Developed Land Use and Septic Systems</t>
  </si>
  <si>
    <t xml:space="preserve">Total Reduction Developed Land Use and Septic Systems </t>
  </si>
  <si>
    <t>Difference Between Developed Land Use Estimates*</t>
  </si>
  <si>
    <r>
      <rPr>
        <b/>
        <sz val="10"/>
        <rFont val="Arial"/>
        <family val="2"/>
      </rPr>
      <t>Projects:</t>
    </r>
    <r>
      <rPr>
        <sz val="10"/>
        <rFont val="Arial"/>
        <family val="2"/>
      </rPr>
      <t xml:space="preserve"> Estimates of reductions and allocations do not include credits (as lbs/yr TP) for projects.  Project information was removed from speadsheets.</t>
    </r>
  </si>
  <si>
    <r>
      <rPr>
        <b/>
        <sz val="10"/>
        <rFont val="Arial"/>
        <family val="2"/>
      </rPr>
      <t xml:space="preserve">Education Credit: </t>
    </r>
    <r>
      <rPr>
        <sz val="10"/>
        <rFont val="Arial"/>
        <family val="2"/>
      </rPr>
      <t>Education crediting scheme is listed in the spreadsheet " Education credit scheme".  Education credit estimated as percent credits x jurisdiction's total stormwater loading.</t>
    </r>
  </si>
  <si>
    <t>Total Required Reduction lbs/yr TP</t>
  </si>
  <si>
    <t>Developed Land Uses Required Reduction lbs/yr TP</t>
  </si>
  <si>
    <t>Percent of watershed</t>
  </si>
  <si>
    <t>Percent of Watershed</t>
  </si>
  <si>
    <t>Total Required Reduction Developed Land Uses lbs/yr TP</t>
  </si>
  <si>
    <t>Total Loading Reduction lbs TP /yr</t>
  </si>
  <si>
    <t>Total Loading Reduction lbs /yr TP</t>
  </si>
  <si>
    <t>Total Developed Land Uses Allocation (lbs/yr TP)=runoff from developed uses +septic systems</t>
  </si>
  <si>
    <t xml:space="preserve">Lake Eustis Watershed </t>
  </si>
  <si>
    <t>SW=stormwater</t>
  </si>
  <si>
    <t xml:space="preserve"> </t>
  </si>
  <si>
    <t>Septic systems</t>
  </si>
  <si>
    <t>Package plants</t>
  </si>
  <si>
    <t>Land Use Category</t>
  </si>
  <si>
    <t>Sub-basin</t>
  </si>
  <si>
    <t>Acres</t>
  </si>
  <si>
    <t>Portion</t>
  </si>
  <si>
    <t>% of total landuse acres</t>
  </si>
  <si>
    <t>Developed Land Use- High</t>
  </si>
  <si>
    <t>Developed Land Use- Medium</t>
  </si>
  <si>
    <t>Percent of Total - High</t>
  </si>
  <si>
    <t>Percent of Total - Low</t>
  </si>
  <si>
    <t>Percent of Total - Medium</t>
  </si>
  <si>
    <t xml:space="preserve"> 39-   Developed Land Uses-High</t>
  </si>
  <si>
    <t xml:space="preserve"> 39-   Developed Land Uses-Medium</t>
  </si>
  <si>
    <t xml:space="preserve"> 40-   Developed Land Uses-High</t>
  </si>
  <si>
    <t xml:space="preserve"> 40-  Developed Land Uses-Medium</t>
  </si>
  <si>
    <t xml:space="preserve"> 40-    Developed Land Uses-Low</t>
  </si>
  <si>
    <t xml:space="preserve"> 39-    Developed Land Uses-Low</t>
  </si>
  <si>
    <t xml:space="preserve">  41-  Developed Land Uses-Medium</t>
  </si>
  <si>
    <t xml:space="preserve">  41-    Developed Land Uses-High</t>
  </si>
  <si>
    <t xml:space="preserve">  41- Developed Land Uses-Low</t>
  </si>
  <si>
    <t>42-    Developed Land Uses-High</t>
  </si>
  <si>
    <t>42-    Developed Land Uses-Medium</t>
  </si>
  <si>
    <t>42-    Developed Land Uses-Low</t>
  </si>
  <si>
    <t xml:space="preserve">  43-  Developed Land Uses-High</t>
  </si>
  <si>
    <t xml:space="preserve"> 43-   Developed Land Uses-Medium</t>
  </si>
  <si>
    <t xml:space="preserve">  43-  Developed Land Uses-Low</t>
  </si>
  <si>
    <t xml:space="preserve">  44-  Developed Land Uses-High</t>
  </si>
  <si>
    <t xml:space="preserve"> 44-   Developed Land Uses-Medium</t>
  </si>
  <si>
    <t xml:space="preserve">  44-  Developed Land Uses-Low</t>
  </si>
  <si>
    <t>Data Period 1995-2000</t>
  </si>
  <si>
    <t>lbs TP/yr</t>
  </si>
  <si>
    <t>Basin Number</t>
  </si>
  <si>
    <t>Developed -Medium</t>
  </si>
  <si>
    <t>Develop-Low</t>
  </si>
  <si>
    <t>Sum</t>
  </si>
  <si>
    <t>Septic systems total</t>
  </si>
  <si>
    <t>Reduction lbsTP/yr</t>
  </si>
  <si>
    <t>Trout Lake Acres by Land Use Type</t>
  </si>
  <si>
    <t>Total Acres in Basin</t>
  </si>
  <si>
    <t>Sub-basin 39</t>
  </si>
  <si>
    <t>Sub-basin 40</t>
  </si>
  <si>
    <t>Sub-basin 41</t>
  </si>
  <si>
    <t>Sub-basin 42</t>
  </si>
  <si>
    <t>Developed-High all sub-basins</t>
  </si>
  <si>
    <t>Developed-Medium all sub-basins</t>
  </si>
  <si>
    <t>Developed-Low all sub-basins</t>
  </si>
  <si>
    <t>Sub-basin 43</t>
  </si>
  <si>
    <t>Sub-basin 44</t>
  </si>
  <si>
    <t>Jurisdiction</t>
  </si>
  <si>
    <t>Total Reduction</t>
  </si>
  <si>
    <t>Total Reduction Developed lbs TP/yr -by Sub-basin</t>
  </si>
  <si>
    <t>Total Credits</t>
  </si>
  <si>
    <t>Harris Chain and Palatlakaha River Basins Stormwater Loading and Education Crediting  (lbs TP/yr)</t>
  </si>
  <si>
    <t>*Comparison of reductions by sub-basin breakout minus total basin.</t>
  </si>
  <si>
    <t>Trout Lake - Summary of Reduction Goals and Estimated Reductions of Total Phosphorus from BMAP Projects Sub-basin Breakout</t>
  </si>
  <si>
    <t>Winter Garden</t>
  </si>
  <si>
    <t>Ocoee</t>
  </si>
  <si>
    <t>Apopka</t>
  </si>
  <si>
    <t>Lake County Parks/SJRWMD</t>
  </si>
  <si>
    <t>LCWA</t>
  </si>
  <si>
    <t>Mt. Dora</t>
  </si>
  <si>
    <t>Palatlakaha River Project Credits</t>
  </si>
  <si>
    <t>Palatlakaha River Education Credits</t>
  </si>
  <si>
    <t xml:space="preserve">Palatlakaha River City Total Credits  </t>
  </si>
  <si>
    <t xml:space="preserve">Lake Apopka Project Credits </t>
  </si>
  <si>
    <t xml:space="preserve">Lake Apopka Education Credits </t>
  </si>
  <si>
    <t xml:space="preserve">Lake Apopka City Total Credits  </t>
  </si>
  <si>
    <t xml:space="preserve">Lake Harris Project Credits </t>
  </si>
  <si>
    <t xml:space="preserve">Lake Harris Education Credits </t>
  </si>
  <si>
    <t>Lake Harris City Total Credits</t>
  </si>
  <si>
    <t xml:space="preserve">Lake Carlton Project Credits </t>
  </si>
  <si>
    <t xml:space="preserve">Lake Carlton Education Credits </t>
  </si>
  <si>
    <t xml:space="preserve">Lake Carlton City Total Credits </t>
  </si>
  <si>
    <t>Lake Dora Project Credits</t>
  </si>
  <si>
    <t xml:space="preserve">Lake Dora Education Credits </t>
  </si>
  <si>
    <t xml:space="preserve">Lake Dora City Total Credits </t>
  </si>
  <si>
    <t>Lake Beauclair Project Credits</t>
  </si>
  <si>
    <t>Lake Beauclair Education Credits</t>
  </si>
  <si>
    <t>Lake Beauclair City Total Credits</t>
  </si>
  <si>
    <t xml:space="preserve">Trout Lake Project Credits </t>
  </si>
  <si>
    <t xml:space="preserve">Trout Lake Education Credits </t>
  </si>
  <si>
    <t>Trout Lake City Total Credits</t>
  </si>
  <si>
    <t xml:space="preserve">Lake Eustis Project Credits </t>
  </si>
  <si>
    <t xml:space="preserve">Lake Eustis Education Credits </t>
  </si>
  <si>
    <t xml:space="preserve">Lake Eustis Total City Credits </t>
  </si>
  <si>
    <t xml:space="preserve">Lake Yale Project Credits </t>
  </si>
  <si>
    <t xml:space="preserve">Lake Yale Education Credits </t>
  </si>
  <si>
    <t xml:space="preserve">Lake Yale City Total Credits </t>
  </si>
  <si>
    <t xml:space="preserve">Lake Griffin Project Credits </t>
  </si>
  <si>
    <t xml:space="preserve">Lake Griffin Education Credits </t>
  </si>
  <si>
    <t xml:space="preserve">Lake Griffin City Total Credits </t>
  </si>
  <si>
    <t xml:space="preserve">Lake Roberts Project Credits </t>
  </si>
  <si>
    <t xml:space="preserve">Lake Roberts Education Credits </t>
  </si>
  <si>
    <t xml:space="preserve">Lake Roberts City Total Credits </t>
  </si>
  <si>
    <t>Notes</t>
  </si>
  <si>
    <t>only 4 lbs/yr was credited for street sweeping in both basins</t>
  </si>
  <si>
    <t xml:space="preserve">Need PAL street sweeping numbers </t>
  </si>
  <si>
    <t>Does not have educational credits.  Did their credits get split up in other entites?</t>
  </si>
  <si>
    <t>2 projects not counted</t>
  </si>
  <si>
    <t>Waiting on street sweeping data</t>
  </si>
  <si>
    <t xml:space="preserve">Turnpike </t>
  </si>
  <si>
    <t>Yale and Trout share project.  Need to follow up on project locations for Project YALE04</t>
  </si>
  <si>
    <t xml:space="preserve">Total </t>
  </si>
  <si>
    <t>Difference      lbs TP/yr*</t>
  </si>
  <si>
    <t>Total Reduction Developed lbs/TP yr</t>
  </si>
  <si>
    <t>Second Five Year 50% Required Reduction (lbs/yr TP)</t>
  </si>
  <si>
    <t>Summary of Credits and Required Reductions</t>
  </si>
  <si>
    <t>2009 Developed Stormwater Loading by Jurisdiction for Palatlakaha River</t>
  </si>
  <si>
    <t>Portion of Total Number of Systems</t>
  </si>
  <si>
    <t>Number of Systems*</t>
  </si>
  <si>
    <t xml:space="preserve">*Based solely on distribution of septic systems, does not inlcude package plants. </t>
  </si>
  <si>
    <t>Total Loading Reduction lbs/yr TP</t>
  </si>
  <si>
    <t>Estimated Number of Systems*</t>
  </si>
  <si>
    <t>Percent of Stormwater Total Loading</t>
  </si>
  <si>
    <t>De minimis</t>
  </si>
  <si>
    <t xml:space="preserve">Harris </t>
  </si>
  <si>
    <t xml:space="preserve">Trout </t>
  </si>
  <si>
    <t xml:space="preserve">Palatlakaha </t>
  </si>
  <si>
    <t xml:space="preserve">Yale </t>
  </si>
  <si>
    <t xml:space="preserve">Lake Basin </t>
  </si>
  <si>
    <t xml:space="preserve">2009 Developed Stormwater  Loading by Jurisdiction </t>
  </si>
  <si>
    <t xml:space="preserve">Discharge from Lake Eustis </t>
  </si>
  <si>
    <t>Septic System Reduction</t>
  </si>
  <si>
    <t xml:space="preserve">Education Credit Reduction in lbs TP/yr </t>
  </si>
  <si>
    <t>Total Required Reduction       lbs/yr TP</t>
  </si>
  <si>
    <t>First Five Year 50% Required Reduction lbs/yr TP</t>
  </si>
  <si>
    <t>Education Credit lbs yr TP</t>
  </si>
  <si>
    <t>Project Credits  lbs /yr TP</t>
  </si>
  <si>
    <t>Additional Projects Credits</t>
  </si>
  <si>
    <t>Remaining Reduction to be Achieved by 2026 in lbs TP/yr</t>
  </si>
  <si>
    <t xml:space="preserve"> First Five Year Remaining Reduction to be achived by 2021 in lbs/yr TP</t>
  </si>
  <si>
    <t>Number of Septic Systems*</t>
  </si>
  <si>
    <t>Portion of Total Number of Septic Systems</t>
  </si>
  <si>
    <t>1,034 OSTDS separately assigned to package plants</t>
  </si>
  <si>
    <t>Reductions and Credits by Jurisdiction for Lake Harris</t>
  </si>
  <si>
    <t>Reductions by Jurisdiction for Lake Harris</t>
  </si>
  <si>
    <t>Reduction by Jurisdiction for Lake Harris</t>
  </si>
  <si>
    <t>* if negative, 3 categories of developed uses lower than composited land uses (1 category).</t>
  </si>
  <si>
    <t>Difference Between Developed Land Use Estimates lbs/yr TP*</t>
  </si>
  <si>
    <t>Developed Land Use Loading Reduction- all developed land categories summed together</t>
  </si>
  <si>
    <t>Total Phosphorus loading baseline, needed reductions, and estimated reductions from restoration - Lake Harris</t>
  </si>
  <si>
    <t>Total Phosphorus loading baseline, needed reductions, and estimated reductions from restoration and stormwater projects - Trout Lake</t>
  </si>
  <si>
    <t>Reductions and Credits by Jurisdiction for Trout Lake</t>
  </si>
  <si>
    <t>Education Credit Reduction in lbs TP/yr</t>
  </si>
  <si>
    <t>Second Five Year 50% Required Reduction in lbs/yr TP</t>
  </si>
  <si>
    <t xml:space="preserve"> First Five Year Remaining Reduction to be Achieved by 2021 in lbs /yr TP</t>
  </si>
  <si>
    <t>Project Credits lbs /yr TP</t>
  </si>
  <si>
    <t>Total Required Reduction        lbs/yr TP</t>
  </si>
  <si>
    <t>Reduction by Jurisdiction for Tout Lake</t>
  </si>
  <si>
    <t>Total Phosphorus loading baseline, needed reductions, and estimated reductions from restoration - Palatlakaha River</t>
  </si>
  <si>
    <t>Reduction by Jurisdiction for Palatlakaha River</t>
  </si>
  <si>
    <t>Total Loading Reduction by Jurisdiction for Palatlakaha River</t>
  </si>
  <si>
    <t>Reductions and Credits by Jurisdiction - Palatlakaha River</t>
  </si>
  <si>
    <t>Reductions and Credits by Jurisdiction - Lake Carlton</t>
  </si>
  <si>
    <t>Reductions and Credits by Jurisdiction - Lake Yale</t>
  </si>
  <si>
    <t xml:space="preserve"> First Five Year Remaining Reduction to be Achived by 2021 in lbs/yr TP</t>
  </si>
  <si>
    <t>Reduction by Jurisdiction for Lake Yale</t>
  </si>
  <si>
    <t>590 OSTDS attributed to package plants</t>
  </si>
  <si>
    <t>Total Phosphorus loading baseline, needed reductions, and estimated reductions from restoration and stormwater projects - Lake Yale</t>
  </si>
  <si>
    <t>2009 Developed Stormwater  Loading by Jurisdiction for Lake Carlton</t>
  </si>
  <si>
    <t>Total Loading Reduction by Jurisdiction for Lake Carlton</t>
  </si>
  <si>
    <t>Total Phosphorus loading baseline, needed reductions, and estimated reductions from restoration -  Lake Carlton</t>
  </si>
  <si>
    <t>18 OSTDS separately attributed to package plants</t>
  </si>
  <si>
    <t>Reduction by Jurisdiction for Lake Carlton</t>
  </si>
  <si>
    <t>De minimis Summary</t>
  </si>
  <si>
    <r>
      <rPr>
        <b/>
        <sz val="10"/>
        <rFont val="Arial"/>
        <family val="2"/>
      </rPr>
      <t>Septic Systems:</t>
    </r>
    <r>
      <rPr>
        <sz val="10"/>
        <rFont val="Arial"/>
        <family val="2"/>
      </rPr>
      <t xml:space="preserve"> Septic system percent number by jurisdiction is estimated as number of systems within a jurisdiction out of the total number included in loading estimates.  Loading is then apportioned by the percent of septic systems within a jurisdiction.  Portion of loading attributed to package plants identified separately, but not apportioned for reductions.</t>
    </r>
  </si>
  <si>
    <t>De minimas: Percent of total stormwater loading attibuted to an entity.  Less than 1%, ask entity to participate, but don't assign a reduction.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</si>
</sst>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#,##0.0"/>
    <numFmt numFmtId="166" formatCode="0.0"/>
    <numFmt numFmtId="167" formatCode="0.0000"/>
    <numFmt numFmtId="168" formatCode="0.000"/>
    <numFmt numFmtId="169" formatCode="#,##0.000"/>
    <numFmt numFmtId="170" formatCode="#,##0.0000"/>
    <numFmt numFmtId="171" formatCode="0.000%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sz val="12"/>
      <name val="Arial"/>
      <family val="2"/>
    </font>
    <font>
      <b/>
      <sz val="12"/>
      <color rgb="FF002060"/>
      <name val="Arial"/>
      <family val="2"/>
    </font>
    <font>
      <b/>
      <sz val="10"/>
      <color rgb="FF0000FF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7" fillId="0" borderId="0" applyFont="0" applyFill="0" applyBorder="0" applyAlignment="0" applyProtection="0"/>
  </cellStyleXfs>
  <cellXfs count="7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0" xfId="0" applyNumberFormat="1"/>
    <xf numFmtId="0" fontId="0" fillId="0" borderId="3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Fill="1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Border="1"/>
    <xf numFmtId="3" fontId="2" fillId="0" borderId="14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8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/>
    <xf numFmtId="0" fontId="0" fillId="0" borderId="28" xfId="0" applyBorder="1"/>
    <xf numFmtId="164" fontId="0" fillId="0" borderId="28" xfId="0" applyNumberFormat="1" applyBorder="1"/>
    <xf numFmtId="0" fontId="2" fillId="0" borderId="2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/>
    <xf numFmtId="0" fontId="0" fillId="3" borderId="28" xfId="0" applyFill="1" applyBorder="1"/>
    <xf numFmtId="0" fontId="0" fillId="6" borderId="28" xfId="0" applyFill="1" applyBorder="1"/>
    <xf numFmtId="0" fontId="0" fillId="0" borderId="15" xfId="0" applyBorder="1"/>
    <xf numFmtId="0" fontId="0" fillId="0" borderId="32" xfId="0" applyBorder="1"/>
    <xf numFmtId="2" fontId="0" fillId="0" borderId="28" xfId="0" applyNumberFormat="1" applyBorder="1"/>
    <xf numFmtId="166" fontId="0" fillId="0" borderId="33" xfId="0" applyNumberFormat="1" applyBorder="1"/>
    <xf numFmtId="0" fontId="2" fillId="0" borderId="34" xfId="0" applyFont="1" applyBorder="1"/>
    <xf numFmtId="10" fontId="0" fillId="0" borderId="28" xfId="0" applyNumberFormat="1" applyBorder="1"/>
    <xf numFmtId="166" fontId="0" fillId="0" borderId="28" xfId="0" applyNumberFormat="1" applyBorder="1"/>
    <xf numFmtId="0" fontId="0" fillId="0" borderId="0" xfId="0"/>
    <xf numFmtId="166" fontId="0" fillId="0" borderId="0" xfId="0" applyNumberFormat="1"/>
    <xf numFmtId="0" fontId="0" fillId="0" borderId="0" xfId="0"/>
    <xf numFmtId="0" fontId="0" fillId="0" borderId="0" xfId="0"/>
    <xf numFmtId="0" fontId="2" fillId="0" borderId="32" xfId="0" applyFont="1" applyBorder="1"/>
    <xf numFmtId="0" fontId="0" fillId="0" borderId="33" xfId="0" applyBorder="1"/>
    <xf numFmtId="166" fontId="0" fillId="7" borderId="36" xfId="0" applyNumberFormat="1" applyFill="1" applyBorder="1"/>
    <xf numFmtId="0" fontId="1" fillId="0" borderId="32" xfId="0" applyFont="1" applyBorder="1"/>
    <xf numFmtId="166" fontId="0" fillId="0" borderId="31" xfId="0" applyNumberFormat="1" applyBorder="1"/>
    <xf numFmtId="0" fontId="0" fillId="7" borderId="35" xfId="0" applyFill="1" applyBorder="1"/>
    <xf numFmtId="0" fontId="0" fillId="0" borderId="35" xfId="0" applyBorder="1"/>
    <xf numFmtId="3" fontId="0" fillId="0" borderId="28" xfId="0" applyNumberFormat="1" applyFill="1" applyBorder="1"/>
    <xf numFmtId="0" fontId="0" fillId="2" borderId="28" xfId="0" applyFill="1" applyBorder="1"/>
    <xf numFmtId="0" fontId="1" fillId="7" borderId="34" xfId="0" applyFont="1" applyFill="1" applyBorder="1"/>
    <xf numFmtId="166" fontId="0" fillId="7" borderId="35" xfId="0" applyNumberFormat="1" applyFill="1" applyBorder="1"/>
    <xf numFmtId="1" fontId="0" fillId="3" borderId="28" xfId="0" applyNumberFormat="1" applyFill="1" applyBorder="1"/>
    <xf numFmtId="0" fontId="4" fillId="3" borderId="15" xfId="0" applyFont="1" applyFill="1" applyBorder="1"/>
    <xf numFmtId="0" fontId="4" fillId="3" borderId="32" xfId="0" applyFont="1" applyFill="1" applyBorder="1"/>
    <xf numFmtId="0" fontId="4" fillId="3" borderId="34" xfId="0" applyFont="1" applyFill="1" applyBorder="1"/>
    <xf numFmtId="164" fontId="0" fillId="0" borderId="0" xfId="0" applyNumberFormat="1" applyBorder="1"/>
    <xf numFmtId="166" fontId="0" fillId="0" borderId="0" xfId="0" applyNumberFormat="1" applyBorder="1"/>
    <xf numFmtId="0" fontId="2" fillId="0" borderId="1" xfId="0" applyFont="1" applyBorder="1"/>
    <xf numFmtId="3" fontId="0" fillId="2" borderId="28" xfId="0" applyNumberFormat="1" applyFill="1" applyBorder="1"/>
    <xf numFmtId="3" fontId="0" fillId="6" borderId="28" xfId="0" applyNumberFormat="1" applyFill="1" applyBorder="1"/>
    <xf numFmtId="165" fontId="0" fillId="0" borderId="28" xfId="0" applyNumberFormat="1" applyBorder="1"/>
    <xf numFmtId="165" fontId="0" fillId="6" borderId="28" xfId="0" applyNumberFormat="1" applyFill="1" applyBorder="1"/>
    <xf numFmtId="166" fontId="0" fillId="0" borderId="0" xfId="0" applyNumberFormat="1" applyFill="1" applyBorder="1"/>
    <xf numFmtId="0" fontId="2" fillId="7" borderId="34" xfId="0" applyFont="1" applyFill="1" applyBorder="1"/>
    <xf numFmtId="0" fontId="4" fillId="0" borderId="0" xfId="0" applyFont="1" applyFill="1" applyBorder="1"/>
    <xf numFmtId="166" fontId="4" fillId="3" borderId="32" xfId="0" applyNumberFormat="1" applyFont="1" applyFill="1" applyBorder="1"/>
    <xf numFmtId="166" fontId="4" fillId="3" borderId="34" xfId="0" applyNumberFormat="1" applyFont="1" applyFill="1" applyBorder="1"/>
    <xf numFmtId="0" fontId="0" fillId="0" borderId="34" xfId="0" applyBorder="1"/>
    <xf numFmtId="0" fontId="1" fillId="0" borderId="47" xfId="0" applyFont="1" applyFill="1" applyBorder="1"/>
    <xf numFmtId="0" fontId="0" fillId="0" borderId="28" xfId="0" applyFill="1" applyBorder="1"/>
    <xf numFmtId="0" fontId="0" fillId="6" borderId="35" xfId="0" applyFill="1" applyBorder="1"/>
    <xf numFmtId="0" fontId="0" fillId="5" borderId="33" xfId="0" applyFill="1" applyBorder="1"/>
    <xf numFmtId="0" fontId="1" fillId="0" borderId="32" xfId="0" applyFont="1" applyBorder="1" applyAlignment="1">
      <alignment horizontal="center"/>
    </xf>
    <xf numFmtId="165" fontId="0" fillId="5" borderId="33" xfId="0" applyNumberFormat="1" applyFill="1" applyBorder="1"/>
    <xf numFmtId="0" fontId="0" fillId="0" borderId="0" xfId="0" applyFill="1"/>
    <xf numFmtId="0" fontId="2" fillId="0" borderId="51" xfId="0" applyFont="1" applyBorder="1"/>
    <xf numFmtId="0" fontId="1" fillId="0" borderId="32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3" fillId="0" borderId="28" xfId="0" applyFont="1" applyFill="1" applyBorder="1"/>
    <xf numFmtId="0" fontId="2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0" borderId="28" xfId="0" applyFont="1" applyBorder="1"/>
    <xf numFmtId="165" fontId="0" fillId="0" borderId="0" xfId="0" applyNumberFormat="1"/>
    <xf numFmtId="166" fontId="4" fillId="0" borderId="0" xfId="0" applyNumberFormat="1" applyFont="1" applyFill="1" applyBorder="1" applyAlignment="1">
      <alignment vertical="top" wrapText="1"/>
    </xf>
    <xf numFmtId="166" fontId="0" fillId="0" borderId="32" xfId="0" applyNumberFormat="1" applyBorder="1"/>
    <xf numFmtId="0" fontId="1" fillId="0" borderId="28" xfId="0" applyFont="1" applyBorder="1"/>
    <xf numFmtId="3" fontId="0" fillId="0" borderId="28" xfId="0" applyNumberFormat="1" applyBorder="1"/>
    <xf numFmtId="0" fontId="1" fillId="0" borderId="0" xfId="0" applyFont="1" applyAlignment="1">
      <alignment vertical="center" wrapText="1"/>
    </xf>
    <xf numFmtId="0" fontId="0" fillId="11" borderId="28" xfId="0" applyFill="1" applyBorder="1"/>
    <xf numFmtId="3" fontId="0" fillId="11" borderId="28" xfId="0" applyNumberFormat="1" applyFill="1" applyBorder="1"/>
    <xf numFmtId="0" fontId="0" fillId="5" borderId="15" xfId="0" applyFill="1" applyBorder="1"/>
    <xf numFmtId="0" fontId="2" fillId="7" borderId="15" xfId="0" applyFont="1" applyFill="1" applyBorder="1"/>
    <xf numFmtId="0" fontId="0" fillId="4" borderId="15" xfId="0" applyFill="1" applyBorder="1"/>
    <xf numFmtId="0" fontId="0" fillId="12" borderId="15" xfId="0" applyFill="1" applyBorder="1"/>
    <xf numFmtId="10" fontId="0" fillId="0" borderId="0" xfId="0" applyNumberFormat="1"/>
    <xf numFmtId="0" fontId="1" fillId="0" borderId="51" xfId="0" applyFont="1" applyBorder="1"/>
    <xf numFmtId="0" fontId="4" fillId="3" borderId="32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28" xfId="0" applyFont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166" fontId="5" fillId="0" borderId="28" xfId="0" applyNumberFormat="1" applyFont="1" applyBorder="1" applyAlignment="1">
      <alignment horizontal="center"/>
    </xf>
    <xf numFmtId="166" fontId="5" fillId="0" borderId="28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3" borderId="34" xfId="0" applyFont="1" applyFill="1" applyBorder="1" applyAlignment="1">
      <alignment wrapText="1"/>
    </xf>
    <xf numFmtId="166" fontId="5" fillId="0" borderId="35" xfId="0" applyNumberFormat="1" applyFont="1" applyBorder="1" applyAlignment="1">
      <alignment horizontal="center"/>
    </xf>
    <xf numFmtId="166" fontId="0" fillId="0" borderId="28" xfId="0" applyNumberFormat="1" applyBorder="1" applyAlignment="1">
      <alignment horizontal="center"/>
    </xf>
    <xf numFmtId="166" fontId="0" fillId="7" borderId="35" xfId="0" applyNumberFormat="1" applyFill="1" applyBorder="1" applyAlignment="1">
      <alignment horizontal="center"/>
    </xf>
    <xf numFmtId="166" fontId="0" fillId="7" borderId="36" xfId="0" applyNumberFormat="1" applyFill="1" applyBorder="1" applyAlignment="1">
      <alignment horizontal="center"/>
    </xf>
    <xf numFmtId="166" fontId="4" fillId="3" borderId="28" xfId="0" applyNumberFormat="1" applyFont="1" applyFill="1" applyBorder="1" applyAlignment="1">
      <alignment horizontal="center"/>
    </xf>
    <xf numFmtId="166" fontId="0" fillId="0" borderId="35" xfId="0" applyNumberFormat="1" applyBorder="1" applyAlignment="1">
      <alignment horizontal="center"/>
    </xf>
    <xf numFmtId="166" fontId="5" fillId="7" borderId="33" xfId="0" applyNumberFormat="1" applyFont="1" applyFill="1" applyBorder="1" applyAlignment="1">
      <alignment horizontal="center"/>
    </xf>
    <xf numFmtId="166" fontId="5" fillId="7" borderId="36" xfId="0" applyNumberFormat="1" applyFont="1" applyFill="1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7" borderId="23" xfId="0" applyFont="1" applyFill="1" applyBorder="1" applyAlignment="1">
      <alignment horizontal="center" wrapText="1"/>
    </xf>
    <xf numFmtId="0" fontId="5" fillId="3" borderId="15" xfId="0" applyFont="1" applyFill="1" applyBorder="1"/>
    <xf numFmtId="0" fontId="4" fillId="0" borderId="32" xfId="0" applyFont="1" applyBorder="1"/>
    <xf numFmtId="166" fontId="5" fillId="0" borderId="33" xfId="0" applyNumberFormat="1" applyFont="1" applyFill="1" applyBorder="1" applyAlignment="1">
      <alignment horizontal="center"/>
    </xf>
    <xf numFmtId="0" fontId="4" fillId="7" borderId="34" xfId="0" applyFont="1" applyFill="1" applyBorder="1"/>
    <xf numFmtId="166" fontId="5" fillId="7" borderId="35" xfId="0" applyNumberFormat="1" applyFont="1" applyFill="1" applyBorder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166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Fill="1" applyBorder="1"/>
    <xf numFmtId="166" fontId="5" fillId="0" borderId="31" xfId="0" applyNumberFormat="1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166" fontId="5" fillId="0" borderId="40" xfId="0" applyNumberFormat="1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166" fontId="5" fillId="0" borderId="28" xfId="0" applyNumberFormat="1" applyFont="1" applyBorder="1" applyAlignment="1">
      <alignment horizontal="center" vertical="top" wrapText="1"/>
    </xf>
    <xf numFmtId="166" fontId="5" fillId="7" borderId="33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Border="1" applyAlignment="1">
      <alignment vertical="top" wrapText="1"/>
    </xf>
    <xf numFmtId="166" fontId="7" fillId="0" borderId="0" xfId="0" applyNumberFormat="1" applyFont="1" applyFill="1" applyBorder="1" applyAlignment="1">
      <alignment vertical="top" wrapText="1"/>
    </xf>
    <xf numFmtId="0" fontId="4" fillId="3" borderId="53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4" fillId="7" borderId="33" xfId="0" applyFont="1" applyFill="1" applyBorder="1" applyAlignment="1">
      <alignment horizontal="center" vertical="top" wrapText="1"/>
    </xf>
    <xf numFmtId="166" fontId="4" fillId="3" borderId="19" xfId="0" applyNumberFormat="1" applyFont="1" applyFill="1" applyBorder="1" applyAlignment="1">
      <alignment horizontal="center" wrapText="1"/>
    </xf>
    <xf numFmtId="166" fontId="4" fillId="3" borderId="23" xfId="0" applyNumberFormat="1" applyFont="1" applyFill="1" applyBorder="1" applyAlignment="1">
      <alignment horizontal="center" wrapText="1"/>
    </xf>
    <xf numFmtId="0" fontId="4" fillId="7" borderId="16" xfId="0" applyFont="1" applyFill="1" applyBorder="1" applyAlignment="1">
      <alignment horizontal="center" wrapText="1"/>
    </xf>
    <xf numFmtId="0" fontId="4" fillId="3" borderId="53" xfId="0" applyFont="1" applyFill="1" applyBorder="1" applyAlignment="1"/>
    <xf numFmtId="0" fontId="4" fillId="7" borderId="34" xfId="0" applyFont="1" applyFill="1" applyBorder="1" applyAlignment="1">
      <alignment horizontal="left" vertical="top" wrapText="1"/>
    </xf>
    <xf numFmtId="0" fontId="4" fillId="5" borderId="23" xfId="0" applyFont="1" applyFill="1" applyBorder="1" applyAlignment="1">
      <alignment horizontal="center" vertical="top" wrapText="1"/>
    </xf>
    <xf numFmtId="166" fontId="0" fillId="5" borderId="33" xfId="0" applyNumberFormat="1" applyFill="1" applyBorder="1" applyAlignment="1">
      <alignment horizontal="center"/>
    </xf>
    <xf numFmtId="166" fontId="0" fillId="0" borderId="37" xfId="0" applyNumberFormat="1" applyBorder="1" applyAlignment="1">
      <alignment horizontal="center"/>
    </xf>
    <xf numFmtId="166" fontId="2" fillId="0" borderId="28" xfId="0" applyNumberFormat="1" applyFont="1" applyBorder="1" applyAlignment="1">
      <alignment horizontal="center"/>
    </xf>
    <xf numFmtId="166" fontId="0" fillId="5" borderId="36" xfId="0" applyNumberFormat="1" applyFill="1" applyBorder="1" applyAlignment="1">
      <alignment horizontal="center"/>
    </xf>
    <xf numFmtId="166" fontId="4" fillId="3" borderId="19" xfId="0" applyNumberFormat="1" applyFont="1" applyFill="1" applyBorder="1" applyAlignment="1">
      <alignment horizontal="center"/>
    </xf>
    <xf numFmtId="166" fontId="0" fillId="0" borderId="28" xfId="0" applyNumberFormat="1" applyFill="1" applyBorder="1" applyAlignment="1">
      <alignment horizontal="center"/>
    </xf>
    <xf numFmtId="166" fontId="1" fillId="0" borderId="35" xfId="0" applyNumberFormat="1" applyFont="1" applyFill="1" applyBorder="1" applyAlignment="1">
      <alignment horizontal="center"/>
    </xf>
    <xf numFmtId="166" fontId="5" fillId="7" borderId="35" xfId="0" applyNumberFormat="1" applyFont="1" applyFill="1" applyBorder="1" applyAlignment="1">
      <alignment horizontal="center" wrapText="1"/>
    </xf>
    <xf numFmtId="166" fontId="5" fillId="7" borderId="36" xfId="0" applyNumberFormat="1" applyFont="1" applyFill="1" applyBorder="1" applyAlignment="1">
      <alignment horizontal="center" wrapText="1"/>
    </xf>
    <xf numFmtId="166" fontId="0" fillId="0" borderId="42" xfId="0" applyNumberFormat="1" applyBorder="1" applyAlignment="1">
      <alignment horizontal="center"/>
    </xf>
    <xf numFmtId="166" fontId="1" fillId="0" borderId="28" xfId="0" applyNumberFormat="1" applyFont="1" applyBorder="1" applyAlignment="1">
      <alignment horizontal="center"/>
    </xf>
    <xf numFmtId="0" fontId="2" fillId="7" borderId="34" xfId="0" applyFont="1" applyFill="1" applyBorder="1" applyAlignment="1">
      <alignment wrapText="1"/>
    </xf>
    <xf numFmtId="0" fontId="9" fillId="0" borderId="0" xfId="0" applyFont="1" applyAlignment="1">
      <alignment horizontal="justify"/>
    </xf>
    <xf numFmtId="0" fontId="1" fillId="0" borderId="0" xfId="0" applyFont="1"/>
    <xf numFmtId="0" fontId="8" fillId="6" borderId="15" xfId="0" applyFont="1" applyFill="1" applyBorder="1" applyAlignment="1">
      <alignment wrapText="1"/>
    </xf>
    <xf numFmtId="0" fontId="8" fillId="13" borderId="41" xfId="0" applyFont="1" applyFill="1" applyBorder="1" applyAlignment="1">
      <alignment horizontal="center" wrapText="1"/>
    </xf>
    <xf numFmtId="166" fontId="8" fillId="6" borderId="19" xfId="0" applyNumberFormat="1" applyFont="1" applyFill="1" applyBorder="1" applyAlignment="1">
      <alignment horizontal="center" wrapText="1"/>
    </xf>
    <xf numFmtId="0" fontId="8" fillId="0" borderId="32" xfId="0" applyFont="1" applyBorder="1" applyAlignment="1">
      <alignment wrapText="1"/>
    </xf>
    <xf numFmtId="166" fontId="10" fillId="0" borderId="28" xfId="0" applyNumberFormat="1" applyFont="1" applyBorder="1" applyAlignment="1">
      <alignment horizontal="center" wrapText="1"/>
    </xf>
    <xf numFmtId="0" fontId="8" fillId="0" borderId="32" xfId="0" applyFont="1" applyBorder="1" applyAlignment="1">
      <alignment vertical="top" wrapText="1"/>
    </xf>
    <xf numFmtId="168" fontId="10" fillId="0" borderId="28" xfId="0" applyNumberFormat="1" applyFont="1" applyBorder="1" applyAlignment="1">
      <alignment horizontal="center" wrapText="1"/>
    </xf>
    <xf numFmtId="0" fontId="8" fillId="7" borderId="34" xfId="0" applyFont="1" applyFill="1" applyBorder="1" applyAlignment="1">
      <alignment vertical="top" wrapText="1"/>
    </xf>
    <xf numFmtId="166" fontId="10" fillId="7" borderId="35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vertical="top" wrapText="1"/>
    </xf>
    <xf numFmtId="9" fontId="8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10" fontId="8" fillId="0" borderId="2" xfId="0" applyNumberFormat="1" applyFont="1" applyBorder="1" applyAlignment="1">
      <alignment vertical="top" wrapText="1"/>
    </xf>
    <xf numFmtId="0" fontId="8" fillId="0" borderId="2" xfId="0" applyFont="1" applyBorder="1"/>
    <xf numFmtId="0" fontId="11" fillId="8" borderId="48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top" wrapText="1"/>
    </xf>
    <xf numFmtId="10" fontId="8" fillId="7" borderId="5" xfId="0" applyNumberFormat="1" applyFont="1" applyFill="1" applyBorder="1" applyAlignment="1">
      <alignment vertical="top" wrapText="1"/>
    </xf>
    <xf numFmtId="0" fontId="8" fillId="7" borderId="5" xfId="0" applyFont="1" applyFill="1" applyBorder="1"/>
    <xf numFmtId="2" fontId="1" fillId="0" borderId="28" xfId="0" applyNumberFormat="1" applyFont="1" applyBorder="1"/>
    <xf numFmtId="168" fontId="0" fillId="0" borderId="28" xfId="0" applyNumberFormat="1" applyBorder="1"/>
    <xf numFmtId="0" fontId="2" fillId="4" borderId="32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12" borderId="32" xfId="0" applyFont="1" applyFill="1" applyBorder="1" applyAlignment="1">
      <alignment wrapText="1"/>
    </xf>
    <xf numFmtId="0" fontId="2" fillId="12" borderId="28" xfId="0" applyFont="1" applyFill="1" applyBorder="1" applyAlignment="1">
      <alignment wrapText="1"/>
    </xf>
    <xf numFmtId="164" fontId="0" fillId="0" borderId="0" xfId="0" applyNumberFormat="1"/>
    <xf numFmtId="164" fontId="1" fillId="0" borderId="28" xfId="0" applyNumberFormat="1" applyFont="1" applyBorder="1"/>
    <xf numFmtId="0" fontId="2" fillId="0" borderId="55" xfId="0" applyFont="1" applyFill="1" applyBorder="1"/>
    <xf numFmtId="0" fontId="2" fillId="0" borderId="56" xfId="0" applyFont="1" applyBorder="1" applyAlignment="1">
      <alignment vertical="top" wrapText="1"/>
    </xf>
    <xf numFmtId="0" fontId="2" fillId="4" borderId="56" xfId="0" applyFont="1" applyFill="1" applyBorder="1" applyAlignment="1">
      <alignment vertical="top" wrapText="1"/>
    </xf>
    <xf numFmtId="0" fontId="2" fillId="5" borderId="56" xfId="0" applyFont="1" applyFill="1" applyBorder="1" applyAlignment="1">
      <alignment vertical="top" wrapText="1"/>
    </xf>
    <xf numFmtId="3" fontId="0" fillId="5" borderId="33" xfId="0" applyNumberFormat="1" applyFill="1" applyBorder="1"/>
    <xf numFmtId="0" fontId="2" fillId="0" borderId="61" xfId="0" applyFont="1" applyFill="1" applyBorder="1"/>
    <xf numFmtId="0" fontId="2" fillId="0" borderId="45" xfId="0" applyFont="1" applyFill="1" applyBorder="1"/>
    <xf numFmtId="0" fontId="3" fillId="0" borderId="45" xfId="0" applyFont="1" applyFill="1" applyBorder="1"/>
    <xf numFmtId="0" fontId="3" fillId="0" borderId="45" xfId="0" applyFont="1" applyBorder="1"/>
    <xf numFmtId="0" fontId="2" fillId="0" borderId="45" xfId="0" applyFont="1" applyBorder="1"/>
    <xf numFmtId="0" fontId="0" fillId="0" borderId="45" xfId="0" applyBorder="1"/>
    <xf numFmtId="0" fontId="2" fillId="0" borderId="45" xfId="0" applyFont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3" fontId="0" fillId="0" borderId="59" xfId="0" applyNumberFormat="1" applyFill="1" applyBorder="1"/>
    <xf numFmtId="0" fontId="0" fillId="0" borderId="35" xfId="0" applyFill="1" applyBorder="1"/>
    <xf numFmtId="0" fontId="3" fillId="0" borderId="35" xfId="0" applyFont="1" applyFill="1" applyBorder="1"/>
    <xf numFmtId="2" fontId="0" fillId="0" borderId="0" xfId="0" applyNumberFormat="1"/>
    <xf numFmtId="0" fontId="12" fillId="0" borderId="0" xfId="0" applyFont="1"/>
    <xf numFmtId="164" fontId="0" fillId="7" borderId="35" xfId="0" applyNumberFormat="1" applyFill="1" applyBorder="1"/>
    <xf numFmtId="166" fontId="0" fillId="7" borderId="40" xfId="0" applyNumberFormat="1" applyFill="1" applyBorder="1"/>
    <xf numFmtId="166" fontId="0" fillId="0" borderId="51" xfId="0" applyNumberFormat="1" applyBorder="1"/>
    <xf numFmtId="164" fontId="6" fillId="4" borderId="33" xfId="0" applyNumberFormat="1" applyFont="1" applyFill="1" applyBorder="1" applyAlignment="1">
      <alignment wrapText="1"/>
    </xf>
    <xf numFmtId="0" fontId="2" fillId="7" borderId="28" xfId="0" applyFont="1" applyFill="1" applyBorder="1" applyAlignment="1">
      <alignment wrapText="1"/>
    </xf>
    <xf numFmtId="0" fontId="0" fillId="0" borderId="12" xfId="0" applyFill="1" applyBorder="1"/>
    <xf numFmtId="0" fontId="0" fillId="0" borderId="28" xfId="0" applyBorder="1" applyAlignment="1">
      <alignment vertical="top"/>
    </xf>
    <xf numFmtId="0" fontId="1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8" xfId="0" applyBorder="1" applyAlignment="1">
      <alignment wrapText="1"/>
    </xf>
    <xf numFmtId="166" fontId="5" fillId="0" borderId="0" xfId="0" applyNumberFormat="1" applyFont="1"/>
    <xf numFmtId="0" fontId="4" fillId="3" borderId="51" xfId="0" applyFont="1" applyFill="1" applyBorder="1"/>
    <xf numFmtId="166" fontId="5" fillId="0" borderId="37" xfId="0" applyNumberFormat="1" applyFont="1" applyBorder="1" applyAlignment="1">
      <alignment horizontal="center"/>
    </xf>
    <xf numFmtId="166" fontId="5" fillId="7" borderId="38" xfId="0" applyNumberFormat="1" applyFont="1" applyFill="1" applyBorder="1" applyAlignment="1">
      <alignment horizontal="center"/>
    </xf>
    <xf numFmtId="166" fontId="4" fillId="7" borderId="35" xfId="0" applyNumberFormat="1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/>
    </xf>
    <xf numFmtId="0" fontId="2" fillId="0" borderId="63" xfId="0" applyFont="1" applyFill="1" applyBorder="1"/>
    <xf numFmtId="3" fontId="0" fillId="2" borderId="59" xfId="0" applyNumberFormat="1" applyFill="1" applyBorder="1"/>
    <xf numFmtId="165" fontId="0" fillId="0" borderId="59" xfId="0" applyNumberFormat="1" applyBorder="1"/>
    <xf numFmtId="164" fontId="0" fillId="0" borderId="59" xfId="0" applyNumberFormat="1" applyBorder="1"/>
    <xf numFmtId="165" fontId="0" fillId="6" borderId="59" xfId="0" applyNumberFormat="1" applyFill="1" applyBorder="1"/>
    <xf numFmtId="165" fontId="0" fillId="5" borderId="60" xfId="0" applyNumberFormat="1" applyFill="1" applyBorder="1"/>
    <xf numFmtId="0" fontId="2" fillId="0" borderId="32" xfId="0" applyFont="1" applyFill="1" applyBorder="1"/>
    <xf numFmtId="0" fontId="3" fillId="0" borderId="32" xfId="0" applyFont="1" applyFill="1" applyBorder="1"/>
    <xf numFmtId="0" fontId="3" fillId="0" borderId="32" xfId="0" applyFont="1" applyBorder="1"/>
    <xf numFmtId="0" fontId="1" fillId="2" borderId="32" xfId="0" applyFont="1" applyFill="1" applyBorder="1" applyAlignment="1">
      <alignment horizontal="center"/>
    </xf>
    <xf numFmtId="3" fontId="3" fillId="0" borderId="28" xfId="0" applyNumberFormat="1" applyFont="1" applyFill="1" applyBorder="1"/>
    <xf numFmtId="0" fontId="0" fillId="2" borderId="32" xfId="0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9" fontId="0" fillId="2" borderId="28" xfId="0" applyNumberFormat="1" applyFill="1" applyBorder="1"/>
    <xf numFmtId="0" fontId="0" fillId="2" borderId="35" xfId="0" applyFill="1" applyBorder="1"/>
    <xf numFmtId="166" fontId="2" fillId="5" borderId="23" xfId="0" applyNumberFormat="1" applyFont="1" applyFill="1" applyBorder="1" applyAlignment="1">
      <alignment wrapText="1"/>
    </xf>
    <xf numFmtId="0" fontId="1" fillId="0" borderId="34" xfId="0" applyFont="1" applyBorder="1" applyAlignment="1">
      <alignment horizontal="center" wrapText="1"/>
    </xf>
    <xf numFmtId="166" fontId="2" fillId="0" borderId="55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63" xfId="0" applyBorder="1"/>
    <xf numFmtId="0" fontId="2" fillId="0" borderId="32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2" fillId="0" borderId="19" xfId="0" applyFont="1" applyBorder="1" applyAlignment="1">
      <alignment wrapText="1"/>
    </xf>
    <xf numFmtId="0" fontId="2" fillId="3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10" fontId="0" fillId="0" borderId="33" xfId="0" applyNumberFormat="1" applyBorder="1"/>
    <xf numFmtId="10" fontId="0" fillId="0" borderId="36" xfId="0" applyNumberFormat="1" applyBorder="1"/>
    <xf numFmtId="0" fontId="0" fillId="7" borderId="36" xfId="0" applyFill="1" applyBorder="1"/>
    <xf numFmtId="0" fontId="2" fillId="5" borderId="32" xfId="0" applyFont="1" applyFill="1" applyBorder="1" applyAlignment="1">
      <alignment wrapText="1"/>
    </xf>
    <xf numFmtId="0" fontId="2" fillId="7" borderId="32" xfId="0" applyFont="1" applyFill="1" applyBorder="1" applyAlignment="1">
      <alignment wrapText="1"/>
    </xf>
    <xf numFmtId="164" fontId="6" fillId="7" borderId="33" xfId="0" applyNumberFormat="1" applyFont="1" applyFill="1" applyBorder="1" applyAlignment="1">
      <alignment wrapText="1"/>
    </xf>
    <xf numFmtId="2" fontId="1" fillId="0" borderId="33" xfId="0" applyNumberFormat="1" applyFont="1" applyBorder="1"/>
    <xf numFmtId="2" fontId="13" fillId="5" borderId="28" xfId="0" applyNumberFormat="1" applyFont="1" applyFill="1" applyBorder="1" applyAlignment="1">
      <alignment wrapText="1"/>
    </xf>
    <xf numFmtId="2" fontId="13" fillId="5" borderId="33" xfId="0" applyNumberFormat="1" applyFont="1" applyFill="1" applyBorder="1" applyAlignment="1">
      <alignment wrapText="1"/>
    </xf>
    <xf numFmtId="169" fontId="0" fillId="0" borderId="28" xfId="0" applyNumberFormat="1" applyBorder="1"/>
    <xf numFmtId="170" fontId="0" fillId="0" borderId="28" xfId="0" applyNumberFormat="1" applyBorder="1"/>
    <xf numFmtId="168" fontId="1" fillId="0" borderId="28" xfId="0" applyNumberFormat="1" applyFont="1" applyBorder="1"/>
    <xf numFmtId="0" fontId="13" fillId="4" borderId="28" xfId="0" applyFont="1" applyFill="1" applyBorder="1" applyAlignment="1">
      <alignment vertical="center" wrapText="1"/>
    </xf>
    <xf numFmtId="0" fontId="0" fillId="7" borderId="34" xfId="0" applyFont="1" applyFill="1" applyBorder="1"/>
    <xf numFmtId="0" fontId="1" fillId="7" borderId="35" xfId="0" applyFont="1" applyFill="1" applyBorder="1"/>
    <xf numFmtId="2" fontId="1" fillId="7" borderId="36" xfId="0" applyNumberFormat="1" applyFont="1" applyFill="1" applyBorder="1"/>
    <xf numFmtId="0" fontId="10" fillId="13" borderId="43" xfId="0" quotePrefix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19" xfId="0" applyBorder="1"/>
    <xf numFmtId="0" fontId="0" fillId="0" borderId="32" xfId="0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10" fontId="0" fillId="0" borderId="28" xfId="0" applyNumberForma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5" borderId="23" xfId="0" applyFill="1" applyBorder="1"/>
    <xf numFmtId="0" fontId="0" fillId="5" borderId="33" xfId="0" applyFill="1" applyBorder="1" applyAlignment="1">
      <alignment vertical="top" wrapText="1"/>
    </xf>
    <xf numFmtId="166" fontId="0" fillId="5" borderId="33" xfId="0" applyNumberFormat="1" applyFill="1" applyBorder="1" applyAlignment="1">
      <alignment vertical="top" wrapText="1"/>
    </xf>
    <xf numFmtId="0" fontId="0" fillId="5" borderId="36" xfId="0" applyFill="1" applyBorder="1" applyAlignment="1">
      <alignment vertical="top" wrapText="1"/>
    </xf>
    <xf numFmtId="0" fontId="0" fillId="6" borderId="19" xfId="0" applyFill="1" applyBorder="1"/>
    <xf numFmtId="0" fontId="0" fillId="6" borderId="28" xfId="0" applyFill="1" applyBorder="1" applyAlignment="1">
      <alignment vertical="top" wrapText="1"/>
    </xf>
    <xf numFmtId="166" fontId="0" fillId="6" borderId="28" xfId="0" applyNumberFormat="1" applyFill="1" applyBorder="1" applyAlignment="1">
      <alignment vertical="top" wrapText="1"/>
    </xf>
    <xf numFmtId="0" fontId="0" fillId="6" borderId="35" xfId="0" applyFill="1" applyBorder="1" applyAlignment="1">
      <alignment vertical="top" wrapText="1"/>
    </xf>
    <xf numFmtId="0" fontId="0" fillId="3" borderId="28" xfId="0" applyFill="1" applyBorder="1" applyAlignment="1">
      <alignment vertical="top" wrapText="1"/>
    </xf>
    <xf numFmtId="0" fontId="0" fillId="3" borderId="35" xfId="0" applyFill="1" applyBorder="1" applyAlignment="1">
      <alignment vertical="top" wrapText="1"/>
    </xf>
    <xf numFmtId="0" fontId="1" fillId="0" borderId="45" xfId="0" applyFont="1" applyFill="1" applyBorder="1"/>
    <xf numFmtId="0" fontId="1" fillId="0" borderId="32" xfId="0" applyFont="1" applyFill="1" applyBorder="1"/>
    <xf numFmtId="0" fontId="2" fillId="14" borderId="28" xfId="0" applyFont="1" applyFill="1" applyBorder="1"/>
    <xf numFmtId="0" fontId="2" fillId="14" borderId="33" xfId="0" applyFont="1" applyFill="1" applyBorder="1"/>
    <xf numFmtId="0" fontId="0" fillId="15" borderId="34" xfId="0" applyFill="1" applyBorder="1"/>
    <xf numFmtId="166" fontId="0" fillId="15" borderId="35" xfId="0" applyNumberFormat="1" applyFill="1" applyBorder="1"/>
    <xf numFmtId="166" fontId="0" fillId="15" borderId="36" xfId="0" applyNumberFormat="1" applyFill="1" applyBorder="1"/>
    <xf numFmtId="10" fontId="1" fillId="0" borderId="28" xfId="0" applyNumberFormat="1" applyFont="1" applyBorder="1"/>
    <xf numFmtId="10" fontId="1" fillId="0" borderId="35" xfId="0" applyNumberFormat="1" applyFont="1" applyBorder="1"/>
    <xf numFmtId="10" fontId="0" fillId="0" borderId="35" xfId="0" applyNumberFormat="1" applyBorder="1"/>
    <xf numFmtId="0" fontId="2" fillId="14" borderId="15" xfId="0" applyFont="1" applyFill="1" applyBorder="1" applyAlignment="1">
      <alignment vertical="top" wrapText="1"/>
    </xf>
    <xf numFmtId="0" fontId="2" fillId="14" borderId="19" xfId="0" applyFont="1" applyFill="1" applyBorder="1" applyAlignment="1">
      <alignment vertical="top" wrapText="1"/>
    </xf>
    <xf numFmtId="0" fontId="2" fillId="14" borderId="23" xfId="0" applyFont="1" applyFill="1" applyBorder="1" applyAlignment="1">
      <alignment vertical="top" wrapText="1"/>
    </xf>
    <xf numFmtId="0" fontId="1" fillId="0" borderId="34" xfId="0" applyFont="1" applyBorder="1"/>
    <xf numFmtId="2" fontId="0" fillId="0" borderId="33" xfId="0" applyNumberFormat="1" applyBorder="1"/>
    <xf numFmtId="0" fontId="1" fillId="0" borderId="35" xfId="0" applyFont="1" applyBorder="1"/>
    <xf numFmtId="2" fontId="0" fillId="0" borderId="36" xfId="0" applyNumberFormat="1" applyBorder="1"/>
    <xf numFmtId="0" fontId="6" fillId="15" borderId="15" xfId="0" applyFont="1" applyFill="1" applyBorder="1" applyAlignment="1">
      <alignment vertical="top" wrapText="1"/>
    </xf>
    <xf numFmtId="0" fontId="2" fillId="15" borderId="19" xfId="0" applyFont="1" applyFill="1" applyBorder="1" applyAlignment="1">
      <alignment vertical="top" wrapText="1"/>
    </xf>
    <xf numFmtId="0" fontId="2" fillId="15" borderId="23" xfId="0" applyFont="1" applyFill="1" applyBorder="1" applyAlignment="1">
      <alignment vertical="top" wrapText="1"/>
    </xf>
    <xf numFmtId="0" fontId="2" fillId="3" borderId="28" xfId="0" applyFont="1" applyFill="1" applyBorder="1" applyAlignment="1">
      <alignment vertical="top" wrapText="1"/>
    </xf>
    <xf numFmtId="0" fontId="2" fillId="6" borderId="28" xfId="0" applyFont="1" applyFill="1" applyBorder="1" applyAlignment="1">
      <alignment vertical="top" wrapText="1"/>
    </xf>
    <xf numFmtId="0" fontId="2" fillId="5" borderId="33" xfId="0" applyFont="1" applyFill="1" applyBorder="1" applyAlignment="1">
      <alignment vertical="top" wrapText="1"/>
    </xf>
    <xf numFmtId="0" fontId="2" fillId="15" borderId="15" xfId="0" applyFont="1" applyFill="1" applyBorder="1" applyAlignment="1">
      <alignment vertical="top" wrapText="1"/>
    </xf>
    <xf numFmtId="0" fontId="0" fillId="15" borderId="35" xfId="0" applyFill="1" applyBorder="1"/>
    <xf numFmtId="166" fontId="2" fillId="5" borderId="19" xfId="0" applyNumberFormat="1" applyFont="1" applyFill="1" applyBorder="1" applyAlignment="1">
      <alignment wrapText="1"/>
    </xf>
    <xf numFmtId="10" fontId="10" fillId="13" borderId="42" xfId="0" applyNumberFormat="1" applyFont="1" applyFill="1" applyBorder="1" applyAlignment="1">
      <alignment horizontal="center" wrapText="1"/>
    </xf>
    <xf numFmtId="10" fontId="10" fillId="13" borderId="42" xfId="0" applyNumberFormat="1" applyFont="1" applyFill="1" applyBorder="1" applyAlignment="1">
      <alignment horizontal="center" vertical="top" wrapText="1"/>
    </xf>
    <xf numFmtId="171" fontId="10" fillId="13" borderId="42" xfId="0" applyNumberFormat="1" applyFont="1" applyFill="1" applyBorder="1" applyAlignment="1">
      <alignment horizontal="center" vertical="top" wrapText="1"/>
    </xf>
    <xf numFmtId="0" fontId="8" fillId="0" borderId="0" xfId="0" applyFont="1"/>
    <xf numFmtId="0" fontId="8" fillId="6" borderId="23" xfId="0" applyFont="1" applyFill="1" applyBorder="1"/>
    <xf numFmtId="166" fontId="10" fillId="0" borderId="33" xfId="0" applyNumberFormat="1" applyFont="1" applyBorder="1" applyAlignment="1">
      <alignment horizontal="center"/>
    </xf>
    <xf numFmtId="166" fontId="10" fillId="7" borderId="36" xfId="0" applyNumberFormat="1" applyFont="1" applyFill="1" applyBorder="1" applyAlignment="1">
      <alignment horizontal="center"/>
    </xf>
    <xf numFmtId="10" fontId="0" fillId="0" borderId="32" xfId="0" applyNumberFormat="1" applyBorder="1"/>
    <xf numFmtId="10" fontId="1" fillId="0" borderId="32" xfId="0" applyNumberFormat="1" applyFont="1" applyFill="1" applyBorder="1"/>
    <xf numFmtId="168" fontId="0" fillId="7" borderId="34" xfId="0" applyNumberFormat="1" applyFill="1" applyBorder="1"/>
    <xf numFmtId="164" fontId="6" fillId="12" borderId="31" xfId="0" applyNumberFormat="1" applyFont="1" applyFill="1" applyBorder="1" applyAlignment="1">
      <alignment wrapText="1"/>
    </xf>
    <xf numFmtId="10" fontId="1" fillId="0" borderId="28" xfId="0" applyNumberFormat="1" applyFont="1" applyFill="1" applyBorder="1"/>
    <xf numFmtId="10" fontId="0" fillId="0" borderId="28" xfId="0" applyNumberFormat="1" applyFill="1" applyBorder="1"/>
    <xf numFmtId="166" fontId="2" fillId="12" borderId="19" xfId="0" applyNumberFormat="1" applyFont="1" applyFill="1" applyBorder="1" applyAlignment="1">
      <alignment wrapText="1"/>
    </xf>
    <xf numFmtId="166" fontId="2" fillId="12" borderId="23" xfId="0" applyNumberFormat="1" applyFont="1" applyFill="1" applyBorder="1" applyAlignment="1">
      <alignment wrapText="1"/>
    </xf>
    <xf numFmtId="166" fontId="2" fillId="4" borderId="19" xfId="0" applyNumberFormat="1" applyFont="1" applyFill="1" applyBorder="1" applyAlignment="1">
      <alignment wrapText="1"/>
    </xf>
    <xf numFmtId="166" fontId="2" fillId="4" borderId="23" xfId="0" applyNumberFormat="1" applyFont="1" applyFill="1" applyBorder="1" applyAlignment="1">
      <alignment wrapText="1"/>
    </xf>
    <xf numFmtId="166" fontId="2" fillId="7" borderId="19" xfId="0" applyNumberFormat="1" applyFont="1" applyFill="1" applyBorder="1" applyAlignment="1">
      <alignment wrapText="1"/>
    </xf>
    <xf numFmtId="166" fontId="2" fillId="7" borderId="23" xfId="0" applyNumberFormat="1" applyFont="1" applyFill="1" applyBorder="1" applyAlignment="1">
      <alignment wrapText="1"/>
    </xf>
    <xf numFmtId="0" fontId="2" fillId="0" borderId="69" xfId="0" applyFont="1" applyFill="1" applyBorder="1"/>
    <xf numFmtId="0" fontId="0" fillId="0" borderId="28" xfId="0" applyBorder="1" applyAlignment="1">
      <alignment horizontal="center"/>
    </xf>
    <xf numFmtId="0" fontId="14" fillId="0" borderId="0" xfId="0" applyFont="1"/>
    <xf numFmtId="0" fontId="2" fillId="18" borderId="28" xfId="0" applyFont="1" applyFill="1" applyBorder="1" applyAlignment="1">
      <alignment horizontal="center" wrapText="1"/>
    </xf>
    <xf numFmtId="166" fontId="2" fillId="18" borderId="28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166" fontId="1" fillId="0" borderId="28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66" fontId="1" fillId="18" borderId="28" xfId="0" applyNumberFormat="1" applyFont="1" applyFill="1" applyBorder="1" applyAlignment="1">
      <alignment horizontal="center"/>
    </xf>
    <xf numFmtId="166" fontId="0" fillId="19" borderId="28" xfId="0" applyNumberFormat="1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1" fillId="0" borderId="28" xfId="0" applyFont="1" applyFill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18" borderId="28" xfId="0" applyFont="1" applyFill="1" applyBorder="1"/>
    <xf numFmtId="0" fontId="16" fillId="0" borderId="0" xfId="0" applyFont="1" applyAlignment="1">
      <alignment wrapText="1"/>
    </xf>
    <xf numFmtId="0" fontId="13" fillId="17" borderId="28" xfId="0" applyFont="1" applyFill="1" applyBorder="1" applyAlignment="1">
      <alignment horizontal="center" wrapText="1"/>
    </xf>
    <xf numFmtId="0" fontId="13" fillId="6" borderId="28" xfId="0" applyFont="1" applyFill="1" applyBorder="1" applyAlignment="1">
      <alignment horizontal="center" wrapText="1"/>
    </xf>
    <xf numFmtId="0" fontId="13" fillId="13" borderId="28" xfId="0" applyFont="1" applyFill="1" applyBorder="1" applyAlignment="1">
      <alignment horizontal="center" wrapText="1"/>
    </xf>
    <xf numFmtId="0" fontId="13" fillId="18" borderId="28" xfId="0" applyFont="1" applyFill="1" applyBorder="1" applyAlignment="1">
      <alignment horizontal="center" wrapText="1"/>
    </xf>
    <xf numFmtId="0" fontId="13" fillId="0" borderId="28" xfId="0" applyFont="1" applyFill="1" applyBorder="1" applyAlignment="1">
      <alignment horizontal="left" wrapText="1"/>
    </xf>
    <xf numFmtId="0" fontId="13" fillId="0" borderId="28" xfId="0" applyFont="1" applyBorder="1" applyAlignment="1">
      <alignment vertical="top" wrapText="1"/>
    </xf>
    <xf numFmtId="0" fontId="2" fillId="18" borderId="28" xfId="0" applyFont="1" applyFill="1" applyBorder="1"/>
    <xf numFmtId="0" fontId="13" fillId="0" borderId="0" xfId="0" applyFont="1"/>
    <xf numFmtId="166" fontId="0" fillId="0" borderId="36" xfId="0" applyNumberFormat="1" applyBorder="1"/>
    <xf numFmtId="0" fontId="2" fillId="4" borderId="15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vertical="center" wrapText="1"/>
    </xf>
    <xf numFmtId="0" fontId="2" fillId="4" borderId="39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166" fontId="0" fillId="15" borderId="35" xfId="0" applyNumberFormat="1" applyFill="1" applyBorder="1" applyAlignment="1">
      <alignment horizontal="center"/>
    </xf>
    <xf numFmtId="166" fontId="2" fillId="15" borderId="35" xfId="0" applyNumberFormat="1" applyFont="1" applyFill="1" applyBorder="1" applyAlignment="1">
      <alignment horizontal="center"/>
    </xf>
    <xf numFmtId="166" fontId="0" fillId="0" borderId="28" xfId="0" applyNumberFormat="1" applyBorder="1" applyAlignment="1">
      <alignment horizontal="center" vertical="center"/>
    </xf>
    <xf numFmtId="166" fontId="0" fillId="0" borderId="28" xfId="0" applyNumberFormat="1" applyFill="1" applyBorder="1" applyAlignment="1">
      <alignment horizontal="center" vertical="center"/>
    </xf>
    <xf numFmtId="166" fontId="2" fillId="18" borderId="28" xfId="0" applyNumberFormat="1" applyFont="1" applyFill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center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166" fontId="1" fillId="0" borderId="0" xfId="0" applyNumberFormat="1" applyFont="1" applyFill="1" applyBorder="1"/>
    <xf numFmtId="0" fontId="0" fillId="0" borderId="32" xfId="0" applyBorder="1" applyAlignment="1">
      <alignment vertical="center"/>
    </xf>
    <xf numFmtId="166" fontId="0" fillId="20" borderId="37" xfId="0" applyNumberFormat="1" applyFill="1" applyBorder="1" applyAlignment="1">
      <alignment horizontal="center" vertical="center"/>
    </xf>
    <xf numFmtId="166" fontId="0" fillId="20" borderId="35" xfId="0" applyNumberFormat="1" applyFill="1" applyBorder="1" applyAlignment="1">
      <alignment horizontal="center" vertical="center"/>
    </xf>
    <xf numFmtId="164" fontId="0" fillId="0" borderId="33" xfId="2" applyNumberFormat="1" applyFont="1" applyBorder="1" applyAlignment="1">
      <alignment horizontal="center"/>
    </xf>
    <xf numFmtId="166" fontId="0" fillId="0" borderId="32" xfId="0" applyNumberFormat="1" applyBorder="1" applyAlignment="1">
      <alignment vertical="center"/>
    </xf>
    <xf numFmtId="166" fontId="0" fillId="0" borderId="19" xfId="0" applyNumberFormat="1" applyBorder="1" applyAlignment="1">
      <alignment horizontal="center" vertical="center"/>
    </xf>
    <xf numFmtId="166" fontId="0" fillId="20" borderId="19" xfId="0" applyNumberFormat="1" applyFill="1" applyBorder="1" applyAlignment="1">
      <alignment horizontal="center" vertical="center"/>
    </xf>
    <xf numFmtId="164" fontId="0" fillId="0" borderId="23" xfId="2" applyNumberFormat="1" applyFont="1" applyBorder="1" applyAlignment="1">
      <alignment horizontal="center"/>
    </xf>
    <xf numFmtId="166" fontId="0" fillId="20" borderId="28" xfId="0" applyNumberFormat="1" applyFill="1" applyBorder="1" applyAlignment="1">
      <alignment horizontal="center" vertical="center"/>
    </xf>
    <xf numFmtId="0" fontId="0" fillId="0" borderId="32" xfId="0" applyFont="1" applyFill="1" applyBorder="1"/>
    <xf numFmtId="166" fontId="0" fillId="0" borderId="28" xfId="0" applyNumberFormat="1" applyBorder="1" applyAlignment="1">
      <alignment vertical="center"/>
    </xf>
    <xf numFmtId="166" fontId="0" fillId="0" borderId="7" xfId="0" applyNumberFormat="1" applyBorder="1" applyAlignment="1">
      <alignment horizontal="center" vertical="center"/>
    </xf>
    <xf numFmtId="166" fontId="0" fillId="20" borderId="7" xfId="0" applyNumberFormat="1" applyFill="1" applyBorder="1" applyAlignment="1">
      <alignment horizontal="center" vertical="center"/>
    </xf>
    <xf numFmtId="0" fontId="0" fillId="0" borderId="34" xfId="0" applyFont="1" applyFill="1" applyBorder="1"/>
    <xf numFmtId="166" fontId="0" fillId="0" borderId="35" xfId="0" applyNumberFormat="1" applyBorder="1" applyAlignment="1">
      <alignment vertical="center"/>
    </xf>
    <xf numFmtId="166" fontId="0" fillId="0" borderId="35" xfId="0" applyNumberFormat="1" applyBorder="1" applyAlignment="1">
      <alignment horizontal="center" vertical="center"/>
    </xf>
    <xf numFmtId="166" fontId="0" fillId="0" borderId="35" xfId="0" applyNumberFormat="1" applyFill="1" applyBorder="1" applyAlignment="1">
      <alignment horizontal="center" vertical="center"/>
    </xf>
    <xf numFmtId="0" fontId="0" fillId="0" borderId="53" xfId="0" applyFont="1" applyFill="1" applyBorder="1"/>
    <xf numFmtId="166" fontId="0" fillId="0" borderId="7" xfId="0" applyNumberFormat="1" applyBorder="1" applyAlignment="1">
      <alignment vertical="center"/>
    </xf>
    <xf numFmtId="0" fontId="0" fillId="0" borderId="28" xfId="0" applyFill="1" applyBorder="1" applyAlignment="1">
      <alignment vertical="center"/>
    </xf>
    <xf numFmtId="166" fontId="0" fillId="0" borderId="28" xfId="0" applyNumberFormat="1" applyFill="1" applyBorder="1" applyAlignment="1">
      <alignment vertical="center"/>
    </xf>
    <xf numFmtId="0" fontId="0" fillId="0" borderId="15" xfId="0" applyFont="1" applyFill="1" applyBorder="1"/>
    <xf numFmtId="166" fontId="0" fillId="0" borderId="19" xfId="0" applyNumberFormat="1" applyBorder="1" applyAlignment="1">
      <alignment vertical="center"/>
    </xf>
    <xf numFmtId="0" fontId="1" fillId="0" borderId="15" xfId="0" applyFont="1" applyFill="1" applyBorder="1"/>
    <xf numFmtId="0" fontId="0" fillId="0" borderId="19" xfId="0" applyFill="1" applyBorder="1" applyAlignment="1">
      <alignment vertical="center"/>
    </xf>
    <xf numFmtId="166" fontId="0" fillId="0" borderId="19" xfId="0" applyNumberFormat="1" applyFill="1" applyBorder="1" applyAlignment="1">
      <alignment horizontal="center" vertical="center"/>
    </xf>
    <xf numFmtId="164" fontId="0" fillId="21" borderId="23" xfId="2" applyNumberFormat="1" applyFont="1" applyFill="1" applyBorder="1" applyAlignment="1">
      <alignment horizontal="center"/>
    </xf>
    <xf numFmtId="0" fontId="1" fillId="0" borderId="34" xfId="0" applyFont="1" applyFill="1" applyBorder="1"/>
    <xf numFmtId="0" fontId="0" fillId="0" borderId="35" xfId="0" applyFill="1" applyBorder="1" applyAlignment="1">
      <alignment vertical="center"/>
    </xf>
    <xf numFmtId="166" fontId="0" fillId="0" borderId="19" xfId="0" applyNumberFormat="1" applyFill="1" applyBorder="1" applyAlignment="1">
      <alignment vertical="center"/>
    </xf>
    <xf numFmtId="0" fontId="2" fillId="0" borderId="56" xfId="0" applyFont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3" fontId="0" fillId="5" borderId="36" xfId="0" applyNumberFormat="1" applyFill="1" applyBorder="1"/>
    <xf numFmtId="166" fontId="2" fillId="3" borderId="15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66" fontId="2" fillId="3" borderId="19" xfId="0" applyNumberFormat="1" applyFont="1" applyFill="1" applyBorder="1" applyAlignment="1">
      <alignment horizontal="center" vertical="center" wrapText="1"/>
    </xf>
    <xf numFmtId="166" fontId="2" fillId="3" borderId="39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Continuous" vertical="center"/>
    </xf>
    <xf numFmtId="0" fontId="6" fillId="3" borderId="19" xfId="0" applyFont="1" applyFill="1" applyBorder="1" applyAlignment="1">
      <alignment horizontal="centerContinuous" vertical="center"/>
    </xf>
    <xf numFmtId="0" fontId="6" fillId="3" borderId="19" xfId="0" applyFont="1" applyFill="1" applyBorder="1" applyAlignment="1">
      <alignment horizontal="centerContinuous" vertical="center" wrapText="1"/>
    </xf>
    <xf numFmtId="0" fontId="2" fillId="3" borderId="23" xfId="0" applyFont="1" applyFill="1" applyBorder="1" applyAlignment="1">
      <alignment horizontal="centerContinuous" vertical="center" wrapText="1"/>
    </xf>
    <xf numFmtId="0" fontId="2" fillId="4" borderId="15" xfId="0" applyFont="1" applyFill="1" applyBorder="1" applyAlignment="1">
      <alignment horizontal="centerContinuous" vertical="center"/>
    </xf>
    <xf numFmtId="0" fontId="2" fillId="4" borderId="19" xfId="0" applyFont="1" applyFill="1" applyBorder="1" applyAlignment="1">
      <alignment horizontal="centerContinuous" vertical="center" wrapText="1"/>
    </xf>
    <xf numFmtId="0" fontId="2" fillId="7" borderId="39" xfId="0" applyFont="1" applyFill="1" applyBorder="1" applyAlignment="1">
      <alignment horizontal="centerContinuous" vertical="center" wrapText="1"/>
    </xf>
    <xf numFmtId="166" fontId="2" fillId="5" borderId="23" xfId="0" applyNumberFormat="1" applyFont="1" applyFill="1" applyBorder="1" applyAlignment="1">
      <alignment horizontal="centerContinuous" vertical="center" wrapText="1"/>
    </xf>
    <xf numFmtId="166" fontId="2" fillId="0" borderId="32" xfId="0" applyNumberFormat="1" applyFont="1" applyBorder="1" applyAlignment="1">
      <alignment wrapText="1"/>
    </xf>
    <xf numFmtId="166" fontId="2" fillId="0" borderId="51" xfId="0" applyNumberFormat="1" applyFont="1" applyBorder="1" applyAlignment="1">
      <alignment wrapText="1"/>
    </xf>
    <xf numFmtId="166" fontId="2" fillId="15" borderId="34" xfId="0" applyNumberFormat="1" applyFont="1" applyFill="1" applyBorder="1" applyAlignment="1">
      <alignment wrapText="1"/>
    </xf>
    <xf numFmtId="4" fontId="2" fillId="4" borderId="19" xfId="0" applyNumberFormat="1" applyFont="1" applyFill="1" applyBorder="1" applyAlignment="1">
      <alignment horizontal="centerContinuous" vertical="center" wrapText="1"/>
    </xf>
    <xf numFmtId="0" fontId="2" fillId="4" borderId="15" xfId="0" applyFont="1" applyFill="1" applyBorder="1" applyAlignment="1">
      <alignment horizontal="centerContinuous" vertical="center" wrapText="1"/>
    </xf>
    <xf numFmtId="0" fontId="2" fillId="9" borderId="19" xfId="0" applyFont="1" applyFill="1" applyBorder="1" applyAlignment="1">
      <alignment horizontal="centerContinuous" vertical="center" wrapText="1"/>
    </xf>
    <xf numFmtId="0" fontId="2" fillId="7" borderId="23" xfId="0" applyFont="1" applyFill="1" applyBorder="1" applyAlignment="1">
      <alignment horizontal="centerContinuous" vertical="center" wrapText="1"/>
    </xf>
    <xf numFmtId="0" fontId="2" fillId="5" borderId="48" xfId="0" applyFont="1" applyFill="1" applyBorder="1" applyAlignment="1">
      <alignment horizontal="centerContinuous" vertical="center" wrapText="1"/>
    </xf>
    <xf numFmtId="0" fontId="4" fillId="3" borderId="0" xfId="0" applyFont="1" applyFill="1"/>
    <xf numFmtId="166" fontId="2" fillId="10" borderId="15" xfId="0" applyNumberFormat="1" applyFont="1" applyFill="1" applyBorder="1" applyAlignment="1">
      <alignment horizontal="centerContinuous" vertical="center" wrapText="1"/>
    </xf>
    <xf numFmtId="166" fontId="2" fillId="10" borderId="19" xfId="0" applyNumberFormat="1" applyFont="1" applyFill="1" applyBorder="1" applyAlignment="1">
      <alignment horizontal="centerContinuous" vertical="center" wrapText="1"/>
    </xf>
    <xf numFmtId="166" fontId="2" fillId="20" borderId="19" xfId="0" applyNumberFormat="1" applyFont="1" applyFill="1" applyBorder="1" applyAlignment="1">
      <alignment horizontal="centerContinuous" vertical="center" wrapText="1"/>
    </xf>
    <xf numFmtId="166" fontId="2" fillId="10" borderId="39" xfId="0" applyNumberFormat="1" applyFont="1" applyFill="1" applyBorder="1" applyAlignment="1">
      <alignment horizontal="centerContinuous" vertical="center" wrapText="1"/>
    </xf>
    <xf numFmtId="166" fontId="2" fillId="10" borderId="23" xfId="0" applyNumberFormat="1" applyFont="1" applyFill="1" applyBorder="1" applyAlignment="1">
      <alignment horizontal="centerContinuous" vertical="center" wrapText="1"/>
    </xf>
    <xf numFmtId="164" fontId="0" fillId="5" borderId="33" xfId="2" applyNumberFormat="1" applyFont="1" applyFill="1" applyBorder="1" applyAlignment="1">
      <alignment horizontal="center"/>
    </xf>
    <xf numFmtId="164" fontId="0" fillId="5" borderId="36" xfId="2" applyNumberFormat="1" applyFont="1" applyFill="1" applyBorder="1" applyAlignment="1">
      <alignment horizontal="center"/>
    </xf>
    <xf numFmtId="164" fontId="0" fillId="22" borderId="33" xfId="2" applyNumberFormat="1" applyFont="1" applyFill="1" applyBorder="1" applyAlignment="1">
      <alignment horizontal="center"/>
    </xf>
    <xf numFmtId="166" fontId="1" fillId="15" borderId="34" xfId="0" applyNumberFormat="1" applyFont="1" applyFill="1" applyBorder="1" applyAlignment="1">
      <alignment vertical="center"/>
    </xf>
    <xf numFmtId="166" fontId="1" fillId="15" borderId="35" xfId="0" applyNumberFormat="1" applyFont="1" applyFill="1" applyBorder="1" applyAlignment="1">
      <alignment horizontal="center" vertical="center"/>
    </xf>
    <xf numFmtId="166" fontId="0" fillId="15" borderId="35" xfId="0" applyNumberFormat="1" applyFill="1" applyBorder="1" applyAlignment="1">
      <alignment horizontal="center" vertical="center"/>
    </xf>
    <xf numFmtId="164" fontId="0" fillId="15" borderId="36" xfId="2" applyNumberFormat="1" applyFont="1" applyFill="1" applyBorder="1" applyAlignment="1">
      <alignment horizontal="center"/>
    </xf>
    <xf numFmtId="166" fontId="2" fillId="22" borderId="23" xfId="0" applyNumberFormat="1" applyFont="1" applyFill="1" applyBorder="1" applyAlignment="1">
      <alignment horizontal="centerContinuous" vertical="center" wrapText="1"/>
    </xf>
    <xf numFmtId="165" fontId="1" fillId="15" borderId="35" xfId="0" applyNumberFormat="1" applyFont="1" applyFill="1" applyBorder="1" applyAlignment="1">
      <alignment horizontal="center" vertical="center"/>
    </xf>
    <xf numFmtId="165" fontId="0" fillId="15" borderId="35" xfId="0" applyNumberFormat="1" applyFill="1" applyBorder="1" applyAlignment="1">
      <alignment horizontal="center" vertical="center"/>
    </xf>
    <xf numFmtId="165" fontId="0" fillId="20" borderId="37" xfId="0" applyNumberFormat="1" applyFill="1" applyBorder="1" applyAlignment="1">
      <alignment horizontal="center" vertical="center"/>
    </xf>
    <xf numFmtId="165" fontId="0" fillId="15" borderId="35" xfId="0" applyNumberFormat="1" applyFill="1" applyBorder="1" applyAlignment="1">
      <alignment horizontal="center"/>
    </xf>
    <xf numFmtId="2" fontId="2" fillId="7" borderId="19" xfId="0" applyNumberFormat="1" applyFont="1" applyFill="1" applyBorder="1" applyAlignment="1">
      <alignment horizontal="centerContinuous" vertical="center" wrapText="1"/>
    </xf>
    <xf numFmtId="2" fontId="2" fillId="18" borderId="19" xfId="0" applyNumberFormat="1" applyFont="1" applyFill="1" applyBorder="1" applyAlignment="1">
      <alignment horizontal="centerContinuous" vertical="center" wrapText="1"/>
    </xf>
    <xf numFmtId="2" fontId="2" fillId="7" borderId="23" xfId="0" applyNumberFormat="1" applyFont="1" applyFill="1" applyBorder="1" applyAlignment="1">
      <alignment horizontal="centerContinuous" vertical="center" wrapText="1"/>
    </xf>
    <xf numFmtId="0" fontId="4" fillId="11" borderId="0" xfId="0" applyFont="1" applyFill="1"/>
    <xf numFmtId="0" fontId="2" fillId="11" borderId="0" xfId="0" applyFont="1" applyFill="1"/>
    <xf numFmtId="0" fontId="4" fillId="11" borderId="0" xfId="0" applyFont="1" applyFill="1" applyBorder="1"/>
    <xf numFmtId="0" fontId="0" fillId="11" borderId="0" xfId="0" applyFill="1"/>
    <xf numFmtId="0" fontId="2" fillId="0" borderId="15" xfId="0" applyFont="1" applyBorder="1" applyAlignment="1">
      <alignment horizontal="centerContinuous" vertical="center"/>
    </xf>
    <xf numFmtId="0" fontId="2" fillId="3" borderId="19" xfId="0" applyFont="1" applyFill="1" applyBorder="1" applyAlignment="1">
      <alignment horizontal="centerContinuous" vertical="center" wrapText="1"/>
    </xf>
    <xf numFmtId="0" fontId="2" fillId="0" borderId="19" xfId="0" applyFont="1" applyBorder="1" applyAlignment="1">
      <alignment horizontal="centerContinuous" vertical="center" wrapText="1"/>
    </xf>
    <xf numFmtId="0" fontId="2" fillId="0" borderId="23" xfId="0" applyFont="1" applyFill="1" applyBorder="1" applyAlignment="1">
      <alignment horizontal="centerContinuous" vertical="center" wrapText="1"/>
    </xf>
    <xf numFmtId="0" fontId="2" fillId="0" borderId="19" xfId="0" applyFont="1" applyFill="1" applyBorder="1" applyAlignment="1">
      <alignment horizontal="centerContinuous" vertical="center" wrapText="1"/>
    </xf>
    <xf numFmtId="0" fontId="2" fillId="6" borderId="19" xfId="0" applyFont="1" applyFill="1" applyBorder="1" applyAlignment="1">
      <alignment horizontal="centerContinuous" vertical="center" wrapText="1"/>
    </xf>
    <xf numFmtId="0" fontId="2" fillId="5" borderId="23" xfId="0" applyFont="1" applyFill="1" applyBorder="1" applyAlignment="1">
      <alignment horizontal="centerContinuous" vertical="center" wrapText="1"/>
    </xf>
    <xf numFmtId="3" fontId="0" fillId="3" borderId="28" xfId="0" applyNumberFormat="1" applyFill="1" applyBorder="1"/>
    <xf numFmtId="0" fontId="2" fillId="7" borderId="19" xfId="0" applyFont="1" applyFill="1" applyBorder="1" applyAlignment="1">
      <alignment horizontal="centerContinuous" vertical="center" wrapText="1"/>
    </xf>
    <xf numFmtId="166" fontId="2" fillId="7" borderId="19" xfId="0" applyNumberFormat="1" applyFont="1" applyFill="1" applyBorder="1" applyAlignment="1">
      <alignment horizontal="centerContinuous" vertical="center" wrapText="1"/>
    </xf>
    <xf numFmtId="0" fontId="2" fillId="18" borderId="19" xfId="0" applyFont="1" applyFill="1" applyBorder="1" applyAlignment="1">
      <alignment horizontal="centerContinuous" vertical="center" wrapText="1"/>
    </xf>
    <xf numFmtId="166" fontId="2" fillId="10" borderId="11" xfId="0" applyNumberFormat="1" applyFont="1" applyFill="1" applyBorder="1" applyAlignment="1">
      <alignment horizontal="centerContinuous" vertical="center" wrapText="1"/>
    </xf>
    <xf numFmtId="166" fontId="2" fillId="10" borderId="16" xfId="0" applyNumberFormat="1" applyFont="1" applyFill="1" applyBorder="1" applyAlignment="1">
      <alignment horizontal="centerContinuous" vertical="center" wrapText="1"/>
    </xf>
    <xf numFmtId="166" fontId="2" fillId="20" borderId="12" xfId="0" applyNumberFormat="1" applyFont="1" applyFill="1" applyBorder="1" applyAlignment="1">
      <alignment horizontal="centerContinuous" vertical="center" wrapText="1"/>
    </xf>
    <xf numFmtId="2" fontId="2" fillId="4" borderId="19" xfId="0" applyNumberFormat="1" applyFont="1" applyFill="1" applyBorder="1" applyAlignment="1">
      <alignment horizontal="centerContinuous" vertical="center" wrapText="1"/>
    </xf>
    <xf numFmtId="0" fontId="2" fillId="3" borderId="15" xfId="0" applyFont="1" applyFill="1" applyBorder="1" applyAlignment="1">
      <alignment horizontal="centerContinuous" vertical="center" wrapText="1"/>
    </xf>
    <xf numFmtId="0" fontId="2" fillId="9" borderId="23" xfId="0" applyFont="1" applyFill="1" applyBorder="1" applyAlignment="1">
      <alignment horizontal="centerContinuous" vertical="center" wrapText="1"/>
    </xf>
    <xf numFmtId="166" fontId="2" fillId="5" borderId="48" xfId="0" applyNumberFormat="1" applyFont="1" applyFill="1" applyBorder="1" applyAlignment="1">
      <alignment horizontal="centerContinuous" vertical="center" wrapText="1"/>
    </xf>
    <xf numFmtId="0" fontId="2" fillId="11" borderId="0" xfId="0" applyFont="1" applyFill="1" applyBorder="1" applyAlignment="1">
      <alignment horizontal="left"/>
    </xf>
    <xf numFmtId="165" fontId="2" fillId="18" borderId="28" xfId="0" applyNumberFormat="1" applyFont="1" applyFill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2" fillId="15" borderId="35" xfId="0" applyNumberFormat="1" applyFont="1" applyFill="1" applyBorder="1" applyAlignment="1">
      <alignment horizontal="center"/>
    </xf>
    <xf numFmtId="0" fontId="2" fillId="0" borderId="67" xfId="0" applyFont="1" applyBorder="1" applyAlignment="1">
      <alignment horizontal="centerContinuous" vertical="center" wrapText="1"/>
    </xf>
    <xf numFmtId="0" fontId="2" fillId="3" borderId="67" xfId="0" applyFont="1" applyFill="1" applyBorder="1" applyAlignment="1">
      <alignment horizontal="centerContinuous" vertical="center" wrapText="1"/>
    </xf>
    <xf numFmtId="0" fontId="2" fillId="4" borderId="67" xfId="0" applyFont="1" applyFill="1" applyBorder="1" applyAlignment="1">
      <alignment horizontal="centerContinuous" vertical="center" wrapText="1"/>
    </xf>
    <xf numFmtId="0" fontId="2" fillId="5" borderId="67" xfId="0" applyFont="1" applyFill="1" applyBorder="1" applyAlignment="1">
      <alignment horizontal="centerContinuous" vertical="center" wrapText="1"/>
    </xf>
    <xf numFmtId="0" fontId="1" fillId="0" borderId="0" xfId="0" applyFont="1" applyBorder="1" applyAlignment="1">
      <alignment horizontal="center" vertical="top" wrapText="1"/>
    </xf>
    <xf numFmtId="0" fontId="2" fillId="7" borderId="41" xfId="0" applyFont="1" applyFill="1" applyBorder="1" applyAlignment="1">
      <alignment horizontal="centerContinuous" vertical="center" wrapText="1"/>
    </xf>
    <xf numFmtId="164" fontId="0" fillId="0" borderId="28" xfId="0" applyNumberFormat="1" applyBorder="1" applyAlignment="1">
      <alignment horizontal="center"/>
    </xf>
    <xf numFmtId="166" fontId="0" fillId="20" borderId="28" xfId="0" applyNumberFormat="1" applyFill="1" applyBorder="1" applyAlignment="1">
      <alignment horizontal="center"/>
    </xf>
    <xf numFmtId="10" fontId="0" fillId="0" borderId="28" xfId="0" applyNumberFormat="1" applyBorder="1" applyAlignment="1">
      <alignment horizontal="center"/>
    </xf>
    <xf numFmtId="166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37" xfId="0" applyNumberFormat="1" applyBorder="1" applyAlignment="1">
      <alignment horizontal="center"/>
    </xf>
    <xf numFmtId="10" fontId="0" fillId="0" borderId="37" xfId="0" applyNumberFormat="1" applyBorder="1" applyAlignment="1">
      <alignment horizontal="center"/>
    </xf>
    <xf numFmtId="0" fontId="0" fillId="15" borderId="35" xfId="0" applyFill="1" applyBorder="1" applyAlignment="1">
      <alignment horizontal="center"/>
    </xf>
    <xf numFmtId="0" fontId="2" fillId="15" borderId="34" xfId="0" applyFont="1" applyFill="1" applyBorder="1"/>
    <xf numFmtId="166" fontId="0" fillId="15" borderId="36" xfId="0" applyNumberFormat="1" applyFill="1" applyBorder="1" applyAlignment="1">
      <alignment horizontal="center"/>
    </xf>
    <xf numFmtId="166" fontId="2" fillId="15" borderId="34" xfId="0" applyNumberFormat="1" applyFont="1" applyFill="1" applyBorder="1" applyAlignment="1">
      <alignment vertical="center"/>
    </xf>
    <xf numFmtId="165" fontId="0" fillId="20" borderId="28" xfId="0" applyNumberFormat="1" applyFill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1" xfId="0" applyNumberFormat="1" applyFill="1" applyBorder="1" applyAlignment="1">
      <alignment horizontal="center"/>
    </xf>
    <xf numFmtId="165" fontId="0" fillId="20" borderId="37" xfId="0" applyNumberFormat="1" applyFill="1" applyBorder="1" applyAlignment="1">
      <alignment horizontal="center"/>
    </xf>
    <xf numFmtId="164" fontId="0" fillId="0" borderId="52" xfId="0" applyNumberFormat="1" applyFill="1" applyBorder="1" applyAlignment="1">
      <alignment horizontal="center"/>
    </xf>
    <xf numFmtId="166" fontId="0" fillId="9" borderId="28" xfId="0" applyNumberFormat="1" applyFill="1" applyBorder="1" applyAlignment="1">
      <alignment horizontal="center" vertical="center"/>
    </xf>
    <xf numFmtId="166" fontId="0" fillId="7" borderId="33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" fontId="0" fillId="0" borderId="28" xfId="0" applyNumberFormat="1" applyBorder="1" applyAlignment="1">
      <alignment horizontal="center"/>
    </xf>
    <xf numFmtId="167" fontId="0" fillId="0" borderId="28" xfId="0" applyNumberFormat="1" applyBorder="1" applyAlignment="1">
      <alignment horizontal="center"/>
    </xf>
    <xf numFmtId="165" fontId="0" fillId="0" borderId="33" xfId="0" applyNumberForma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168" fontId="0" fillId="0" borderId="28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 wrapText="1"/>
    </xf>
    <xf numFmtId="164" fontId="0" fillId="0" borderId="37" xfId="0" applyNumberFormat="1" applyBorder="1" applyAlignment="1">
      <alignment horizontal="center" wrapText="1"/>
    </xf>
    <xf numFmtId="3" fontId="0" fillId="15" borderId="35" xfId="0" applyNumberFormat="1" applyFill="1" applyBorder="1" applyAlignment="1">
      <alignment horizontal="center"/>
    </xf>
    <xf numFmtId="168" fontId="0" fillId="19" borderId="35" xfId="0" applyNumberFormat="1" applyFill="1" applyBorder="1" applyAlignment="1">
      <alignment horizontal="center"/>
    </xf>
    <xf numFmtId="164" fontId="0" fillId="15" borderId="35" xfId="0" applyNumberFormat="1" applyFill="1" applyBorder="1" applyAlignment="1">
      <alignment horizontal="center"/>
    </xf>
    <xf numFmtId="166" fontId="0" fillId="15" borderId="40" xfId="0" applyNumberFormat="1" applyFill="1" applyBorder="1" applyAlignment="1">
      <alignment horizontal="center"/>
    </xf>
    <xf numFmtId="165" fontId="0" fillId="15" borderId="36" xfId="0" applyNumberFormat="1" applyFill="1" applyBorder="1" applyAlignment="1">
      <alignment horizontal="center"/>
    </xf>
    <xf numFmtId="4" fontId="0" fillId="7" borderId="31" xfId="0" applyNumberFormat="1" applyFill="1" applyBorder="1" applyAlignment="1">
      <alignment horizontal="center"/>
    </xf>
    <xf numFmtId="4" fontId="1" fillId="0" borderId="28" xfId="0" applyNumberFormat="1" applyFont="1" applyBorder="1" applyAlignment="1">
      <alignment horizontal="center"/>
    </xf>
    <xf numFmtId="0" fontId="2" fillId="15" borderId="34" xfId="0" applyFont="1" applyFill="1" applyBorder="1" applyAlignment="1">
      <alignment horizontal="left"/>
    </xf>
    <xf numFmtId="166" fontId="0" fillId="9" borderId="33" xfId="0" applyNumberFormat="1" applyFill="1" applyBorder="1" applyAlignment="1">
      <alignment horizontal="center"/>
    </xf>
    <xf numFmtId="166" fontId="0" fillId="5" borderId="2" xfId="0" applyNumberFormat="1" applyFill="1" applyBorder="1" applyAlignment="1">
      <alignment horizontal="center"/>
    </xf>
    <xf numFmtId="166" fontId="1" fillId="0" borderId="37" xfId="0" applyNumberFormat="1" applyFon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2" fontId="0" fillId="0" borderId="28" xfId="0" applyNumberFormat="1" applyBorder="1" applyAlignment="1">
      <alignment horizontal="center" vertical="top" wrapText="1"/>
    </xf>
    <xf numFmtId="166" fontId="0" fillId="7" borderId="28" xfId="0" applyNumberFormat="1" applyFill="1" applyBorder="1" applyAlignment="1">
      <alignment horizontal="center"/>
    </xf>
    <xf numFmtId="166" fontId="1" fillId="5" borderId="33" xfId="0" applyNumberFormat="1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5" borderId="33" xfId="0" applyFill="1" applyBorder="1" applyAlignment="1">
      <alignment horizontal="center"/>
    </xf>
    <xf numFmtId="165" fontId="0" fillId="3" borderId="28" xfId="0" applyNumberFormat="1" applyFill="1" applyBorder="1" applyAlignment="1">
      <alignment horizontal="center"/>
    </xf>
    <xf numFmtId="166" fontId="0" fillId="6" borderId="28" xfId="0" applyNumberFormat="1" applyFill="1" applyBorder="1" applyAlignment="1">
      <alignment horizontal="center"/>
    </xf>
    <xf numFmtId="3" fontId="0" fillId="3" borderId="28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9" fontId="0" fillId="3" borderId="37" xfId="0" applyNumberFormat="1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3" borderId="59" xfId="0" applyFill="1" applyBorder="1" applyAlignment="1">
      <alignment horizontal="center"/>
    </xf>
    <xf numFmtId="0" fontId="0" fillId="4" borderId="59" xfId="0" applyFill="1" applyBorder="1" applyAlignment="1">
      <alignment horizontal="center"/>
    </xf>
    <xf numFmtId="0" fontId="0" fillId="5" borderId="60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3" fontId="0" fillId="5" borderId="33" xfId="0" applyNumberFormat="1" applyFill="1" applyBorder="1" applyAlignment="1">
      <alignment horizontal="center"/>
    </xf>
    <xf numFmtId="166" fontId="0" fillId="4" borderId="28" xfId="0" applyNumberFormat="1" applyFill="1" applyBorder="1" applyAlignment="1">
      <alignment horizontal="center"/>
    </xf>
    <xf numFmtId="9" fontId="0" fillId="3" borderId="28" xfId="0" applyNumberFormat="1" applyFill="1" applyBorder="1" applyAlignment="1">
      <alignment horizontal="center"/>
    </xf>
    <xf numFmtId="165" fontId="0" fillId="5" borderId="33" xfId="0" applyNumberForma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66" fontId="0" fillId="3" borderId="33" xfId="0" applyNumberForma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166" fontId="0" fillId="9" borderId="31" xfId="0" applyNumberFormat="1" applyFill="1" applyBorder="1" applyAlignment="1">
      <alignment horizontal="center"/>
    </xf>
    <xf numFmtId="166" fontId="0" fillId="7" borderId="37" xfId="0" applyNumberFormat="1" applyFill="1" applyBorder="1" applyAlignment="1">
      <alignment horizontal="center"/>
    </xf>
    <xf numFmtId="166" fontId="1" fillId="9" borderId="52" xfId="0" applyNumberFormat="1" applyFont="1" applyFill="1" applyBorder="1" applyAlignment="1">
      <alignment horizontal="center"/>
    </xf>
    <xf numFmtId="0" fontId="0" fillId="15" borderId="36" xfId="0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20" borderId="39" xfId="0" applyNumberFormat="1" applyFill="1" applyBorder="1" applyAlignment="1">
      <alignment horizontal="center"/>
    </xf>
    <xf numFmtId="164" fontId="0" fillId="0" borderId="28" xfId="0" applyNumberFormat="1" applyFill="1" applyBorder="1" applyAlignment="1">
      <alignment horizontal="center"/>
    </xf>
    <xf numFmtId="166" fontId="0" fillId="10" borderId="33" xfId="0" applyNumberFormat="1" applyFill="1" applyBorder="1" applyAlignment="1">
      <alignment horizontal="center"/>
    </xf>
    <xf numFmtId="166" fontId="0" fillId="20" borderId="31" xfId="0" applyNumberFormat="1" applyFill="1" applyBorder="1" applyAlignment="1">
      <alignment horizontal="center"/>
    </xf>
    <xf numFmtId="3" fontId="0" fillId="2" borderId="63" xfId="0" applyNumberFormat="1" applyFill="1" applyBorder="1" applyAlignment="1">
      <alignment horizontal="center"/>
    </xf>
    <xf numFmtId="3" fontId="0" fillId="0" borderId="59" xfId="0" applyNumberFormat="1" applyFill="1" applyBorder="1" applyAlignment="1">
      <alignment horizontal="center"/>
    </xf>
    <xf numFmtId="3" fontId="0" fillId="2" borderId="46" xfId="0" applyNumberFormat="1" applyFill="1" applyBorder="1" applyAlignment="1">
      <alignment horizontal="center"/>
    </xf>
    <xf numFmtId="0" fontId="0" fillId="8" borderId="59" xfId="0" applyFill="1" applyBorder="1" applyAlignment="1">
      <alignment horizontal="center"/>
    </xf>
    <xf numFmtId="3" fontId="0" fillId="5" borderId="60" xfId="0" applyNumberFormat="1" applyFill="1" applyBorder="1" applyAlignment="1">
      <alignment horizontal="center"/>
    </xf>
    <xf numFmtId="3" fontId="0" fillId="2" borderId="32" xfId="0" applyNumberFormat="1" applyFill="1" applyBorder="1" applyAlignment="1">
      <alignment horizontal="center"/>
    </xf>
    <xf numFmtId="3" fontId="0" fillId="0" borderId="28" xfId="0" applyNumberFormat="1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166" fontId="0" fillId="8" borderId="28" xfId="0" applyNumberFormat="1" applyFill="1" applyBorder="1" applyAlignment="1">
      <alignment horizontal="center"/>
    </xf>
    <xf numFmtId="166" fontId="0" fillId="3" borderId="62" xfId="0" applyNumberFormat="1" applyFill="1" applyBorder="1" applyAlignment="1">
      <alignment horizontal="center"/>
    </xf>
    <xf numFmtId="166" fontId="0" fillId="3" borderId="46" xfId="0" applyNumberFormat="1" applyFill="1" applyBorder="1" applyAlignment="1">
      <alignment horizontal="center"/>
    </xf>
    <xf numFmtId="166" fontId="0" fillId="3" borderId="57" xfId="0" applyNumberFormat="1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3" fontId="0" fillId="2" borderId="57" xfId="0" applyNumberFormat="1" applyFill="1" applyBorder="1" applyAlignment="1">
      <alignment horizontal="center"/>
    </xf>
    <xf numFmtId="9" fontId="0" fillId="2" borderId="46" xfId="0" applyNumberFormat="1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0" fillId="2" borderId="58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165" fontId="0" fillId="5" borderId="36" xfId="0" applyNumberFormat="1" applyFill="1" applyBorder="1" applyAlignment="1">
      <alignment horizontal="center"/>
    </xf>
    <xf numFmtId="2" fontId="2" fillId="3" borderId="29" xfId="0" applyNumberFormat="1" applyFont="1" applyFill="1" applyBorder="1" applyAlignment="1">
      <alignment horizontal="centerContinuous" vertical="center" wrapText="1"/>
    </xf>
    <xf numFmtId="167" fontId="2" fillId="3" borderId="29" xfId="0" applyNumberFormat="1" applyFont="1" applyFill="1" applyBorder="1" applyAlignment="1">
      <alignment horizontal="centerContinuous" vertical="center" wrapText="1"/>
    </xf>
    <xf numFmtId="0" fontId="2" fillId="3" borderId="30" xfId="0" applyFont="1" applyFill="1" applyBorder="1" applyAlignment="1">
      <alignment horizontal="centerContinuous" vertical="center" wrapText="1"/>
    </xf>
    <xf numFmtId="4" fontId="0" fillId="0" borderId="19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66" fontId="0" fillId="3" borderId="23" xfId="0" applyNumberFormat="1" applyFill="1" applyBorder="1" applyAlignment="1">
      <alignment horizontal="center"/>
    </xf>
    <xf numFmtId="166" fontId="0" fillId="3" borderId="33" xfId="0" applyNumberFormat="1" applyFill="1" applyBorder="1" applyAlignment="1">
      <alignment horizontal="center"/>
    </xf>
    <xf numFmtId="0" fontId="2" fillId="3" borderId="48" xfId="0" applyFont="1" applyFill="1" applyBorder="1" applyAlignment="1">
      <alignment horizontal="centerContinuous" vertical="center" wrapText="1"/>
    </xf>
    <xf numFmtId="168" fontId="1" fillId="0" borderId="28" xfId="0" applyNumberFormat="1" applyFont="1" applyBorder="1" applyAlignment="1">
      <alignment horizontal="center"/>
    </xf>
    <xf numFmtId="166" fontId="0" fillId="0" borderId="38" xfId="0" applyNumberFormat="1" applyBorder="1" applyAlignment="1">
      <alignment horizontal="center"/>
    </xf>
    <xf numFmtId="166" fontId="0" fillId="7" borderId="33" xfId="0" applyNumberForma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6" fontId="0" fillId="5" borderId="5" xfId="0" applyNumberFormat="1" applyFill="1" applyBorder="1" applyAlignment="1">
      <alignment horizontal="center"/>
    </xf>
    <xf numFmtId="166" fontId="0" fillId="11" borderId="28" xfId="0" applyNumberFormat="1" applyFill="1" applyBorder="1" applyAlignment="1">
      <alignment horizontal="center"/>
    </xf>
    <xf numFmtId="166" fontId="2" fillId="11" borderId="19" xfId="0" applyNumberFormat="1" applyFont="1" applyFill="1" applyBorder="1" applyAlignment="1">
      <alignment horizontal="centerContinuous" vertical="center" wrapText="1"/>
    </xf>
    <xf numFmtId="0" fontId="2" fillId="4" borderId="39" xfId="0" applyFont="1" applyFill="1" applyBorder="1" applyAlignment="1">
      <alignment horizontal="centerContinuous" vertical="center" wrapText="1"/>
    </xf>
    <xf numFmtId="0" fontId="2" fillId="4" borderId="41" xfId="0" applyFont="1" applyFill="1" applyBorder="1" applyAlignment="1">
      <alignment horizontal="centerContinuous" vertical="center" wrapText="1"/>
    </xf>
    <xf numFmtId="166" fontId="0" fillId="9" borderId="28" xfId="0" applyNumberForma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166" fontId="0" fillId="0" borderId="40" xfId="0" applyNumberFormat="1" applyBorder="1" applyAlignment="1">
      <alignment horizontal="center"/>
    </xf>
    <xf numFmtId="166" fontId="0" fillId="9" borderId="37" xfId="0" applyNumberFormat="1" applyFill="1" applyBorder="1" applyAlignment="1">
      <alignment horizontal="center"/>
    </xf>
    <xf numFmtId="166" fontId="0" fillId="0" borderId="43" xfId="0" applyNumberFormat="1" applyFont="1" applyBorder="1" applyAlignment="1">
      <alignment horizontal="center"/>
    </xf>
    <xf numFmtId="166" fontId="0" fillId="5" borderId="4" xfId="0" applyNumberFormat="1" applyFill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2" fontId="0" fillId="10" borderId="33" xfId="0" applyNumberFormat="1" applyFill="1" applyBorder="1" applyAlignment="1">
      <alignment horizontal="center"/>
    </xf>
    <xf numFmtId="0" fontId="5" fillId="11" borderId="0" xfId="0" applyFont="1" applyFill="1"/>
    <xf numFmtId="0" fontId="0" fillId="6" borderId="59" xfId="0" applyFill="1" applyBorder="1" applyAlignment="1">
      <alignment horizontal="center"/>
    </xf>
    <xf numFmtId="1" fontId="0" fillId="3" borderId="28" xfId="0" applyNumberFormat="1" applyFill="1" applyBorder="1" applyAlignment="1">
      <alignment horizontal="center"/>
    </xf>
    <xf numFmtId="1" fontId="0" fillId="5" borderId="33" xfId="0" applyNumberFormat="1" applyFill="1" applyBorder="1" applyAlignment="1">
      <alignment horizontal="center"/>
    </xf>
    <xf numFmtId="166" fontId="0" fillId="15" borderId="5" xfId="0" applyNumberFormat="1" applyFill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2" fillId="4" borderId="11" xfId="0" applyFont="1" applyFill="1" applyBorder="1" applyAlignment="1">
      <alignment horizontal="centerContinuous" vertical="center" wrapText="1"/>
    </xf>
    <xf numFmtId="2" fontId="2" fillId="3" borderId="19" xfId="0" applyNumberFormat="1" applyFont="1" applyFill="1" applyBorder="1" applyAlignment="1">
      <alignment horizontal="centerContinuous" vertical="center" wrapText="1"/>
    </xf>
    <xf numFmtId="167" fontId="2" fillId="3" borderId="19" xfId="0" applyNumberFormat="1" applyFont="1" applyFill="1" applyBorder="1" applyAlignment="1">
      <alignment horizontal="centerContinuous" vertical="center" wrapText="1"/>
    </xf>
    <xf numFmtId="10" fontId="0" fillId="0" borderId="33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68" fontId="0" fillId="0" borderId="35" xfId="0" applyNumberFormat="1" applyBorder="1" applyAlignment="1">
      <alignment horizontal="center"/>
    </xf>
    <xf numFmtId="10" fontId="0" fillId="0" borderId="36" xfId="0" applyNumberFormat="1" applyBorder="1" applyAlignment="1">
      <alignment horizontal="center"/>
    </xf>
    <xf numFmtId="0" fontId="6" fillId="3" borderId="15" xfId="0" applyFont="1" applyFill="1" applyBorder="1" applyAlignment="1">
      <alignment horizontal="centerContinuous" vertical="center" wrapText="1"/>
    </xf>
    <xf numFmtId="0" fontId="6" fillId="3" borderId="23" xfId="0" applyFont="1" applyFill="1" applyBorder="1" applyAlignment="1">
      <alignment horizontal="centerContinuous" vertical="center" wrapText="1"/>
    </xf>
    <xf numFmtId="166" fontId="2" fillId="7" borderId="72" xfId="0" applyNumberFormat="1" applyFont="1" applyFill="1" applyBorder="1" applyAlignment="1">
      <alignment horizontal="centerContinuous" vertical="center" wrapText="1"/>
    </xf>
    <xf numFmtId="166" fontId="2" fillId="7" borderId="11" xfId="0" applyNumberFormat="1" applyFont="1" applyFill="1" applyBorder="1" applyAlignment="1">
      <alignment horizontal="centerContinuous" vertical="center" wrapText="1"/>
    </xf>
    <xf numFmtId="166" fontId="2" fillId="20" borderId="11" xfId="0" applyNumberFormat="1" applyFont="1" applyFill="1" applyBorder="1" applyAlignment="1">
      <alignment horizontal="centerContinuous" vertical="center" wrapText="1"/>
    </xf>
    <xf numFmtId="166" fontId="2" fillId="7" borderId="16" xfId="0" applyNumberFormat="1" applyFont="1" applyFill="1" applyBorder="1" applyAlignment="1">
      <alignment horizontal="centerContinuous" vertical="center" wrapText="1"/>
    </xf>
    <xf numFmtId="164" fontId="0" fillId="5" borderId="23" xfId="2" applyNumberFormat="1" applyFont="1" applyFill="1" applyBorder="1" applyAlignment="1">
      <alignment horizontal="center"/>
    </xf>
    <xf numFmtId="164" fontId="0" fillId="5" borderId="17" xfId="2" applyNumberFormat="1" applyFont="1" applyFill="1" applyBorder="1" applyAlignment="1">
      <alignment horizontal="center"/>
    </xf>
    <xf numFmtId="0" fontId="2" fillId="0" borderId="37" xfId="0" applyFont="1" applyBorder="1" applyAlignment="1">
      <alignment horizontal="centerContinuous" vertical="center" wrapText="1"/>
    </xf>
    <xf numFmtId="0" fontId="2" fillId="3" borderId="37" xfId="0" applyFont="1" applyFill="1" applyBorder="1" applyAlignment="1">
      <alignment horizontal="centerContinuous" vertical="center" wrapText="1"/>
    </xf>
    <xf numFmtId="0" fontId="2" fillId="0" borderId="66" xfId="0" applyFont="1" applyBorder="1" applyAlignment="1">
      <alignment horizontal="centerContinuous" vertical="center" wrapText="1"/>
    </xf>
    <xf numFmtId="0" fontId="2" fillId="4" borderId="66" xfId="0" applyFont="1" applyFill="1" applyBorder="1" applyAlignment="1">
      <alignment horizontal="centerContinuous" vertical="center" wrapText="1"/>
    </xf>
    <xf numFmtId="0" fontId="2" fillId="5" borderId="66" xfId="0" applyFont="1" applyFill="1" applyBorder="1" applyAlignment="1">
      <alignment horizontal="centerContinuous" vertical="center" wrapText="1"/>
    </xf>
    <xf numFmtId="4" fontId="0" fillId="15" borderId="35" xfId="0" applyNumberFormat="1" applyFill="1" applyBorder="1" applyAlignment="1">
      <alignment horizontal="center"/>
    </xf>
    <xf numFmtId="167" fontId="0" fillId="15" borderId="35" xfId="0" applyNumberFormat="1" applyFill="1" applyBorder="1" applyAlignment="1">
      <alignment horizontal="center"/>
    </xf>
    <xf numFmtId="0" fontId="2" fillId="19" borderId="34" xfId="0" applyFont="1" applyFill="1" applyBorder="1"/>
    <xf numFmtId="4" fontId="0" fillId="19" borderId="35" xfId="0" applyNumberFormat="1" applyFill="1" applyBorder="1" applyAlignment="1">
      <alignment horizontal="center"/>
    </xf>
    <xf numFmtId="164" fontId="0" fillId="19" borderId="35" xfId="0" applyNumberFormat="1" applyFill="1" applyBorder="1" applyAlignment="1">
      <alignment horizontal="center"/>
    </xf>
    <xf numFmtId="166" fontId="0" fillId="19" borderId="35" xfId="0" applyNumberFormat="1" applyFill="1" applyBorder="1" applyAlignment="1">
      <alignment horizontal="center"/>
    </xf>
    <xf numFmtId="4" fontId="0" fillId="19" borderId="40" xfId="0" applyNumberFormat="1" applyFill="1" applyBorder="1" applyAlignment="1">
      <alignment horizontal="center"/>
    </xf>
    <xf numFmtId="165" fontId="0" fillId="19" borderId="36" xfId="0" applyNumberFormat="1" applyFill="1" applyBorder="1" applyAlignment="1">
      <alignment horizontal="center"/>
    </xf>
    <xf numFmtId="165" fontId="0" fillId="19" borderId="35" xfId="0" applyNumberFormat="1" applyFill="1" applyBorder="1" applyAlignment="1">
      <alignment horizontal="center" vertical="center"/>
    </xf>
    <xf numFmtId="166" fontId="0" fillId="19" borderId="35" xfId="0" applyNumberFormat="1" applyFill="1" applyBorder="1" applyAlignment="1">
      <alignment horizontal="center" vertical="center"/>
    </xf>
    <xf numFmtId="165" fontId="0" fillId="19" borderId="36" xfId="0" applyNumberFormat="1" applyFill="1" applyBorder="1" applyAlignment="1">
      <alignment horizontal="center" vertical="center"/>
    </xf>
    <xf numFmtId="165" fontId="0" fillId="19" borderId="5" xfId="0" applyNumberFormat="1" applyFill="1" applyBorder="1" applyAlignment="1">
      <alignment horizontal="center" vertical="center"/>
    </xf>
    <xf numFmtId="166" fontId="2" fillId="19" borderId="34" xfId="0" applyNumberFormat="1" applyFont="1" applyFill="1" applyBorder="1"/>
    <xf numFmtId="0" fontId="0" fillId="19" borderId="35" xfId="0" applyFill="1" applyBorder="1" applyAlignment="1">
      <alignment horizontal="center"/>
    </xf>
    <xf numFmtId="165" fontId="0" fillId="19" borderId="35" xfId="0" applyNumberFormat="1" applyFill="1" applyBorder="1" applyAlignment="1">
      <alignment horizontal="center"/>
    </xf>
    <xf numFmtId="0" fontId="0" fillId="19" borderId="40" xfId="0" applyFill="1" applyBorder="1" applyAlignment="1">
      <alignment horizontal="center"/>
    </xf>
    <xf numFmtId="166" fontId="0" fillId="19" borderId="36" xfId="0" applyNumberFormat="1" applyFill="1" applyBorder="1" applyAlignment="1">
      <alignment horizontal="center"/>
    </xf>
    <xf numFmtId="166" fontId="0" fillId="19" borderId="5" xfId="0" applyNumberFormat="1" applyFill="1" applyBorder="1" applyAlignment="1">
      <alignment horizontal="center"/>
    </xf>
    <xf numFmtId="166" fontId="0" fillId="19" borderId="40" xfId="0" applyNumberFormat="1" applyFill="1" applyBorder="1" applyAlignment="1">
      <alignment horizontal="center"/>
    </xf>
    <xf numFmtId="2" fontId="0" fillId="19" borderId="35" xfId="0" applyNumberFormat="1" applyFill="1" applyBorder="1" applyAlignment="1">
      <alignment horizontal="center"/>
    </xf>
    <xf numFmtId="2" fontId="0" fillId="19" borderId="35" xfId="0" applyNumberFormat="1" applyFill="1" applyBorder="1" applyAlignment="1">
      <alignment horizontal="center" vertical="top" wrapText="1"/>
    </xf>
    <xf numFmtId="166" fontId="1" fillId="19" borderId="36" xfId="0" applyNumberFormat="1" applyFont="1" applyFill="1" applyBorder="1" applyAlignment="1">
      <alignment horizontal="center"/>
    </xf>
    <xf numFmtId="167" fontId="0" fillId="19" borderId="35" xfId="0" applyNumberFormat="1" applyFill="1" applyBorder="1" applyAlignment="1">
      <alignment horizontal="center"/>
    </xf>
    <xf numFmtId="10" fontId="0" fillId="19" borderId="35" xfId="0" applyNumberFormat="1" applyFill="1" applyBorder="1" applyAlignment="1">
      <alignment horizontal="center"/>
    </xf>
    <xf numFmtId="0" fontId="2" fillId="19" borderId="21" xfId="0" applyFont="1" applyFill="1" applyBorder="1"/>
    <xf numFmtId="166" fontId="1" fillId="19" borderId="22" xfId="0" applyNumberFormat="1" applyFont="1" applyFill="1" applyBorder="1" applyAlignment="1">
      <alignment horizontal="center"/>
    </xf>
    <xf numFmtId="0" fontId="0" fillId="19" borderId="20" xfId="0" applyFill="1" applyBorder="1" applyAlignment="1">
      <alignment horizontal="center"/>
    </xf>
    <xf numFmtId="166" fontId="1" fillId="19" borderId="44" xfId="0" applyNumberFormat="1" applyFont="1" applyFill="1" applyBorder="1" applyAlignment="1">
      <alignment horizontal="center"/>
    </xf>
    <xf numFmtId="166" fontId="1" fillId="19" borderId="21" xfId="0" applyNumberFormat="1" applyFont="1" applyFill="1" applyBorder="1" applyAlignment="1">
      <alignment horizontal="center"/>
    </xf>
    <xf numFmtId="166" fontId="0" fillId="19" borderId="21" xfId="0" applyNumberFormat="1" applyFill="1" applyBorder="1" applyAlignment="1">
      <alignment horizontal="center"/>
    </xf>
    <xf numFmtId="0" fontId="2" fillId="19" borderId="49" xfId="0" applyFont="1" applyFill="1" applyBorder="1"/>
    <xf numFmtId="164" fontId="0" fillId="19" borderId="20" xfId="0" applyNumberFormat="1" applyFill="1" applyBorder="1" applyAlignment="1">
      <alignment horizontal="center"/>
    </xf>
    <xf numFmtId="166" fontId="0" fillId="19" borderId="20" xfId="0" applyNumberFormat="1" applyFill="1" applyBorder="1" applyAlignment="1">
      <alignment horizontal="center"/>
    </xf>
    <xf numFmtId="166" fontId="0" fillId="19" borderId="50" xfId="0" applyNumberFormat="1" applyFill="1" applyBorder="1" applyAlignment="1">
      <alignment horizontal="center"/>
    </xf>
    <xf numFmtId="166" fontId="1" fillId="19" borderId="35" xfId="0" applyNumberFormat="1" applyFont="1" applyFill="1" applyBorder="1" applyAlignment="1">
      <alignment horizontal="center" vertical="center"/>
    </xf>
    <xf numFmtId="164" fontId="0" fillId="19" borderId="36" xfId="2" applyNumberFormat="1" applyFont="1" applyFill="1" applyBorder="1" applyAlignment="1">
      <alignment horizontal="center"/>
    </xf>
    <xf numFmtId="0" fontId="2" fillId="19" borderId="64" xfId="0" applyFont="1" applyFill="1" applyBorder="1"/>
    <xf numFmtId="0" fontId="0" fillId="19" borderId="65" xfId="0" applyFill="1" applyBorder="1" applyAlignment="1">
      <alignment horizontal="center"/>
    </xf>
    <xf numFmtId="164" fontId="0" fillId="19" borderId="65" xfId="0" applyNumberFormat="1" applyFill="1" applyBorder="1" applyAlignment="1">
      <alignment horizontal="center"/>
    </xf>
    <xf numFmtId="0" fontId="0" fillId="19" borderId="36" xfId="0" applyFill="1" applyBorder="1" applyAlignment="1">
      <alignment horizontal="center"/>
    </xf>
    <xf numFmtId="2" fontId="2" fillId="19" borderId="35" xfId="0" applyNumberFormat="1" applyFont="1" applyFill="1" applyBorder="1" applyAlignment="1">
      <alignment horizontal="center"/>
    </xf>
    <xf numFmtId="167" fontId="2" fillId="19" borderId="35" xfId="0" applyNumberFormat="1" applyFont="1" applyFill="1" applyBorder="1" applyAlignment="1">
      <alignment horizontal="center"/>
    </xf>
    <xf numFmtId="10" fontId="2" fillId="19" borderId="35" xfId="0" applyNumberFormat="1" applyFont="1" applyFill="1" applyBorder="1" applyAlignment="1">
      <alignment horizontal="center"/>
    </xf>
    <xf numFmtId="0" fontId="2" fillId="19" borderId="36" xfId="0" applyFont="1" applyFill="1" applyBorder="1" applyAlignment="1">
      <alignment horizontal="center"/>
    </xf>
    <xf numFmtId="0" fontId="1" fillId="0" borderId="28" xfId="0" applyFont="1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8" xfId="0" applyBorder="1" applyAlignment="1">
      <alignment wrapText="1"/>
    </xf>
    <xf numFmtId="0" fontId="4" fillId="0" borderId="49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50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/>
    </xf>
    <xf numFmtId="0" fontId="4" fillId="0" borderId="54" xfId="0" applyFont="1" applyFill="1" applyBorder="1" applyAlignment="1">
      <alignment horizontal="center"/>
    </xf>
    <xf numFmtId="0" fontId="4" fillId="0" borderId="44" xfId="0" applyFont="1" applyFill="1" applyBorder="1" applyAlignment="1">
      <alignment horizontal="center"/>
    </xf>
    <xf numFmtId="0" fontId="4" fillId="0" borderId="4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50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6" xfId="0" applyFont="1" applyBorder="1" applyAlignment="1">
      <alignment horizontal="center"/>
    </xf>
    <xf numFmtId="3" fontId="2" fillId="3" borderId="10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26" xfId="0" applyFill="1" applyBorder="1" applyAlignment="1">
      <alignment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13" fillId="5" borderId="68" xfId="0" applyFont="1" applyFill="1" applyBorder="1" applyAlignment="1">
      <alignment horizontal="center" vertical="top" wrapText="1"/>
    </xf>
    <xf numFmtId="0" fontId="13" fillId="5" borderId="0" xfId="0" applyFont="1" applyFill="1" applyBorder="1" applyAlignment="1">
      <alignment horizontal="center" vertical="top" wrapText="1"/>
    </xf>
    <xf numFmtId="0" fontId="1" fillId="0" borderId="0" xfId="0" applyFont="1" applyBorder="1" applyAlignment="1"/>
    <xf numFmtId="0" fontId="0" fillId="0" borderId="0" xfId="0" applyAlignment="1"/>
    <xf numFmtId="0" fontId="2" fillId="12" borderId="68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16" borderId="68" xfId="0" applyFont="1" applyFill="1" applyBorder="1" applyAlignment="1">
      <alignment horizontal="center"/>
    </xf>
    <xf numFmtId="0" fontId="2" fillId="16" borderId="0" xfId="0" applyFont="1" applyFill="1" applyBorder="1" applyAlignment="1">
      <alignment horizontal="center"/>
    </xf>
    <xf numFmtId="0" fontId="0" fillId="16" borderId="0" xfId="0" applyFill="1" applyAlignment="1"/>
    <xf numFmtId="0" fontId="2" fillId="7" borderId="68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70" xfId="0" applyFont="1" applyBorder="1" applyAlignment="1">
      <alignment vertical="top" wrapText="1"/>
    </xf>
    <xf numFmtId="0" fontId="2" fillId="0" borderId="71" xfId="0" applyFont="1" applyBorder="1" applyAlignment="1">
      <alignment wrapText="1"/>
    </xf>
    <xf numFmtId="0" fontId="0" fillId="0" borderId="41" xfId="0" applyBorder="1" applyAlignment="1"/>
    <xf numFmtId="0" fontId="2" fillId="14" borderId="72" xfId="0" applyFont="1" applyFill="1" applyBorder="1" applyAlignment="1"/>
    <xf numFmtId="0" fontId="0" fillId="0" borderId="53" xfId="0" applyBorder="1" applyAlignment="1"/>
    <xf numFmtId="0" fontId="2" fillId="14" borderId="39" xfId="0" applyFont="1" applyFill="1" applyBorder="1" applyAlignment="1">
      <alignment horizontal="center"/>
    </xf>
    <xf numFmtId="0" fontId="0" fillId="0" borderId="71" xfId="0" applyBorder="1" applyAlignment="1">
      <alignment horizontal="center"/>
    </xf>
    <xf numFmtId="0" fontId="0" fillId="0" borderId="73" xfId="0" applyBorder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10"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theme="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1304925</xdr:colOff>
      <xdr:row>5</xdr:row>
      <xdr:rowOff>142875</xdr:rowOff>
    </xdr:from>
    <xdr:to>
      <xdr:col>4</xdr:col>
      <xdr:colOff>561975</xdr:colOff>
      <xdr:row>14</xdr:row>
      <xdr:rowOff>9525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1304925" y="1295400"/>
          <a:ext cx="415290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1143000</xdr:colOff>
      <xdr:row>18</xdr:row>
      <xdr:rowOff>0</xdr:rowOff>
    </xdr:from>
    <xdr:to>
      <xdr:col>4</xdr:col>
      <xdr:colOff>942975</xdr:colOff>
      <xdr:row>25</xdr:row>
      <xdr:rowOff>85725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4210050" y="4124325"/>
          <a:ext cx="3667125" cy="19050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1074962</xdr:colOff>
      <xdr:row>13</xdr:row>
      <xdr:rowOff>0</xdr:rowOff>
    </xdr:from>
    <xdr:to>
      <xdr:col>11</xdr:col>
      <xdr:colOff>370112</xdr:colOff>
      <xdr:row>20</xdr:row>
      <xdr:rowOff>119743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8980712" y="4272643"/>
          <a:ext cx="3486150" cy="197031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4</xdr:row>
      <xdr:rowOff>171450</xdr:rowOff>
    </xdr:from>
    <xdr:to>
      <xdr:col>6</xdr:col>
      <xdr:colOff>342900</xdr:colOff>
      <xdr:row>10</xdr:row>
      <xdr:rowOff>104775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4200525" y="1571625"/>
          <a:ext cx="3486150" cy="18478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</xdr:row>
      <xdr:rowOff>114300</xdr:rowOff>
    </xdr:from>
    <xdr:to>
      <xdr:col>4</xdr:col>
      <xdr:colOff>304800</xdr:colOff>
      <xdr:row>8</xdr:row>
      <xdr:rowOff>161925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485775" y="285750"/>
          <a:ext cx="415290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1000125</xdr:colOff>
      <xdr:row>15</xdr:row>
      <xdr:rowOff>47625</xdr:rowOff>
    </xdr:from>
    <xdr:to>
      <xdr:col>4</xdr:col>
      <xdr:colOff>466725</xdr:colOff>
      <xdr:row>25</xdr:row>
      <xdr:rowOff>9525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1000125" y="2990850"/>
          <a:ext cx="415290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29</xdr:row>
      <xdr:rowOff>19050</xdr:rowOff>
    </xdr:from>
    <xdr:to>
      <xdr:col>4</xdr:col>
      <xdr:colOff>1066800</xdr:colOff>
      <xdr:row>38</xdr:row>
      <xdr:rowOff>142875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1990725" y="5105400"/>
          <a:ext cx="415290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12</xdr:row>
      <xdr:rowOff>57150</xdr:rowOff>
    </xdr:from>
    <xdr:to>
      <xdr:col>2</xdr:col>
      <xdr:colOff>1009650</xdr:colOff>
      <xdr:row>22</xdr:row>
      <xdr:rowOff>19050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676275" y="2552700"/>
          <a:ext cx="4248150" cy="15811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2009775</xdr:colOff>
      <xdr:row>4</xdr:row>
      <xdr:rowOff>752475</xdr:rowOff>
    </xdr:from>
    <xdr:to>
      <xdr:col>3</xdr:col>
      <xdr:colOff>85725</xdr:colOff>
      <xdr:row>23</xdr:row>
      <xdr:rowOff>47625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009775" y="1438275"/>
          <a:ext cx="3543300" cy="3181350"/>
        </a:xfrm>
        <a:prstGeom prst="rect">
          <a:avLst/>
        </a:prstGeom>
        <a:ln>
          <a:solidFill>
            <a:srgbClr val="C00000"/>
          </a:solidFill>
        </a:ln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2419350</xdr:colOff>
      <xdr:row>5</xdr:row>
      <xdr:rowOff>95250</xdr:rowOff>
    </xdr:from>
    <xdr:to>
      <xdr:col>3</xdr:col>
      <xdr:colOff>485775</xdr:colOff>
      <xdr:row>16</xdr:row>
      <xdr:rowOff>123825</xdr:rowOff>
    </xdr:to>
    <xdr:sp macro="" textlink="">
      <xdr:nvSpPr>
        <xdr:cNvPr id="3" name="WordArt 1"/>
        <xdr:cNvSpPr>
          <a:spLocks noChangeArrowheads="1" noChangeShapeType="1" noTextEdit="1"/>
        </xdr:cNvSpPr>
      </xdr:nvSpPr>
      <xdr:spPr bwMode="auto">
        <a:xfrm>
          <a:off x="2419350" y="1685925"/>
          <a:ext cx="3629025" cy="1809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2200275</xdr:colOff>
      <xdr:row>4</xdr:row>
      <xdr:rowOff>9525</xdr:rowOff>
    </xdr:from>
    <xdr:to>
      <xdr:col>4</xdr:col>
      <xdr:colOff>581025</xdr:colOff>
      <xdr:row>23</xdr:row>
      <xdr:rowOff>19050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200275" y="1857375"/>
          <a:ext cx="4505325" cy="34861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 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4</xdr:row>
      <xdr:rowOff>85725</xdr:rowOff>
    </xdr:from>
    <xdr:to>
      <xdr:col>3</xdr:col>
      <xdr:colOff>333375</xdr:colOff>
      <xdr:row>16</xdr:row>
      <xdr:rowOff>133350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1676400" y="1476375"/>
          <a:ext cx="3486150" cy="20193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3600" kern="10" spc="0">
              <a:ln w="3175">
                <a:solidFill>
                  <a:srgbClr val="000000"/>
                </a:solidFill>
                <a:round/>
                <a:headEnd/>
                <a:tailEnd/>
              </a:ln>
              <a:noFill/>
              <a:effectLst/>
              <a:latin typeface="Arial Narrow"/>
            </a:rPr>
            <a:t>Draft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4" workbookViewId="0">
      <selection activeCell="I15" sqref="I15"/>
    </sheetView>
  </sheetViews>
  <sheetFormatPr defaultRowHeight="12.75" x14ac:dyDescent="0.2"/>
  <sheetData>
    <row r="1" spans="1:7" ht="25.5" x14ac:dyDescent="0.2">
      <c r="A1" s="20" t="s">
        <v>215</v>
      </c>
      <c r="B1" s="78" t="s">
        <v>89</v>
      </c>
      <c r="C1" s="18"/>
      <c r="D1" s="18"/>
      <c r="E1" s="18"/>
      <c r="F1" s="18"/>
      <c r="G1" s="18"/>
    </row>
    <row r="2" spans="1:7" ht="45.75" customHeight="1" x14ac:dyDescent="0.2">
      <c r="A2" s="210">
        <v>1</v>
      </c>
      <c r="B2" s="675" t="s">
        <v>216</v>
      </c>
      <c r="C2" s="676"/>
      <c r="D2" s="676"/>
      <c r="E2" s="676"/>
      <c r="F2" s="676"/>
      <c r="G2" s="677"/>
    </row>
    <row r="3" spans="1:7" s="35" customFormat="1" ht="9" customHeight="1" x14ac:dyDescent="0.2">
      <c r="A3" s="210"/>
      <c r="B3" s="211"/>
      <c r="C3" s="212"/>
      <c r="D3" s="212"/>
      <c r="E3" s="212"/>
      <c r="F3" s="212"/>
      <c r="G3" s="213"/>
    </row>
    <row r="4" spans="1:7" ht="52.5" customHeight="1" x14ac:dyDescent="0.2">
      <c r="A4" s="210">
        <v>2</v>
      </c>
      <c r="B4" s="675" t="s">
        <v>228</v>
      </c>
      <c r="C4" s="676"/>
      <c r="D4" s="676"/>
      <c r="E4" s="676"/>
      <c r="F4" s="676"/>
      <c r="G4" s="676"/>
    </row>
    <row r="5" spans="1:7" s="35" customFormat="1" ht="8.25" customHeight="1" x14ac:dyDescent="0.2">
      <c r="A5" s="210"/>
      <c r="B5" s="211"/>
      <c r="C5" s="212"/>
      <c r="D5" s="212"/>
      <c r="E5" s="212"/>
      <c r="F5" s="212"/>
      <c r="G5" s="212"/>
    </row>
    <row r="6" spans="1:7" x14ac:dyDescent="0.2">
      <c r="A6" s="210">
        <v>3</v>
      </c>
      <c r="B6" s="675" t="s">
        <v>208</v>
      </c>
      <c r="C6" s="676"/>
      <c r="D6" s="676"/>
      <c r="E6" s="676"/>
      <c r="F6" s="676"/>
      <c r="G6" s="676"/>
    </row>
    <row r="7" spans="1:7" s="35" customFormat="1" ht="7.5" customHeight="1" x14ac:dyDescent="0.2">
      <c r="A7" s="210"/>
      <c r="B7" s="211"/>
      <c r="C7" s="212"/>
      <c r="D7" s="212"/>
      <c r="E7" s="212"/>
      <c r="F7" s="212"/>
      <c r="G7" s="212"/>
    </row>
    <row r="8" spans="1:7" ht="79.5" customHeight="1" x14ac:dyDescent="0.2">
      <c r="A8" s="210">
        <v>4</v>
      </c>
      <c r="B8" s="675" t="s">
        <v>406</v>
      </c>
      <c r="C8" s="676"/>
      <c r="D8" s="676"/>
      <c r="E8" s="676"/>
      <c r="F8" s="676"/>
      <c r="G8" s="676"/>
    </row>
    <row r="9" spans="1:7" s="35" customFormat="1" ht="8.25" customHeight="1" x14ac:dyDescent="0.2">
      <c r="A9" s="210"/>
      <c r="B9" s="211"/>
      <c r="C9" s="212"/>
      <c r="D9" s="212"/>
      <c r="E9" s="212"/>
      <c r="F9" s="212"/>
      <c r="G9" s="212"/>
    </row>
    <row r="10" spans="1:7" ht="43.5" customHeight="1" x14ac:dyDescent="0.2">
      <c r="A10" s="210">
        <v>5</v>
      </c>
      <c r="B10" s="675" t="s">
        <v>227</v>
      </c>
      <c r="C10" s="676"/>
      <c r="D10" s="676"/>
      <c r="E10" s="676"/>
      <c r="F10" s="676"/>
      <c r="G10" s="676"/>
    </row>
    <row r="12" spans="1:7" ht="16.5" customHeight="1" x14ac:dyDescent="0.2">
      <c r="A12" s="210">
        <v>6</v>
      </c>
      <c r="B12" s="675" t="s">
        <v>217</v>
      </c>
      <c r="C12" s="676"/>
      <c r="D12" s="676"/>
      <c r="E12" s="676"/>
      <c r="F12" s="676"/>
      <c r="G12" s="676"/>
    </row>
    <row r="14" spans="1:7" ht="37.5" customHeight="1" x14ac:dyDescent="0.2">
      <c r="A14" s="210">
        <v>7</v>
      </c>
      <c r="B14" s="675" t="s">
        <v>407</v>
      </c>
      <c r="C14" s="676"/>
      <c r="D14" s="676"/>
      <c r="E14" s="676"/>
      <c r="F14" s="676"/>
      <c r="G14" s="676"/>
    </row>
  </sheetData>
  <mergeCells count="7">
    <mergeCell ref="B14:G14"/>
    <mergeCell ref="B12:G12"/>
    <mergeCell ref="B4:G4"/>
    <mergeCell ref="B2:G2"/>
    <mergeCell ref="B6:G6"/>
    <mergeCell ref="B8:G8"/>
    <mergeCell ref="B10:G1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opLeftCell="A55" workbookViewId="0">
      <selection activeCell="H69" sqref="H69"/>
    </sheetView>
  </sheetViews>
  <sheetFormatPr defaultRowHeight="12.75" x14ac:dyDescent="0.2"/>
  <cols>
    <col min="1" max="1" width="42.140625" customWidth="1"/>
    <col min="2" max="2" width="15.5703125" customWidth="1"/>
    <col min="3" max="3" width="14.7109375" customWidth="1"/>
    <col min="4" max="4" width="15.85546875" customWidth="1"/>
    <col min="5" max="5" width="15.28515625" customWidth="1"/>
    <col min="6" max="6" width="15.5703125" customWidth="1"/>
    <col min="7" max="7" width="14" customWidth="1"/>
    <col min="8" max="8" width="14.140625" customWidth="1"/>
    <col min="9" max="9" width="15.5703125" customWidth="1"/>
    <col min="10" max="10" width="14" customWidth="1"/>
    <col min="11" max="11" width="17" customWidth="1"/>
    <col min="12" max="12" width="15.140625" customWidth="1"/>
  </cols>
  <sheetData>
    <row r="1" spans="1:10" ht="15.75" thickBot="1" x14ac:dyDescent="0.3">
      <c r="A1" s="13" t="s">
        <v>84</v>
      </c>
    </row>
    <row r="2" spans="1:10" s="35" customFormat="1" ht="15" x14ac:dyDescent="0.25">
      <c r="A2" s="13"/>
      <c r="B2" s="697" t="s">
        <v>402</v>
      </c>
      <c r="C2" s="698"/>
      <c r="D2" s="698"/>
      <c r="E2" s="698"/>
      <c r="F2" s="699"/>
    </row>
    <row r="3" spans="1:10" ht="13.5" customHeight="1" thickBot="1" x14ac:dyDescent="0.25">
      <c r="B3" s="706"/>
      <c r="C3" s="707"/>
      <c r="D3" s="707"/>
      <c r="E3" s="707"/>
      <c r="F3" s="708"/>
    </row>
    <row r="4" spans="1:10" s="16" customFormat="1" ht="65.25" thickTop="1" thickBot="1" x14ac:dyDescent="0.25">
      <c r="A4" s="626" t="s">
        <v>1</v>
      </c>
      <c r="B4" s="626" t="s">
        <v>8</v>
      </c>
      <c r="C4" s="626" t="s">
        <v>0</v>
      </c>
      <c r="D4" s="626" t="s">
        <v>9</v>
      </c>
      <c r="E4" s="626" t="s">
        <v>31</v>
      </c>
      <c r="F4" s="627" t="s">
        <v>16</v>
      </c>
      <c r="G4" s="628" t="s">
        <v>99</v>
      </c>
      <c r="H4" s="628" t="s">
        <v>100</v>
      </c>
      <c r="I4" s="629" t="s">
        <v>54</v>
      </c>
      <c r="J4" s="630" t="s">
        <v>53</v>
      </c>
    </row>
    <row r="5" spans="1:10" ht="13.5" thickTop="1" x14ac:dyDescent="0.2">
      <c r="A5" s="239" t="s">
        <v>26</v>
      </c>
      <c r="B5" s="533">
        <v>118</v>
      </c>
      <c r="C5" s="533" t="s">
        <v>45</v>
      </c>
      <c r="D5" s="533" t="s">
        <v>45</v>
      </c>
      <c r="E5" s="533" t="s">
        <v>45</v>
      </c>
      <c r="F5" s="534">
        <v>118</v>
      </c>
      <c r="G5" s="533"/>
      <c r="H5" s="533"/>
      <c r="I5" s="606"/>
      <c r="J5" s="536">
        <f>F5-I5</f>
        <v>118</v>
      </c>
    </row>
    <row r="6" spans="1:10" x14ac:dyDescent="0.2">
      <c r="A6" s="26" t="s">
        <v>27</v>
      </c>
      <c r="B6" s="327" t="s">
        <v>45</v>
      </c>
      <c r="C6" s="327" t="s">
        <v>45</v>
      </c>
      <c r="D6" s="327" t="s">
        <v>45</v>
      </c>
      <c r="E6" s="327" t="s">
        <v>45</v>
      </c>
      <c r="F6" s="516" t="s">
        <v>45</v>
      </c>
      <c r="G6" s="327"/>
      <c r="H6" s="327"/>
      <c r="I6" s="519"/>
      <c r="J6" s="520"/>
    </row>
    <row r="7" spans="1:10" ht="13.5" thickBot="1" x14ac:dyDescent="0.25">
      <c r="A7" s="36" t="s">
        <v>19</v>
      </c>
      <c r="B7" s="327" t="s">
        <v>45</v>
      </c>
      <c r="C7" s="327" t="s">
        <v>45</v>
      </c>
      <c r="D7" s="327" t="s">
        <v>45</v>
      </c>
      <c r="E7" s="327" t="s">
        <v>45</v>
      </c>
      <c r="F7" s="516" t="s">
        <v>45</v>
      </c>
      <c r="G7" s="327"/>
      <c r="H7" s="327"/>
      <c r="I7" s="519"/>
      <c r="J7" s="520"/>
    </row>
    <row r="8" spans="1:10" ht="13.5" thickTop="1" x14ac:dyDescent="0.2">
      <c r="A8" s="26" t="s">
        <v>20</v>
      </c>
      <c r="B8" s="327">
        <v>76</v>
      </c>
      <c r="C8" s="327" t="s">
        <v>45</v>
      </c>
      <c r="D8" s="327" t="s">
        <v>45</v>
      </c>
      <c r="E8" s="327">
        <v>-7</v>
      </c>
      <c r="F8" s="516">
        <v>69</v>
      </c>
      <c r="G8" s="327"/>
      <c r="H8" s="327"/>
      <c r="I8" s="519"/>
      <c r="J8" s="536">
        <f>F8-I8</f>
        <v>69</v>
      </c>
    </row>
    <row r="9" spans="1:10" x14ac:dyDescent="0.2">
      <c r="A9" s="26" t="s">
        <v>32</v>
      </c>
      <c r="B9" s="327">
        <v>84</v>
      </c>
      <c r="C9" s="327" t="s">
        <v>45</v>
      </c>
      <c r="D9" s="327" t="s">
        <v>45</v>
      </c>
      <c r="E9" s="327">
        <v>16</v>
      </c>
      <c r="F9" s="516">
        <v>100</v>
      </c>
      <c r="G9" s="327">
        <f>F9</f>
        <v>100</v>
      </c>
      <c r="H9" s="474">
        <f>G9/(F$19-F$5-F$8)</f>
        <v>0.3436426116838488</v>
      </c>
      <c r="I9" s="519">
        <f>ROUND(H9*F$21,1)</f>
        <v>97.3</v>
      </c>
      <c r="J9" s="520">
        <f>F9-I9</f>
        <v>2.7000000000000028</v>
      </c>
    </row>
    <row r="10" spans="1:10" x14ac:dyDescent="0.2">
      <c r="A10" s="26" t="s">
        <v>21</v>
      </c>
      <c r="B10" s="327">
        <v>134</v>
      </c>
      <c r="C10" s="327" t="s">
        <v>45</v>
      </c>
      <c r="D10" s="327" t="s">
        <v>45</v>
      </c>
      <c r="E10" s="327">
        <v>-13</v>
      </c>
      <c r="F10" s="516">
        <v>121</v>
      </c>
      <c r="G10" s="327">
        <f>F10</f>
        <v>121</v>
      </c>
      <c r="H10" s="474"/>
      <c r="I10" s="519">
        <f>SUM(I11:I13)</f>
        <v>117.7</v>
      </c>
      <c r="J10" s="520"/>
    </row>
    <row r="11" spans="1:10" s="34" customFormat="1" x14ac:dyDescent="0.2">
      <c r="A11" s="26" t="s">
        <v>62</v>
      </c>
      <c r="B11" s="327"/>
      <c r="C11" s="327"/>
      <c r="D11" s="327"/>
      <c r="E11" s="327"/>
      <c r="F11" s="607">
        <v>16.242174468553152</v>
      </c>
      <c r="G11" s="103">
        <f>F11</f>
        <v>16.242174468553152</v>
      </c>
      <c r="H11" s="474">
        <f t="shared" ref="H11:H13" si="0">G11/(F$19-F$5-F$8)</f>
        <v>5.5815032537983339E-2</v>
      </c>
      <c r="I11" s="519">
        <f>ROUND(H11*F$21,1)</f>
        <v>15.8</v>
      </c>
      <c r="J11" s="142">
        <f t="shared" ref="J11:J13" si="1">F11-I11</f>
        <v>0.44217446855315146</v>
      </c>
    </row>
    <row r="12" spans="1:10" s="34" customFormat="1" x14ac:dyDescent="0.2">
      <c r="A12" s="26" t="s">
        <v>63</v>
      </c>
      <c r="B12" s="327"/>
      <c r="C12" s="327"/>
      <c r="D12" s="327"/>
      <c r="E12" s="327"/>
      <c r="F12" s="607">
        <v>57.193940048461151</v>
      </c>
      <c r="G12" s="103">
        <f>F12</f>
        <v>57.193940048461151</v>
      </c>
      <c r="H12" s="474">
        <f t="shared" si="0"/>
        <v>0.19654274930742663</v>
      </c>
      <c r="I12" s="519">
        <f>ROUND(H12*F$21,1)</f>
        <v>55.6</v>
      </c>
      <c r="J12" s="142">
        <f t="shared" si="1"/>
        <v>1.5939400484611497</v>
      </c>
    </row>
    <row r="13" spans="1:10" s="34" customFormat="1" x14ac:dyDescent="0.2">
      <c r="A13" s="26" t="s">
        <v>64</v>
      </c>
      <c r="B13" s="327"/>
      <c r="C13" s="327"/>
      <c r="D13" s="327"/>
      <c r="E13" s="327"/>
      <c r="F13" s="607">
        <v>47.619932295425762</v>
      </c>
      <c r="G13" s="103">
        <f>F13</f>
        <v>47.619932295425762</v>
      </c>
      <c r="H13" s="474">
        <f t="shared" si="0"/>
        <v>0.16364237902208165</v>
      </c>
      <c r="I13" s="519">
        <f>ROUND(H13*F$21,1)</f>
        <v>46.3</v>
      </c>
      <c r="J13" s="142">
        <f t="shared" si="1"/>
        <v>1.3199322954257653</v>
      </c>
    </row>
    <row r="14" spans="1:10" x14ac:dyDescent="0.2">
      <c r="A14" s="26" t="s">
        <v>28</v>
      </c>
      <c r="B14" s="327" t="s">
        <v>45</v>
      </c>
      <c r="C14" s="327" t="s">
        <v>45</v>
      </c>
      <c r="D14" s="327" t="s">
        <v>45</v>
      </c>
      <c r="E14" s="327" t="s">
        <v>45</v>
      </c>
      <c r="F14" s="516" t="s">
        <v>45</v>
      </c>
      <c r="G14" s="327"/>
      <c r="H14" s="474"/>
      <c r="I14" s="519">
        <f t="shared" ref="I14" si="2">ROUND(H14*B$21,0)</f>
        <v>0</v>
      </c>
      <c r="J14" s="520"/>
    </row>
    <row r="15" spans="1:10" x14ac:dyDescent="0.2">
      <c r="A15" s="36" t="s">
        <v>276</v>
      </c>
      <c r="B15" s="327">
        <v>43</v>
      </c>
      <c r="C15" s="327" t="s">
        <v>45</v>
      </c>
      <c r="D15" s="327" t="s">
        <v>45</v>
      </c>
      <c r="E15" s="327">
        <v>27</v>
      </c>
      <c r="F15" s="516">
        <v>70</v>
      </c>
      <c r="G15" s="327">
        <f>F15</f>
        <v>70</v>
      </c>
      <c r="H15" s="474">
        <f>G15/(F$19-F$5-F$8)</f>
        <v>0.24054982817869416</v>
      </c>
      <c r="I15" s="519">
        <f>ROUND(H15*F$21,1)</f>
        <v>68.099999999999994</v>
      </c>
      <c r="J15" s="520">
        <f t="shared" ref="J15:J17" si="3">F15-I15</f>
        <v>1.9000000000000057</v>
      </c>
    </row>
    <row r="16" spans="1:10" s="35" customFormat="1" x14ac:dyDescent="0.2">
      <c r="A16" s="26" t="s">
        <v>240</v>
      </c>
      <c r="B16" s="327">
        <v>29</v>
      </c>
      <c r="C16" s="327"/>
      <c r="D16" s="327"/>
      <c r="E16" s="327">
        <v>25</v>
      </c>
      <c r="F16" s="516">
        <v>54</v>
      </c>
      <c r="G16" s="327">
        <f>F16</f>
        <v>54</v>
      </c>
      <c r="H16" s="474">
        <f t="shared" ref="H16:H17" si="4">G16/(F$19-F$5-F$8)</f>
        <v>0.18556701030927836</v>
      </c>
      <c r="I16" s="519">
        <f t="shared" ref="I16:I17" si="5">ROUND(H16*F$21,1)</f>
        <v>52.5</v>
      </c>
      <c r="J16" s="520">
        <f t="shared" si="3"/>
        <v>1.5</v>
      </c>
    </row>
    <row r="17" spans="1:12" x14ac:dyDescent="0.2">
      <c r="A17" s="26" t="s">
        <v>241</v>
      </c>
      <c r="B17" s="327">
        <v>14</v>
      </c>
      <c r="C17" s="327"/>
      <c r="D17" s="327"/>
      <c r="E17" s="327">
        <v>2</v>
      </c>
      <c r="F17" s="516">
        <v>16</v>
      </c>
      <c r="G17" s="327">
        <f>F17</f>
        <v>16</v>
      </c>
      <c r="H17" s="474">
        <f t="shared" si="4"/>
        <v>5.4982817869415807E-2</v>
      </c>
      <c r="I17" s="519">
        <f t="shared" si="5"/>
        <v>15.6</v>
      </c>
      <c r="J17" s="520">
        <f t="shared" si="3"/>
        <v>0.40000000000000036</v>
      </c>
    </row>
    <row r="18" spans="1:12" x14ac:dyDescent="0.2">
      <c r="A18" s="240" t="s">
        <v>30</v>
      </c>
      <c r="B18" s="327"/>
      <c r="C18" s="327"/>
      <c r="D18" s="327"/>
      <c r="E18" s="327"/>
      <c r="F18" s="516"/>
      <c r="G18" s="327"/>
      <c r="H18" s="327"/>
      <c r="I18" s="519"/>
      <c r="J18" s="520"/>
    </row>
    <row r="19" spans="1:12" x14ac:dyDescent="0.2">
      <c r="A19" s="241" t="s">
        <v>3</v>
      </c>
      <c r="B19" s="327">
        <f>SUM(B5:B17)-B16-B17</f>
        <v>455</v>
      </c>
      <c r="C19" s="327">
        <v>0</v>
      </c>
      <c r="D19" s="327">
        <v>0</v>
      </c>
      <c r="E19" s="327">
        <v>23</v>
      </c>
      <c r="F19" s="516">
        <v>478</v>
      </c>
      <c r="G19" s="327"/>
      <c r="H19" s="327"/>
      <c r="I19" s="519"/>
      <c r="J19" s="520"/>
    </row>
    <row r="20" spans="1:12" x14ac:dyDescent="0.2">
      <c r="A20" s="241" t="s">
        <v>17</v>
      </c>
      <c r="B20" s="327">
        <v>195</v>
      </c>
      <c r="C20" s="327"/>
      <c r="D20" s="327"/>
      <c r="E20" s="327"/>
      <c r="F20" s="516">
        <v>195</v>
      </c>
      <c r="G20" s="327"/>
      <c r="H20" s="327"/>
      <c r="I20" s="519"/>
      <c r="J20" s="608"/>
    </row>
    <row r="21" spans="1:12" ht="25.5" x14ac:dyDescent="0.2">
      <c r="A21" s="72" t="s">
        <v>118</v>
      </c>
      <c r="B21" s="327">
        <v>260</v>
      </c>
      <c r="C21" s="327"/>
      <c r="D21" s="327"/>
      <c r="E21" s="327"/>
      <c r="F21" s="516">
        <f>F19-F20</f>
        <v>283</v>
      </c>
      <c r="G21" s="327"/>
      <c r="H21" s="327"/>
      <c r="I21" s="519">
        <f>SUM(I9:I15)-I10</f>
        <v>283.10000000000008</v>
      </c>
      <c r="J21" s="520"/>
    </row>
    <row r="22" spans="1:12" ht="25.5" x14ac:dyDescent="0.2">
      <c r="A22" s="72" t="s">
        <v>7</v>
      </c>
      <c r="B22" s="327"/>
      <c r="C22" s="327"/>
      <c r="D22" s="327"/>
      <c r="E22" s="327"/>
      <c r="F22" s="540">
        <f>F21/F20</f>
        <v>1.4512820512820512</v>
      </c>
      <c r="G22" s="327"/>
      <c r="H22" s="474">
        <f>SUM(H9:H15)</f>
        <v>1.0001926007300346</v>
      </c>
      <c r="I22" s="519"/>
      <c r="J22" s="520"/>
    </row>
    <row r="23" spans="1:12" x14ac:dyDescent="0.2">
      <c r="A23" s="72" t="s">
        <v>115</v>
      </c>
      <c r="B23" s="327"/>
      <c r="C23" s="327"/>
      <c r="D23" s="327"/>
      <c r="E23" s="327"/>
      <c r="F23" s="516"/>
      <c r="G23" s="327"/>
      <c r="H23" s="327"/>
      <c r="I23" s="519"/>
      <c r="J23" s="608">
        <f>SUM(J5:J15)</f>
        <v>194.95604681244006</v>
      </c>
    </row>
    <row r="24" spans="1:12" ht="27.75" customHeight="1" thickBot="1" x14ac:dyDescent="0.25">
      <c r="A24" s="236" t="s">
        <v>236</v>
      </c>
      <c r="B24" s="361"/>
      <c r="C24" s="361"/>
      <c r="D24" s="361"/>
      <c r="E24" s="361"/>
      <c r="F24" s="530"/>
      <c r="G24" s="361"/>
      <c r="H24" s="361"/>
      <c r="I24" s="531"/>
      <c r="J24" s="145">
        <f>SUM(J11:J15)</f>
        <v>5.2560468124400721</v>
      </c>
    </row>
    <row r="25" spans="1:12" ht="13.5" thickBot="1" x14ac:dyDescent="0.25"/>
    <row r="26" spans="1:12" ht="45" x14ac:dyDescent="0.2">
      <c r="A26" s="618" t="s">
        <v>44</v>
      </c>
      <c r="B26" s="407" t="s">
        <v>33</v>
      </c>
      <c r="C26" s="407" t="s">
        <v>122</v>
      </c>
      <c r="D26" s="407" t="s">
        <v>123</v>
      </c>
      <c r="E26" s="407" t="s">
        <v>121</v>
      </c>
      <c r="F26" s="619" t="s">
        <v>232</v>
      </c>
    </row>
    <row r="27" spans="1:12" x14ac:dyDescent="0.2">
      <c r="A27" s="26" t="s">
        <v>46</v>
      </c>
      <c r="B27" s="18" t="s">
        <v>41</v>
      </c>
      <c r="C27" s="512">
        <v>15.8580661163</v>
      </c>
      <c r="D27" s="512">
        <v>900.64200080830005</v>
      </c>
      <c r="E27" s="498">
        <v>1.7607513420502093E-2</v>
      </c>
      <c r="F27" s="614">
        <v>1.7607513420502093E-2</v>
      </c>
    </row>
    <row r="28" spans="1:12" x14ac:dyDescent="0.2">
      <c r="A28" s="26" t="s">
        <v>46</v>
      </c>
      <c r="B28" s="18" t="s">
        <v>36</v>
      </c>
      <c r="C28" s="512">
        <v>153.94248108900001</v>
      </c>
      <c r="D28" s="512">
        <v>900.64200080830005</v>
      </c>
      <c r="E28" s="498">
        <v>0.17092527436077942</v>
      </c>
      <c r="F28" s="614">
        <v>0.17092527436077942</v>
      </c>
    </row>
    <row r="29" spans="1:12" ht="13.5" thickBot="1" x14ac:dyDescent="0.25">
      <c r="A29" s="63" t="s">
        <v>46</v>
      </c>
      <c r="B29" s="42" t="s">
        <v>47</v>
      </c>
      <c r="C29" s="615">
        <v>730.84145360299999</v>
      </c>
      <c r="D29" s="615">
        <v>900.64200080830005</v>
      </c>
      <c r="E29" s="616">
        <v>0.81146721221871843</v>
      </c>
      <c r="F29" s="617">
        <v>0.81146721221871843</v>
      </c>
    </row>
    <row r="31" spans="1:12" ht="15.75" thickBot="1" x14ac:dyDescent="0.3">
      <c r="A31" s="442" t="s">
        <v>380</v>
      </c>
      <c r="B31" s="445"/>
      <c r="C31" s="445"/>
      <c r="D31" s="445"/>
      <c r="E31" s="445"/>
    </row>
    <row r="32" spans="1:12" ht="63.75" x14ac:dyDescent="0.2">
      <c r="A32" s="461" t="s">
        <v>404</v>
      </c>
      <c r="B32" s="612" t="s">
        <v>110</v>
      </c>
      <c r="C32" s="613" t="s">
        <v>111</v>
      </c>
      <c r="D32" s="612" t="s">
        <v>112</v>
      </c>
      <c r="E32" s="408" t="s">
        <v>52</v>
      </c>
      <c r="G32" s="362" t="s">
        <v>59</v>
      </c>
      <c r="H32" s="363" t="s">
        <v>350</v>
      </c>
      <c r="I32" s="363" t="s">
        <v>349</v>
      </c>
      <c r="J32" s="363" t="s">
        <v>60</v>
      </c>
      <c r="K32" s="363" t="s">
        <v>352</v>
      </c>
      <c r="L32" s="364" t="s">
        <v>114</v>
      </c>
    </row>
    <row r="33" spans="1:12" x14ac:dyDescent="0.2">
      <c r="A33" s="26" t="s">
        <v>41</v>
      </c>
      <c r="B33" s="512">
        <v>15.8580661163</v>
      </c>
      <c r="C33" s="495">
        <v>1.7607513420502093E-2</v>
      </c>
      <c r="D33" s="476">
        <v>1.7607513420502093E-2</v>
      </c>
      <c r="E33" s="477">
        <f>D33*I$10</f>
        <v>2.0724043295930965</v>
      </c>
      <c r="G33" s="36" t="s">
        <v>36</v>
      </c>
      <c r="H33" s="327">
        <v>38</v>
      </c>
      <c r="I33" s="327">
        <f>H33/H$35</f>
        <v>0.47499999999999998</v>
      </c>
      <c r="J33" s="474">
        <f>I33</f>
        <v>0.47499999999999998</v>
      </c>
      <c r="K33" s="103">
        <f>I$16*J33</f>
        <v>24.9375</v>
      </c>
      <c r="L33" s="477">
        <f>J$16*J33</f>
        <v>0.71249999999999991</v>
      </c>
    </row>
    <row r="34" spans="1:12" x14ac:dyDescent="0.2">
      <c r="A34" s="26" t="s">
        <v>36</v>
      </c>
      <c r="B34" s="512">
        <v>153.94248108900001</v>
      </c>
      <c r="C34" s="495">
        <v>0.17092527436077942</v>
      </c>
      <c r="D34" s="476">
        <v>0.17092527436077942</v>
      </c>
      <c r="E34" s="477">
        <f>D34*I$10</f>
        <v>20.11790479226374</v>
      </c>
      <c r="G34" s="36" t="s">
        <v>47</v>
      </c>
      <c r="H34" s="327">
        <v>42</v>
      </c>
      <c r="I34" s="327">
        <f>H34/H$35</f>
        <v>0.52500000000000002</v>
      </c>
      <c r="J34" s="474">
        <f>I34</f>
        <v>0.52500000000000002</v>
      </c>
      <c r="K34" s="103">
        <f>I$16*J34</f>
        <v>27.5625</v>
      </c>
      <c r="L34" s="477">
        <f>J$16*J34</f>
        <v>0.78750000000000009</v>
      </c>
    </row>
    <row r="35" spans="1:12" ht="13.5" thickBot="1" x14ac:dyDescent="0.25">
      <c r="A35" s="26" t="s">
        <v>47</v>
      </c>
      <c r="B35" s="512">
        <v>730.84145360299999</v>
      </c>
      <c r="C35" s="495">
        <v>0.81146721221871843</v>
      </c>
      <c r="D35" s="476">
        <v>0.81146721221871843</v>
      </c>
      <c r="E35" s="477">
        <f>D35*I$10</f>
        <v>95.509690878143161</v>
      </c>
      <c r="G35" s="633" t="s">
        <v>15</v>
      </c>
      <c r="H35" s="644">
        <f>SUM(H33:H34)</f>
        <v>80</v>
      </c>
      <c r="I35" s="644">
        <f>SUM(I33:I34)</f>
        <v>1</v>
      </c>
      <c r="J35" s="635">
        <f>SUM(J33:J34)</f>
        <v>1</v>
      </c>
      <c r="K35" s="636">
        <f>SUM(K33:K34)</f>
        <v>52.5</v>
      </c>
      <c r="L35" s="670">
        <f>SUM(L33:L34)</f>
        <v>1.5</v>
      </c>
    </row>
    <row r="36" spans="1:12" ht="13.5" thickBot="1" x14ac:dyDescent="0.25">
      <c r="A36" s="633" t="s">
        <v>15</v>
      </c>
      <c r="B36" s="671">
        <f>SUM(B33:B35)</f>
        <v>900.64200080830005</v>
      </c>
      <c r="C36" s="672">
        <f>SUM(C33:C35)</f>
        <v>1</v>
      </c>
      <c r="D36" s="673">
        <f>SUM(D33:D35)</f>
        <v>1</v>
      </c>
      <c r="E36" s="674">
        <f>SUM(E33:E35)</f>
        <v>117.69999999999999</v>
      </c>
      <c r="G36" s="155" t="s">
        <v>351</v>
      </c>
    </row>
    <row r="37" spans="1:12" s="35" customFormat="1" x14ac:dyDescent="0.2">
      <c r="A37" s="10"/>
      <c r="B37" s="10"/>
      <c r="C37" s="10"/>
      <c r="D37" s="10"/>
      <c r="E37" s="10"/>
      <c r="G37" s="155" t="s">
        <v>403</v>
      </c>
    </row>
    <row r="38" spans="1:12" ht="15.75" thickBot="1" x14ac:dyDescent="0.3">
      <c r="A38" s="444" t="s">
        <v>80</v>
      </c>
      <c r="B38" s="605"/>
      <c r="C38" s="605"/>
    </row>
    <row r="39" spans="1:12" ht="51" x14ac:dyDescent="0.2">
      <c r="A39" s="417" t="s">
        <v>404</v>
      </c>
      <c r="B39" s="460" t="s">
        <v>200</v>
      </c>
      <c r="C39" s="410" t="s">
        <v>71</v>
      </c>
      <c r="D39" s="611" t="s">
        <v>75</v>
      </c>
      <c r="E39" s="410" t="s">
        <v>202</v>
      </c>
      <c r="F39" s="410" t="s">
        <v>70</v>
      </c>
      <c r="G39" s="611" t="s">
        <v>76</v>
      </c>
      <c r="H39" s="410" t="s">
        <v>204</v>
      </c>
      <c r="I39" s="410" t="s">
        <v>72</v>
      </c>
      <c r="J39" s="611" t="s">
        <v>77</v>
      </c>
      <c r="K39" s="419" t="s">
        <v>74</v>
      </c>
      <c r="L39" s="463" t="s">
        <v>117</v>
      </c>
    </row>
    <row r="40" spans="1:12" x14ac:dyDescent="0.2">
      <c r="A40" s="26" t="s">
        <v>41</v>
      </c>
      <c r="B40" s="512">
        <v>15.385554364900001</v>
      </c>
      <c r="C40" s="474">
        <v>0.98130293741828101</v>
      </c>
      <c r="D40" s="103">
        <f>C40*I$11</f>
        <v>15.504586411208841</v>
      </c>
      <c r="E40" s="512">
        <v>0.47251175136200002</v>
      </c>
      <c r="F40" s="474">
        <v>1.9128737099920775E-3</v>
      </c>
      <c r="G40" s="103">
        <f>F40*I$12</f>
        <v>0.10635577827555952</v>
      </c>
      <c r="H40" s="610" t="s">
        <v>194</v>
      </c>
      <c r="I40" s="474">
        <v>0</v>
      </c>
      <c r="J40" s="103">
        <f>I40*I$13</f>
        <v>0</v>
      </c>
      <c r="K40" s="588">
        <f>D40+G40+J40</f>
        <v>15.610942189484401</v>
      </c>
      <c r="L40" s="510">
        <f>J$11*C40+J$12*F40+J$13*I40</f>
        <v>0.43695611085657965</v>
      </c>
    </row>
    <row r="41" spans="1:12" x14ac:dyDescent="0.2">
      <c r="A41" s="26" t="s">
        <v>36</v>
      </c>
      <c r="B41" s="610" t="s">
        <v>194</v>
      </c>
      <c r="C41" s="474">
        <v>0</v>
      </c>
      <c r="D41" s="103">
        <f>C41*I$11</f>
        <v>0</v>
      </c>
      <c r="E41" s="512">
        <v>4.9568588007700001</v>
      </c>
      <c r="F41" s="474">
        <v>2.0066897504338776E-2</v>
      </c>
      <c r="G41" s="103">
        <f>F41*I$12</f>
        <v>1.115719501241236</v>
      </c>
      <c r="H41" s="512">
        <v>148.985622288</v>
      </c>
      <c r="I41" s="474">
        <v>0.23353933117285994</v>
      </c>
      <c r="J41" s="103">
        <f>I41*I$13</f>
        <v>10.812871033303415</v>
      </c>
      <c r="K41" s="588">
        <f>D41+G41+J41</f>
        <v>11.92859053454465</v>
      </c>
      <c r="L41" s="510">
        <f>J$11*C41+J$12*F41+J$13*I41</f>
        <v>0.3402415370477217</v>
      </c>
    </row>
    <row r="42" spans="1:12" x14ac:dyDescent="0.2">
      <c r="A42" s="26" t="s">
        <v>47</v>
      </c>
      <c r="B42" s="512">
        <v>0.29319119702000002</v>
      </c>
      <c r="C42" s="474">
        <v>1.8699968557342128E-2</v>
      </c>
      <c r="D42" s="103">
        <f>C42*I$11</f>
        <v>0.29545950320600561</v>
      </c>
      <c r="E42" s="512">
        <v>241.587302193</v>
      </c>
      <c r="F42" s="474">
        <v>0.97802011844948145</v>
      </c>
      <c r="G42" s="103">
        <f>F42*I$12</f>
        <v>54.377918585791171</v>
      </c>
      <c r="H42" s="512">
        <v>488.96096021300002</v>
      </c>
      <c r="I42" s="474">
        <v>0.76646064139694459</v>
      </c>
      <c r="J42" s="103">
        <f>I42*I$13</f>
        <v>35.487127696678535</v>
      </c>
      <c r="K42" s="588">
        <f>D42+G42+J42</f>
        <v>90.16050578567571</v>
      </c>
      <c r="L42" s="510">
        <f>J$11*C42+J$12*F42+J$13*I42</f>
        <v>2.578850237408723</v>
      </c>
    </row>
    <row r="43" spans="1:12" ht="13.5" thickBot="1" x14ac:dyDescent="0.25">
      <c r="A43" s="633" t="s">
        <v>15</v>
      </c>
      <c r="B43" s="650">
        <f t="shared" ref="B43:L43" si="6">SUM(B40:B42)</f>
        <v>15.678745561920001</v>
      </c>
      <c r="C43" s="635">
        <f t="shared" si="6"/>
        <v>1.0000029059756232</v>
      </c>
      <c r="D43" s="636">
        <f t="shared" si="6"/>
        <v>15.800045914414847</v>
      </c>
      <c r="E43" s="650">
        <f t="shared" si="6"/>
        <v>247.01667274513201</v>
      </c>
      <c r="F43" s="635">
        <f t="shared" si="6"/>
        <v>0.99999988966381226</v>
      </c>
      <c r="G43" s="636">
        <f t="shared" si="6"/>
        <v>55.599993865307965</v>
      </c>
      <c r="H43" s="650">
        <f t="shared" si="6"/>
        <v>637.94658250099997</v>
      </c>
      <c r="I43" s="635">
        <f t="shared" si="6"/>
        <v>0.99999997256980455</v>
      </c>
      <c r="J43" s="636">
        <f t="shared" si="6"/>
        <v>46.299998729981951</v>
      </c>
      <c r="K43" s="647">
        <f t="shared" si="6"/>
        <v>117.70003850970477</v>
      </c>
      <c r="L43" s="648">
        <f t="shared" si="6"/>
        <v>3.3560478853130244</v>
      </c>
    </row>
    <row r="45" spans="1:12" ht="15.75" thickBot="1" x14ac:dyDescent="0.3">
      <c r="A45" s="442" t="s">
        <v>79</v>
      </c>
      <c r="B45" s="605"/>
      <c r="C45" s="605"/>
    </row>
    <row r="46" spans="1:12" ht="63.75" x14ac:dyDescent="0.2">
      <c r="A46" s="417" t="s">
        <v>401</v>
      </c>
      <c r="B46" s="410" t="s">
        <v>74</v>
      </c>
      <c r="C46" s="418" t="s">
        <v>226</v>
      </c>
      <c r="D46" s="410" t="s">
        <v>119</v>
      </c>
      <c r="E46" s="419" t="s">
        <v>229</v>
      </c>
      <c r="F46" s="420" t="s">
        <v>113</v>
      </c>
    </row>
    <row r="47" spans="1:12" x14ac:dyDescent="0.2">
      <c r="A47" s="26" t="s">
        <v>41</v>
      </c>
      <c r="B47" s="147">
        <v>15.807967926452053</v>
      </c>
      <c r="C47" s="597">
        <f>B47-E33</f>
        <v>13.735563596858956</v>
      </c>
      <c r="D47" s="327"/>
      <c r="E47" s="588">
        <f>B47+D47</f>
        <v>15.807967926452053</v>
      </c>
      <c r="F47" s="510">
        <f>L40</f>
        <v>0.43695611085657965</v>
      </c>
    </row>
    <row r="48" spans="1:12" x14ac:dyDescent="0.2">
      <c r="A48" s="26" t="s">
        <v>36</v>
      </c>
      <c r="B48" s="147">
        <v>11.866555494194529</v>
      </c>
      <c r="C48" s="597">
        <f>B48-E34</f>
        <v>-8.2513492980692114</v>
      </c>
      <c r="D48" s="103">
        <f>K33</f>
        <v>24.9375</v>
      </c>
      <c r="E48" s="588">
        <f t="shared" ref="E48:E49" si="7">B48+D48</f>
        <v>36.804055494194529</v>
      </c>
      <c r="F48" s="510">
        <f>L41+L33</f>
        <v>1.0527415370477216</v>
      </c>
    </row>
    <row r="49" spans="1:12" ht="13.5" thickBot="1" x14ac:dyDescent="0.25">
      <c r="A49" s="26" t="s">
        <v>47</v>
      </c>
      <c r="B49" s="147">
        <v>90.32551563434788</v>
      </c>
      <c r="C49" s="597">
        <f>B49-E35</f>
        <v>-5.1841752437952806</v>
      </c>
      <c r="D49" s="103">
        <f>K34</f>
        <v>27.5625</v>
      </c>
      <c r="E49" s="588">
        <f t="shared" si="7"/>
        <v>117.88801563434788</v>
      </c>
      <c r="F49" s="510">
        <f>L42+L34</f>
        <v>3.3663502374087231</v>
      </c>
    </row>
    <row r="50" spans="1:12" ht="13.5" thickBot="1" x14ac:dyDescent="0.25">
      <c r="A50" s="655" t="s">
        <v>98</v>
      </c>
      <c r="B50" s="354">
        <v>118.00003905499446</v>
      </c>
      <c r="C50" s="481"/>
      <c r="D50" s="481">
        <f>SUM(D47:D49)</f>
        <v>52.5</v>
      </c>
      <c r="E50" s="483">
        <f>SUM(E47:E49)</f>
        <v>170.50003905499446</v>
      </c>
      <c r="F50" s="609">
        <f>SUM(F47:F49)</f>
        <v>4.856047885313024</v>
      </c>
    </row>
    <row r="51" spans="1:12" x14ac:dyDescent="0.2">
      <c r="A51" s="182" t="s">
        <v>378</v>
      </c>
    </row>
    <row r="52" spans="1:12" s="35" customFormat="1" x14ac:dyDescent="0.2">
      <c r="A52" s="7"/>
    </row>
    <row r="53" spans="1:12" ht="15.75" thickBot="1" x14ac:dyDescent="0.3">
      <c r="A53" s="442" t="s">
        <v>195</v>
      </c>
    </row>
    <row r="54" spans="1:12" ht="51" x14ac:dyDescent="0.2">
      <c r="A54" s="422" t="s">
        <v>400</v>
      </c>
      <c r="B54" s="457" t="s">
        <v>127</v>
      </c>
      <c r="C54" s="457" t="s">
        <v>126</v>
      </c>
      <c r="D54" s="457" t="s">
        <v>70</v>
      </c>
      <c r="E54" s="457" t="s">
        <v>128</v>
      </c>
      <c r="F54" s="458" t="s">
        <v>72</v>
      </c>
      <c r="G54" s="457" t="s">
        <v>129</v>
      </c>
      <c r="H54" s="424" t="s">
        <v>130</v>
      </c>
      <c r="I54" s="423" t="s">
        <v>196</v>
      </c>
      <c r="J54" s="426" t="s">
        <v>384</v>
      </c>
      <c r="K54" s="237"/>
      <c r="L54" s="238"/>
    </row>
    <row r="55" spans="1:12" x14ac:dyDescent="0.2">
      <c r="A55" s="26" t="s">
        <v>41</v>
      </c>
      <c r="B55" s="474">
        <v>0.98130293741828101</v>
      </c>
      <c r="C55" s="103">
        <f>B55*G$11</f>
        <v>15.938493516051416</v>
      </c>
      <c r="D55" s="474">
        <v>1.9128737099920775E-3</v>
      </c>
      <c r="E55" s="103">
        <f>D55*G$12</f>
        <v>0.10940478428956435</v>
      </c>
      <c r="F55" s="474">
        <v>0</v>
      </c>
      <c r="G55" s="103">
        <f>F55*G$13</f>
        <v>0</v>
      </c>
      <c r="H55" s="475">
        <f>C55+E55+G55</f>
        <v>16.047898300340979</v>
      </c>
      <c r="I55" s="603">
        <f>Education_summary!B7</f>
        <v>5.0000000000000001E-3</v>
      </c>
      <c r="J55" s="553">
        <f>H55*I55</f>
        <v>8.0239491501704896E-2</v>
      </c>
    </row>
    <row r="56" spans="1:12" x14ac:dyDescent="0.2">
      <c r="A56" s="26" t="s">
        <v>36</v>
      </c>
      <c r="B56" s="474">
        <v>0</v>
      </c>
      <c r="C56" s="103">
        <f t="shared" ref="C56:C57" si="8">B56*G$11</f>
        <v>0</v>
      </c>
      <c r="D56" s="474">
        <v>2.0066897504338776E-2</v>
      </c>
      <c r="E56" s="103">
        <f t="shared" ref="E56:E57" si="9">D56*G$12</f>
        <v>1.1477049328217666</v>
      </c>
      <c r="F56" s="474">
        <v>0.23353933117285994</v>
      </c>
      <c r="G56" s="103">
        <f t="shared" ref="G56:G57" si="10">F56*G$13</f>
        <v>11.121127138770605</v>
      </c>
      <c r="H56" s="475">
        <f t="shared" ref="H56:H57" si="11">C56+E56+G56</f>
        <v>12.268832071592371</v>
      </c>
      <c r="I56" s="603">
        <f>Education_summary!B10</f>
        <v>0.05</v>
      </c>
      <c r="J56" s="604">
        <f t="shared" ref="J56:J57" si="12">H56*I56</f>
        <v>0.61344160357961863</v>
      </c>
    </row>
    <row r="57" spans="1:12" ht="13.5" thickBot="1" x14ac:dyDescent="0.25">
      <c r="A57" s="26" t="s">
        <v>47</v>
      </c>
      <c r="B57" s="474">
        <v>1.8699968557342128E-2</v>
      </c>
      <c r="C57" s="103">
        <f t="shared" si="8"/>
        <v>0.30372815186480906</v>
      </c>
      <c r="D57" s="474">
        <v>0.97802011844948145</v>
      </c>
      <c r="E57" s="103">
        <f t="shared" si="9"/>
        <v>55.936824020788514</v>
      </c>
      <c r="F57" s="474">
        <v>0.76646064139694459</v>
      </c>
      <c r="G57" s="103">
        <f t="shared" si="10"/>
        <v>36.498803850431102</v>
      </c>
      <c r="H57" s="475">
        <f t="shared" si="11"/>
        <v>92.739356023084426</v>
      </c>
      <c r="I57" s="603">
        <f>Education_summary!B15</f>
        <v>5.5E-2</v>
      </c>
      <c r="J57" s="553">
        <f t="shared" si="12"/>
        <v>5.1006645812696432</v>
      </c>
    </row>
    <row r="58" spans="1:12" s="35" customFormat="1" ht="13.5" thickBot="1" x14ac:dyDescent="0.25">
      <c r="A58" s="655" t="s">
        <v>98</v>
      </c>
      <c r="B58" s="644"/>
      <c r="C58" s="636">
        <f>SUM(C55:C57)</f>
        <v>16.242221667916226</v>
      </c>
      <c r="D58" s="644"/>
      <c r="E58" s="636">
        <f>SUM(E55:E57)</f>
        <v>57.193933737899847</v>
      </c>
      <c r="F58" s="644"/>
      <c r="G58" s="636">
        <f>SUM(G55:G57)</f>
        <v>47.619930989201706</v>
      </c>
      <c r="H58" s="636">
        <f>SUM(H55:H57)</f>
        <v>121.05608639501777</v>
      </c>
      <c r="I58" s="644"/>
      <c r="J58" s="647">
        <f>SUM(J55:J57)</f>
        <v>5.7943456763509662</v>
      </c>
    </row>
    <row r="59" spans="1:12" s="35" customFormat="1" x14ac:dyDescent="0.2">
      <c r="A59" s="7"/>
      <c r="B59" s="15"/>
      <c r="C59" s="58"/>
      <c r="D59" s="15"/>
      <c r="E59" s="58"/>
      <c r="F59" s="15"/>
      <c r="G59" s="58"/>
      <c r="H59" s="58"/>
      <c r="I59" s="15"/>
      <c r="J59" s="58"/>
    </row>
    <row r="60" spans="1:12" ht="15.75" thickBot="1" x14ac:dyDescent="0.3">
      <c r="A60" s="442" t="s">
        <v>347</v>
      </c>
    </row>
    <row r="61" spans="1:12" ht="75.75" customHeight="1" x14ac:dyDescent="0.2">
      <c r="A61" s="454" t="s">
        <v>394</v>
      </c>
      <c r="B61" s="454" t="s">
        <v>388</v>
      </c>
      <c r="C61" s="454" t="s">
        <v>366</v>
      </c>
      <c r="D61" s="455" t="s">
        <v>367</v>
      </c>
      <c r="E61" s="454" t="s">
        <v>387</v>
      </c>
      <c r="F61" s="456" t="s">
        <v>386</v>
      </c>
      <c r="G61" s="454" t="s">
        <v>385</v>
      </c>
      <c r="H61" s="454" t="s">
        <v>369</v>
      </c>
      <c r="I61" s="419" t="s">
        <v>370</v>
      </c>
    </row>
    <row r="62" spans="1:12" x14ac:dyDescent="0.2">
      <c r="A62" s="26" t="s">
        <v>41</v>
      </c>
      <c r="B62" s="335">
        <f>E47</f>
        <v>15.807967926452053</v>
      </c>
      <c r="C62" s="103">
        <f>B62/2</f>
        <v>7.9039839632260263</v>
      </c>
      <c r="D62" s="103">
        <f>J55</f>
        <v>8.0239491501704896E-2</v>
      </c>
      <c r="E62" s="327">
        <f>'Project Summary'!K7</f>
        <v>0</v>
      </c>
      <c r="F62" s="330">
        <f>C62-D62-E62</f>
        <v>7.8237444717243214</v>
      </c>
      <c r="G62" s="103">
        <f>C62</f>
        <v>7.9039839632260263</v>
      </c>
      <c r="H62" s="327"/>
      <c r="I62" s="477">
        <f>F62+G62</f>
        <v>15.727728434950347</v>
      </c>
    </row>
    <row r="63" spans="1:12" x14ac:dyDescent="0.2">
      <c r="A63" s="26" t="s">
        <v>36</v>
      </c>
      <c r="B63" s="335">
        <f>E48</f>
        <v>36.804055494194529</v>
      </c>
      <c r="C63" s="103">
        <f t="shared" ref="C63" si="13">B63/2</f>
        <v>18.402027747097264</v>
      </c>
      <c r="D63" s="103">
        <f>J56</f>
        <v>0.61344160357961863</v>
      </c>
      <c r="E63" s="327">
        <f>'Project Summary'!K11</f>
        <v>0</v>
      </c>
      <c r="F63" s="330">
        <f t="shared" ref="F63:F64" si="14">C63-D63-E63</f>
        <v>17.788586143517644</v>
      </c>
      <c r="G63" s="103">
        <f>C63</f>
        <v>18.402027747097264</v>
      </c>
      <c r="H63" s="327"/>
      <c r="I63" s="477">
        <f>F63+G63</f>
        <v>36.190613890614912</v>
      </c>
    </row>
    <row r="64" spans="1:12" ht="13.5" thickBot="1" x14ac:dyDescent="0.25">
      <c r="A64" s="26" t="s">
        <v>47</v>
      </c>
      <c r="B64" s="335">
        <f>E49</f>
        <v>117.88801563434788</v>
      </c>
      <c r="C64" s="103">
        <v>59</v>
      </c>
      <c r="D64" s="103">
        <f>J57</f>
        <v>5.1006645812696432</v>
      </c>
      <c r="E64" s="327">
        <f>'Project Summary'!K20</f>
        <v>0</v>
      </c>
      <c r="F64" s="330">
        <f t="shared" si="14"/>
        <v>53.899335418730359</v>
      </c>
      <c r="G64" s="589">
        <v>58.9</v>
      </c>
      <c r="H64" s="327"/>
      <c r="I64" s="477">
        <f>F64+G64</f>
        <v>112.79933541873035</v>
      </c>
    </row>
    <row r="65" spans="1:9" ht="13.5" thickBot="1" x14ac:dyDescent="0.25">
      <c r="A65" s="655" t="s">
        <v>98</v>
      </c>
      <c r="B65" s="354">
        <f>SUM(B62:B64)</f>
        <v>170.50003905499446</v>
      </c>
      <c r="C65" s="354">
        <f>SUM(C62:C64)</f>
        <v>85.30601171032329</v>
      </c>
      <c r="D65" s="354">
        <f>J58</f>
        <v>5.7943456763509662</v>
      </c>
      <c r="E65" s="481">
        <f>SUM(E62:E64)</f>
        <v>0</v>
      </c>
      <c r="F65" s="355">
        <f>SUM(F62:F64)</f>
        <v>79.511666033972318</v>
      </c>
      <c r="G65" s="354">
        <f>SUM(G62:G64)</f>
        <v>85.206011710323281</v>
      </c>
      <c r="H65" s="481"/>
      <c r="I65" s="483">
        <f>SUM(I62:I64)</f>
        <v>164.7176777442956</v>
      </c>
    </row>
    <row r="67" spans="1:9" ht="15.75" thickBot="1" x14ac:dyDescent="0.3">
      <c r="A67" s="442" t="s">
        <v>355</v>
      </c>
      <c r="B67" s="35"/>
      <c r="C67" s="35"/>
      <c r="D67" s="35"/>
      <c r="E67" s="35"/>
      <c r="F67" s="35"/>
    </row>
    <row r="68" spans="1:9" ht="51" x14ac:dyDescent="0.2">
      <c r="A68" s="422" t="str">
        <f>A54</f>
        <v>2009 Developed Stormwater  Loading by Jurisdiction for Lake Carlton</v>
      </c>
      <c r="B68" s="423" t="str">
        <f>C54</f>
        <v>Total Loading Developed-High lbs/yr TP</v>
      </c>
      <c r="C68" s="423" t="str">
        <f>E54</f>
        <v>Total Loading Developed-Medium lbs/yr TP</v>
      </c>
      <c r="D68" s="423" t="str">
        <f t="shared" ref="D68:E70" si="15">G54</f>
        <v>Total Loading Developed-Low lbs/yr TP</v>
      </c>
      <c r="E68" s="424" t="str">
        <f t="shared" si="15"/>
        <v>Total Stormwater  Loading lbs/yr TP</v>
      </c>
      <c r="F68" s="434" t="s">
        <v>354</v>
      </c>
    </row>
    <row r="69" spans="1:9" x14ac:dyDescent="0.2">
      <c r="A69" s="370" t="str">
        <f>A55</f>
        <v>FDOT</v>
      </c>
      <c r="B69" s="356">
        <f>C55</f>
        <v>15.938493516051416</v>
      </c>
      <c r="C69" s="356">
        <f>E55</f>
        <v>0.10940478428956435</v>
      </c>
      <c r="D69" s="356">
        <f t="shared" si="15"/>
        <v>0</v>
      </c>
      <c r="E69" s="367">
        <f t="shared" si="15"/>
        <v>16.047898300340979</v>
      </c>
      <c r="F69" s="429">
        <f>E69/$E$72</f>
        <v>0.13256581125524847</v>
      </c>
    </row>
    <row r="70" spans="1:9" x14ac:dyDescent="0.2">
      <c r="A70" s="370" t="str">
        <f>A56</f>
        <v>Lake County</v>
      </c>
      <c r="B70" s="356">
        <f>C56</f>
        <v>0</v>
      </c>
      <c r="C70" s="356">
        <f>E56</f>
        <v>1.1477049328217666</v>
      </c>
      <c r="D70" s="356">
        <f t="shared" si="15"/>
        <v>11.121127138770605</v>
      </c>
      <c r="E70" s="367">
        <f t="shared" si="15"/>
        <v>12.268832071592371</v>
      </c>
      <c r="F70" s="429">
        <f>E70/$E$72</f>
        <v>0.1013483290014678</v>
      </c>
    </row>
    <row r="71" spans="1:9" ht="13.5" thickBot="1" x14ac:dyDescent="0.25">
      <c r="A71" s="370" t="str">
        <f t="shared" ref="A71" si="16">A57</f>
        <v>Orange County</v>
      </c>
      <c r="B71" s="356">
        <f t="shared" ref="B71" si="17">C57</f>
        <v>0.30372815186480906</v>
      </c>
      <c r="C71" s="356">
        <f t="shared" ref="C71" si="18">E57</f>
        <v>55.936824020788514</v>
      </c>
      <c r="D71" s="356">
        <f t="shared" ref="D71" si="19">G57</f>
        <v>36.498803850431102</v>
      </c>
      <c r="E71" s="367">
        <f t="shared" ref="E71" si="20">H57</f>
        <v>92.739356023084426</v>
      </c>
      <c r="F71" s="429">
        <f>E71/$E$72</f>
        <v>0.7660858597432838</v>
      </c>
    </row>
    <row r="72" spans="1:9" ht="13.5" thickBot="1" x14ac:dyDescent="0.25">
      <c r="A72" s="655" t="s">
        <v>98</v>
      </c>
      <c r="B72" s="431">
        <f>C58</f>
        <v>16.242221667916226</v>
      </c>
      <c r="C72" s="431">
        <f>E58</f>
        <v>57.193933737899847</v>
      </c>
      <c r="D72" s="431">
        <f>G58</f>
        <v>47.619930989201706</v>
      </c>
      <c r="E72" s="432">
        <f>H58</f>
        <v>121.05608639501777</v>
      </c>
      <c r="F72" s="433">
        <f>E72/$E$72</f>
        <v>1</v>
      </c>
    </row>
  </sheetData>
  <mergeCells count="1">
    <mergeCell ref="B2:F3"/>
  </mergeCells>
  <conditionalFormatting sqref="F69:F72">
    <cfRule type="cellIs" dxfId="0" priority="1" operator="between">
      <formula>0</formula>
      <formula>0.01</formula>
    </cfRule>
  </conditionalFormatting>
  <printOptions gridLines="1"/>
  <pageMargins left="0.7" right="0.45" top="0.5" bottom="0.75" header="0.3" footer="0.3"/>
  <pageSetup paperSize="5" scale="80" pageOrder="overThenDown" orientation="landscape" r:id="rId1"/>
  <headerFooter>
    <oddHeader>&amp;L&amp;"Arial,Bold"&amp;11&amp;KC00000DRAFT&amp;CLake Carlton Allocation Calculations&amp;RFDEP, April 13, 2016</oddHeader>
    <oddFooter>&amp;RPage &amp;P of &amp;N</oddFooter>
  </headerFooter>
  <rowBreaks count="2" manualBreakCount="2">
    <brk id="29" max="16383" man="1"/>
    <brk id="5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47"/>
  <sheetViews>
    <sheetView workbookViewId="0">
      <selection activeCell="H24" sqref="H24"/>
    </sheetView>
  </sheetViews>
  <sheetFormatPr defaultRowHeight="12.75" x14ac:dyDescent="0.2"/>
  <cols>
    <col min="1" max="1" width="46" customWidth="1"/>
    <col min="2" max="2" width="18.85546875" customWidth="1"/>
    <col min="3" max="3" width="20.140625" customWidth="1"/>
    <col min="4" max="4" width="19" customWidth="1"/>
    <col min="5" max="5" width="17.7109375" customWidth="1"/>
    <col min="6" max="6" width="15.42578125" customWidth="1"/>
    <col min="7" max="7" width="15" customWidth="1"/>
    <col min="8" max="8" width="16.5703125" customWidth="1"/>
    <col min="9" max="9" width="13" customWidth="1"/>
    <col min="10" max="10" width="14.140625" customWidth="1"/>
  </cols>
  <sheetData>
    <row r="1" spans="1:10" ht="51.75" customHeight="1" x14ac:dyDescent="0.2">
      <c r="A1" s="242" t="s">
        <v>1</v>
      </c>
      <c r="B1" s="243" t="s">
        <v>137</v>
      </c>
      <c r="C1" s="244" t="s">
        <v>31</v>
      </c>
      <c r="D1" s="243" t="s">
        <v>16</v>
      </c>
      <c r="E1" s="84"/>
      <c r="F1" s="709" t="s">
        <v>145</v>
      </c>
      <c r="G1" s="710"/>
      <c r="H1" s="710"/>
    </row>
    <row r="2" spans="1:10" x14ac:dyDescent="0.2">
      <c r="A2" s="82" t="s">
        <v>138</v>
      </c>
      <c r="B2" s="18"/>
      <c r="C2" s="18"/>
      <c r="D2" s="18"/>
    </row>
    <row r="3" spans="1:10" x14ac:dyDescent="0.2">
      <c r="A3" s="85" t="s">
        <v>21</v>
      </c>
      <c r="B3" s="85">
        <v>250</v>
      </c>
      <c r="C3" s="85">
        <v>-15</v>
      </c>
      <c r="D3" s="86">
        <f>B3+C3</f>
        <v>235</v>
      </c>
    </row>
    <row r="4" spans="1:10" x14ac:dyDescent="0.2">
      <c r="A4" s="82" t="s">
        <v>139</v>
      </c>
      <c r="B4" s="18"/>
      <c r="C4" s="18"/>
      <c r="D4" s="83"/>
    </row>
    <row r="5" spans="1:10" x14ac:dyDescent="0.2">
      <c r="A5" s="85" t="s">
        <v>21</v>
      </c>
      <c r="B5" s="86">
        <v>1771</v>
      </c>
      <c r="C5" s="85">
        <v>-288</v>
      </c>
      <c r="D5" s="86">
        <f t="shared" ref="D5:D9" si="0">B5+C5</f>
        <v>1483</v>
      </c>
    </row>
    <row r="6" spans="1:10" x14ac:dyDescent="0.2">
      <c r="A6" s="82" t="s">
        <v>140</v>
      </c>
      <c r="B6" s="18"/>
      <c r="C6" s="18"/>
      <c r="D6" s="83"/>
    </row>
    <row r="7" spans="1:10" x14ac:dyDescent="0.2">
      <c r="A7" s="85" t="s">
        <v>21</v>
      </c>
      <c r="B7" s="86">
        <v>2679</v>
      </c>
      <c r="C7" s="85">
        <v>357</v>
      </c>
      <c r="D7" s="86">
        <f t="shared" si="0"/>
        <v>3036</v>
      </c>
    </row>
    <row r="8" spans="1:10" x14ac:dyDescent="0.2">
      <c r="A8" s="82" t="s">
        <v>141</v>
      </c>
      <c r="B8" s="18"/>
      <c r="C8" s="18"/>
      <c r="D8" s="83"/>
    </row>
    <row r="9" spans="1:10" x14ac:dyDescent="0.2">
      <c r="A9" s="85" t="s">
        <v>21</v>
      </c>
      <c r="B9" s="86">
        <v>2363</v>
      </c>
      <c r="C9" s="85">
        <v>161</v>
      </c>
      <c r="D9" s="86">
        <f t="shared" si="0"/>
        <v>2524</v>
      </c>
    </row>
    <row r="11" spans="1:10" ht="13.5" thickBot="1" x14ac:dyDescent="0.25"/>
    <row r="12" spans="1:10" ht="13.5" thickBot="1" x14ac:dyDescent="0.25">
      <c r="A12" s="87"/>
      <c r="B12" s="711" t="s">
        <v>237</v>
      </c>
      <c r="C12" s="712"/>
      <c r="D12" s="712"/>
      <c r="E12" s="713"/>
      <c r="F12" s="713"/>
      <c r="G12" s="713"/>
      <c r="H12" s="713"/>
      <c r="I12" s="714"/>
      <c r="J12" s="714"/>
    </row>
    <row r="13" spans="1:10" ht="67.5" customHeight="1" x14ac:dyDescent="0.2">
      <c r="A13" s="248" t="s">
        <v>33</v>
      </c>
      <c r="B13" s="252" t="s">
        <v>200</v>
      </c>
      <c r="C13" s="252" t="s">
        <v>202</v>
      </c>
      <c r="D13" s="252" t="s">
        <v>204</v>
      </c>
      <c r="E13" s="252" t="s">
        <v>142</v>
      </c>
      <c r="F13" s="252" t="s">
        <v>198</v>
      </c>
      <c r="G13" s="252" t="s">
        <v>143</v>
      </c>
      <c r="H13" s="253" t="s">
        <v>144</v>
      </c>
      <c r="I13" s="306" t="s">
        <v>196</v>
      </c>
      <c r="J13" s="235" t="s">
        <v>197</v>
      </c>
    </row>
    <row r="14" spans="1:10" x14ac:dyDescent="0.2">
      <c r="A14" s="26" t="s">
        <v>40</v>
      </c>
      <c r="B14" s="174">
        <v>325.75123338399999</v>
      </c>
      <c r="C14" s="174">
        <v>910.32579633399996</v>
      </c>
      <c r="D14" s="174">
        <v>75.181335032500002</v>
      </c>
      <c r="E14" s="174">
        <v>1311.2583647505</v>
      </c>
      <c r="F14" s="256">
        <v>0.23073392572975235</v>
      </c>
      <c r="G14" s="181">
        <v>0.23073392572975235</v>
      </c>
      <c r="H14" s="251">
        <f>D$7*G14</f>
        <v>700.50819851552808</v>
      </c>
      <c r="I14" s="314">
        <f>Education_summary!B6</f>
        <v>0.06</v>
      </c>
      <c r="J14" s="28">
        <f>H14*I14</f>
        <v>42.03049191093168</v>
      </c>
    </row>
    <row r="15" spans="1:10" x14ac:dyDescent="0.2">
      <c r="A15" s="26" t="s">
        <v>41</v>
      </c>
      <c r="B15" s="174">
        <v>132.73600048099999</v>
      </c>
      <c r="C15" s="174">
        <v>14.6503341377</v>
      </c>
      <c r="D15" s="174">
        <v>0.14247479222000001</v>
      </c>
      <c r="E15" s="174">
        <v>147.52880941092002</v>
      </c>
      <c r="F15" s="256">
        <v>2.5959721034912106E-2</v>
      </c>
      <c r="G15" s="181">
        <v>2.5959721034912106E-2</v>
      </c>
      <c r="H15" s="251">
        <f t="shared" ref="H15:H18" si="1">D$7*G15</f>
        <v>78.813713061993155</v>
      </c>
      <c r="I15" s="315">
        <v>5.0000000000000001E-3</v>
      </c>
      <c r="J15" s="28">
        <f t="shared" ref="J15:J18" si="2">H15*I15</f>
        <v>0.39406856530996581</v>
      </c>
    </row>
    <row r="16" spans="1:10" x14ac:dyDescent="0.2">
      <c r="A16" s="26" t="s">
        <v>36</v>
      </c>
      <c r="B16" s="174">
        <v>871.75502777500003</v>
      </c>
      <c r="C16" s="174">
        <v>1698.4044700255729</v>
      </c>
      <c r="D16" s="174">
        <v>592.48289160299998</v>
      </c>
      <c r="E16" s="174">
        <v>3162.6423894035729</v>
      </c>
      <c r="F16" s="256">
        <v>0.55651038254788165</v>
      </c>
      <c r="G16" s="181">
        <v>0.55651038254788165</v>
      </c>
      <c r="H16" s="251">
        <f t="shared" si="1"/>
        <v>1689.5655214153687</v>
      </c>
      <c r="I16" s="314">
        <v>0.05</v>
      </c>
      <c r="J16" s="28">
        <f t="shared" si="2"/>
        <v>84.478276070768445</v>
      </c>
    </row>
    <row r="17" spans="1:10" x14ac:dyDescent="0.2">
      <c r="A17" s="26" t="s">
        <v>37</v>
      </c>
      <c r="B17" s="174">
        <v>124.748554439</v>
      </c>
      <c r="C17" s="174">
        <v>16.7686534863</v>
      </c>
      <c r="D17" s="174" t="s">
        <v>194</v>
      </c>
      <c r="E17" s="174">
        <v>141.5172079253</v>
      </c>
      <c r="F17" s="256">
        <v>2.4901897155204127E-2</v>
      </c>
      <c r="G17" s="181">
        <v>2.4901897155204127E-2</v>
      </c>
      <c r="H17" s="251">
        <f t="shared" si="1"/>
        <v>75.602159763199722</v>
      </c>
      <c r="I17" s="314">
        <v>0.06</v>
      </c>
      <c r="J17" s="28">
        <f t="shared" si="2"/>
        <v>4.5361295857919828</v>
      </c>
    </row>
    <row r="18" spans="1:10" x14ac:dyDescent="0.2">
      <c r="A18" s="26" t="s">
        <v>50</v>
      </c>
      <c r="B18" s="174">
        <v>480.289682218</v>
      </c>
      <c r="C18" s="174">
        <v>412.14825279299998</v>
      </c>
      <c r="D18" s="174">
        <v>27.6043060738</v>
      </c>
      <c r="E18" s="174">
        <v>920.04224108480003</v>
      </c>
      <c r="F18" s="256">
        <v>0.16189407353224985</v>
      </c>
      <c r="G18" s="181">
        <v>0.16189407353224985</v>
      </c>
      <c r="H18" s="251">
        <f t="shared" si="1"/>
        <v>491.51040724391055</v>
      </c>
      <c r="I18" s="314">
        <v>1.7500000000000002E-2</v>
      </c>
      <c r="J18" s="28">
        <f t="shared" si="2"/>
        <v>8.6014321267684348</v>
      </c>
    </row>
    <row r="19" spans="1:10" ht="13.5" thickBot="1" x14ac:dyDescent="0.25">
      <c r="A19" s="258" t="s">
        <v>98</v>
      </c>
      <c r="B19" s="259"/>
      <c r="C19" s="259"/>
      <c r="D19" s="259"/>
      <c r="E19" s="259"/>
      <c r="F19" s="259"/>
      <c r="G19" s="259"/>
      <c r="H19" s="260">
        <f>SUM(H14:H18)</f>
        <v>3036</v>
      </c>
      <c r="I19" s="316"/>
      <c r="J19" s="38">
        <f>SUM(J14:J18)</f>
        <v>140.04039825957051</v>
      </c>
    </row>
    <row r="20" spans="1:10" ht="13.5" thickBot="1" x14ac:dyDescent="0.25"/>
    <row r="21" spans="1:10" ht="13.5" thickBot="1" x14ac:dyDescent="0.25">
      <c r="A21" s="88"/>
      <c r="B21" s="720" t="s">
        <v>212</v>
      </c>
      <c r="C21" s="721"/>
      <c r="D21" s="721"/>
      <c r="E21" s="721"/>
      <c r="F21" s="721"/>
      <c r="G21" s="721"/>
      <c r="H21" s="721"/>
      <c r="I21" s="714"/>
      <c r="J21" s="714"/>
    </row>
    <row r="22" spans="1:10" ht="64.5" x14ac:dyDescent="0.25">
      <c r="A22" s="249" t="s">
        <v>33</v>
      </c>
      <c r="B22" s="208" t="s">
        <v>200</v>
      </c>
      <c r="C22" s="208" t="s">
        <v>202</v>
      </c>
      <c r="D22" s="208" t="s">
        <v>204</v>
      </c>
      <c r="E22" s="208" t="s">
        <v>142</v>
      </c>
      <c r="F22" s="208" t="s">
        <v>198</v>
      </c>
      <c r="G22" s="208" t="s">
        <v>143</v>
      </c>
      <c r="H22" s="250" t="s">
        <v>144</v>
      </c>
      <c r="I22" s="324" t="s">
        <v>196</v>
      </c>
      <c r="J22" s="325" t="s">
        <v>197</v>
      </c>
    </row>
    <row r="23" spans="1:10" x14ac:dyDescent="0.2">
      <c r="A23" s="26" t="s">
        <v>41</v>
      </c>
      <c r="B23" s="27">
        <v>126.706396584</v>
      </c>
      <c r="C23" s="27">
        <v>2.5441063600999998</v>
      </c>
      <c r="D23" s="27">
        <v>3.2799348183400001</v>
      </c>
      <c r="E23" s="27">
        <v>132.53043776243999</v>
      </c>
      <c r="F23" s="175">
        <v>1.3306382908722981E-2</v>
      </c>
      <c r="G23" s="19">
        <v>1.3306382908722981E-2</v>
      </c>
      <c r="H23" s="40">
        <f>G23*D$9</f>
        <v>33.585310461616807</v>
      </c>
      <c r="I23" s="318">
        <v>5.0000000000000001E-3</v>
      </c>
      <c r="J23" s="28">
        <f t="shared" ref="J23:J27" si="3">H23*I23</f>
        <v>0.16792655230808404</v>
      </c>
    </row>
    <row r="24" spans="1:10" x14ac:dyDescent="0.2">
      <c r="A24" s="26" t="s">
        <v>146</v>
      </c>
      <c r="B24" s="27">
        <v>187.04780454600001</v>
      </c>
      <c r="C24" s="27">
        <v>209.534903786</v>
      </c>
      <c r="D24" s="27">
        <v>141.51364641999999</v>
      </c>
      <c r="E24" s="27">
        <v>538.09635475200002</v>
      </c>
      <c r="F24" s="175">
        <v>5.4026201520232027E-2</v>
      </c>
      <c r="G24" s="19">
        <v>5.4026201520232027E-2</v>
      </c>
      <c r="H24" s="40">
        <f t="shared" ref="H24:H27" si="4">G24*D$9</f>
        <v>136.36213263706563</v>
      </c>
      <c r="I24" s="30">
        <v>5.5E-2</v>
      </c>
      <c r="J24" s="28">
        <f t="shared" si="3"/>
        <v>7.4999172950386095</v>
      </c>
    </row>
    <row r="25" spans="1:10" x14ac:dyDescent="0.2">
      <c r="A25" s="26" t="s">
        <v>36</v>
      </c>
      <c r="B25" s="27">
        <v>628.05456936600001</v>
      </c>
      <c r="C25" s="27">
        <v>1667.1707232199999</v>
      </c>
      <c r="D25" s="27">
        <v>2145.7245450599999</v>
      </c>
      <c r="E25" s="27">
        <v>4440.9498376459997</v>
      </c>
      <c r="F25" s="175">
        <v>0.44588231968321601</v>
      </c>
      <c r="G25" s="19">
        <v>0.44588231968321601</v>
      </c>
      <c r="H25" s="40">
        <f t="shared" si="4"/>
        <v>1125.4069748804372</v>
      </c>
      <c r="I25" s="30">
        <v>0.05</v>
      </c>
      <c r="J25" s="28">
        <f t="shared" si="3"/>
        <v>56.270348744021867</v>
      </c>
    </row>
    <row r="26" spans="1:10" x14ac:dyDescent="0.2">
      <c r="A26" s="26" t="s">
        <v>37</v>
      </c>
      <c r="B26" s="27">
        <v>1050.15848114</v>
      </c>
      <c r="C26" s="27">
        <v>840.628459658</v>
      </c>
      <c r="D26" s="27">
        <v>125.936078748</v>
      </c>
      <c r="E26" s="27">
        <v>2016.7230195460002</v>
      </c>
      <c r="F26" s="175">
        <v>0.20248396649090675</v>
      </c>
      <c r="G26" s="19">
        <v>0.20248396649090675</v>
      </c>
      <c r="H26" s="40">
        <f t="shared" si="4"/>
        <v>511.0695314230486</v>
      </c>
      <c r="I26" s="30">
        <v>0.06</v>
      </c>
      <c r="J26" s="28">
        <f t="shared" si="3"/>
        <v>30.664171885382913</v>
      </c>
    </row>
    <row r="27" spans="1:10" x14ac:dyDescent="0.2">
      <c r="A27" s="26" t="s">
        <v>42</v>
      </c>
      <c r="B27" s="27">
        <v>21.642179063</v>
      </c>
      <c r="C27" s="27">
        <v>55.034353424199999</v>
      </c>
      <c r="D27" s="27">
        <v>2754.9384446099998</v>
      </c>
      <c r="E27" s="27">
        <v>2831.6149770971997</v>
      </c>
      <c r="F27" s="175">
        <v>0.2843011293969222</v>
      </c>
      <c r="G27" s="19">
        <v>0.2843011293969222</v>
      </c>
      <c r="H27" s="40">
        <f t="shared" si="4"/>
        <v>717.57605059783168</v>
      </c>
      <c r="I27" s="319">
        <v>5.5E-2</v>
      </c>
      <c r="J27" s="28">
        <f t="shared" si="3"/>
        <v>39.466682782880746</v>
      </c>
    </row>
    <row r="28" spans="1:10" ht="13.5" thickBot="1" x14ac:dyDescent="0.25">
      <c r="A28" s="45" t="s">
        <v>98</v>
      </c>
      <c r="B28" s="41"/>
      <c r="C28" s="41"/>
      <c r="D28" s="41"/>
      <c r="E28" s="41"/>
      <c r="F28" s="41"/>
      <c r="G28" s="41"/>
      <c r="H28" s="205">
        <f>SUM(H23:H27)</f>
        <v>2524</v>
      </c>
      <c r="I28" s="41"/>
      <c r="J28" s="38">
        <f>SUM(J23:J27)</f>
        <v>134.06904725963221</v>
      </c>
    </row>
    <row r="29" spans="1:10" ht="13.5" thickBot="1" x14ac:dyDescent="0.25"/>
    <row r="30" spans="1:10" ht="13.5" thickBot="1" x14ac:dyDescent="0.25">
      <c r="A30" s="89"/>
      <c r="B30" s="717" t="s">
        <v>213</v>
      </c>
      <c r="C30" s="718"/>
      <c r="D30" s="718"/>
      <c r="E30" s="718"/>
      <c r="F30" s="718"/>
      <c r="G30" s="718"/>
      <c r="H30" s="718"/>
      <c r="I30" s="719"/>
      <c r="J30" s="719"/>
    </row>
    <row r="31" spans="1:10" ht="63.75" x14ac:dyDescent="0.25">
      <c r="A31" s="176" t="s">
        <v>33</v>
      </c>
      <c r="B31" s="177" t="s">
        <v>200</v>
      </c>
      <c r="C31" s="177" t="s">
        <v>202</v>
      </c>
      <c r="D31" s="177" t="s">
        <v>204</v>
      </c>
      <c r="E31" s="177" t="s">
        <v>142</v>
      </c>
      <c r="F31" s="257" t="s">
        <v>198</v>
      </c>
      <c r="G31" s="177" t="s">
        <v>143</v>
      </c>
      <c r="H31" s="207" t="s">
        <v>144</v>
      </c>
      <c r="I31" s="322" t="s">
        <v>196</v>
      </c>
      <c r="J31" s="323" t="s">
        <v>197</v>
      </c>
    </row>
    <row r="32" spans="1:10" x14ac:dyDescent="0.2">
      <c r="A32" s="26" t="s">
        <v>40</v>
      </c>
      <c r="B32" s="27">
        <v>129.171364238</v>
      </c>
      <c r="C32" s="27">
        <v>18.6660566322</v>
      </c>
      <c r="D32" s="174" t="s">
        <v>194</v>
      </c>
      <c r="E32" s="27">
        <v>147.83742087019999</v>
      </c>
      <c r="F32" s="175">
        <v>3.9455832929853579E-2</v>
      </c>
      <c r="G32" s="19">
        <v>3.9455832929853579E-2</v>
      </c>
      <c r="H32" s="40">
        <f>G32*D$5</f>
        <v>58.513000234972857</v>
      </c>
      <c r="I32" s="30">
        <v>0.06</v>
      </c>
      <c r="J32" s="28">
        <f t="shared" ref="J32:J37" si="5">H32*I32</f>
        <v>3.5107800140983714</v>
      </c>
    </row>
    <row r="33" spans="1:10" x14ac:dyDescent="0.2">
      <c r="A33" s="26" t="s">
        <v>41</v>
      </c>
      <c r="B33" s="27">
        <v>33.243547493000001</v>
      </c>
      <c r="C33" s="27">
        <v>5.50211451905</v>
      </c>
      <c r="D33" s="27">
        <v>5.5474279044100001</v>
      </c>
      <c r="E33" s="27">
        <v>44.293089916460005</v>
      </c>
      <c r="F33" s="175">
        <v>1.1821234065123637E-2</v>
      </c>
      <c r="G33" s="19">
        <v>1.1821234065123637E-2</v>
      </c>
      <c r="H33" s="40">
        <f t="shared" ref="H33:H37" si="6">G33*D$5</f>
        <v>17.530890118578355</v>
      </c>
      <c r="I33" s="30">
        <v>5.0000000000000001E-3</v>
      </c>
      <c r="J33" s="28">
        <f t="shared" si="5"/>
        <v>8.7654450592891772E-2</v>
      </c>
    </row>
    <row r="34" spans="1:10" x14ac:dyDescent="0.2">
      <c r="A34" s="26" t="s">
        <v>36</v>
      </c>
      <c r="B34" s="27">
        <v>546.61520698499999</v>
      </c>
      <c r="C34" s="27">
        <v>698.91601549200004</v>
      </c>
      <c r="D34" s="27">
        <v>627.43837659899998</v>
      </c>
      <c r="E34" s="27">
        <v>1872.9695990760001</v>
      </c>
      <c r="F34" s="175">
        <v>0.49987056828271315</v>
      </c>
      <c r="G34" s="19">
        <v>0.49987056828271315</v>
      </c>
      <c r="H34" s="40">
        <f t="shared" si="6"/>
        <v>741.30805276326362</v>
      </c>
      <c r="I34" s="30">
        <v>0.05</v>
      </c>
      <c r="J34" s="28">
        <f t="shared" si="5"/>
        <v>37.065402638163185</v>
      </c>
    </row>
    <row r="35" spans="1:10" x14ac:dyDescent="0.2">
      <c r="A35" s="26" t="s">
        <v>147</v>
      </c>
      <c r="B35" s="27">
        <v>300.36805057100003</v>
      </c>
      <c r="C35" s="27">
        <v>371.12032398999997</v>
      </c>
      <c r="D35" s="27">
        <v>42.762054321999997</v>
      </c>
      <c r="E35" s="27">
        <v>714.25042888300004</v>
      </c>
      <c r="F35" s="175">
        <v>0.19062389905210061</v>
      </c>
      <c r="G35" s="19">
        <v>0.19062389905210061</v>
      </c>
      <c r="H35" s="40">
        <f t="shared" si="6"/>
        <v>282.6952422942652</v>
      </c>
      <c r="I35" s="30"/>
      <c r="J35" s="28">
        <f t="shared" si="5"/>
        <v>0</v>
      </c>
    </row>
    <row r="36" spans="1:10" x14ac:dyDescent="0.2">
      <c r="A36" s="39" t="s">
        <v>47</v>
      </c>
      <c r="B36" s="174" t="s">
        <v>194</v>
      </c>
      <c r="C36" s="174" t="s">
        <v>194</v>
      </c>
      <c r="D36" s="27">
        <v>39.7306091811</v>
      </c>
      <c r="E36" s="27">
        <v>39.7306091811</v>
      </c>
      <c r="F36" s="175">
        <v>1.0603568899021391E-2</v>
      </c>
      <c r="G36" s="19">
        <v>1.0603568899021391E-2</v>
      </c>
      <c r="H36" s="40">
        <f t="shared" si="6"/>
        <v>15.725092677248723</v>
      </c>
      <c r="I36" s="30">
        <v>5.5E-2</v>
      </c>
      <c r="J36" s="28">
        <f t="shared" si="5"/>
        <v>0.86488009724867976</v>
      </c>
    </row>
    <row r="37" spans="1:10" x14ac:dyDescent="0.2">
      <c r="A37" s="26" t="s">
        <v>50</v>
      </c>
      <c r="B37" s="27">
        <v>549.25988873300003</v>
      </c>
      <c r="C37" s="27">
        <v>284.12631132000001</v>
      </c>
      <c r="D37" s="27">
        <v>94.441787940200001</v>
      </c>
      <c r="E37" s="27">
        <v>927.82798799320005</v>
      </c>
      <c r="F37" s="175">
        <v>0.24762489677118765</v>
      </c>
      <c r="G37" s="19">
        <v>0.24762489677118765</v>
      </c>
      <c r="H37" s="40">
        <f t="shared" si="6"/>
        <v>367.22772191167127</v>
      </c>
      <c r="I37" s="30">
        <v>1.7500000000000002E-2</v>
      </c>
      <c r="J37" s="28">
        <f t="shared" si="5"/>
        <v>6.4264851334542481</v>
      </c>
    </row>
    <row r="38" spans="1:10" ht="13.5" thickBot="1" x14ac:dyDescent="0.25">
      <c r="A38" s="45" t="s">
        <v>98</v>
      </c>
      <c r="B38" s="41"/>
      <c r="C38" s="41"/>
      <c r="D38" s="41"/>
      <c r="E38" s="41"/>
      <c r="F38" s="41"/>
      <c r="G38" s="204"/>
      <c r="H38" s="205">
        <f>SUM(H32:H37)</f>
        <v>1483.0000000000002</v>
      </c>
      <c r="I38" s="41"/>
      <c r="J38" s="38">
        <f>SUM(J32:J37)</f>
        <v>47.955202333557381</v>
      </c>
    </row>
    <row r="39" spans="1:10" s="35" customFormat="1" x14ac:dyDescent="0.2">
      <c r="A39" s="22"/>
      <c r="G39" s="180"/>
      <c r="H39" s="33"/>
    </row>
    <row r="40" spans="1:10" ht="13.5" thickBot="1" x14ac:dyDescent="0.25"/>
    <row r="41" spans="1:10" ht="13.5" thickBot="1" x14ac:dyDescent="0.25">
      <c r="A41" s="90"/>
      <c r="B41" s="715" t="s">
        <v>214</v>
      </c>
      <c r="C41" s="716"/>
      <c r="D41" s="716"/>
      <c r="E41" s="716"/>
      <c r="F41" s="716"/>
      <c r="G41" s="716"/>
      <c r="H41" s="716"/>
      <c r="I41" s="714"/>
      <c r="J41" s="714"/>
    </row>
    <row r="42" spans="1:10" ht="64.5" x14ac:dyDescent="0.25">
      <c r="A42" s="178" t="s">
        <v>33</v>
      </c>
      <c r="B42" s="179" t="s">
        <v>200</v>
      </c>
      <c r="C42" s="179" t="s">
        <v>202</v>
      </c>
      <c r="D42" s="179" t="s">
        <v>204</v>
      </c>
      <c r="E42" s="179" t="s">
        <v>142</v>
      </c>
      <c r="F42" s="179" t="s">
        <v>198</v>
      </c>
      <c r="G42" s="179" t="s">
        <v>143</v>
      </c>
      <c r="H42" s="317" t="s">
        <v>144</v>
      </c>
      <c r="I42" s="320" t="s">
        <v>196</v>
      </c>
      <c r="J42" s="321" t="s">
        <v>197</v>
      </c>
    </row>
    <row r="43" spans="1:10" x14ac:dyDescent="0.2">
      <c r="A43" s="26" t="s">
        <v>36</v>
      </c>
      <c r="B43" s="27">
        <v>21.211697963999999</v>
      </c>
      <c r="C43" s="27">
        <v>250.04162823799999</v>
      </c>
      <c r="D43" s="27">
        <v>360.77338969200002</v>
      </c>
      <c r="E43" s="27">
        <v>632.02671589400006</v>
      </c>
      <c r="F43" s="254">
        <v>0.79970360663856443</v>
      </c>
      <c r="G43" s="19">
        <v>0.79970360663856443</v>
      </c>
      <c r="H43" s="40">
        <f>G43*D$3</f>
        <v>187.93034756006264</v>
      </c>
      <c r="I43" s="30">
        <v>0.05</v>
      </c>
      <c r="J43" s="28">
        <f t="shared" ref="J43:J46" si="7">H43*I43</f>
        <v>9.3965173780031321</v>
      </c>
    </row>
    <row r="44" spans="1:10" x14ac:dyDescent="0.2">
      <c r="A44" s="26" t="s">
        <v>147</v>
      </c>
      <c r="B44" s="174" t="s">
        <v>194</v>
      </c>
      <c r="C44" s="174" t="s">
        <v>194</v>
      </c>
      <c r="D44" s="27">
        <v>0.46740039332299999</v>
      </c>
      <c r="E44" s="27">
        <v>0.46740039332299999</v>
      </c>
      <c r="F44" s="255">
        <v>5.9140186780866279E-4</v>
      </c>
      <c r="G44" s="30">
        <v>5.9140186780866279E-4</v>
      </c>
      <c r="H44" s="40">
        <f t="shared" ref="H44:H46" si="8">G44*D$3</f>
        <v>0.13897943893503575</v>
      </c>
      <c r="I44" s="30"/>
      <c r="J44" s="28">
        <f t="shared" si="7"/>
        <v>0</v>
      </c>
    </row>
    <row r="45" spans="1:10" x14ac:dyDescent="0.2">
      <c r="A45" s="26" t="s">
        <v>47</v>
      </c>
      <c r="B45" s="27">
        <v>1.2918090124199999</v>
      </c>
      <c r="C45" s="27">
        <v>53.0024789016</v>
      </c>
      <c r="D45" s="27">
        <v>103.237827594</v>
      </c>
      <c r="E45" s="27">
        <v>157.53211550802001</v>
      </c>
      <c r="F45" s="254">
        <v>0.19932543635433131</v>
      </c>
      <c r="G45" s="19">
        <v>0.19932543635433131</v>
      </c>
      <c r="H45" s="40">
        <f t="shared" si="8"/>
        <v>46.841477543267857</v>
      </c>
      <c r="I45" s="30">
        <v>5.5E-2</v>
      </c>
      <c r="J45" s="28">
        <f t="shared" si="7"/>
        <v>2.5762812648797322</v>
      </c>
    </row>
    <row r="46" spans="1:10" x14ac:dyDescent="0.2">
      <c r="A46" s="26" t="s">
        <v>50</v>
      </c>
      <c r="B46" s="174" t="s">
        <v>194</v>
      </c>
      <c r="C46" s="174" t="s">
        <v>194</v>
      </c>
      <c r="D46" s="27">
        <v>0.29997237251199999</v>
      </c>
      <c r="E46" s="27">
        <v>0.29997237251199999</v>
      </c>
      <c r="F46" s="255">
        <v>3.7955513929573538E-4</v>
      </c>
      <c r="G46" s="30">
        <v>3.7955513929573538E-4</v>
      </c>
      <c r="H46" s="40">
        <f t="shared" si="8"/>
        <v>8.9195457734497816E-2</v>
      </c>
      <c r="I46" s="30">
        <v>1.7500000000000002E-2</v>
      </c>
      <c r="J46" s="28">
        <f t="shared" si="7"/>
        <v>1.5609205103537119E-3</v>
      </c>
    </row>
    <row r="47" spans="1:10" ht="13.5" thickBot="1" x14ac:dyDescent="0.25">
      <c r="A47" s="258" t="s">
        <v>98</v>
      </c>
      <c r="B47" s="41"/>
      <c r="C47" s="41"/>
      <c r="D47" s="41"/>
      <c r="E47" s="41"/>
      <c r="F47" s="41"/>
      <c r="G47" s="41"/>
      <c r="H47" s="205">
        <f>SUM(H43:H46)</f>
        <v>235</v>
      </c>
      <c r="I47" s="41"/>
      <c r="J47" s="38">
        <f>SUM(J43:J46)</f>
        <v>11.974359563393218</v>
      </c>
    </row>
  </sheetData>
  <mergeCells count="5">
    <mergeCell ref="F1:H1"/>
    <mergeCell ref="B12:J12"/>
    <mergeCell ref="B41:J41"/>
    <mergeCell ref="B30:J30"/>
    <mergeCell ref="B21:J2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U28"/>
  <sheetViews>
    <sheetView zoomScale="70" zoomScaleNormal="70" workbookViewId="0">
      <selection activeCell="E27" sqref="E27"/>
    </sheetView>
  </sheetViews>
  <sheetFormatPr defaultRowHeight="12.75" x14ac:dyDescent="0.2"/>
  <cols>
    <col min="1" max="1" width="23.5703125" customWidth="1"/>
    <col min="2" max="2" width="15" style="35" customWidth="1"/>
    <col min="3" max="3" width="15.42578125" customWidth="1"/>
    <col min="4" max="4" width="14.85546875" style="35" customWidth="1"/>
    <col min="5" max="5" width="17.140625" customWidth="1"/>
    <col min="6" max="6" width="15" style="35" customWidth="1"/>
    <col min="7" max="7" width="17.140625" customWidth="1"/>
    <col min="8" max="8" width="17" style="35" customWidth="1"/>
    <col min="9" max="9" width="15" customWidth="1"/>
    <col min="10" max="10" width="15.28515625" style="35" customWidth="1"/>
    <col min="11" max="11" width="15.5703125" customWidth="1"/>
    <col min="12" max="12" width="15.28515625" style="35" customWidth="1"/>
    <col min="13" max="13" width="14.85546875" customWidth="1"/>
    <col min="14" max="14" width="15.140625" style="35" customWidth="1"/>
    <col min="15" max="15" width="15.42578125" bestFit="1" customWidth="1"/>
    <col min="16" max="16" width="16.5703125" style="35" customWidth="1"/>
    <col min="17" max="17" width="13.140625" customWidth="1"/>
    <col min="18" max="18" width="14.42578125" style="35" customWidth="1"/>
    <col min="19" max="19" width="16" customWidth="1"/>
    <col min="20" max="20" width="15" customWidth="1"/>
    <col min="21" max="21" width="19.7109375" customWidth="1"/>
  </cols>
  <sheetData>
    <row r="1" spans="1:21" ht="13.5" thickBot="1" x14ac:dyDescent="0.25"/>
    <row r="2" spans="1:21" ht="35.25" customHeight="1" thickBot="1" x14ac:dyDescent="0.3">
      <c r="A2" s="681" t="s">
        <v>293</v>
      </c>
      <c r="B2" s="682"/>
      <c r="C2" s="682"/>
      <c r="D2" s="682"/>
      <c r="E2" s="682"/>
      <c r="F2" s="682"/>
      <c r="G2" s="682"/>
      <c r="H2" s="682"/>
      <c r="I2" s="682"/>
      <c r="J2" s="682"/>
      <c r="K2" s="682"/>
      <c r="L2" s="682"/>
      <c r="M2" s="682"/>
      <c r="N2" s="682"/>
      <c r="O2" s="682"/>
      <c r="P2" s="682"/>
      <c r="Q2" s="682"/>
      <c r="R2" s="682"/>
      <c r="S2" s="682"/>
      <c r="T2" s="683"/>
    </row>
    <row r="3" spans="1:21" ht="63" x14ac:dyDescent="0.25">
      <c r="A3" s="156" t="s">
        <v>33</v>
      </c>
      <c r="B3" s="157" t="s">
        <v>199</v>
      </c>
      <c r="C3" s="158" t="s">
        <v>164</v>
      </c>
      <c r="D3" s="158" t="s">
        <v>156</v>
      </c>
      <c r="E3" s="158" t="s">
        <v>165</v>
      </c>
      <c r="F3" s="158" t="s">
        <v>157</v>
      </c>
      <c r="G3" s="158" t="s">
        <v>166</v>
      </c>
      <c r="H3" s="158" t="s">
        <v>158</v>
      </c>
      <c r="I3" s="158" t="s">
        <v>167</v>
      </c>
      <c r="J3" s="158" t="s">
        <v>68</v>
      </c>
      <c r="K3" s="158" t="s">
        <v>168</v>
      </c>
      <c r="L3" s="158" t="s">
        <v>159</v>
      </c>
      <c r="M3" s="158" t="s">
        <v>169</v>
      </c>
      <c r="N3" s="158" t="s">
        <v>160</v>
      </c>
      <c r="O3" s="158" t="s">
        <v>170</v>
      </c>
      <c r="P3" s="158" t="s">
        <v>161</v>
      </c>
      <c r="Q3" s="158" t="s">
        <v>171</v>
      </c>
      <c r="R3" s="158" t="s">
        <v>162</v>
      </c>
      <c r="S3" s="158" t="s">
        <v>172</v>
      </c>
      <c r="T3" s="158" t="s">
        <v>163</v>
      </c>
      <c r="U3" s="311" t="s">
        <v>292</v>
      </c>
    </row>
    <row r="4" spans="1:21" ht="21.75" customHeight="1" x14ac:dyDescent="0.25">
      <c r="A4" s="159" t="s">
        <v>48</v>
      </c>
      <c r="B4" s="307">
        <v>0</v>
      </c>
      <c r="C4" s="160"/>
      <c r="D4" s="160">
        <f t="shared" ref="D4:D12" si="0">C4*B4</f>
        <v>0</v>
      </c>
      <c r="E4" s="160">
        <f>'Harris Allocate'!H71</f>
        <v>127.54297336213273</v>
      </c>
      <c r="F4" s="160">
        <f t="shared" ref="F4:F11" si="1">E4*B4</f>
        <v>0</v>
      </c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312">
        <f>D4+F4+H4+J4+L4++N4+P4+R4+T4</f>
        <v>0</v>
      </c>
    </row>
    <row r="5" spans="1:21" ht="22.5" customHeight="1" x14ac:dyDescent="0.2">
      <c r="A5" s="161" t="s">
        <v>34</v>
      </c>
      <c r="B5" s="308">
        <v>2.2499999999999999E-2</v>
      </c>
      <c r="C5" s="160">
        <f>'Palatlakaha allocate'!H64</f>
        <v>44.217804096847537</v>
      </c>
      <c r="D5" s="160">
        <f t="shared" si="0"/>
        <v>0.99490059217906957</v>
      </c>
      <c r="E5" s="160"/>
      <c r="F5" s="160">
        <f t="shared" si="1"/>
        <v>0</v>
      </c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312">
        <f t="shared" ref="U5:U21" si="2">D5+F5+H5+J5+L5++N5+P5+R5+T5</f>
        <v>0.99490059217906957</v>
      </c>
    </row>
    <row r="6" spans="1:21" ht="24" customHeight="1" x14ac:dyDescent="0.2">
      <c r="A6" s="161" t="s">
        <v>40</v>
      </c>
      <c r="B6" s="308">
        <v>0.06</v>
      </c>
      <c r="C6" s="160"/>
      <c r="D6" s="160">
        <f t="shared" si="0"/>
        <v>0</v>
      </c>
      <c r="E6" s="160"/>
      <c r="F6" s="160">
        <f t="shared" si="1"/>
        <v>0</v>
      </c>
      <c r="G6" s="160"/>
      <c r="H6" s="160"/>
      <c r="I6" s="160">
        <f>'Yale allocation'!H57</f>
        <v>230.32088827911019</v>
      </c>
      <c r="J6" s="160">
        <f>I6*B6</f>
        <v>13.819253296746611</v>
      </c>
      <c r="K6" s="160">
        <f>'Trout Allocate'!H57</f>
        <v>227.6387946169651</v>
      </c>
      <c r="L6" s="160">
        <f>K6*B6</f>
        <v>13.658327677017905</v>
      </c>
      <c r="M6" s="160"/>
      <c r="N6" s="160"/>
      <c r="O6" s="160">
        <f>'Harris Chain education'!H14</f>
        <v>700.50819851552808</v>
      </c>
      <c r="P6" s="160">
        <f>O6*B6</f>
        <v>42.03049191093168</v>
      </c>
      <c r="Q6" s="160">
        <f>'Harris Chain education'!H32</f>
        <v>58.513000234972857</v>
      </c>
      <c r="R6" s="160">
        <f>Q6*B6</f>
        <v>3.5107800140983714</v>
      </c>
      <c r="S6" s="160"/>
      <c r="T6" s="160"/>
      <c r="U6" s="312">
        <f t="shared" si="2"/>
        <v>73.018852898794563</v>
      </c>
    </row>
    <row r="7" spans="1:21" ht="23.25" customHeight="1" x14ac:dyDescent="0.2">
      <c r="A7" s="161" t="s">
        <v>41</v>
      </c>
      <c r="B7" s="309">
        <v>5.0000000000000001E-3</v>
      </c>
      <c r="C7" s="160">
        <f>'Palatlakaha allocate'!H71</f>
        <v>24.381162872342074</v>
      </c>
      <c r="D7" s="160">
        <f t="shared" si="0"/>
        <v>0.12190581436171037</v>
      </c>
      <c r="E7" s="160">
        <f>'Harris Allocate'!H72</f>
        <v>149.5058607369391</v>
      </c>
      <c r="F7" s="160">
        <f t="shared" si="1"/>
        <v>0.7475293036846955</v>
      </c>
      <c r="G7" s="160">
        <f>'Carlton Allocate'!H55</f>
        <v>16.047898300340979</v>
      </c>
      <c r="H7" s="160">
        <f>G7*B7</f>
        <v>8.0239491501704896E-2</v>
      </c>
      <c r="I7" s="160">
        <f>'Yale allocation'!H58</f>
        <v>45.495827087396925</v>
      </c>
      <c r="J7" s="160">
        <f>I7*B7</f>
        <v>0.22747913543698464</v>
      </c>
      <c r="K7" s="160">
        <f>'Trout Allocate'!H58</f>
        <v>31.138243169350719</v>
      </c>
      <c r="L7" s="160">
        <f>K7*B7</f>
        <v>0.15569121584675361</v>
      </c>
      <c r="M7" s="160">
        <f>'Harris Chain education'!H23</f>
        <v>33.585310461616807</v>
      </c>
      <c r="N7" s="160">
        <f>M7*B7</f>
        <v>0.16792655230808404</v>
      </c>
      <c r="O7" s="160">
        <f>'Harris Chain education'!H15</f>
        <v>78.813713061993155</v>
      </c>
      <c r="P7" s="160">
        <f>O7*B7</f>
        <v>0.39406856530996581</v>
      </c>
      <c r="Q7" s="160">
        <f>'Harris Chain education'!H33</f>
        <v>17.530890118578355</v>
      </c>
      <c r="R7" s="160">
        <f>Q7*B7</f>
        <v>8.7654450592891772E-2</v>
      </c>
      <c r="S7" s="160"/>
      <c r="T7" s="160"/>
      <c r="U7" s="312">
        <f t="shared" si="2"/>
        <v>1.9824945290427907</v>
      </c>
    </row>
    <row r="8" spans="1:21" ht="21.75" customHeight="1" x14ac:dyDescent="0.2">
      <c r="A8" s="161" t="s">
        <v>35</v>
      </c>
      <c r="B8" s="308">
        <v>2.2499999999999999E-2</v>
      </c>
      <c r="C8" s="160">
        <f>'Palatlakaha allocate'!H65</f>
        <v>347.07207229757495</v>
      </c>
      <c r="D8" s="160">
        <f t="shared" si="0"/>
        <v>7.8091216266954362</v>
      </c>
      <c r="E8" s="160"/>
      <c r="F8" s="160">
        <f t="shared" si="1"/>
        <v>0</v>
      </c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312">
        <f t="shared" si="2"/>
        <v>7.8091216266954362</v>
      </c>
    </row>
    <row r="9" spans="1:21" ht="24" customHeight="1" x14ac:dyDescent="0.2">
      <c r="A9" s="161" t="s">
        <v>49</v>
      </c>
      <c r="B9" s="308">
        <v>0</v>
      </c>
      <c r="C9" s="160"/>
      <c r="D9" s="160">
        <f t="shared" si="0"/>
        <v>0</v>
      </c>
      <c r="E9" s="160">
        <f>'Harris Allocate'!H73</f>
        <v>68.877932603193614</v>
      </c>
      <c r="F9" s="160">
        <f t="shared" si="1"/>
        <v>0</v>
      </c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312">
        <f t="shared" si="2"/>
        <v>0</v>
      </c>
    </row>
    <row r="10" spans="1:21" ht="20.25" customHeight="1" x14ac:dyDescent="0.2">
      <c r="A10" s="161" t="s">
        <v>36</v>
      </c>
      <c r="B10" s="308">
        <v>0.05</v>
      </c>
      <c r="C10" s="160">
        <f>'Palatlakaha allocate'!H66</f>
        <v>715.15842830214967</v>
      </c>
      <c r="D10" s="160">
        <f t="shared" si="0"/>
        <v>35.757921415107482</v>
      </c>
      <c r="E10" s="160">
        <f>'Harris Allocate'!H74</f>
        <v>1230.5465333158907</v>
      </c>
      <c r="F10" s="160">
        <f t="shared" si="1"/>
        <v>61.527326665794533</v>
      </c>
      <c r="G10" s="160">
        <f>'Carlton Allocate'!H56</f>
        <v>12.268832071592371</v>
      </c>
      <c r="H10" s="160">
        <f>G10*B10</f>
        <v>0.61344160357961863</v>
      </c>
      <c r="I10" s="160">
        <f>'Yale allocation'!H59</f>
        <v>356.18019480034468</v>
      </c>
      <c r="J10" s="160">
        <f>I10*B10</f>
        <v>17.809009740017235</v>
      </c>
      <c r="K10" s="160">
        <f>'Trout Allocate'!H59</f>
        <v>77.680461651469997</v>
      </c>
      <c r="L10" s="160">
        <f>K10*B10</f>
        <v>3.8840230825735</v>
      </c>
      <c r="M10" s="160">
        <f>'Harris Chain education'!H25</f>
        <v>1125.4069748804372</v>
      </c>
      <c r="N10" s="160">
        <f>M10*B10</f>
        <v>56.270348744021867</v>
      </c>
      <c r="O10" s="160">
        <f>'Harris Chain education'!H16</f>
        <v>1689.5655214153687</v>
      </c>
      <c r="P10" s="160">
        <f>O10*B10</f>
        <v>84.478276070768445</v>
      </c>
      <c r="Q10" s="160">
        <f>'Harris Chain education'!H34</f>
        <v>741.30805276326362</v>
      </c>
      <c r="R10" s="160">
        <f>Q10*B10</f>
        <v>37.065402638163185</v>
      </c>
      <c r="S10" s="160">
        <f>'Harris Chain education'!H43</f>
        <v>187.93034756006264</v>
      </c>
      <c r="T10" s="160">
        <f>S10*B10</f>
        <v>9.3965173780031321</v>
      </c>
      <c r="U10" s="312">
        <f t="shared" si="2"/>
        <v>306.80226733802897</v>
      </c>
    </row>
    <row r="11" spans="1:21" ht="22.5" customHeight="1" x14ac:dyDescent="0.2">
      <c r="A11" s="161" t="s">
        <v>37</v>
      </c>
      <c r="B11" s="308">
        <v>0.06</v>
      </c>
      <c r="C11" s="160">
        <f>'Palatlakaha allocate'!H67</f>
        <v>89.003526051333296</v>
      </c>
      <c r="D11" s="160">
        <f t="shared" si="0"/>
        <v>5.3402115630799978</v>
      </c>
      <c r="E11" s="160">
        <f>'Harris Allocate'!H75</f>
        <v>1242.3470168686035</v>
      </c>
      <c r="F11" s="160">
        <f t="shared" si="1"/>
        <v>74.540821012116211</v>
      </c>
      <c r="G11" s="160"/>
      <c r="H11" s="160"/>
      <c r="I11" s="160"/>
      <c r="J11" s="160"/>
      <c r="K11" s="160"/>
      <c r="L11" s="160"/>
      <c r="M11" s="160">
        <f>'Harris Chain education'!H26</f>
        <v>511.0695314230486</v>
      </c>
      <c r="N11" s="160">
        <f>M11*B11</f>
        <v>30.664171885382913</v>
      </c>
      <c r="O11" s="160">
        <f>'Harris Chain education'!H17</f>
        <v>75.602159763199722</v>
      </c>
      <c r="P11" s="160">
        <f>O11*B11</f>
        <v>4.5361295857919828</v>
      </c>
      <c r="Q11" s="160"/>
      <c r="R11" s="160"/>
      <c r="S11" s="160"/>
      <c r="T11" s="160"/>
      <c r="U11" s="312">
        <f t="shared" si="2"/>
        <v>115.08133404637111</v>
      </c>
    </row>
    <row r="12" spans="1:21" ht="24" customHeight="1" x14ac:dyDescent="0.2">
      <c r="A12" s="161" t="s">
        <v>42</v>
      </c>
      <c r="B12" s="308">
        <v>5.5E-2</v>
      </c>
      <c r="C12" s="160"/>
      <c r="D12" s="160">
        <f t="shared" si="0"/>
        <v>0</v>
      </c>
      <c r="E12" s="160"/>
      <c r="F12" s="160">
        <f t="shared" ref="F12" si="3">E12*D12</f>
        <v>0</v>
      </c>
      <c r="G12" s="160"/>
      <c r="H12" s="160"/>
      <c r="I12" s="160">
        <f>'Yale allocation'!H60</f>
        <v>14.805693297262771</v>
      </c>
      <c r="J12" s="160">
        <f>I12*B12</f>
        <v>0.81431313134945238</v>
      </c>
      <c r="K12" s="160"/>
      <c r="L12" s="160"/>
      <c r="M12" s="160">
        <f>'Harris Chain education'!H27</f>
        <v>717.57605059783168</v>
      </c>
      <c r="N12" s="160">
        <f>M12*B12</f>
        <v>39.466682782880746</v>
      </c>
      <c r="O12" s="160"/>
      <c r="P12" s="160"/>
      <c r="Q12" s="160"/>
      <c r="R12" s="160"/>
      <c r="S12" s="160"/>
      <c r="T12" s="160"/>
      <c r="U12" s="312">
        <f t="shared" si="2"/>
        <v>40.280995914230196</v>
      </c>
    </row>
    <row r="13" spans="1:21" ht="21" customHeight="1" x14ac:dyDescent="0.2">
      <c r="A13" s="161" t="s">
        <v>38</v>
      </c>
      <c r="B13" s="308">
        <v>0</v>
      </c>
      <c r="C13" s="160">
        <f>'Palatlakaha allocate'!H68</f>
        <v>2.711085929500304</v>
      </c>
      <c r="D13" s="160">
        <f>C13*B$13</f>
        <v>0</v>
      </c>
      <c r="E13" s="160"/>
      <c r="F13" s="160">
        <f t="shared" ref="F13:F21" si="4">E13*B13</f>
        <v>0</v>
      </c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312">
        <f t="shared" si="2"/>
        <v>0</v>
      </c>
    </row>
    <row r="14" spans="1:21" ht="21" customHeight="1" x14ac:dyDescent="0.2">
      <c r="A14" s="161" t="s">
        <v>39</v>
      </c>
      <c r="B14" s="308">
        <v>0</v>
      </c>
      <c r="C14" s="160">
        <f>'Palatlakaha allocate'!H69</f>
        <v>70.043178739134831</v>
      </c>
      <c r="D14" s="160">
        <f t="shared" ref="D14:D21" si="5">C14*B14</f>
        <v>0</v>
      </c>
      <c r="E14" s="160"/>
      <c r="F14" s="160">
        <f t="shared" si="4"/>
        <v>0</v>
      </c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312">
        <f t="shared" si="2"/>
        <v>0</v>
      </c>
    </row>
    <row r="15" spans="1:21" ht="20.25" customHeight="1" x14ac:dyDescent="0.2">
      <c r="A15" s="161" t="s">
        <v>47</v>
      </c>
      <c r="B15" s="308">
        <v>5.5E-2</v>
      </c>
      <c r="C15" s="160"/>
      <c r="D15" s="160">
        <f t="shared" si="5"/>
        <v>0</v>
      </c>
      <c r="E15" s="160"/>
      <c r="F15" s="160">
        <f t="shared" si="4"/>
        <v>0</v>
      </c>
      <c r="G15" s="160">
        <f>'Carlton Allocate'!H57</f>
        <v>92.739356023084426</v>
      </c>
      <c r="H15" s="160">
        <f>G15*B15</f>
        <v>5.1006645812696432</v>
      </c>
      <c r="I15" s="160"/>
      <c r="J15" s="160"/>
      <c r="K15" s="160"/>
      <c r="L15" s="160"/>
      <c r="M15" s="160"/>
      <c r="N15" s="160"/>
      <c r="O15" s="160"/>
      <c r="P15" s="160"/>
      <c r="Q15" s="160">
        <f>'Harris Chain education'!H36</f>
        <v>15.725092677248723</v>
      </c>
      <c r="R15" s="160">
        <f>(Q15*B15)</f>
        <v>0.86488009724867976</v>
      </c>
      <c r="S15" s="160">
        <f>'Harris Chain education'!H45</f>
        <v>46.841477543267857</v>
      </c>
      <c r="T15" s="160">
        <f>S15*B15</f>
        <v>2.5762812648797322</v>
      </c>
      <c r="U15" s="312">
        <f t="shared" si="2"/>
        <v>8.5418259433980559</v>
      </c>
    </row>
    <row r="16" spans="1:21" ht="20.25" customHeight="1" x14ac:dyDescent="0.2">
      <c r="A16" s="161" t="s">
        <v>50</v>
      </c>
      <c r="B16" s="308">
        <v>1.7500000000000002E-2</v>
      </c>
      <c r="C16" s="160"/>
      <c r="D16" s="160">
        <f t="shared" si="5"/>
        <v>0</v>
      </c>
      <c r="E16" s="160">
        <f>'Harris Allocate'!H76</f>
        <v>470.941337453301</v>
      </c>
      <c r="F16" s="160">
        <f t="shared" si="4"/>
        <v>8.2414734054327692</v>
      </c>
      <c r="G16" s="160"/>
      <c r="H16" s="160"/>
      <c r="I16" s="160"/>
      <c r="J16" s="160"/>
      <c r="K16" s="160"/>
      <c r="L16" s="160"/>
      <c r="M16" s="160"/>
      <c r="N16" s="160"/>
      <c r="O16" s="160">
        <f>'Harris Chain education'!H18</f>
        <v>491.51040724391055</v>
      </c>
      <c r="P16" s="160">
        <f>O16*B16</f>
        <v>8.6014321267684348</v>
      </c>
      <c r="Q16" s="160">
        <f>'Harris Chain education'!H37</f>
        <v>367.22772191167127</v>
      </c>
      <c r="R16" s="160">
        <f>Q16*B16</f>
        <v>6.4264851334542481</v>
      </c>
      <c r="S16" s="160">
        <f>'Harris Chain education'!H46</f>
        <v>8.9195457734497816E-2</v>
      </c>
      <c r="T16" s="162">
        <f>S16*B16</f>
        <v>1.5609205103537119E-3</v>
      </c>
      <c r="U16" s="312">
        <f t="shared" si="2"/>
        <v>23.270951586165804</v>
      </c>
    </row>
    <row r="17" spans="1:21" ht="23.25" customHeight="1" x14ac:dyDescent="0.2">
      <c r="A17" s="161" t="s">
        <v>43</v>
      </c>
      <c r="B17" s="308">
        <v>5.5E-2</v>
      </c>
      <c r="C17" s="160"/>
      <c r="D17" s="160">
        <f t="shared" si="5"/>
        <v>0</v>
      </c>
      <c r="E17" s="160"/>
      <c r="F17" s="160">
        <f t="shared" si="4"/>
        <v>0</v>
      </c>
      <c r="G17" s="160"/>
      <c r="H17" s="160"/>
      <c r="I17" s="160">
        <f>'Yale allocation'!H61</f>
        <v>46.195415057435525</v>
      </c>
      <c r="J17" s="160">
        <f>I17*B17</f>
        <v>2.5407478281589539</v>
      </c>
      <c r="K17" s="160">
        <f>'Trout Allocate'!H60</f>
        <v>177.82822000735058</v>
      </c>
      <c r="L17" s="160">
        <f>K17*B17</f>
        <v>9.7805521004042824</v>
      </c>
      <c r="M17" s="160"/>
      <c r="N17" s="160"/>
      <c r="O17" s="160"/>
      <c r="P17" s="160"/>
      <c r="Q17" s="160"/>
      <c r="R17" s="160"/>
      <c r="S17" s="160"/>
      <c r="T17" s="160"/>
      <c r="U17" s="312">
        <f t="shared" si="2"/>
        <v>12.321299928563237</v>
      </c>
    </row>
    <row r="18" spans="1:21" ht="21" customHeight="1" x14ac:dyDescent="0.2">
      <c r="A18" s="161" t="s">
        <v>51</v>
      </c>
      <c r="B18" s="308">
        <v>0</v>
      </c>
      <c r="C18" s="160"/>
      <c r="D18" s="160">
        <f t="shared" si="5"/>
        <v>0</v>
      </c>
      <c r="E18" s="160">
        <f>'Harris Allocate'!H77</f>
        <v>4.8221868371479726</v>
      </c>
      <c r="F18" s="160">
        <f t="shared" si="4"/>
        <v>0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312">
        <f t="shared" si="2"/>
        <v>0</v>
      </c>
    </row>
    <row r="19" spans="1:21" ht="18.75" customHeight="1" x14ac:dyDescent="0.2">
      <c r="A19" s="161" t="s">
        <v>148</v>
      </c>
      <c r="B19" s="308">
        <v>0</v>
      </c>
      <c r="C19" s="160">
        <f>'Palatlakaha allocate'!H70</f>
        <v>12.31945210294208</v>
      </c>
      <c r="D19" s="160">
        <f t="shared" si="5"/>
        <v>0</v>
      </c>
      <c r="E19" s="160"/>
      <c r="F19" s="160">
        <f t="shared" si="4"/>
        <v>0</v>
      </c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312">
        <f t="shared" si="2"/>
        <v>0</v>
      </c>
    </row>
    <row r="20" spans="1:21" ht="18.75" customHeight="1" x14ac:dyDescent="0.2">
      <c r="A20" s="161" t="s">
        <v>149</v>
      </c>
      <c r="B20" s="308">
        <v>5.5E-2</v>
      </c>
      <c r="C20" s="160"/>
      <c r="D20" s="160">
        <f t="shared" si="5"/>
        <v>0</v>
      </c>
      <c r="E20" s="160"/>
      <c r="F20" s="160">
        <f t="shared" si="4"/>
        <v>0</v>
      </c>
      <c r="G20" s="160"/>
      <c r="H20" s="160"/>
      <c r="I20" s="160"/>
      <c r="J20" s="160"/>
      <c r="K20" s="160"/>
      <c r="L20" s="160"/>
      <c r="M20" s="160">
        <f>'Harris Chain education'!H24</f>
        <v>136.36213263706563</v>
      </c>
      <c r="N20" s="160">
        <f>M20*B20</f>
        <v>7.4999172950386095</v>
      </c>
      <c r="O20" s="160"/>
      <c r="P20" s="160"/>
      <c r="Q20" s="160"/>
      <c r="R20" s="160"/>
      <c r="S20" s="160"/>
      <c r="T20" s="160"/>
      <c r="U20" s="312">
        <f t="shared" si="2"/>
        <v>7.4999172950386095</v>
      </c>
    </row>
    <row r="21" spans="1:21" ht="22.5" customHeight="1" x14ac:dyDescent="0.2">
      <c r="A21" s="161" t="s">
        <v>147</v>
      </c>
      <c r="B21" s="308">
        <v>0</v>
      </c>
      <c r="C21" s="160"/>
      <c r="D21" s="160">
        <f t="shared" si="5"/>
        <v>0</v>
      </c>
      <c r="E21" s="160"/>
      <c r="F21" s="160">
        <f t="shared" si="4"/>
        <v>0</v>
      </c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>
        <f>'Harris Chain education'!H35+'Harris Chain education'!H36</f>
        <v>298.42033497151391</v>
      </c>
      <c r="R21" s="160"/>
      <c r="S21" s="160">
        <f>'Harris Chain education'!H44</f>
        <v>0.13897943893503575</v>
      </c>
      <c r="T21" s="160"/>
      <c r="U21" s="312">
        <f t="shared" si="2"/>
        <v>0</v>
      </c>
    </row>
    <row r="22" spans="1:21" ht="32.25" thickBot="1" x14ac:dyDescent="0.25">
      <c r="A22" s="163" t="s">
        <v>150</v>
      </c>
      <c r="B22" s="261" t="s">
        <v>173</v>
      </c>
      <c r="C22" s="164">
        <f>SUM(C4:C21)</f>
        <v>1304.9067103918246</v>
      </c>
      <c r="D22" s="164">
        <f>SUM(D4:D21)</f>
        <v>50.024061011423697</v>
      </c>
      <c r="E22" s="164">
        <f t="shared" ref="E22:T22" si="6">SUM(E4:E21)</f>
        <v>3294.5838411772083</v>
      </c>
      <c r="F22" s="164">
        <f>SUM(F4:F21)</f>
        <v>145.0571503870282</v>
      </c>
      <c r="G22" s="164">
        <f t="shared" si="6"/>
        <v>121.05608639501777</v>
      </c>
      <c r="H22" s="164">
        <f t="shared" si="6"/>
        <v>5.7943456763509662</v>
      </c>
      <c r="I22" s="164">
        <f t="shared" si="6"/>
        <v>692.99801852155019</v>
      </c>
      <c r="J22" s="164">
        <f t="shared" si="6"/>
        <v>35.210803131709241</v>
      </c>
      <c r="K22" s="164">
        <f t="shared" si="6"/>
        <v>514.28571944513646</v>
      </c>
      <c r="L22" s="164">
        <f t="shared" si="6"/>
        <v>27.478594075842441</v>
      </c>
      <c r="M22" s="164">
        <f t="shared" si="6"/>
        <v>2524</v>
      </c>
      <c r="N22" s="164">
        <f t="shared" si="6"/>
        <v>134.06904725963221</v>
      </c>
      <c r="O22" s="164">
        <f t="shared" si="6"/>
        <v>3036</v>
      </c>
      <c r="P22" s="164">
        <f t="shared" si="6"/>
        <v>140.04039825957051</v>
      </c>
      <c r="Q22" s="164">
        <f t="shared" si="6"/>
        <v>1498.7250926772488</v>
      </c>
      <c r="R22" s="164">
        <f t="shared" si="6"/>
        <v>47.955202333557381</v>
      </c>
      <c r="S22" s="164">
        <f t="shared" si="6"/>
        <v>235.00000000000003</v>
      </c>
      <c r="T22" s="164">
        <f t="shared" si="6"/>
        <v>11.974359563393218</v>
      </c>
      <c r="U22" s="313">
        <f>SUM(U4:U21)</f>
        <v>597.60396169850776</v>
      </c>
    </row>
    <row r="23" spans="1:21" ht="14.25" x14ac:dyDescent="0.2">
      <c r="A23" s="95"/>
      <c r="B23" s="95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</row>
    <row r="24" spans="1:21" ht="15.75" x14ac:dyDescent="0.2">
      <c r="A24" s="262" t="s">
        <v>238</v>
      </c>
    </row>
    <row r="27" spans="1:21" ht="15.75" x14ac:dyDescent="0.25">
      <c r="A27" s="310"/>
    </row>
    <row r="28" spans="1:21" ht="15.75" x14ac:dyDescent="0.25">
      <c r="A28" s="310"/>
      <c r="B28" s="310"/>
    </row>
  </sheetData>
  <mergeCells count="1">
    <mergeCell ref="A2:T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C24" sqref="C24"/>
    </sheetView>
  </sheetViews>
  <sheetFormatPr defaultRowHeight="12.75" x14ac:dyDescent="0.2"/>
  <cols>
    <col min="1" max="1" width="39.5703125" customWidth="1"/>
    <col min="2" max="2" width="16.28515625" customWidth="1"/>
    <col min="3" max="3" width="26.85546875" customWidth="1"/>
  </cols>
  <sheetData>
    <row r="1" spans="1:3" ht="33" customHeight="1" x14ac:dyDescent="0.2">
      <c r="A1" s="170" t="s">
        <v>174</v>
      </c>
      <c r="B1" s="170" t="s">
        <v>192</v>
      </c>
      <c r="C1" s="170" t="s">
        <v>175</v>
      </c>
    </row>
    <row r="2" spans="1:3" ht="31.5" x14ac:dyDescent="0.2">
      <c r="A2" s="165" t="s">
        <v>176</v>
      </c>
      <c r="B2" s="166">
        <v>0.03</v>
      </c>
      <c r="C2" s="167" t="s">
        <v>193</v>
      </c>
    </row>
    <row r="3" spans="1:3" ht="27.75" customHeight="1" x14ac:dyDescent="0.25">
      <c r="A3" s="165" t="s">
        <v>177</v>
      </c>
      <c r="B3" s="168">
        <v>5.0000000000000001E-3</v>
      </c>
      <c r="C3" s="169"/>
    </row>
    <row r="4" spans="1:3" ht="27.75" customHeight="1" x14ac:dyDescent="0.25">
      <c r="A4" s="165" t="s">
        <v>178</v>
      </c>
      <c r="B4" s="168">
        <v>5.0000000000000001E-3</v>
      </c>
      <c r="C4" s="169"/>
    </row>
    <row r="5" spans="1:3" ht="30" customHeight="1" x14ac:dyDescent="0.25">
      <c r="A5" s="165" t="s">
        <v>179</v>
      </c>
      <c r="B5" s="168">
        <v>5.0000000000000001E-3</v>
      </c>
      <c r="C5" s="169"/>
    </row>
    <row r="6" spans="1:3" ht="31.5" x14ac:dyDescent="0.25">
      <c r="A6" s="165" t="s">
        <v>180</v>
      </c>
      <c r="B6" s="168">
        <v>5.0000000000000001E-3</v>
      </c>
      <c r="C6" s="169"/>
    </row>
    <row r="7" spans="1:3" ht="31.5" customHeight="1" x14ac:dyDescent="0.25">
      <c r="A7" s="165" t="s">
        <v>181</v>
      </c>
      <c r="B7" s="168">
        <v>2.5000000000000001E-3</v>
      </c>
      <c r="C7" s="169"/>
    </row>
    <row r="8" spans="1:3" ht="27.75" customHeight="1" x14ac:dyDescent="0.25">
      <c r="A8" s="165" t="s">
        <v>182</v>
      </c>
      <c r="B8" s="168">
        <v>2.5000000000000001E-3</v>
      </c>
      <c r="C8" s="169"/>
    </row>
    <row r="9" spans="1:3" ht="24.75" customHeight="1" x14ac:dyDescent="0.25">
      <c r="A9" s="165" t="s">
        <v>183</v>
      </c>
      <c r="B9" s="168">
        <v>2.5000000000000001E-3</v>
      </c>
      <c r="C9" s="169"/>
    </row>
    <row r="10" spans="1:3" ht="31.5" x14ac:dyDescent="0.25">
      <c r="A10" s="165" t="s">
        <v>184</v>
      </c>
      <c r="B10" s="168">
        <v>2.5000000000000001E-3</v>
      </c>
      <c r="C10" s="169"/>
    </row>
    <row r="11" spans="1:3" ht="15.75" x14ac:dyDescent="0.25">
      <c r="A11" s="165"/>
      <c r="B11" s="165"/>
      <c r="C11" s="169"/>
    </row>
    <row r="12" spans="1:3" ht="32.25" thickBot="1" x14ac:dyDescent="0.3">
      <c r="A12" s="171" t="s">
        <v>185</v>
      </c>
      <c r="B12" s="172">
        <v>0.06</v>
      </c>
      <c r="C12" s="173"/>
    </row>
    <row r="17" spans="1:3" ht="14.25" x14ac:dyDescent="0.2">
      <c r="A17" s="154" t="s">
        <v>186</v>
      </c>
      <c r="B17" s="155"/>
      <c r="C17" s="155"/>
    </row>
    <row r="18" spans="1:3" x14ac:dyDescent="0.2">
      <c r="A18" s="722" t="s">
        <v>187</v>
      </c>
      <c r="B18" s="723"/>
      <c r="C18" s="723"/>
    </row>
    <row r="19" spans="1:3" x14ac:dyDescent="0.2">
      <c r="A19" s="722" t="s">
        <v>188</v>
      </c>
      <c r="B19" s="723"/>
      <c r="C19" s="723"/>
    </row>
    <row r="20" spans="1:3" x14ac:dyDescent="0.2">
      <c r="A20" s="722" t="s">
        <v>189</v>
      </c>
      <c r="B20" s="723"/>
      <c r="C20" s="723"/>
    </row>
    <row r="21" spans="1:3" x14ac:dyDescent="0.2">
      <c r="A21" s="722" t="s">
        <v>190</v>
      </c>
      <c r="B21" s="723"/>
      <c r="C21" s="723"/>
    </row>
    <row r="22" spans="1:3" x14ac:dyDescent="0.2">
      <c r="A22" s="722" t="s">
        <v>191</v>
      </c>
      <c r="B22" s="723"/>
      <c r="C22" s="723"/>
    </row>
    <row r="23" spans="1:3" x14ac:dyDescent="0.2">
      <c r="A23" s="35"/>
      <c r="B23" s="35"/>
      <c r="C23" s="35"/>
    </row>
  </sheetData>
  <mergeCells count="5">
    <mergeCell ref="A18:C18"/>
    <mergeCell ref="A19:C19"/>
    <mergeCell ref="A20:C20"/>
    <mergeCell ref="A21:C21"/>
    <mergeCell ref="A22:C2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N108"/>
  <sheetViews>
    <sheetView topLeftCell="F52" workbookViewId="0">
      <selection activeCell="J68" sqref="J68:M73"/>
    </sheetView>
  </sheetViews>
  <sheetFormatPr defaultRowHeight="12.75" x14ac:dyDescent="0.2"/>
  <cols>
    <col min="1" max="1" width="31.85546875" customWidth="1"/>
    <col min="2" max="2" width="25.140625" customWidth="1"/>
    <col min="3" max="3" width="13.42578125" customWidth="1"/>
    <col min="4" max="4" width="15" customWidth="1"/>
    <col min="5" max="5" width="15.5703125" customWidth="1"/>
    <col min="6" max="6" width="14.85546875" customWidth="1"/>
    <col min="7" max="7" width="15.140625" customWidth="1"/>
    <col min="8" max="8" width="15.5703125" customWidth="1"/>
    <col min="9" max="9" width="13.5703125" customWidth="1"/>
    <col min="10" max="10" width="15.42578125" customWidth="1"/>
    <col min="11" max="11" width="15" customWidth="1"/>
    <col min="12" max="12" width="13.5703125" customWidth="1"/>
    <col min="13" max="13" width="14" customWidth="1"/>
    <col min="14" max="14" width="13.7109375" customWidth="1"/>
  </cols>
  <sheetData>
    <row r="1" spans="1:10" x14ac:dyDescent="0.2">
      <c r="A1" s="724" t="s">
        <v>295</v>
      </c>
      <c r="B1" s="725"/>
      <c r="C1" s="725"/>
      <c r="D1" s="725"/>
      <c r="E1" s="725"/>
      <c r="F1" s="725"/>
      <c r="G1" s="726"/>
      <c r="H1" s="264"/>
      <c r="I1" s="275"/>
      <c r="J1" s="271"/>
    </row>
    <row r="2" spans="1:10" x14ac:dyDescent="0.2">
      <c r="A2" s="265"/>
      <c r="B2" s="23"/>
      <c r="C2" s="18"/>
      <c r="D2" s="18"/>
      <c r="E2" s="18"/>
      <c r="F2" s="23"/>
      <c r="G2" s="18"/>
      <c r="H2" s="18"/>
      <c r="I2" s="24"/>
      <c r="J2" s="67"/>
    </row>
    <row r="3" spans="1:10" x14ac:dyDescent="0.2">
      <c r="A3" s="265"/>
      <c r="B3" s="23" t="s">
        <v>5</v>
      </c>
      <c r="C3" s="18"/>
      <c r="D3" s="18"/>
      <c r="E3" s="18"/>
      <c r="F3" s="23"/>
      <c r="G3" s="18"/>
      <c r="H3" s="18"/>
      <c r="I3" s="24"/>
      <c r="J3" s="67"/>
    </row>
    <row r="4" spans="1:10" x14ac:dyDescent="0.2">
      <c r="A4" s="265"/>
      <c r="B4" s="23"/>
      <c r="C4" s="18"/>
      <c r="D4" s="18"/>
      <c r="E4" s="18"/>
      <c r="F4" s="23"/>
      <c r="G4" s="18"/>
      <c r="H4" s="18"/>
      <c r="I4" s="24"/>
      <c r="J4" s="67"/>
    </row>
    <row r="5" spans="1:10" ht="76.5" x14ac:dyDescent="0.2">
      <c r="A5" s="266" t="s">
        <v>1</v>
      </c>
      <c r="B5" s="301" t="s">
        <v>104</v>
      </c>
      <c r="C5" s="20" t="s">
        <v>0</v>
      </c>
      <c r="D5" s="20" t="s">
        <v>9</v>
      </c>
      <c r="E5" s="20" t="s">
        <v>31</v>
      </c>
      <c r="F5" s="301" t="s">
        <v>16</v>
      </c>
      <c r="G5" s="20" t="s">
        <v>99</v>
      </c>
      <c r="H5" s="20" t="s">
        <v>100</v>
      </c>
      <c r="I5" s="302" t="s">
        <v>54</v>
      </c>
      <c r="J5" s="303" t="s">
        <v>53</v>
      </c>
    </row>
    <row r="6" spans="1:10" x14ac:dyDescent="0.2">
      <c r="A6" s="266" t="s">
        <v>23</v>
      </c>
      <c r="B6" s="279" t="s">
        <v>45</v>
      </c>
      <c r="C6" s="263" t="s">
        <v>45</v>
      </c>
      <c r="D6" s="263" t="s">
        <v>45</v>
      </c>
      <c r="E6" s="263" t="s">
        <v>45</v>
      </c>
      <c r="F6" s="279"/>
      <c r="G6" s="263"/>
      <c r="H6" s="267"/>
      <c r="I6" s="276"/>
      <c r="J6" s="272"/>
    </row>
    <row r="7" spans="1:10" x14ac:dyDescent="0.2">
      <c r="A7" s="265" t="s">
        <v>101</v>
      </c>
      <c r="B7" s="279" t="s">
        <v>45</v>
      </c>
      <c r="C7" s="263" t="s">
        <v>45</v>
      </c>
      <c r="D7" s="263" t="s">
        <v>45</v>
      </c>
      <c r="E7" s="263" t="s">
        <v>45</v>
      </c>
      <c r="F7" s="279"/>
      <c r="G7" s="263"/>
      <c r="H7" s="267"/>
      <c r="I7" s="276"/>
      <c r="J7" s="272"/>
    </row>
    <row r="8" spans="1:10" x14ac:dyDescent="0.2">
      <c r="A8" s="265" t="s">
        <v>102</v>
      </c>
      <c r="B8" s="279">
        <v>474.2</v>
      </c>
      <c r="C8" s="263" t="s">
        <v>45</v>
      </c>
      <c r="D8" s="263">
        <v>-19</v>
      </c>
      <c r="E8" s="263" t="s">
        <v>45</v>
      </c>
      <c r="F8" s="279">
        <v>455.2</v>
      </c>
      <c r="G8" s="263">
        <v>455.2</v>
      </c>
      <c r="H8" s="267">
        <v>0.28697516076156854</v>
      </c>
      <c r="I8" s="277">
        <v>423.7</v>
      </c>
      <c r="J8" s="273">
        <v>31.5</v>
      </c>
    </row>
    <row r="9" spans="1:10" x14ac:dyDescent="0.2">
      <c r="A9" s="266" t="s">
        <v>24</v>
      </c>
      <c r="B9" s="279" t="s">
        <v>45</v>
      </c>
      <c r="C9" s="263" t="s">
        <v>45</v>
      </c>
      <c r="D9" s="263" t="s">
        <v>45</v>
      </c>
      <c r="E9" s="263" t="s">
        <v>45</v>
      </c>
      <c r="F9" s="279"/>
      <c r="G9" s="263"/>
      <c r="H9" s="267"/>
      <c r="I9" s="277"/>
      <c r="J9" s="273"/>
    </row>
    <row r="10" spans="1:10" x14ac:dyDescent="0.2">
      <c r="A10" s="265" t="s">
        <v>103</v>
      </c>
      <c r="B10" s="279">
        <v>1265.5</v>
      </c>
      <c r="C10" s="263" t="s">
        <v>45</v>
      </c>
      <c r="D10" s="263">
        <v>-726</v>
      </c>
      <c r="E10" s="263" t="s">
        <v>45</v>
      </c>
      <c r="F10" s="279">
        <v>539.5</v>
      </c>
      <c r="G10" s="263">
        <v>539.5</v>
      </c>
      <c r="H10" s="267">
        <v>0.34012104400453919</v>
      </c>
      <c r="I10" s="277">
        <v>502.2</v>
      </c>
      <c r="J10" s="273">
        <v>37.300000000000011</v>
      </c>
    </row>
    <row r="11" spans="1:10" x14ac:dyDescent="0.2">
      <c r="A11" s="266" t="s">
        <v>26</v>
      </c>
      <c r="B11" s="279">
        <v>29.6</v>
      </c>
      <c r="C11" s="263" t="s">
        <v>45</v>
      </c>
      <c r="D11" s="263">
        <v>0</v>
      </c>
      <c r="E11" s="263" t="s">
        <v>45</v>
      </c>
      <c r="F11" s="279">
        <v>29.6</v>
      </c>
      <c r="G11" s="263"/>
      <c r="H11" s="267"/>
      <c r="I11" s="277"/>
      <c r="J11" s="273">
        <v>29.6</v>
      </c>
    </row>
    <row r="12" spans="1:10" x14ac:dyDescent="0.2">
      <c r="A12" s="266" t="s">
        <v>27</v>
      </c>
      <c r="B12" s="279" t="s">
        <v>45</v>
      </c>
      <c r="C12" s="263" t="s">
        <v>45</v>
      </c>
      <c r="D12" s="263" t="s">
        <v>45</v>
      </c>
      <c r="E12" s="263" t="s">
        <v>45</v>
      </c>
      <c r="F12" s="279"/>
      <c r="G12" s="263"/>
      <c r="H12" s="267"/>
      <c r="I12" s="277"/>
      <c r="J12" s="273"/>
    </row>
    <row r="13" spans="1:10" x14ac:dyDescent="0.2">
      <c r="A13" s="266" t="s">
        <v>19</v>
      </c>
      <c r="B13" s="279" t="s">
        <v>45</v>
      </c>
      <c r="C13" s="263" t="s">
        <v>45</v>
      </c>
      <c r="D13" s="263" t="s">
        <v>45</v>
      </c>
      <c r="E13" s="263" t="s">
        <v>45</v>
      </c>
      <c r="F13" s="279"/>
      <c r="G13" s="263"/>
      <c r="H13" s="267"/>
      <c r="I13" s="277"/>
      <c r="J13" s="273"/>
    </row>
    <row r="14" spans="1:10" x14ac:dyDescent="0.2">
      <c r="A14" s="266" t="s">
        <v>20</v>
      </c>
      <c r="B14" s="279">
        <v>375.6</v>
      </c>
      <c r="C14" s="263" t="s">
        <v>45</v>
      </c>
      <c r="D14" s="263" t="s">
        <v>45</v>
      </c>
      <c r="E14" s="263">
        <v>6.1</v>
      </c>
      <c r="F14" s="279">
        <v>381.70000000000005</v>
      </c>
      <c r="G14" s="263"/>
      <c r="H14" s="267"/>
      <c r="I14" s="277"/>
      <c r="J14" s="273">
        <v>381.70000000000005</v>
      </c>
    </row>
    <row r="15" spans="1:10" x14ac:dyDescent="0.2">
      <c r="A15" s="266" t="s">
        <v>124</v>
      </c>
      <c r="B15" s="279">
        <v>123.5</v>
      </c>
      <c r="C15" s="263"/>
      <c r="D15" s="263"/>
      <c r="E15" s="263">
        <v>-53.7</v>
      </c>
      <c r="F15" s="279">
        <v>69.8</v>
      </c>
      <c r="G15" s="263">
        <v>69.8</v>
      </c>
      <c r="H15" s="267">
        <v>4.4004539150170219E-2</v>
      </c>
      <c r="I15" s="277">
        <v>65</v>
      </c>
      <c r="J15" s="273">
        <v>4.7999999999999972</v>
      </c>
    </row>
    <row r="16" spans="1:10" ht="15.75" customHeight="1" x14ac:dyDescent="0.2">
      <c r="A16" s="266" t="s">
        <v>21</v>
      </c>
      <c r="B16" s="279">
        <v>616.29999999999995</v>
      </c>
      <c r="C16" s="263"/>
      <c r="D16" s="263"/>
      <c r="E16" s="263">
        <v>-102</v>
      </c>
      <c r="F16" s="279">
        <v>514.29999999999995</v>
      </c>
      <c r="G16" s="263">
        <v>514.29999999999995</v>
      </c>
      <c r="H16" s="267">
        <v>0.32423401840877569</v>
      </c>
      <c r="I16" s="277">
        <v>478.73152818055723</v>
      </c>
      <c r="J16" s="273"/>
    </row>
    <row r="17" spans="1:10" ht="16.5" customHeight="1" x14ac:dyDescent="0.2">
      <c r="A17" s="268" t="s">
        <v>284</v>
      </c>
      <c r="B17" s="279">
        <v>332.3</v>
      </c>
      <c r="C17" s="263"/>
      <c r="D17" s="263"/>
      <c r="E17" s="263">
        <v>-51.7</v>
      </c>
      <c r="F17" s="279">
        <v>280.60000000000002</v>
      </c>
      <c r="G17" s="263">
        <v>280.60000000000002</v>
      </c>
      <c r="H17" s="267">
        <v>0.17690076913377889</v>
      </c>
      <c r="I17" s="277">
        <v>261.2</v>
      </c>
      <c r="J17" s="273">
        <v>19.400000000000034</v>
      </c>
    </row>
    <row r="18" spans="1:10" ht="18.75" customHeight="1" x14ac:dyDescent="0.2">
      <c r="A18" s="268" t="s">
        <v>285</v>
      </c>
      <c r="B18" s="279">
        <v>265.3</v>
      </c>
      <c r="C18" s="263"/>
      <c r="D18" s="263"/>
      <c r="E18" s="263">
        <v>-48.8</v>
      </c>
      <c r="F18" s="279">
        <v>216.5</v>
      </c>
      <c r="G18" s="263">
        <v>216.5</v>
      </c>
      <c r="H18" s="267">
        <v>0.13648972386836467</v>
      </c>
      <c r="I18" s="277">
        <v>201.5</v>
      </c>
      <c r="J18" s="273">
        <v>15</v>
      </c>
    </row>
    <row r="19" spans="1:10" ht="12.75" customHeight="1" x14ac:dyDescent="0.2">
      <c r="A19" s="268" t="s">
        <v>286</v>
      </c>
      <c r="B19" s="279">
        <v>18.600000000000001</v>
      </c>
      <c r="C19" s="263" t="s">
        <v>45</v>
      </c>
      <c r="D19" s="263"/>
      <c r="E19" s="263">
        <v>-1.4</v>
      </c>
      <c r="F19" s="279">
        <v>17.200000000000003</v>
      </c>
      <c r="G19" s="263">
        <v>17.200000000000003</v>
      </c>
      <c r="H19" s="267">
        <v>1.0843525406632205E-2</v>
      </c>
      <c r="I19" s="277">
        <v>16</v>
      </c>
      <c r="J19" s="273">
        <v>1.2000000000000028</v>
      </c>
    </row>
    <row r="20" spans="1:10" s="35" customFormat="1" ht="12.75" customHeight="1" x14ac:dyDescent="0.2">
      <c r="A20" s="268" t="s">
        <v>252</v>
      </c>
      <c r="B20" s="279">
        <v>3.9</v>
      </c>
      <c r="C20" s="263"/>
      <c r="D20" s="263"/>
      <c r="E20" s="263">
        <v>3.2</v>
      </c>
      <c r="F20" s="279">
        <f>SUM(B20:E20)</f>
        <v>7.1</v>
      </c>
      <c r="G20" s="263">
        <f>F20</f>
        <v>7.1</v>
      </c>
      <c r="H20" s="267">
        <f>G20/(F$42-F$11-F$14-F$38)</f>
        <v>4.4761064178539907E-3</v>
      </c>
      <c r="I20" s="276">
        <f>ROUND(H20*F$44,1)</f>
        <v>6.6</v>
      </c>
      <c r="J20" s="273">
        <f>F20-I20</f>
        <v>0.5</v>
      </c>
    </row>
    <row r="21" spans="1:10" s="35" customFormat="1" ht="12.75" customHeight="1" x14ac:dyDescent="0.2">
      <c r="A21" s="268" t="s">
        <v>253</v>
      </c>
      <c r="B21" s="279">
        <v>1.8</v>
      </c>
      <c r="C21" s="263"/>
      <c r="D21" s="263"/>
      <c r="E21" s="263">
        <v>9.9</v>
      </c>
      <c r="F21" s="279">
        <f t="shared" ref="F21:F37" si="0">SUM(B21:E21)</f>
        <v>11.700000000000001</v>
      </c>
      <c r="G21" s="263">
        <f t="shared" ref="G21:G36" si="1">F21</f>
        <v>11.700000000000001</v>
      </c>
      <c r="H21" s="267">
        <f t="shared" ref="H21:H37" si="2">G21/(F$42-F$11-F$14-F$38)</f>
        <v>7.3761190266044647E-3</v>
      </c>
      <c r="I21" s="276">
        <f t="shared" ref="I21:I37" si="3">ROUND(H21*F$44,1)</f>
        <v>10.9</v>
      </c>
      <c r="J21" s="273">
        <f t="shared" ref="J21:J37" si="4">F21-I21</f>
        <v>0.80000000000000071</v>
      </c>
    </row>
    <row r="22" spans="1:10" s="35" customFormat="1" ht="12.75" customHeight="1" x14ac:dyDescent="0.2">
      <c r="A22" s="268" t="s">
        <v>257</v>
      </c>
      <c r="B22" s="279">
        <v>4.4000000000000004</v>
      </c>
      <c r="C22" s="263"/>
      <c r="D22" s="263"/>
      <c r="E22" s="263">
        <v>-1</v>
      </c>
      <c r="F22" s="279">
        <f t="shared" si="0"/>
        <v>3.4000000000000004</v>
      </c>
      <c r="G22" s="263">
        <f t="shared" si="1"/>
        <v>3.4000000000000004</v>
      </c>
      <c r="H22" s="267">
        <f t="shared" si="2"/>
        <v>2.1434875803807846E-3</v>
      </c>
      <c r="I22" s="276">
        <f t="shared" si="3"/>
        <v>3.2</v>
      </c>
      <c r="J22" s="273">
        <f t="shared" si="4"/>
        <v>0.20000000000000018</v>
      </c>
    </row>
    <row r="23" spans="1:10" s="35" customFormat="1" ht="12.75" customHeight="1" x14ac:dyDescent="0.2">
      <c r="A23" s="268" t="s">
        <v>254</v>
      </c>
      <c r="B23" s="279">
        <v>175.8</v>
      </c>
      <c r="C23" s="263"/>
      <c r="D23" s="263"/>
      <c r="E23" s="263">
        <v>-39.700000000000003</v>
      </c>
      <c r="F23" s="279">
        <f t="shared" si="0"/>
        <v>136.10000000000002</v>
      </c>
      <c r="G23" s="263">
        <f t="shared" si="1"/>
        <v>136.10000000000002</v>
      </c>
      <c r="H23" s="267">
        <f t="shared" si="2"/>
        <v>8.5802546967595539E-2</v>
      </c>
      <c r="I23" s="276">
        <f t="shared" si="3"/>
        <v>126.7</v>
      </c>
      <c r="J23" s="273">
        <f t="shared" si="4"/>
        <v>9.4000000000000199</v>
      </c>
    </row>
    <row r="24" spans="1:10" s="35" customFormat="1" ht="12.75" customHeight="1" x14ac:dyDescent="0.2">
      <c r="A24" s="268" t="s">
        <v>255</v>
      </c>
      <c r="B24" s="279">
        <v>96</v>
      </c>
      <c r="C24" s="263"/>
      <c r="D24" s="263"/>
      <c r="E24" s="263">
        <v>-20.5</v>
      </c>
      <c r="F24" s="279">
        <f t="shared" si="0"/>
        <v>75.5</v>
      </c>
      <c r="G24" s="263">
        <f t="shared" si="1"/>
        <v>75.5</v>
      </c>
      <c r="H24" s="267">
        <f t="shared" si="2"/>
        <v>4.7598033034926247E-2</v>
      </c>
      <c r="I24" s="276">
        <f t="shared" si="3"/>
        <v>70.3</v>
      </c>
      <c r="J24" s="273">
        <f t="shared" si="4"/>
        <v>5.2000000000000028</v>
      </c>
    </row>
    <row r="25" spans="1:10" s="35" customFormat="1" ht="12.75" customHeight="1" x14ac:dyDescent="0.2">
      <c r="A25" s="268" t="s">
        <v>256</v>
      </c>
      <c r="B25" s="279">
        <v>6.4</v>
      </c>
      <c r="C25" s="263"/>
      <c r="D25" s="263"/>
      <c r="E25" s="263">
        <v>-0.8</v>
      </c>
      <c r="F25" s="279">
        <f t="shared" si="0"/>
        <v>5.6000000000000005</v>
      </c>
      <c r="G25" s="263">
        <f t="shared" si="1"/>
        <v>5.6000000000000005</v>
      </c>
      <c r="H25" s="267">
        <f t="shared" si="2"/>
        <v>3.5304501323918805E-3</v>
      </c>
      <c r="I25" s="276">
        <f t="shared" si="3"/>
        <v>5.2</v>
      </c>
      <c r="J25" s="273">
        <f t="shared" si="4"/>
        <v>0.40000000000000036</v>
      </c>
    </row>
    <row r="26" spans="1:10" s="35" customFormat="1" ht="12.75" customHeight="1" x14ac:dyDescent="0.2">
      <c r="A26" s="268" t="s">
        <v>259</v>
      </c>
      <c r="B26" s="279">
        <v>24.4</v>
      </c>
      <c r="C26" s="263"/>
      <c r="D26" s="263"/>
      <c r="E26" s="263">
        <v>-13.6</v>
      </c>
      <c r="F26" s="279">
        <f t="shared" si="0"/>
        <v>10.799999999999999</v>
      </c>
      <c r="G26" s="263">
        <f t="shared" si="1"/>
        <v>10.799999999999999</v>
      </c>
      <c r="H26" s="267">
        <f t="shared" si="2"/>
        <v>6.8087252553271976E-3</v>
      </c>
      <c r="I26" s="276">
        <f t="shared" si="3"/>
        <v>10.1</v>
      </c>
      <c r="J26" s="273">
        <f t="shared" si="4"/>
        <v>0.69999999999999929</v>
      </c>
    </row>
    <row r="27" spans="1:10" s="35" customFormat="1" ht="12.75" customHeight="1" x14ac:dyDescent="0.2">
      <c r="A27" s="268" t="s">
        <v>258</v>
      </c>
      <c r="B27" s="279">
        <v>39.799999999999997</v>
      </c>
      <c r="C27" s="263"/>
      <c r="D27" s="263"/>
      <c r="E27" s="263">
        <v>-3</v>
      </c>
      <c r="F27" s="279">
        <f t="shared" si="0"/>
        <v>36.799999999999997</v>
      </c>
      <c r="G27" s="263">
        <f t="shared" si="1"/>
        <v>36.799999999999997</v>
      </c>
      <c r="H27" s="267">
        <f t="shared" si="2"/>
        <v>2.3200100870003782E-2</v>
      </c>
      <c r="I27" s="276">
        <f t="shared" si="3"/>
        <v>34.299999999999997</v>
      </c>
      <c r="J27" s="273">
        <f t="shared" si="4"/>
        <v>2.5</v>
      </c>
    </row>
    <row r="28" spans="1:10" s="35" customFormat="1" ht="12.75" customHeight="1" x14ac:dyDescent="0.2">
      <c r="A28" s="268" t="s">
        <v>260</v>
      </c>
      <c r="B28" s="279">
        <v>5.6</v>
      </c>
      <c r="C28" s="263"/>
      <c r="D28" s="263"/>
      <c r="E28" s="263">
        <v>1.1000000000000001</v>
      </c>
      <c r="F28" s="279">
        <f t="shared" si="0"/>
        <v>6.6999999999999993</v>
      </c>
      <c r="G28" s="263">
        <f t="shared" si="1"/>
        <v>6.6999999999999993</v>
      </c>
      <c r="H28" s="267">
        <f t="shared" si="2"/>
        <v>4.2239314083974281E-3</v>
      </c>
      <c r="I28" s="276">
        <f t="shared" si="3"/>
        <v>6.2</v>
      </c>
      <c r="J28" s="273">
        <f t="shared" si="4"/>
        <v>0.49999999999999911</v>
      </c>
    </row>
    <row r="29" spans="1:10" s="35" customFormat="1" ht="12.75" customHeight="1" x14ac:dyDescent="0.2">
      <c r="A29" s="268" t="s">
        <v>261</v>
      </c>
      <c r="B29" s="279">
        <v>10.1</v>
      </c>
      <c r="C29" s="263"/>
      <c r="D29" s="263"/>
      <c r="E29" s="263">
        <v>-2.4</v>
      </c>
      <c r="F29" s="279">
        <f t="shared" si="0"/>
        <v>7.6999999999999993</v>
      </c>
      <c r="G29" s="263">
        <f t="shared" si="1"/>
        <v>7.6999999999999993</v>
      </c>
      <c r="H29" s="267">
        <f t="shared" si="2"/>
        <v>4.8543689320388354E-3</v>
      </c>
      <c r="I29" s="276">
        <f t="shared" si="3"/>
        <v>7.2</v>
      </c>
      <c r="J29" s="273">
        <f t="shared" si="4"/>
        <v>0.49999999999999911</v>
      </c>
    </row>
    <row r="30" spans="1:10" s="35" customFormat="1" ht="12.75" customHeight="1" x14ac:dyDescent="0.2">
      <c r="A30" s="268" t="s">
        <v>262</v>
      </c>
      <c r="B30" s="279">
        <v>29.4</v>
      </c>
      <c r="C30" s="263"/>
      <c r="D30" s="263"/>
      <c r="E30" s="263">
        <v>-16.899999999999999</v>
      </c>
      <c r="F30" s="279">
        <f t="shared" si="0"/>
        <v>12.5</v>
      </c>
      <c r="G30" s="263">
        <f t="shared" si="1"/>
        <v>12.5</v>
      </c>
      <c r="H30" s="267">
        <f t="shared" si="2"/>
        <v>7.8804690455175908E-3</v>
      </c>
      <c r="I30" s="276">
        <f t="shared" si="3"/>
        <v>11.6</v>
      </c>
      <c r="J30" s="273">
        <f t="shared" si="4"/>
        <v>0.90000000000000036</v>
      </c>
    </row>
    <row r="31" spans="1:10" s="35" customFormat="1" ht="12.75" customHeight="1" x14ac:dyDescent="0.2">
      <c r="A31" s="268" t="s">
        <v>263</v>
      </c>
      <c r="B31" s="279">
        <v>0.9</v>
      </c>
      <c r="C31" s="263"/>
      <c r="D31" s="263"/>
      <c r="E31" s="263">
        <v>0.2</v>
      </c>
      <c r="F31" s="279">
        <f t="shared" si="0"/>
        <v>1.1000000000000001</v>
      </c>
      <c r="G31" s="263">
        <f t="shared" si="1"/>
        <v>1.1000000000000001</v>
      </c>
      <c r="H31" s="267">
        <f t="shared" si="2"/>
        <v>6.9348127600554798E-4</v>
      </c>
      <c r="I31" s="276">
        <f t="shared" si="3"/>
        <v>1</v>
      </c>
      <c r="J31" s="273">
        <f t="shared" si="4"/>
        <v>0.10000000000000009</v>
      </c>
    </row>
    <row r="32" spans="1:10" s="35" customFormat="1" ht="12.75" customHeight="1" x14ac:dyDescent="0.2">
      <c r="A32" s="268" t="s">
        <v>264</v>
      </c>
      <c r="B32" s="279">
        <v>35.799999999999997</v>
      </c>
      <c r="C32" s="263"/>
      <c r="D32" s="263"/>
      <c r="E32" s="263">
        <v>1.9</v>
      </c>
      <c r="F32" s="279">
        <f t="shared" si="0"/>
        <v>37.699999999999996</v>
      </c>
      <c r="G32" s="263">
        <f t="shared" si="1"/>
        <v>37.699999999999996</v>
      </c>
      <c r="H32" s="267">
        <f t="shared" si="2"/>
        <v>2.3767494641281049E-2</v>
      </c>
      <c r="I32" s="276">
        <f t="shared" si="3"/>
        <v>35.1</v>
      </c>
      <c r="J32" s="273">
        <f t="shared" si="4"/>
        <v>2.5999999999999943</v>
      </c>
    </row>
    <row r="33" spans="1:10" s="35" customFormat="1" ht="12.75" customHeight="1" x14ac:dyDescent="0.2">
      <c r="A33" s="268" t="s">
        <v>265</v>
      </c>
      <c r="B33" s="279">
        <v>65.599999999999994</v>
      </c>
      <c r="C33" s="263"/>
      <c r="D33" s="263"/>
      <c r="E33" s="263">
        <v>-13.2</v>
      </c>
      <c r="F33" s="279">
        <f t="shared" si="0"/>
        <v>52.399999999999991</v>
      </c>
      <c r="G33" s="263">
        <f t="shared" si="1"/>
        <v>52.399999999999991</v>
      </c>
      <c r="H33" s="267">
        <f t="shared" si="2"/>
        <v>3.3034926238809735E-2</v>
      </c>
      <c r="I33" s="276">
        <f t="shared" si="3"/>
        <v>48.8</v>
      </c>
      <c r="J33" s="273">
        <f t="shared" si="4"/>
        <v>3.5999999999999943</v>
      </c>
    </row>
    <row r="34" spans="1:10" s="35" customFormat="1" ht="12.75" customHeight="1" x14ac:dyDescent="0.2">
      <c r="A34" s="268" t="s">
        <v>266</v>
      </c>
      <c r="B34" s="279">
        <v>0.8</v>
      </c>
      <c r="C34" s="263"/>
      <c r="D34" s="263"/>
      <c r="E34" s="263">
        <v>-0.5</v>
      </c>
      <c r="F34" s="279">
        <f t="shared" si="0"/>
        <v>0.30000000000000004</v>
      </c>
      <c r="G34" s="263">
        <f t="shared" si="1"/>
        <v>0.30000000000000004</v>
      </c>
      <c r="H34" s="267">
        <f t="shared" si="2"/>
        <v>1.8913125709242218E-4</v>
      </c>
      <c r="I34" s="276">
        <f t="shared" si="3"/>
        <v>0.3</v>
      </c>
      <c r="J34" s="273">
        <f t="shared" si="4"/>
        <v>0</v>
      </c>
    </row>
    <row r="35" spans="1:10" s="35" customFormat="1" ht="12.75" customHeight="1" x14ac:dyDescent="0.2">
      <c r="A35" s="268" t="s">
        <v>267</v>
      </c>
      <c r="B35" s="279">
        <v>82.3</v>
      </c>
      <c r="C35" s="263"/>
      <c r="D35" s="263"/>
      <c r="E35" s="263">
        <v>-1.2</v>
      </c>
      <c r="F35" s="279">
        <f t="shared" si="0"/>
        <v>81.099999999999994</v>
      </c>
      <c r="G35" s="263">
        <f t="shared" si="1"/>
        <v>81.099999999999994</v>
      </c>
      <c r="H35" s="267">
        <f t="shared" si="2"/>
        <v>5.112848316731812E-2</v>
      </c>
      <c r="I35" s="276">
        <f t="shared" si="3"/>
        <v>75.5</v>
      </c>
      <c r="J35" s="273">
        <f t="shared" si="4"/>
        <v>5.5999999999999943</v>
      </c>
    </row>
    <row r="36" spans="1:10" s="35" customFormat="1" ht="12.75" customHeight="1" x14ac:dyDescent="0.2">
      <c r="A36" s="268" t="s">
        <v>268</v>
      </c>
      <c r="B36" s="279">
        <v>32.700000000000003</v>
      </c>
      <c r="C36" s="263"/>
      <c r="D36" s="263"/>
      <c r="E36" s="263">
        <v>-5.0999999999999996</v>
      </c>
      <c r="F36" s="279">
        <f t="shared" si="0"/>
        <v>27.6</v>
      </c>
      <c r="G36" s="263">
        <f t="shared" si="1"/>
        <v>27.6</v>
      </c>
      <c r="H36" s="267">
        <f t="shared" si="2"/>
        <v>1.7400075652502841E-2</v>
      </c>
      <c r="I36" s="276">
        <f t="shared" si="3"/>
        <v>25.7</v>
      </c>
      <c r="J36" s="273">
        <f t="shared" si="4"/>
        <v>1.9000000000000021</v>
      </c>
    </row>
    <row r="37" spans="1:10" s="35" customFormat="1" ht="12.75" customHeight="1" x14ac:dyDescent="0.2">
      <c r="A37" s="268" t="s">
        <v>269</v>
      </c>
      <c r="B37" s="279">
        <v>0.4</v>
      </c>
      <c r="C37" s="263"/>
      <c r="D37" s="263"/>
      <c r="E37" s="263">
        <v>-0.4</v>
      </c>
      <c r="F37" s="279">
        <f t="shared" si="0"/>
        <v>0</v>
      </c>
      <c r="G37" s="263">
        <v>0</v>
      </c>
      <c r="H37" s="267">
        <f t="shared" si="2"/>
        <v>0</v>
      </c>
      <c r="I37" s="276">
        <f t="shared" si="3"/>
        <v>0</v>
      </c>
      <c r="J37" s="273">
        <f t="shared" si="4"/>
        <v>0</v>
      </c>
    </row>
    <row r="38" spans="1:10" x14ac:dyDescent="0.2">
      <c r="A38" s="266" t="s">
        <v>28</v>
      </c>
      <c r="B38" s="279" t="s">
        <v>45</v>
      </c>
      <c r="C38" s="263" t="s">
        <v>45</v>
      </c>
      <c r="D38" s="263" t="s">
        <v>45</v>
      </c>
      <c r="E38" s="263" t="s">
        <v>45</v>
      </c>
      <c r="F38" s="279"/>
      <c r="G38" s="263"/>
      <c r="H38" s="267"/>
      <c r="I38" s="276"/>
      <c r="J38" s="272"/>
    </row>
    <row r="39" spans="1:10" x14ac:dyDescent="0.2">
      <c r="A39" s="266" t="s">
        <v>29</v>
      </c>
      <c r="B39" s="279">
        <v>7.4</v>
      </c>
      <c r="C39" s="263" t="s">
        <v>45</v>
      </c>
      <c r="D39" s="263" t="s">
        <v>45</v>
      </c>
      <c r="E39" s="263" t="s">
        <v>45</v>
      </c>
      <c r="F39" s="279">
        <v>7.4</v>
      </c>
      <c r="G39" s="263">
        <v>7.4</v>
      </c>
      <c r="H39" s="267">
        <v>4.6652376749464139E-3</v>
      </c>
      <c r="I39" s="276">
        <v>6.9</v>
      </c>
      <c r="J39" s="272">
        <v>0.5</v>
      </c>
    </row>
    <row r="40" spans="1:10" x14ac:dyDescent="0.2">
      <c r="A40" s="265"/>
      <c r="B40" s="279"/>
      <c r="C40" s="263"/>
      <c r="D40" s="263"/>
      <c r="E40" s="263"/>
      <c r="F40" s="279"/>
      <c r="G40" s="263"/>
      <c r="H40" s="263"/>
      <c r="I40" s="276"/>
      <c r="J40" s="272"/>
    </row>
    <row r="41" spans="1:10" x14ac:dyDescent="0.2">
      <c r="A41" s="266" t="s">
        <v>30</v>
      </c>
      <c r="B41" s="279"/>
      <c r="C41" s="263"/>
      <c r="D41" s="263"/>
      <c r="E41" s="263"/>
      <c r="F41" s="279"/>
      <c r="G41" s="263"/>
      <c r="H41" s="263"/>
      <c r="I41" s="276"/>
      <c r="J41" s="272"/>
    </row>
    <row r="42" spans="1:10" x14ac:dyDescent="0.2">
      <c r="A42" s="265" t="s">
        <v>3</v>
      </c>
      <c r="B42" s="279">
        <v>2892</v>
      </c>
      <c r="C42" s="263">
        <v>0</v>
      </c>
      <c r="D42" s="263">
        <v>-745</v>
      </c>
      <c r="E42" s="263">
        <v>-149.50000000000003</v>
      </c>
      <c r="F42" s="279">
        <v>1997.4999999999998</v>
      </c>
      <c r="G42" s="263"/>
      <c r="H42" s="263"/>
      <c r="I42" s="276"/>
      <c r="J42" s="272"/>
    </row>
    <row r="43" spans="1:10" x14ac:dyDescent="0.2">
      <c r="A43" s="265" t="s">
        <v>17</v>
      </c>
      <c r="B43" s="279">
        <v>521</v>
      </c>
      <c r="C43" s="263"/>
      <c r="D43" s="263"/>
      <c r="E43" s="263"/>
      <c r="F43" s="279">
        <v>521</v>
      </c>
      <c r="G43" s="263"/>
      <c r="H43" s="263"/>
      <c r="I43" s="276"/>
      <c r="J43" s="272"/>
    </row>
    <row r="44" spans="1:10" ht="25.5" x14ac:dyDescent="0.2">
      <c r="A44" s="265" t="s">
        <v>2</v>
      </c>
      <c r="B44" s="279">
        <v>2371</v>
      </c>
      <c r="C44" s="263"/>
      <c r="D44" s="263"/>
      <c r="E44" s="263"/>
      <c r="F44" s="279">
        <v>1476.4999999999998</v>
      </c>
      <c r="G44" s="263"/>
      <c r="H44" s="263"/>
      <c r="I44" s="277">
        <f>I8+I10+I15+I16+I39</f>
        <v>1476.5315281805574</v>
      </c>
      <c r="J44" s="272"/>
    </row>
    <row r="45" spans="1:10" ht="25.5" x14ac:dyDescent="0.2">
      <c r="A45" s="265" t="s">
        <v>7</v>
      </c>
      <c r="B45" s="279"/>
      <c r="C45" s="263"/>
      <c r="D45" s="263"/>
      <c r="E45" s="263"/>
      <c r="F45" s="279"/>
      <c r="G45" s="263"/>
      <c r="H45" s="263">
        <v>1</v>
      </c>
      <c r="I45" s="276"/>
      <c r="J45" s="272"/>
    </row>
    <row r="46" spans="1:10" ht="25.5" x14ac:dyDescent="0.2">
      <c r="A46" s="265" t="s">
        <v>115</v>
      </c>
      <c r="B46" s="279"/>
      <c r="C46" s="263"/>
      <c r="D46" s="263"/>
      <c r="E46" s="263"/>
      <c r="F46" s="279"/>
      <c r="G46" s="263"/>
      <c r="H46" s="263"/>
      <c r="I46" s="276"/>
      <c r="J46" s="272">
        <v>521.00000000000011</v>
      </c>
    </row>
    <row r="47" spans="1:10" ht="39" thickBot="1" x14ac:dyDescent="0.25">
      <c r="A47" s="269" t="s">
        <v>236</v>
      </c>
      <c r="B47" s="280"/>
      <c r="C47" s="270"/>
      <c r="D47" s="270"/>
      <c r="E47" s="270"/>
      <c r="F47" s="280"/>
      <c r="G47" s="270"/>
      <c r="H47" s="270"/>
      <c r="I47" s="278"/>
      <c r="J47" s="274">
        <v>36.100000000000037</v>
      </c>
    </row>
    <row r="50" spans="1:14" ht="21" customHeight="1" thickBot="1" x14ac:dyDescent="0.25"/>
    <row r="51" spans="1:14" ht="38.25" x14ac:dyDescent="0.2">
      <c r="A51" s="291" t="s">
        <v>278</v>
      </c>
      <c r="B51" s="292" t="s">
        <v>247</v>
      </c>
      <c r="C51" s="292" t="s">
        <v>249</v>
      </c>
      <c r="D51" s="292" t="s">
        <v>88</v>
      </c>
      <c r="E51" s="292" t="s">
        <v>250</v>
      </c>
      <c r="F51" s="292" t="s">
        <v>248</v>
      </c>
      <c r="G51" s="293" t="s">
        <v>251</v>
      </c>
      <c r="J51" s="727" t="s">
        <v>272</v>
      </c>
      <c r="K51" s="729" t="s">
        <v>271</v>
      </c>
      <c r="L51" s="730"/>
      <c r="M51" s="731"/>
    </row>
    <row r="52" spans="1:14" x14ac:dyDescent="0.2">
      <c r="A52" s="39" t="s">
        <v>279</v>
      </c>
      <c r="B52" s="18">
        <v>359.9644607981038</v>
      </c>
      <c r="C52" s="18"/>
      <c r="D52" s="18">
        <v>772.9758702902011</v>
      </c>
      <c r="E52" s="18"/>
      <c r="F52" s="18">
        <v>1391.32713474821</v>
      </c>
      <c r="G52" s="37"/>
      <c r="J52" s="728"/>
      <c r="K52" s="283" t="s">
        <v>65</v>
      </c>
      <c r="L52" s="283" t="s">
        <v>273</v>
      </c>
      <c r="M52" s="284" t="s">
        <v>274</v>
      </c>
    </row>
    <row r="53" spans="1:14" x14ac:dyDescent="0.2">
      <c r="A53" s="39" t="s">
        <v>280</v>
      </c>
      <c r="B53" s="18">
        <v>28.78446430536</v>
      </c>
      <c r="C53" s="288">
        <f>B53/B$52</f>
        <v>7.996473941216263E-2</v>
      </c>
      <c r="D53" s="18">
        <v>90.492402508200001</v>
      </c>
      <c r="E53" s="30">
        <f>D53/D$52</f>
        <v>0.11707015184604161</v>
      </c>
      <c r="F53" s="18">
        <v>97.46691685559999</v>
      </c>
      <c r="G53" s="245">
        <f>F53/F$52</f>
        <v>7.005319915164214E-2</v>
      </c>
      <c r="J53" s="26">
        <v>39</v>
      </c>
      <c r="K53" s="31">
        <v>7.1524257538406539</v>
      </c>
      <c r="L53" s="31">
        <v>11.670096650939449</v>
      </c>
      <c r="M53" s="28">
        <v>3.3953117829856052</v>
      </c>
    </row>
    <row r="54" spans="1:14" x14ac:dyDescent="0.2">
      <c r="A54" s="39" t="s">
        <v>281</v>
      </c>
      <c r="B54" s="18">
        <v>136.887056303782</v>
      </c>
      <c r="C54" s="288">
        <f t="shared" ref="C54:C58" si="5">B54/B$52</f>
        <v>0.38027936424690256</v>
      </c>
      <c r="D54" s="18">
        <v>200.693735541395</v>
      </c>
      <c r="E54" s="30">
        <f t="shared" ref="E54:E58" si="6">D54/D$52</f>
        <v>0.25963777558288831</v>
      </c>
      <c r="F54" s="18">
        <v>534.08864889869005</v>
      </c>
      <c r="G54" s="245">
        <f t="shared" ref="G54:G58" si="7">F54/F$52</f>
        <v>0.38386992933573788</v>
      </c>
      <c r="J54" s="26">
        <v>40</v>
      </c>
      <c r="K54" s="31">
        <v>136.11196581598219</v>
      </c>
      <c r="L54" s="31">
        <v>75.568949103894084</v>
      </c>
      <c r="M54" s="28">
        <v>5.6232380463364109</v>
      </c>
    </row>
    <row r="55" spans="1:14" x14ac:dyDescent="0.2">
      <c r="A55" s="39" t="s">
        <v>282</v>
      </c>
      <c r="B55" s="18">
        <v>19.961024890964801</v>
      </c>
      <c r="C55" s="288">
        <f t="shared" si="5"/>
        <v>5.5452765661109259E-2</v>
      </c>
      <c r="D55" s="18">
        <v>361.31779781571998</v>
      </c>
      <c r="E55" s="30">
        <f t="shared" si="6"/>
        <v>0.46743735697735189</v>
      </c>
      <c r="F55" s="18">
        <v>273.96177014147997</v>
      </c>
      <c r="G55" s="245">
        <f t="shared" si="7"/>
        <v>0.19690679732991703</v>
      </c>
      <c r="J55" s="26">
        <v>41</v>
      </c>
      <c r="K55" s="31">
        <v>10.824126158229801</v>
      </c>
      <c r="L55" s="31">
        <v>36.764724938360708</v>
      </c>
      <c r="M55" s="28">
        <v>6.7424490733929066</v>
      </c>
    </row>
    <row r="56" spans="1:14" x14ac:dyDescent="0.2">
      <c r="A56" s="39" t="s">
        <v>283</v>
      </c>
      <c r="B56" s="18">
        <v>15.855377417749999</v>
      </c>
      <c r="C56" s="288">
        <f t="shared" si="5"/>
        <v>4.4047063375634E-2</v>
      </c>
      <c r="D56" s="18">
        <v>58.069062473700001</v>
      </c>
      <c r="E56" s="30">
        <f t="shared" si="6"/>
        <v>7.5124030006135795E-2</v>
      </c>
      <c r="F56" s="18">
        <v>84.079920425300003</v>
      </c>
      <c r="G56" s="245">
        <f t="shared" si="7"/>
        <v>6.0431453053286448E-2</v>
      </c>
      <c r="J56" s="26">
        <v>42</v>
      </c>
      <c r="K56" s="31">
        <v>7.741990747409238</v>
      </c>
      <c r="L56" s="31">
        <v>12.541768502810509</v>
      </c>
      <c r="M56" s="28">
        <v>1.070720510265337</v>
      </c>
    </row>
    <row r="57" spans="1:14" x14ac:dyDescent="0.2">
      <c r="A57" s="39" t="s">
        <v>287</v>
      </c>
      <c r="B57" s="18">
        <v>47.238896564850002</v>
      </c>
      <c r="C57" s="288">
        <f t="shared" si="5"/>
        <v>0.13123211235940668</v>
      </c>
      <c r="D57" s="18">
        <v>37.813316186430001</v>
      </c>
      <c r="E57" s="30">
        <f t="shared" si="6"/>
        <v>4.8919141773770519E-2</v>
      </c>
      <c r="F57" s="18">
        <v>281.89880755359997</v>
      </c>
      <c r="G57" s="245">
        <f t="shared" si="7"/>
        <v>0.20261144953851237</v>
      </c>
      <c r="J57" s="26">
        <v>43</v>
      </c>
      <c r="K57" s="31">
        <v>37.683127245169807</v>
      </c>
      <c r="L57" s="31">
        <v>52.389486068057387</v>
      </c>
      <c r="M57" s="28">
        <v>0.28980144842430827</v>
      </c>
    </row>
    <row r="58" spans="1:14" ht="13.5" thickBot="1" x14ac:dyDescent="0.25">
      <c r="A58" s="294" t="s">
        <v>288</v>
      </c>
      <c r="B58" s="42">
        <v>111.23764131539701</v>
      </c>
      <c r="C58" s="289">
        <f t="shared" si="5"/>
        <v>0.30902395494478491</v>
      </c>
      <c r="D58" s="42">
        <v>24.589555764756</v>
      </c>
      <c r="E58" s="290">
        <f t="shared" si="6"/>
        <v>3.1811543813811752E-2</v>
      </c>
      <c r="F58" s="42">
        <v>119.83107087354</v>
      </c>
      <c r="G58" s="246">
        <f t="shared" si="7"/>
        <v>8.6127171590904078E-2</v>
      </c>
      <c r="J58" s="26">
        <v>44</v>
      </c>
      <c r="K58" s="31">
        <v>81.102186903686686</v>
      </c>
      <c r="L58" s="31">
        <v>27.56891181078187</v>
      </c>
      <c r="M58" s="28">
        <v>4.7993949136864611E-2</v>
      </c>
    </row>
    <row r="59" spans="1:14" ht="13.5" thickBot="1" x14ac:dyDescent="0.25">
      <c r="J59" s="285" t="s">
        <v>275</v>
      </c>
      <c r="K59" s="286">
        <v>280.61582262431835</v>
      </c>
      <c r="L59" s="286">
        <v>216.50393707484398</v>
      </c>
      <c r="M59" s="287">
        <v>17.169514810541433</v>
      </c>
    </row>
    <row r="60" spans="1:14" ht="13.5" thickBot="1" x14ac:dyDescent="0.25"/>
    <row r="61" spans="1:14" ht="25.5" x14ac:dyDescent="0.2">
      <c r="A61" s="298" t="s">
        <v>33</v>
      </c>
      <c r="B61" s="299" t="s">
        <v>242</v>
      </c>
      <c r="C61" s="299" t="s">
        <v>243</v>
      </c>
      <c r="D61" s="299" t="s">
        <v>244</v>
      </c>
      <c r="E61" s="299" t="s">
        <v>245</v>
      </c>
      <c r="F61" s="299" t="s">
        <v>246</v>
      </c>
      <c r="G61" s="300" t="s">
        <v>277</v>
      </c>
      <c r="J61" s="304" t="s">
        <v>289</v>
      </c>
      <c r="K61" s="299" t="s">
        <v>65</v>
      </c>
      <c r="L61" s="299" t="s">
        <v>66</v>
      </c>
      <c r="M61" s="299" t="s">
        <v>67</v>
      </c>
      <c r="N61" s="300" t="s">
        <v>290</v>
      </c>
    </row>
    <row r="62" spans="1:14" x14ac:dyDescent="0.2">
      <c r="A62" s="26" t="s">
        <v>40</v>
      </c>
      <c r="B62" s="82" t="s">
        <v>56</v>
      </c>
      <c r="C62" s="18">
        <v>39</v>
      </c>
      <c r="D62" s="18">
        <v>26.2374001558</v>
      </c>
      <c r="E62" s="18">
        <v>0.91151253945394051</v>
      </c>
      <c r="F62" s="30">
        <v>0.91151253945394051</v>
      </c>
      <c r="G62" s="295">
        <f>F62*I$20</f>
        <v>6.0159827603960068</v>
      </c>
      <c r="J62" s="39" t="s">
        <v>40</v>
      </c>
      <c r="K62" s="31">
        <f>G62+G65+G68+G71+G74</f>
        <v>110.07854883762758</v>
      </c>
      <c r="L62" s="31">
        <f>G63+G66+G69+G72+G75</f>
        <v>89.264228514894256</v>
      </c>
      <c r="M62" s="31">
        <f>G64+G67+G70+G73+G76</f>
        <v>1.9927798109894046</v>
      </c>
      <c r="N62" s="28">
        <f>SUM(K62:M62)</f>
        <v>201.33555716351125</v>
      </c>
    </row>
    <row r="63" spans="1:14" x14ac:dyDescent="0.2">
      <c r="A63" s="26" t="s">
        <v>40</v>
      </c>
      <c r="B63" s="18" t="s">
        <v>248</v>
      </c>
      <c r="C63" s="18">
        <v>39</v>
      </c>
      <c r="D63" s="18">
        <v>67.111885185199995</v>
      </c>
      <c r="E63" s="18">
        <v>0.68856066602197097</v>
      </c>
      <c r="F63" s="30">
        <v>0.68856066602197097</v>
      </c>
      <c r="G63" s="295">
        <f>F63*I$21</f>
        <v>7.505311259639484</v>
      </c>
      <c r="J63" s="282" t="s">
        <v>41</v>
      </c>
      <c r="K63" s="31">
        <f>G77+G80+G81</f>
        <v>31.107746790496513</v>
      </c>
      <c r="L63" s="31">
        <f>G78+G82</f>
        <v>1.0097241088839242</v>
      </c>
      <c r="M63" s="31">
        <f>G79+G83</f>
        <v>5.4174247133376308E-3</v>
      </c>
      <c r="N63" s="28">
        <f t="shared" ref="N63:N65" si="8">SUM(K63:M63)</f>
        <v>32.122888324093772</v>
      </c>
    </row>
    <row r="64" spans="1:14" x14ac:dyDescent="0.2">
      <c r="A64" s="26" t="s">
        <v>40</v>
      </c>
      <c r="B64" s="18" t="s">
        <v>88</v>
      </c>
      <c r="C64" s="18">
        <v>39</v>
      </c>
      <c r="D64" s="18">
        <v>11.242236952000001</v>
      </c>
      <c r="E64" s="18">
        <v>0.12423404220018672</v>
      </c>
      <c r="F64" s="30">
        <v>0.12423404220018672</v>
      </c>
      <c r="G64" s="295">
        <f>F64*I$22</f>
        <v>0.39754893504059752</v>
      </c>
      <c r="J64" s="282" t="s">
        <v>36</v>
      </c>
      <c r="K64" s="31">
        <f>G84+G87+G90+G93+G96+G99</f>
        <v>5.617343816371104</v>
      </c>
      <c r="L64" s="31">
        <f>G85+G88+G91+G94+G97+G100</f>
        <v>48.81255449981564</v>
      </c>
      <c r="M64" s="31">
        <f>G86+G89+G92+G95+G98+G101</f>
        <v>10.649470601866998</v>
      </c>
      <c r="N64" s="28">
        <f t="shared" si="8"/>
        <v>65.079368918053746</v>
      </c>
    </row>
    <row r="65" spans="1:14" x14ac:dyDescent="0.2">
      <c r="A65" s="26" t="s">
        <v>40</v>
      </c>
      <c r="B65" s="82" t="s">
        <v>56</v>
      </c>
      <c r="C65" s="18">
        <v>41</v>
      </c>
      <c r="D65" s="18">
        <v>5.7158500699400001</v>
      </c>
      <c r="E65" s="18">
        <v>0.28635053065472776</v>
      </c>
      <c r="F65" s="30">
        <v>0.28635053065472776</v>
      </c>
      <c r="G65" s="295">
        <f>F65*I$26</f>
        <v>2.8921403596127502</v>
      </c>
      <c r="J65" s="282" t="s">
        <v>43</v>
      </c>
      <c r="K65" s="31">
        <f>G102+G105</f>
        <v>114.48976592818057</v>
      </c>
      <c r="L65" s="31">
        <f>G103+G106</f>
        <v>62.513492876406161</v>
      </c>
      <c r="M65" s="31">
        <f>G104+G107</f>
        <v>3.2523321624302612</v>
      </c>
      <c r="N65" s="28">
        <f t="shared" si="8"/>
        <v>180.25559096701699</v>
      </c>
    </row>
    <row r="66" spans="1:14" ht="13.5" thickBot="1" x14ac:dyDescent="0.25">
      <c r="A66" s="26" t="s">
        <v>40</v>
      </c>
      <c r="B66" s="18" t="s">
        <v>248</v>
      </c>
      <c r="C66" s="18">
        <v>41</v>
      </c>
      <c r="D66" s="18">
        <v>44.727791092399997</v>
      </c>
      <c r="E66" s="18">
        <v>0.16326289273609806</v>
      </c>
      <c r="F66" s="30">
        <v>0.16326289273609806</v>
      </c>
      <c r="G66" s="295">
        <f>F66*I$27</f>
        <v>5.5999172208481633</v>
      </c>
      <c r="J66" s="63"/>
      <c r="K66" s="42"/>
      <c r="L66" s="42"/>
      <c r="M66" s="296" t="s">
        <v>15</v>
      </c>
      <c r="N66" s="349">
        <f>SUM(N62:N65)</f>
        <v>478.79340537267575</v>
      </c>
    </row>
    <row r="67" spans="1:14" ht="13.5" thickBot="1" x14ac:dyDescent="0.25">
      <c r="A67" s="26" t="s">
        <v>40</v>
      </c>
      <c r="B67" s="18" t="s">
        <v>88</v>
      </c>
      <c r="C67" s="18">
        <v>41</v>
      </c>
      <c r="D67" s="18">
        <v>42.244646755799998</v>
      </c>
      <c r="E67" s="18">
        <v>0.11691825592645091</v>
      </c>
      <c r="F67" s="30">
        <v>0.11691825592645091</v>
      </c>
      <c r="G67" s="295">
        <f>F67*I$28</f>
        <v>0.72489318674399572</v>
      </c>
    </row>
    <row r="68" spans="1:14" ht="63.75" x14ac:dyDescent="0.2">
      <c r="A68" s="26" t="s">
        <v>40</v>
      </c>
      <c r="B68" s="82" t="s">
        <v>56</v>
      </c>
      <c r="C68" s="18">
        <v>42</v>
      </c>
      <c r="D68" s="18">
        <v>10.4390713203</v>
      </c>
      <c r="E68" s="18">
        <v>0.65839311454128635</v>
      </c>
      <c r="F68" s="30">
        <v>0.65839311454128635</v>
      </c>
      <c r="G68" s="295">
        <f>F68*I$29</f>
        <v>4.7404304246972622</v>
      </c>
      <c r="J68" s="350" t="s">
        <v>289</v>
      </c>
      <c r="K68" s="351" t="s">
        <v>345</v>
      </c>
      <c r="L68" s="352" t="s">
        <v>291</v>
      </c>
      <c r="M68" s="353" t="s">
        <v>344</v>
      </c>
    </row>
    <row r="69" spans="1:14" x14ac:dyDescent="0.2">
      <c r="A69" s="26" t="s">
        <v>40</v>
      </c>
      <c r="B69" s="18" t="s">
        <v>248</v>
      </c>
      <c r="C69" s="18">
        <v>42</v>
      </c>
      <c r="D69" s="18">
        <v>57.358128529600002</v>
      </c>
      <c r="E69" s="18">
        <v>0.68218580892401393</v>
      </c>
      <c r="F69" s="30">
        <v>0.68218580892401393</v>
      </c>
      <c r="G69" s="295">
        <f>F69*I$30</f>
        <v>7.913355383518561</v>
      </c>
      <c r="J69" s="36" t="s">
        <v>40</v>
      </c>
      <c r="K69" s="31">
        <v>211.89429373246139</v>
      </c>
      <c r="L69" s="40">
        <f>N62</f>
        <v>201.33555716351125</v>
      </c>
      <c r="M69" s="28">
        <f>L69-K69</f>
        <v>-10.558736568950138</v>
      </c>
    </row>
    <row r="70" spans="1:14" x14ac:dyDescent="0.2">
      <c r="A70" s="26" t="s">
        <v>40</v>
      </c>
      <c r="B70" s="18" t="s">
        <v>88</v>
      </c>
      <c r="C70" s="18">
        <v>42</v>
      </c>
      <c r="D70" s="18">
        <v>34.059983723400002</v>
      </c>
      <c r="E70" s="18">
        <v>0.58654268335787363</v>
      </c>
      <c r="F70" s="30">
        <v>0.58654268335787363</v>
      </c>
      <c r="G70" s="295">
        <f>F70*I$31</f>
        <v>0.58654268335787363</v>
      </c>
      <c r="J70" s="36" t="s">
        <v>41</v>
      </c>
      <c r="K70" s="31">
        <v>28.985280656211735</v>
      </c>
      <c r="L70" s="40">
        <f>N63</f>
        <v>32.122888324093772</v>
      </c>
      <c r="M70" s="28">
        <f t="shared" ref="M70:M72" si="9">L70-K70</f>
        <v>3.1376076678820368</v>
      </c>
    </row>
    <row r="71" spans="1:14" x14ac:dyDescent="0.2">
      <c r="A71" s="26" t="s">
        <v>40</v>
      </c>
      <c r="B71" s="82" t="s">
        <v>56</v>
      </c>
      <c r="C71" s="18">
        <v>43</v>
      </c>
      <c r="D71" s="18">
        <v>44.810395880400002</v>
      </c>
      <c r="E71" s="18">
        <v>0.94859107936367371</v>
      </c>
      <c r="F71" s="30">
        <v>0.94859107936367371</v>
      </c>
      <c r="G71" s="295">
        <f>F71*I$32</f>
        <v>33.295546885664947</v>
      </c>
      <c r="J71" s="36" t="s">
        <v>36</v>
      </c>
      <c r="K71" s="31">
        <v>72.339687089196588</v>
      </c>
      <c r="L71" s="40">
        <f>N64</f>
        <v>65.079368918053746</v>
      </c>
      <c r="M71" s="28">
        <f t="shared" si="9"/>
        <v>-7.2603181711428419</v>
      </c>
    </row>
    <row r="72" spans="1:14" x14ac:dyDescent="0.2">
      <c r="A72" s="26" t="s">
        <v>40</v>
      </c>
      <c r="B72" s="18" t="s">
        <v>248</v>
      </c>
      <c r="C72" s="18">
        <v>43</v>
      </c>
      <c r="D72" s="18">
        <v>264.47106836299997</v>
      </c>
      <c r="E72" s="18">
        <v>0.93817732206161852</v>
      </c>
      <c r="F72" s="30">
        <v>0.93817732206161852</v>
      </c>
      <c r="G72" s="295">
        <f>F72*I$33</f>
        <v>45.783053316606981</v>
      </c>
      <c r="J72" s="36" t="s">
        <v>43</v>
      </c>
      <c r="K72" s="31">
        <v>165.52101224421969</v>
      </c>
      <c r="L72" s="40">
        <f>N65</f>
        <v>180.25559096701699</v>
      </c>
      <c r="M72" s="28">
        <f t="shared" si="9"/>
        <v>14.734578722797295</v>
      </c>
    </row>
    <row r="73" spans="1:14" ht="13.5" thickBot="1" x14ac:dyDescent="0.25">
      <c r="A73" s="26" t="s">
        <v>40</v>
      </c>
      <c r="B73" s="18" t="s">
        <v>88</v>
      </c>
      <c r="C73" s="18">
        <v>43</v>
      </c>
      <c r="D73" s="18">
        <v>35.770767627399998</v>
      </c>
      <c r="E73" s="18">
        <v>0.94598335282312507</v>
      </c>
      <c r="F73" s="30">
        <v>0.94598335282312507</v>
      </c>
      <c r="G73" s="295">
        <f>F73*I$34</f>
        <v>0.28379500584693751</v>
      </c>
      <c r="J73" s="59" t="s">
        <v>15</v>
      </c>
      <c r="K73" s="46">
        <v>478.74027372208946</v>
      </c>
      <c r="L73" s="205">
        <f>SUM(L69:L72)</f>
        <v>478.79340537267575</v>
      </c>
      <c r="M73" s="247"/>
    </row>
    <row r="74" spans="1:14" x14ac:dyDescent="0.2">
      <c r="A74" s="26" t="s">
        <v>40</v>
      </c>
      <c r="B74" s="82" t="s">
        <v>56</v>
      </c>
      <c r="C74" s="18">
        <v>44</v>
      </c>
      <c r="D74" s="18">
        <v>93.018902338700002</v>
      </c>
      <c r="E74" s="18">
        <v>0.83621785969876317</v>
      </c>
      <c r="F74" s="30">
        <v>0.83621785969876317</v>
      </c>
      <c r="G74" s="295">
        <f>F74*I$35</f>
        <v>63.13444840725662</v>
      </c>
      <c r="J74" s="326" t="s">
        <v>294</v>
      </c>
    </row>
    <row r="75" spans="1:14" x14ac:dyDescent="0.2">
      <c r="A75" s="26" t="s">
        <v>40</v>
      </c>
      <c r="B75" s="18" t="s">
        <v>248</v>
      </c>
      <c r="C75" s="18">
        <v>44</v>
      </c>
      <c r="D75" s="18">
        <v>104.736045688</v>
      </c>
      <c r="E75" s="18">
        <v>0.87403079121716221</v>
      </c>
      <c r="F75" s="30">
        <v>0.87403079121716221</v>
      </c>
      <c r="G75" s="295">
        <f>F75*I$36</f>
        <v>22.462591334281068</v>
      </c>
    </row>
    <row r="76" spans="1:14" x14ac:dyDescent="0.2">
      <c r="A76" s="26" t="s">
        <v>40</v>
      </c>
      <c r="B76" s="18" t="s">
        <v>88</v>
      </c>
      <c r="C76" s="18">
        <v>44</v>
      </c>
      <c r="D76" s="18">
        <v>24.029177715700001</v>
      </c>
      <c r="E76" s="18">
        <v>0.97721072904215767</v>
      </c>
      <c r="F76" s="30">
        <v>0.97721072904215767</v>
      </c>
      <c r="G76" s="295">
        <f>F76*I$37</f>
        <v>0</v>
      </c>
    </row>
    <row r="77" spans="1:14" x14ac:dyDescent="0.2">
      <c r="A77" s="26" t="s">
        <v>41</v>
      </c>
      <c r="B77" s="18" t="s">
        <v>247</v>
      </c>
      <c r="C77" s="18">
        <v>40</v>
      </c>
      <c r="D77" s="18">
        <v>20.139705663099999</v>
      </c>
      <c r="E77" s="18">
        <v>0.14712644282747694</v>
      </c>
      <c r="F77" s="30">
        <v>0.14712644282747694</v>
      </c>
      <c r="G77" s="295">
        <f>F77*I$23</f>
        <v>18.64092030624133</v>
      </c>
    </row>
    <row r="78" spans="1:14" x14ac:dyDescent="0.2">
      <c r="A78" s="26" t="s">
        <v>41</v>
      </c>
      <c r="B78" s="18" t="s">
        <v>248</v>
      </c>
      <c r="C78" s="18">
        <v>40</v>
      </c>
      <c r="D78" s="18">
        <v>2.8491218461900001</v>
      </c>
      <c r="E78" s="18">
        <v>5.3345485848931475E-3</v>
      </c>
      <c r="F78" s="30">
        <v>5.3345485848931475E-3</v>
      </c>
      <c r="G78" s="295">
        <f>F78*I$24</f>
        <v>0.37501876551798824</v>
      </c>
    </row>
    <row r="79" spans="1:14" x14ac:dyDescent="0.2">
      <c r="A79" s="26" t="s">
        <v>41</v>
      </c>
      <c r="B79" s="18" t="s">
        <v>88</v>
      </c>
      <c r="C79" s="18">
        <v>40</v>
      </c>
      <c r="D79" s="18">
        <v>0.20908523129500001</v>
      </c>
      <c r="E79" s="18">
        <v>1.0418124448726212E-3</v>
      </c>
      <c r="F79" s="30">
        <v>1.0418124448726212E-3</v>
      </c>
      <c r="G79" s="295">
        <f>F79*I$25</f>
        <v>5.4174247133376308E-3</v>
      </c>
    </row>
    <row r="80" spans="1:14" x14ac:dyDescent="0.2">
      <c r="A80" s="26" t="s">
        <v>41</v>
      </c>
      <c r="B80" s="82" t="s">
        <v>56</v>
      </c>
      <c r="C80" s="18">
        <v>41</v>
      </c>
      <c r="D80" s="18">
        <v>1.03007960477</v>
      </c>
      <c r="E80" s="18">
        <v>5.1604544876663994E-2</v>
      </c>
      <c r="F80" s="30">
        <v>5.1604544876663994E-2</v>
      </c>
      <c r="G80" s="295">
        <f>F80*I$26</f>
        <v>0.52120590325430627</v>
      </c>
    </row>
    <row r="81" spans="1:7" x14ac:dyDescent="0.2">
      <c r="A81" s="26" t="s">
        <v>41</v>
      </c>
      <c r="B81" s="82" t="s">
        <v>56</v>
      </c>
      <c r="C81" s="18">
        <v>44</v>
      </c>
      <c r="D81" s="18">
        <v>17.600035198400001</v>
      </c>
      <c r="E81" s="18">
        <v>0.15822014014570698</v>
      </c>
      <c r="F81" s="30">
        <v>0.15822014014570698</v>
      </c>
      <c r="G81" s="295">
        <f>F81*I$35</f>
        <v>11.945620581000878</v>
      </c>
    </row>
    <row r="82" spans="1:7" x14ac:dyDescent="0.2">
      <c r="A82" s="26" t="s">
        <v>41</v>
      </c>
      <c r="B82" s="18" t="s">
        <v>248</v>
      </c>
      <c r="C82" s="18">
        <v>44</v>
      </c>
      <c r="D82" s="18">
        <v>2.9594327231399999</v>
      </c>
      <c r="E82" s="18">
        <v>2.4696705967546143E-2</v>
      </c>
      <c r="F82" s="30">
        <v>2.4696705967546143E-2</v>
      </c>
      <c r="G82" s="295">
        <f>F82*I$36</f>
        <v>0.63470534336593587</v>
      </c>
    </row>
    <row r="83" spans="1:7" x14ac:dyDescent="0.2">
      <c r="A83" s="26" t="s">
        <v>41</v>
      </c>
      <c r="B83" s="18" t="s">
        <v>88</v>
      </c>
      <c r="C83" s="18">
        <v>44</v>
      </c>
      <c r="D83" s="18">
        <v>0.35226587290799999</v>
      </c>
      <c r="E83" s="18">
        <v>1.4325833141438841E-2</v>
      </c>
      <c r="F83" s="30">
        <v>1.4325833141438841E-2</v>
      </c>
      <c r="G83" s="295">
        <f>F83*I$37</f>
        <v>0</v>
      </c>
    </row>
    <row r="84" spans="1:7" x14ac:dyDescent="0.2">
      <c r="A84" s="26" t="s">
        <v>36</v>
      </c>
      <c r="B84" s="82" t="s">
        <v>56</v>
      </c>
      <c r="C84" s="18">
        <v>39</v>
      </c>
      <c r="D84" s="18">
        <v>2.5470641495600002</v>
      </c>
      <c r="E84" s="18">
        <v>8.8487460546059465E-2</v>
      </c>
      <c r="F84" s="30">
        <v>8.8487460546059465E-2</v>
      </c>
      <c r="G84" s="295">
        <f>F84*I$20</f>
        <v>0.58401723960399243</v>
      </c>
    </row>
    <row r="85" spans="1:7" x14ac:dyDescent="0.2">
      <c r="A85" s="26" t="s">
        <v>36</v>
      </c>
      <c r="B85" s="18" t="s">
        <v>248</v>
      </c>
      <c r="C85" s="18">
        <v>39</v>
      </c>
      <c r="D85" s="18">
        <v>30.355031670399999</v>
      </c>
      <c r="E85" s="18">
        <v>0.31143933397802909</v>
      </c>
      <c r="F85" s="30">
        <v>0.31143933397802909</v>
      </c>
      <c r="G85" s="295">
        <f>F85*I$21</f>
        <v>3.3946887403605173</v>
      </c>
    </row>
    <row r="86" spans="1:7" x14ac:dyDescent="0.2">
      <c r="A86" s="26" t="s">
        <v>36</v>
      </c>
      <c r="B86" s="18" t="s">
        <v>88</v>
      </c>
      <c r="C86" s="18">
        <v>39</v>
      </c>
      <c r="D86" s="18">
        <v>79.250165556200002</v>
      </c>
      <c r="E86" s="18">
        <v>0.87576595779981325</v>
      </c>
      <c r="F86" s="30">
        <v>0.87576595779981325</v>
      </c>
      <c r="G86" s="295">
        <f>F86*I$22</f>
        <v>2.8024510649594028</v>
      </c>
    </row>
    <row r="87" spans="1:7" x14ac:dyDescent="0.2">
      <c r="A87" s="26" t="s">
        <v>36</v>
      </c>
      <c r="B87" s="82" t="s">
        <v>56</v>
      </c>
      <c r="C87" s="18">
        <v>40</v>
      </c>
      <c r="D87" s="18">
        <v>0.26369505368200002</v>
      </c>
      <c r="E87" s="18">
        <v>1.9263695253757495E-3</v>
      </c>
      <c r="F87" s="30">
        <v>1.9263695253757495E-3</v>
      </c>
      <c r="G87" s="295">
        <f>F87*I$23</f>
        <v>0.24407101886510746</v>
      </c>
    </row>
    <row r="88" spans="1:7" x14ac:dyDescent="0.2">
      <c r="A88" s="26" t="s">
        <v>36</v>
      </c>
      <c r="B88" s="18" t="s">
        <v>248</v>
      </c>
      <c r="C88" s="18">
        <v>40</v>
      </c>
      <c r="D88" s="18">
        <v>61.026888508500001</v>
      </c>
      <c r="E88" s="18">
        <v>0.11426359394519923</v>
      </c>
      <c r="F88" s="30">
        <v>0.11426359394519923</v>
      </c>
      <c r="G88" s="295">
        <f>F88*I$24</f>
        <v>8.0327306543475068</v>
      </c>
    </row>
    <row r="89" spans="1:7" x14ac:dyDescent="0.2">
      <c r="A89" s="26" t="s">
        <v>36</v>
      </c>
      <c r="B89" s="18" t="s">
        <v>88</v>
      </c>
      <c r="C89" s="18">
        <v>40</v>
      </c>
      <c r="D89" s="18">
        <v>75.849250211099999</v>
      </c>
      <c r="E89" s="18">
        <v>0.37793531525280405</v>
      </c>
      <c r="F89" s="30">
        <v>0.37793531525280405</v>
      </c>
      <c r="G89" s="295">
        <f>F89*I$25</f>
        <v>1.965263639314581</v>
      </c>
    </row>
    <row r="90" spans="1:7" x14ac:dyDescent="0.2">
      <c r="A90" s="26" t="s">
        <v>36</v>
      </c>
      <c r="B90" s="82" t="s">
        <v>56</v>
      </c>
      <c r="C90" s="18">
        <v>41</v>
      </c>
      <c r="D90" s="18">
        <v>2.3511486154800001E-2</v>
      </c>
      <c r="E90" s="18">
        <v>1.0425926388288827E-2</v>
      </c>
      <c r="F90" s="30">
        <v>1.0425926388288827E-2</v>
      </c>
      <c r="G90" s="295">
        <f>F90*I$26</f>
        <v>0.10530185652171714</v>
      </c>
    </row>
    <row r="91" spans="1:7" x14ac:dyDescent="0.2">
      <c r="A91" s="26" t="s">
        <v>36</v>
      </c>
      <c r="B91" s="18" t="s">
        <v>248</v>
      </c>
      <c r="C91" s="18">
        <v>41</v>
      </c>
      <c r="D91" s="18">
        <v>224.27197790700001</v>
      </c>
      <c r="E91" s="18">
        <v>0.81862508696443648</v>
      </c>
      <c r="F91" s="30">
        <v>0.81862508696443648</v>
      </c>
      <c r="G91" s="295">
        <f>F91*I$27</f>
        <v>28.078840482880167</v>
      </c>
    </row>
    <row r="92" spans="1:7" x14ac:dyDescent="0.2">
      <c r="A92" s="26" t="s">
        <v>36</v>
      </c>
      <c r="B92" s="18" t="s">
        <v>88</v>
      </c>
      <c r="C92" s="18">
        <v>41</v>
      </c>
      <c r="D92" s="18">
        <v>317.73200778500001</v>
      </c>
      <c r="E92" s="18">
        <v>0.87936993335448788</v>
      </c>
      <c r="F92" s="30">
        <v>0.87936993335448788</v>
      </c>
      <c r="G92" s="295">
        <f>F92*I$28</f>
        <v>5.4520935867978251</v>
      </c>
    </row>
    <row r="93" spans="1:7" x14ac:dyDescent="0.2">
      <c r="A93" s="26" t="s">
        <v>36</v>
      </c>
      <c r="B93" s="82" t="s">
        <v>56</v>
      </c>
      <c r="C93" s="18">
        <v>42</v>
      </c>
      <c r="D93" s="18">
        <v>5.4163060974499997</v>
      </c>
      <c r="E93" s="18">
        <v>0.3416068854587137</v>
      </c>
      <c r="F93" s="30">
        <v>0.3416068854587137</v>
      </c>
      <c r="G93" s="295">
        <f>F93*I$29</f>
        <v>2.4595695753027389</v>
      </c>
    </row>
    <row r="94" spans="1:7" x14ac:dyDescent="0.2">
      <c r="A94" s="26" t="s">
        <v>36</v>
      </c>
      <c r="B94" s="18" t="s">
        <v>248</v>
      </c>
      <c r="C94" s="18">
        <v>42</v>
      </c>
      <c r="D94" s="18">
        <v>26.721791895700001</v>
      </c>
      <c r="E94" s="18">
        <v>0.31781419107598607</v>
      </c>
      <c r="F94" s="30">
        <v>0.31781419107598607</v>
      </c>
      <c r="G94" s="295">
        <f>F94*I$30</f>
        <v>3.6866446164814382</v>
      </c>
    </row>
    <row r="95" spans="1:7" x14ac:dyDescent="0.2">
      <c r="A95" s="26" t="s">
        <v>36</v>
      </c>
      <c r="B95" s="18" t="s">
        <v>88</v>
      </c>
      <c r="C95" s="18">
        <v>42</v>
      </c>
      <c r="D95" s="18">
        <v>24.009078750299999</v>
      </c>
      <c r="E95" s="18">
        <v>0.41345731664212637</v>
      </c>
      <c r="F95" s="30">
        <v>0.41345731664212637</v>
      </c>
      <c r="G95" s="295">
        <f>F95*I$31</f>
        <v>0.41345731664212637</v>
      </c>
    </row>
    <row r="96" spans="1:7" x14ac:dyDescent="0.2">
      <c r="A96" s="26" t="s">
        <v>36</v>
      </c>
      <c r="B96" s="82" t="s">
        <v>56</v>
      </c>
      <c r="C96" s="18">
        <v>43</v>
      </c>
      <c r="D96" s="18">
        <v>2.4285006844499999</v>
      </c>
      <c r="E96" s="18">
        <v>5.140892063632628E-2</v>
      </c>
      <c r="F96" s="30">
        <v>5.140892063632628E-2</v>
      </c>
      <c r="G96" s="295">
        <f>F96*I$32</f>
        <v>1.8044531143350524</v>
      </c>
    </row>
    <row r="97" spans="1:7" x14ac:dyDescent="0.2">
      <c r="A97" s="26" t="s">
        <v>36</v>
      </c>
      <c r="B97" s="18" t="s">
        <v>248</v>
      </c>
      <c r="C97" s="18">
        <v>43</v>
      </c>
      <c r="D97" s="18">
        <v>17.427739190600001</v>
      </c>
      <c r="E97" s="18">
        <v>6.1822677938381511E-2</v>
      </c>
      <c r="F97" s="30">
        <v>6.1822677938381511E-2</v>
      </c>
      <c r="G97" s="295">
        <f>F97*I$33</f>
        <v>3.0169466833930176</v>
      </c>
    </row>
    <row r="98" spans="1:7" x14ac:dyDescent="0.2">
      <c r="A98" s="26" t="s">
        <v>36</v>
      </c>
      <c r="B98" s="18" t="s">
        <v>88</v>
      </c>
      <c r="C98" s="18">
        <v>43</v>
      </c>
      <c r="D98" s="18">
        <v>2.0425485590300001</v>
      </c>
      <c r="E98" s="18">
        <v>5.4016647176874849E-2</v>
      </c>
      <c r="F98" s="30">
        <v>5.4016647176874849E-2</v>
      </c>
      <c r="G98" s="295">
        <f>F98*I$34</f>
        <v>1.6204994153062455E-2</v>
      </c>
    </row>
    <row r="99" spans="1:7" x14ac:dyDescent="0.2">
      <c r="A99" s="26" t="s">
        <v>36</v>
      </c>
      <c r="B99" s="82" t="s">
        <v>56</v>
      </c>
      <c r="C99" s="18">
        <v>44</v>
      </c>
      <c r="D99" s="18">
        <v>0.61870377829699996</v>
      </c>
      <c r="E99" s="18">
        <v>5.5620001555297428E-3</v>
      </c>
      <c r="F99" s="30">
        <v>5.5620001555297428E-3</v>
      </c>
      <c r="G99" s="295">
        <f>F99*I$35</f>
        <v>0.41993101174249559</v>
      </c>
    </row>
    <row r="100" spans="1:7" x14ac:dyDescent="0.2">
      <c r="A100" s="26" t="s">
        <v>36</v>
      </c>
      <c r="B100" s="18" t="s">
        <v>248</v>
      </c>
      <c r="C100" s="18">
        <v>44</v>
      </c>
      <c r="D100" s="18">
        <v>12.1355924624</v>
      </c>
      <c r="E100" s="18">
        <v>0.10127250281529171</v>
      </c>
      <c r="F100" s="30">
        <v>0.10127250281529171</v>
      </c>
      <c r="G100" s="295">
        <f>F100*I$36</f>
        <v>2.6027033223529967</v>
      </c>
    </row>
    <row r="101" spans="1:7" x14ac:dyDescent="0.2">
      <c r="A101" s="26" t="s">
        <v>36</v>
      </c>
      <c r="B101" s="18" t="s">
        <v>88</v>
      </c>
      <c r="C101" s="18">
        <v>44</v>
      </c>
      <c r="D101" s="18">
        <v>0.20811217614800001</v>
      </c>
      <c r="E101" s="18">
        <v>8.4634378164035566E-3</v>
      </c>
      <c r="F101" s="30">
        <v>8.4634378164035566E-3</v>
      </c>
      <c r="G101" s="295">
        <f>F101*I$37</f>
        <v>0</v>
      </c>
    </row>
    <row r="102" spans="1:7" x14ac:dyDescent="0.2">
      <c r="A102" s="26" t="s">
        <v>43</v>
      </c>
      <c r="B102" s="82" t="s">
        <v>56</v>
      </c>
      <c r="C102" s="18">
        <v>40</v>
      </c>
      <c r="D102" s="18">
        <v>116.483655587</v>
      </c>
      <c r="E102" s="18">
        <v>0.85094718764714727</v>
      </c>
      <c r="F102" s="30">
        <v>0.85094718764714727</v>
      </c>
      <c r="G102" s="295">
        <f>F102*I$23</f>
        <v>107.81500867489356</v>
      </c>
    </row>
    <row r="103" spans="1:7" x14ac:dyDescent="0.2">
      <c r="A103" s="26" t="s">
        <v>43</v>
      </c>
      <c r="B103" s="18" t="s">
        <v>248</v>
      </c>
      <c r="C103" s="18">
        <v>40</v>
      </c>
      <c r="D103" s="18">
        <v>470.21263854400001</v>
      </c>
      <c r="E103" s="18">
        <v>0.88040185746990751</v>
      </c>
      <c r="F103" s="30">
        <v>0.88040185746990751</v>
      </c>
      <c r="G103" s="295">
        <f>F103*I$24</f>
        <v>61.892250580134494</v>
      </c>
    </row>
    <row r="104" spans="1:7" x14ac:dyDescent="0.2">
      <c r="A104" s="26" t="s">
        <v>43</v>
      </c>
      <c r="B104" s="18" t="s">
        <v>88</v>
      </c>
      <c r="C104" s="18">
        <v>40</v>
      </c>
      <c r="D104" s="18">
        <v>124.63540009899999</v>
      </c>
      <c r="E104" s="18">
        <v>0.62102287230232334</v>
      </c>
      <c r="F104" s="30">
        <v>0.62102287230232334</v>
      </c>
      <c r="G104" s="295">
        <f>F104*I$25</f>
        <v>3.2293189359720813</v>
      </c>
    </row>
    <row r="105" spans="1:7" x14ac:dyDescent="0.2">
      <c r="A105" s="26" t="s">
        <v>43</v>
      </c>
      <c r="B105" s="82" t="s">
        <v>56</v>
      </c>
      <c r="C105" s="18">
        <v>41</v>
      </c>
      <c r="D105" s="18">
        <v>13.1915837301</v>
      </c>
      <c r="E105" s="18">
        <v>0.6608670547808928</v>
      </c>
      <c r="F105" s="30">
        <v>0.6608670547808928</v>
      </c>
      <c r="G105" s="295">
        <f>F105*I$26</f>
        <v>6.6747572532870167</v>
      </c>
    </row>
    <row r="106" spans="1:7" x14ac:dyDescent="0.2">
      <c r="A106" s="26" t="s">
        <v>43</v>
      </c>
      <c r="B106" s="18" t="s">
        <v>248</v>
      </c>
      <c r="C106" s="18">
        <v>41</v>
      </c>
      <c r="D106" s="18">
        <v>4.9620011420800001</v>
      </c>
      <c r="E106" s="18">
        <v>1.8112020299465549E-2</v>
      </c>
      <c r="F106" s="30">
        <v>1.8112020299465549E-2</v>
      </c>
      <c r="G106" s="295">
        <f>F106*I$27</f>
        <v>0.62124229627166827</v>
      </c>
    </row>
    <row r="107" spans="1:7" x14ac:dyDescent="0.2">
      <c r="A107" s="26" t="s">
        <v>43</v>
      </c>
      <c r="B107" s="18" t="s">
        <v>88</v>
      </c>
      <c r="C107" s="18">
        <v>41</v>
      </c>
      <c r="D107" s="18">
        <v>1.3411432749200001</v>
      </c>
      <c r="E107" s="18">
        <v>3.7118107190612644E-3</v>
      </c>
      <c r="F107" s="30">
        <v>3.7118107190612644E-3</v>
      </c>
      <c r="G107" s="295">
        <f>F107*I$28</f>
        <v>2.3013226458179839E-2</v>
      </c>
    </row>
    <row r="108" spans="1:7" ht="13.5" thickBot="1" x14ac:dyDescent="0.25">
      <c r="A108" s="63"/>
      <c r="B108" s="42"/>
      <c r="C108" s="296" t="s">
        <v>15</v>
      </c>
      <c r="D108" s="42"/>
      <c r="E108" s="42"/>
      <c r="F108" s="42"/>
      <c r="G108" s="297">
        <f>SUM(G62:G107)</f>
        <v>478.79340537267569</v>
      </c>
    </row>
  </sheetData>
  <mergeCells count="3">
    <mergeCell ref="A1:G1"/>
    <mergeCell ref="J51:J52"/>
    <mergeCell ref="K51:M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86"/>
  <sheetViews>
    <sheetView view="pageLayout" zoomScaleNormal="90" zoomScaleSheetLayoutView="70" workbookViewId="0">
      <selection activeCell="G10" sqref="G10"/>
    </sheetView>
  </sheetViews>
  <sheetFormatPr defaultRowHeight="14.25" x14ac:dyDescent="0.2"/>
  <cols>
    <col min="1" max="1" width="28.28515625" style="94" customWidth="1"/>
    <col min="2" max="2" width="13.42578125" style="94" customWidth="1"/>
    <col min="3" max="3" width="14.28515625" style="94" customWidth="1"/>
    <col min="4" max="4" width="13.85546875" style="94" customWidth="1"/>
    <col min="5" max="5" width="12.7109375" style="94" customWidth="1"/>
    <col min="6" max="6" width="17.7109375" style="94" customWidth="1"/>
    <col min="7" max="7" width="17" style="94" customWidth="1"/>
    <col min="8" max="8" width="16.85546875" style="94" customWidth="1"/>
    <col min="10" max="10" width="27.5703125" customWidth="1"/>
    <col min="11" max="11" width="13.5703125" customWidth="1"/>
    <col min="12" max="12" width="12.85546875" customWidth="1"/>
    <col min="13" max="13" width="12.28515625" customWidth="1"/>
    <col min="14" max="14" width="14" customWidth="1"/>
    <col min="15" max="15" width="13.85546875" customWidth="1"/>
  </cols>
  <sheetData>
    <row r="1" spans="1:8" s="35" customFormat="1" ht="15" thickBot="1" x14ac:dyDescent="0.25">
      <c r="A1" s="94"/>
      <c r="B1" s="94"/>
      <c r="C1" s="94"/>
      <c r="D1" s="94"/>
      <c r="E1" s="94"/>
      <c r="F1" s="94"/>
      <c r="G1" s="94"/>
      <c r="H1" s="94"/>
    </row>
    <row r="2" spans="1:8" s="35" customFormat="1" ht="15.75" thickBot="1" x14ac:dyDescent="0.3">
      <c r="A2" s="678" t="s">
        <v>218</v>
      </c>
      <c r="B2" s="679"/>
      <c r="C2" s="679"/>
      <c r="D2" s="679"/>
      <c r="E2" s="679"/>
      <c r="F2" s="680"/>
      <c r="G2" s="94"/>
      <c r="H2" s="94"/>
    </row>
    <row r="3" spans="1:8" ht="30" x14ac:dyDescent="0.25">
      <c r="A3" s="49" t="s">
        <v>221</v>
      </c>
      <c r="B3" s="97" t="s">
        <v>55</v>
      </c>
      <c r="C3" s="97" t="s">
        <v>11</v>
      </c>
      <c r="D3" s="97" t="s">
        <v>13</v>
      </c>
      <c r="E3" s="97" t="s">
        <v>12</v>
      </c>
      <c r="F3" s="135" t="s">
        <v>151</v>
      </c>
    </row>
    <row r="4" spans="1:8" ht="15" x14ac:dyDescent="0.25">
      <c r="A4" s="49" t="s">
        <v>48</v>
      </c>
      <c r="B4" s="98"/>
      <c r="C4" s="98">
        <v>40.388842702735609</v>
      </c>
      <c r="D4" s="98"/>
      <c r="E4" s="98"/>
      <c r="F4" s="108">
        <f>SUM(B4:E4)</f>
        <v>40.388842702735609</v>
      </c>
    </row>
    <row r="5" spans="1:8" ht="15" x14ac:dyDescent="0.25">
      <c r="A5" s="49" t="s">
        <v>34</v>
      </c>
      <c r="B5" s="98">
        <f>'Palatlakaha allocate'!E28</f>
        <v>16.592134898625385</v>
      </c>
      <c r="C5" s="98"/>
      <c r="D5" s="98"/>
      <c r="E5" s="98"/>
      <c r="F5" s="108">
        <f t="shared" ref="F5:F18" si="0">SUM(B5:E5)</f>
        <v>16.592134898625385</v>
      </c>
    </row>
    <row r="6" spans="1:8" ht="15" x14ac:dyDescent="0.25">
      <c r="A6" s="49" t="s">
        <v>40</v>
      </c>
      <c r="B6" s="98"/>
      <c r="C6" s="98"/>
      <c r="D6" s="98"/>
      <c r="E6" s="98">
        <v>46.031960812781413</v>
      </c>
      <c r="F6" s="108">
        <f t="shared" si="0"/>
        <v>46.031960812781413</v>
      </c>
    </row>
    <row r="7" spans="1:8" ht="15" x14ac:dyDescent="0.25">
      <c r="A7" s="49" t="s">
        <v>41</v>
      </c>
      <c r="B7" s="98"/>
      <c r="C7" s="98">
        <v>21.823481252128417</v>
      </c>
      <c r="D7" s="98">
        <v>2.0776865836192471</v>
      </c>
      <c r="E7" s="98">
        <v>6.4483952819310595</v>
      </c>
      <c r="F7" s="108">
        <f t="shared" si="0"/>
        <v>30.349563117678724</v>
      </c>
    </row>
    <row r="8" spans="1:8" ht="15" x14ac:dyDescent="0.25">
      <c r="A8" s="49" t="s">
        <v>35</v>
      </c>
      <c r="B8" s="98">
        <f>'Palatlakaha allocate'!E29</f>
        <v>93.969716862673408</v>
      </c>
      <c r="C8" s="98"/>
      <c r="D8" s="98"/>
      <c r="E8" s="98"/>
      <c r="F8" s="108">
        <f t="shared" si="0"/>
        <v>93.969716862673408</v>
      </c>
    </row>
    <row r="9" spans="1:8" ht="15" x14ac:dyDescent="0.25">
      <c r="A9" s="49" t="s">
        <v>49</v>
      </c>
      <c r="B9" s="98"/>
      <c r="C9" s="98">
        <v>30.083913483469665</v>
      </c>
      <c r="D9" s="98"/>
      <c r="E9" s="98"/>
      <c r="F9" s="108">
        <f t="shared" si="0"/>
        <v>30.083913483469665</v>
      </c>
    </row>
    <row r="10" spans="1:8" ht="15" x14ac:dyDescent="0.25">
      <c r="A10" s="49" t="s">
        <v>36</v>
      </c>
      <c r="B10" s="98">
        <f>'Palatlakaha allocate'!E30</f>
        <v>302.21225220743446</v>
      </c>
      <c r="C10" s="98">
        <v>472.19629900826692</v>
      </c>
      <c r="D10" s="98">
        <v>20.169182374571971</v>
      </c>
      <c r="E10" s="98">
        <v>220.93993893835568</v>
      </c>
      <c r="F10" s="108">
        <f t="shared" si="0"/>
        <v>1015.5176725286291</v>
      </c>
    </row>
    <row r="11" spans="1:8" ht="15" x14ac:dyDescent="0.25">
      <c r="A11" s="49" t="s">
        <v>37</v>
      </c>
      <c r="B11" s="98">
        <f>'Palatlakaha allocate'!E31</f>
        <v>26.610095540726679</v>
      </c>
      <c r="C11" s="98">
        <v>368.91931748658044</v>
      </c>
      <c r="D11" s="98"/>
      <c r="E11" s="98"/>
      <c r="F11" s="108">
        <f t="shared" si="0"/>
        <v>395.5294130273071</v>
      </c>
    </row>
    <row r="12" spans="1:8" ht="15" x14ac:dyDescent="0.25">
      <c r="A12" s="49" t="s">
        <v>42</v>
      </c>
      <c r="B12" s="98"/>
      <c r="C12" s="98"/>
      <c r="D12" s="98"/>
      <c r="E12" s="98">
        <v>62.557597178643064</v>
      </c>
      <c r="F12" s="108">
        <f t="shared" si="0"/>
        <v>62.557597178643064</v>
      </c>
    </row>
    <row r="13" spans="1:8" ht="15" x14ac:dyDescent="0.25">
      <c r="A13" s="49" t="s">
        <v>38</v>
      </c>
      <c r="B13" s="98">
        <f>'Palatlakaha allocate'!E32</f>
        <v>2.5523036217063337</v>
      </c>
      <c r="C13" s="98"/>
      <c r="D13" s="98"/>
      <c r="E13" s="98"/>
      <c r="F13" s="108">
        <f t="shared" si="0"/>
        <v>2.5523036217063337</v>
      </c>
    </row>
    <row r="14" spans="1:8" ht="15" x14ac:dyDescent="0.25">
      <c r="A14" s="49" t="s">
        <v>39</v>
      </c>
      <c r="B14" s="99">
        <f>'Palatlakaha allocate'!E33</f>
        <v>5.1555898920894911</v>
      </c>
      <c r="C14" s="98"/>
      <c r="D14" s="98"/>
      <c r="E14" s="98"/>
      <c r="F14" s="108">
        <f t="shared" si="0"/>
        <v>5.1555898920894911</v>
      </c>
    </row>
    <row r="15" spans="1:8" ht="15" x14ac:dyDescent="0.25">
      <c r="A15" s="49" t="s">
        <v>47</v>
      </c>
      <c r="B15" s="98"/>
      <c r="C15" s="98"/>
      <c r="D15" s="98">
        <v>95.753131041808771</v>
      </c>
      <c r="E15" s="98"/>
      <c r="F15" s="108">
        <f t="shared" si="0"/>
        <v>95.753131041808771</v>
      </c>
    </row>
    <row r="16" spans="1:8" ht="15" x14ac:dyDescent="0.25">
      <c r="A16" s="49" t="s">
        <v>50</v>
      </c>
      <c r="B16" s="98"/>
      <c r="C16" s="98">
        <v>92.950013116814389</v>
      </c>
      <c r="D16" s="98"/>
      <c r="E16" s="98"/>
      <c r="F16" s="108">
        <f t="shared" si="0"/>
        <v>92.950013116814389</v>
      </c>
    </row>
    <row r="17" spans="1:8" ht="15" x14ac:dyDescent="0.25">
      <c r="A17" s="49" t="s">
        <v>43</v>
      </c>
      <c r="B17" s="98"/>
      <c r="C17" s="98"/>
      <c r="D17" s="98"/>
      <c r="E17" s="98">
        <v>22.776376080971687</v>
      </c>
      <c r="F17" s="108">
        <f t="shared" si="0"/>
        <v>22.776376080971687</v>
      </c>
    </row>
    <row r="18" spans="1:8" ht="15" x14ac:dyDescent="0.25">
      <c r="A18" s="49" t="s">
        <v>51</v>
      </c>
      <c r="B18" s="98"/>
      <c r="C18" s="98">
        <v>1.7381329500045335</v>
      </c>
      <c r="D18" s="98"/>
      <c r="E18" s="98"/>
      <c r="F18" s="108">
        <f t="shared" si="0"/>
        <v>1.7381329500045335</v>
      </c>
    </row>
    <row r="19" spans="1:8" ht="15.75" thickBot="1" x14ac:dyDescent="0.3">
      <c r="A19" s="101" t="s">
        <v>153</v>
      </c>
      <c r="B19" s="102">
        <f>SUM(B4:B18)</f>
        <v>447.09209302325576</v>
      </c>
      <c r="C19" s="102">
        <f t="shared" ref="C19:E19" si="1">SUM(C4:C18)</f>
        <v>1028.0999999999999</v>
      </c>
      <c r="D19" s="102">
        <f t="shared" si="1"/>
        <v>117.99999999999999</v>
      </c>
      <c r="E19" s="102">
        <f t="shared" si="1"/>
        <v>358.75426829268292</v>
      </c>
      <c r="F19" s="109">
        <f>SUM(F4:F18)</f>
        <v>1951.9463613159387</v>
      </c>
    </row>
    <row r="20" spans="1:8" ht="15" thickBot="1" x14ac:dyDescent="0.25"/>
    <row r="21" spans="1:8" s="35" customFormat="1" ht="15.75" thickBot="1" x14ac:dyDescent="0.3">
      <c r="A21" s="681" t="s">
        <v>219</v>
      </c>
      <c r="B21" s="682"/>
      <c r="C21" s="682"/>
      <c r="D21" s="682"/>
      <c r="E21" s="682"/>
      <c r="F21" s="683"/>
      <c r="G21" s="94"/>
      <c r="H21" s="94"/>
    </row>
    <row r="22" spans="1:8" s="35" customFormat="1" ht="30" x14ac:dyDescent="0.25">
      <c r="A22" s="114"/>
      <c r="B22" s="136" t="s">
        <v>13</v>
      </c>
      <c r="C22" s="136" t="s">
        <v>12</v>
      </c>
      <c r="D22" s="136" t="s">
        <v>11</v>
      </c>
      <c r="E22" s="136" t="s">
        <v>10</v>
      </c>
      <c r="F22" s="137" t="s">
        <v>78</v>
      </c>
      <c r="G22" s="94"/>
      <c r="H22" s="94"/>
    </row>
    <row r="23" spans="1:8" s="35" customFormat="1" ht="15" x14ac:dyDescent="0.25">
      <c r="A23" s="115" t="s">
        <v>62</v>
      </c>
      <c r="B23" s="98">
        <v>16.242174468553152</v>
      </c>
      <c r="C23" s="98">
        <v>459.75849138151312</v>
      </c>
      <c r="D23" s="98">
        <v>2205.5715801979231</v>
      </c>
      <c r="E23" s="98">
        <v>280.61564359897233</v>
      </c>
      <c r="F23" s="116">
        <v>696.6</v>
      </c>
      <c r="G23" s="94"/>
      <c r="H23" s="94"/>
    </row>
    <row r="24" spans="1:8" s="35" customFormat="1" ht="15" x14ac:dyDescent="0.25">
      <c r="A24" s="115" t="s">
        <v>63</v>
      </c>
      <c r="B24" s="98">
        <v>57.193940048461151</v>
      </c>
      <c r="C24" s="98">
        <v>185.29632659962397</v>
      </c>
      <c r="D24" s="98">
        <v>804.56234936115527</v>
      </c>
      <c r="E24" s="98">
        <v>216.49906866666666</v>
      </c>
      <c r="F24" s="116">
        <v>469.6</v>
      </c>
      <c r="G24" s="94"/>
      <c r="H24" s="94"/>
    </row>
    <row r="25" spans="1:8" s="35" customFormat="1" ht="15" x14ac:dyDescent="0.25">
      <c r="A25" s="115" t="s">
        <v>64</v>
      </c>
      <c r="B25" s="98">
        <v>47.619932295425762</v>
      </c>
      <c r="C25" s="98">
        <v>47.943200540391011</v>
      </c>
      <c r="D25" s="98">
        <v>284.44991161975202</v>
      </c>
      <c r="E25" s="98">
        <v>17.170159666666667</v>
      </c>
      <c r="F25" s="116">
        <v>139.4</v>
      </c>
      <c r="G25" s="94"/>
      <c r="H25" s="94"/>
    </row>
    <row r="26" spans="1:8" s="35" customFormat="1" ht="15.75" thickBot="1" x14ac:dyDescent="0.3">
      <c r="A26" s="117" t="s">
        <v>152</v>
      </c>
      <c r="B26" s="118">
        <v>121.05604681244006</v>
      </c>
      <c r="C26" s="118">
        <v>692.99801852152814</v>
      </c>
      <c r="D26" s="118">
        <v>3294.5838411788304</v>
      </c>
      <c r="E26" s="118">
        <v>514.28487193230569</v>
      </c>
      <c r="F26" s="109">
        <f>SUM(F23:F25)</f>
        <v>1305.6000000000001</v>
      </c>
      <c r="G26" s="94"/>
      <c r="H26" s="94"/>
    </row>
    <row r="27" spans="1:8" s="35" customFormat="1" x14ac:dyDescent="0.2">
      <c r="A27" s="94"/>
      <c r="B27" s="94"/>
      <c r="C27" s="94"/>
      <c r="D27" s="94"/>
      <c r="E27" s="94"/>
      <c r="F27" s="94"/>
      <c r="G27" s="94"/>
      <c r="H27" s="94"/>
    </row>
    <row r="28" spans="1:8" s="35" customFormat="1" ht="15" x14ac:dyDescent="0.25">
      <c r="A28" s="690" t="s">
        <v>90</v>
      </c>
      <c r="B28" s="690"/>
      <c r="C28" s="13" t="s">
        <v>89</v>
      </c>
      <c r="D28" s="94"/>
      <c r="E28" s="94"/>
      <c r="F28" s="94"/>
      <c r="G28" s="94"/>
      <c r="H28" s="94"/>
    </row>
    <row r="29" spans="1:8" s="35" customFormat="1" x14ac:dyDescent="0.2">
      <c r="A29" s="691" t="s">
        <v>86</v>
      </c>
      <c r="B29" s="691"/>
      <c r="C29" s="94" t="s">
        <v>92</v>
      </c>
      <c r="D29" s="94"/>
      <c r="E29" s="94"/>
      <c r="F29" s="94"/>
      <c r="G29" s="94"/>
      <c r="H29" s="94"/>
    </row>
    <row r="30" spans="1:8" s="35" customFormat="1" x14ac:dyDescent="0.2">
      <c r="A30" s="691" t="s">
        <v>87</v>
      </c>
      <c r="B30" s="691"/>
      <c r="C30" s="94" t="s">
        <v>93</v>
      </c>
      <c r="D30" s="94"/>
      <c r="E30" s="94"/>
      <c r="F30" s="94"/>
      <c r="G30" s="94"/>
      <c r="H30" s="94"/>
    </row>
    <row r="31" spans="1:8" s="35" customFormat="1" x14ac:dyDescent="0.2">
      <c r="A31" s="692" t="s">
        <v>88</v>
      </c>
      <c r="B31" s="692"/>
      <c r="C31" s="94" t="s">
        <v>94</v>
      </c>
      <c r="D31" s="94"/>
      <c r="E31" s="94"/>
      <c r="F31" s="94"/>
      <c r="G31" s="94"/>
      <c r="H31" s="94"/>
    </row>
    <row r="32" spans="1:8" s="35" customFormat="1" ht="9" customHeight="1" x14ac:dyDescent="0.2">
      <c r="A32" s="94"/>
      <c r="B32" s="94"/>
      <c r="C32" s="94"/>
      <c r="D32" s="94"/>
      <c r="E32" s="94"/>
      <c r="F32" s="94"/>
      <c r="G32" s="94"/>
      <c r="H32" s="94"/>
    </row>
    <row r="33" spans="1:8" s="35" customFormat="1" ht="15" x14ac:dyDescent="0.25">
      <c r="A33" s="693" t="s">
        <v>91</v>
      </c>
      <c r="B33" s="693"/>
      <c r="C33" s="13" t="s">
        <v>89</v>
      </c>
      <c r="D33" s="94"/>
      <c r="E33" s="94"/>
      <c r="F33" s="94"/>
      <c r="G33" s="94"/>
      <c r="H33" s="94"/>
    </row>
    <row r="34" spans="1:8" s="35" customFormat="1" x14ac:dyDescent="0.2">
      <c r="A34" s="691" t="s">
        <v>86</v>
      </c>
      <c r="B34" s="691"/>
      <c r="C34" s="94" t="s">
        <v>14</v>
      </c>
      <c r="D34" s="94"/>
      <c r="E34" s="94"/>
      <c r="F34" s="94"/>
      <c r="G34" s="94"/>
      <c r="H34" s="94"/>
    </row>
    <row r="35" spans="1:8" s="35" customFormat="1" x14ac:dyDescent="0.2">
      <c r="A35" s="691" t="s">
        <v>87</v>
      </c>
      <c r="B35" s="691"/>
      <c r="C35" s="94" t="s">
        <v>95</v>
      </c>
      <c r="D35" s="94"/>
      <c r="E35" s="94"/>
      <c r="F35" s="94"/>
      <c r="G35" s="94"/>
      <c r="H35" s="94"/>
    </row>
    <row r="36" spans="1:8" s="35" customFormat="1" x14ac:dyDescent="0.2">
      <c r="A36" s="692" t="s">
        <v>88</v>
      </c>
      <c r="B36" s="692"/>
      <c r="C36" s="94" t="s">
        <v>96</v>
      </c>
      <c r="D36" s="94"/>
      <c r="E36" s="94"/>
      <c r="F36" s="94"/>
      <c r="G36" s="94"/>
      <c r="H36" s="94"/>
    </row>
    <row r="37" spans="1:8" ht="15.75" thickBot="1" x14ac:dyDescent="0.3">
      <c r="A37" s="119"/>
      <c r="B37" s="120"/>
      <c r="C37" s="119"/>
      <c r="D37" s="119"/>
      <c r="E37" s="119"/>
      <c r="F37" s="119"/>
      <c r="G37" s="119"/>
    </row>
    <row r="38" spans="1:8" s="35" customFormat="1" ht="15.75" thickBot="1" x14ac:dyDescent="0.3">
      <c r="A38" s="684" t="s">
        <v>220</v>
      </c>
      <c r="B38" s="685"/>
      <c r="C38" s="685"/>
      <c r="D38" s="685"/>
      <c r="E38" s="685"/>
      <c r="F38" s="685"/>
      <c r="G38" s="686"/>
      <c r="H38" s="94"/>
    </row>
    <row r="39" spans="1:8" ht="35.25" customHeight="1" x14ac:dyDescent="0.25">
      <c r="A39" s="139" t="s">
        <v>221</v>
      </c>
      <c r="B39" s="97" t="s">
        <v>55</v>
      </c>
      <c r="C39" s="97" t="s">
        <v>11</v>
      </c>
      <c r="D39" s="97" t="s">
        <v>13</v>
      </c>
      <c r="E39" s="97" t="s">
        <v>12</v>
      </c>
      <c r="F39" s="106" t="s">
        <v>10</v>
      </c>
      <c r="G39" s="138" t="s">
        <v>151</v>
      </c>
      <c r="H39" s="100"/>
    </row>
    <row r="40" spans="1:8" ht="15" x14ac:dyDescent="0.25">
      <c r="A40" s="49" t="s">
        <v>48</v>
      </c>
      <c r="B40" s="98"/>
      <c r="C40" s="98">
        <f>'Harris Allocate'!K48</f>
        <v>40.05548972308101</v>
      </c>
      <c r="D40" s="98"/>
      <c r="E40" s="98"/>
      <c r="F40" s="98"/>
      <c r="G40" s="108">
        <f>SUM(B40:F40)</f>
        <v>40.05548972308101</v>
      </c>
    </row>
    <row r="41" spans="1:8" ht="15" x14ac:dyDescent="0.25">
      <c r="A41" s="49" t="s">
        <v>34</v>
      </c>
      <c r="B41" s="98">
        <f>'Palatlakaha allocate'!K38</f>
        <v>15.14202710060651</v>
      </c>
      <c r="C41" s="98"/>
      <c r="D41" s="98"/>
      <c r="E41" s="98"/>
      <c r="F41" s="98"/>
      <c r="G41" s="108">
        <f t="shared" ref="G41:G54" si="2">SUM(B41:F41)</f>
        <v>15.14202710060651</v>
      </c>
    </row>
    <row r="42" spans="1:8" ht="15" x14ac:dyDescent="0.25">
      <c r="A42" s="49" t="s">
        <v>40</v>
      </c>
      <c r="B42" s="98"/>
      <c r="C42" s="98"/>
      <c r="D42" s="98"/>
      <c r="E42" s="98">
        <f>'Yale allocation'!K38</f>
        <v>119.16541382592153</v>
      </c>
      <c r="F42" s="98">
        <f>'Trout Allocate'!K34</f>
        <v>211.89429373246139</v>
      </c>
      <c r="G42" s="108">
        <f t="shared" si="2"/>
        <v>331.05970755838291</v>
      </c>
    </row>
    <row r="43" spans="1:8" ht="15" x14ac:dyDescent="0.25">
      <c r="A43" s="49" t="s">
        <v>41</v>
      </c>
      <c r="B43" s="98">
        <f>'Palatlakaha allocate'!K45</f>
        <v>8.6291167850571071</v>
      </c>
      <c r="C43" s="98">
        <f>'Harris Allocate'!K49</f>
        <v>46.948660102780046</v>
      </c>
      <c r="D43" s="98">
        <f>'Carlton Allocate'!K40</f>
        <v>15.610942189484401</v>
      </c>
      <c r="E43" s="98">
        <f>'Yale allocation'!K39</f>
        <v>23.539024630941167</v>
      </c>
      <c r="F43" s="98">
        <f>'Trout Allocate'!K35</f>
        <v>28.985280656211735</v>
      </c>
      <c r="G43" s="108">
        <f t="shared" si="2"/>
        <v>123.71302436447445</v>
      </c>
    </row>
    <row r="44" spans="1:8" ht="15" x14ac:dyDescent="0.25">
      <c r="A44" s="49" t="s">
        <v>35</v>
      </c>
      <c r="B44" s="98">
        <f>'Palatlakaha allocate'!K39</f>
        <v>118.85200615306491</v>
      </c>
      <c r="C44" s="98"/>
      <c r="D44" s="98"/>
      <c r="E44" s="98"/>
      <c r="F44" s="98"/>
      <c r="G44" s="108">
        <f t="shared" si="2"/>
        <v>118.85200615306491</v>
      </c>
    </row>
    <row r="45" spans="1:8" ht="15" x14ac:dyDescent="0.25">
      <c r="A45" s="49" t="s">
        <v>49</v>
      </c>
      <c r="B45" s="98"/>
      <c r="C45" s="98">
        <f>'Harris Allocate'!K50</f>
        <v>21.632559504753694</v>
      </c>
      <c r="D45" s="98"/>
      <c r="E45" s="98"/>
      <c r="F45" s="98"/>
      <c r="G45" s="108">
        <f t="shared" si="2"/>
        <v>21.632559504753694</v>
      </c>
    </row>
    <row r="46" spans="1:8" ht="15" x14ac:dyDescent="0.25">
      <c r="A46" s="49" t="s">
        <v>36</v>
      </c>
      <c r="B46" s="98">
        <f>'Palatlakaha allocate'!K40</f>
        <v>244.90018271509661</v>
      </c>
      <c r="C46" s="98">
        <f>'Harris Allocate'!K51</f>
        <v>386.42577830168528</v>
      </c>
      <c r="D46" s="98">
        <f>'Carlton Allocate'!K41</f>
        <v>11.92859053454465</v>
      </c>
      <c r="E46" s="98">
        <f>'Yale allocation'!K40</f>
        <v>184.28359072037352</v>
      </c>
      <c r="F46" s="98">
        <f>'Trout Allocate'!K36</f>
        <v>72.339687089196588</v>
      </c>
      <c r="G46" s="108">
        <f t="shared" si="2"/>
        <v>899.87782936089661</v>
      </c>
    </row>
    <row r="47" spans="1:8" ht="15" x14ac:dyDescent="0.25">
      <c r="A47" s="49" t="s">
        <v>37</v>
      </c>
      <c r="B47" s="98">
        <f>'Palatlakaha allocate'!K41</f>
        <v>30.478533048974018</v>
      </c>
      <c r="C47" s="98">
        <f>'Harris Allocate'!K52</f>
        <v>390.13258415008153</v>
      </c>
      <c r="D47" s="98"/>
      <c r="E47" s="98"/>
      <c r="F47" s="98"/>
      <c r="G47" s="108">
        <f t="shared" si="2"/>
        <v>420.61111719905557</v>
      </c>
    </row>
    <row r="48" spans="1:8" ht="15" x14ac:dyDescent="0.25">
      <c r="A48" s="49" t="s">
        <v>42</v>
      </c>
      <c r="B48" s="98"/>
      <c r="C48" s="98"/>
      <c r="D48" s="98"/>
      <c r="E48" s="98">
        <f>'Yale allocation'!K41</f>
        <v>7.660297691323259</v>
      </c>
      <c r="F48" s="98"/>
      <c r="G48" s="108">
        <f t="shared" si="2"/>
        <v>7.660297691323259</v>
      </c>
      <c r="H48" s="214"/>
    </row>
    <row r="49" spans="1:8" ht="15" x14ac:dyDescent="0.25">
      <c r="A49" s="49" t="s">
        <v>38</v>
      </c>
      <c r="B49" s="98">
        <f>'Palatlakaha allocate'!K42</f>
        <v>0.92838930957888333</v>
      </c>
      <c r="C49" s="98"/>
      <c r="D49" s="98"/>
      <c r="E49" s="98"/>
      <c r="F49" s="98"/>
      <c r="G49" s="108">
        <f t="shared" si="2"/>
        <v>0.92838930957888333</v>
      </c>
    </row>
    <row r="50" spans="1:8" ht="15" x14ac:dyDescent="0.25">
      <c r="A50" s="49" t="s">
        <v>39</v>
      </c>
      <c r="B50" s="98">
        <f>'Palatlakaha allocate'!K43</f>
        <v>23.985716440320008</v>
      </c>
      <c r="C50" s="98"/>
      <c r="D50" s="98"/>
      <c r="E50" s="98"/>
      <c r="F50" s="98"/>
      <c r="G50" s="108">
        <f t="shared" si="2"/>
        <v>23.985716440320008</v>
      </c>
    </row>
    <row r="51" spans="1:8" ht="15" x14ac:dyDescent="0.25">
      <c r="A51" s="49" t="s">
        <v>47</v>
      </c>
      <c r="B51" s="98"/>
      <c r="C51" s="98"/>
      <c r="D51" s="98">
        <f>'Carlton Allocate'!K42</f>
        <v>90.16050578567571</v>
      </c>
      <c r="E51" s="98"/>
      <c r="F51" s="98"/>
      <c r="G51" s="108">
        <f t="shared" si="2"/>
        <v>90.16050578567571</v>
      </c>
    </row>
    <row r="52" spans="1:8" ht="15" x14ac:dyDescent="0.25">
      <c r="A52" s="49" t="s">
        <v>50</v>
      </c>
      <c r="B52" s="98"/>
      <c r="C52" s="98">
        <f>'Harris Allocate'!K53</f>
        <v>147.89036034195274</v>
      </c>
      <c r="D52" s="98"/>
      <c r="E52" s="98"/>
      <c r="F52" s="98"/>
      <c r="G52" s="108">
        <f t="shared" si="2"/>
        <v>147.89036034195274</v>
      </c>
    </row>
    <row r="53" spans="1:8" ht="15" x14ac:dyDescent="0.25">
      <c r="A53" s="49" t="s">
        <v>43</v>
      </c>
      <c r="B53" s="98"/>
      <c r="C53" s="98"/>
      <c r="D53" s="98"/>
      <c r="E53" s="98">
        <f>'Yale allocation'!K42</f>
        <v>23.900983507446803</v>
      </c>
      <c r="F53" s="98">
        <f>'Trout Allocate'!K37</f>
        <v>165.52101224421969</v>
      </c>
      <c r="G53" s="108">
        <f t="shared" si="2"/>
        <v>189.42199575166649</v>
      </c>
    </row>
    <row r="54" spans="1:8" ht="15" x14ac:dyDescent="0.25">
      <c r="A54" s="49" t="s">
        <v>51</v>
      </c>
      <c r="B54" s="98"/>
      <c r="C54" s="98">
        <f>'Harris Allocate'!K54</f>
        <v>1.5145678751562859</v>
      </c>
      <c r="D54" s="98"/>
      <c r="E54" s="98"/>
      <c r="F54" s="98"/>
      <c r="G54" s="108">
        <f t="shared" si="2"/>
        <v>1.5145678751562859</v>
      </c>
    </row>
    <row r="55" spans="1:8" s="35" customFormat="1" ht="15" x14ac:dyDescent="0.25">
      <c r="A55" s="215" t="s">
        <v>148</v>
      </c>
      <c r="B55" s="216">
        <f>'Palatlakaha allocate'!K44</f>
        <v>4.2186960980423747</v>
      </c>
      <c r="C55" s="216"/>
      <c r="D55" s="216"/>
      <c r="E55" s="216"/>
      <c r="F55" s="216"/>
      <c r="G55" s="217">
        <f>SUM(B55:F55)</f>
        <v>4.2186960980423747</v>
      </c>
      <c r="H55" s="94"/>
    </row>
    <row r="56" spans="1:8" s="35" customFormat="1" ht="15.75" thickBot="1" x14ac:dyDescent="0.3">
      <c r="A56" s="117" t="s">
        <v>15</v>
      </c>
      <c r="B56" s="218">
        <f>SUM(B41:B55)</f>
        <v>447.13466765074043</v>
      </c>
      <c r="C56" s="218">
        <f>SUM(C40:C55)</f>
        <v>1034.5999999994906</v>
      </c>
      <c r="D56" s="218">
        <f>SUM(D40:D55)</f>
        <v>117.70003850970477</v>
      </c>
      <c r="E56" s="218">
        <f>SUM(E40:E55)</f>
        <v>358.5493103760063</v>
      </c>
      <c r="F56" s="218">
        <f>SUM(F40:F55)</f>
        <v>478.74027372208946</v>
      </c>
      <c r="G56" s="219"/>
      <c r="H56" s="94"/>
    </row>
    <row r="57" spans="1:8" s="35" customFormat="1" ht="15.75" thickBot="1" x14ac:dyDescent="0.3">
      <c r="A57" s="60"/>
      <c r="B57" s="121"/>
      <c r="C57" s="121"/>
      <c r="D57" s="121"/>
      <c r="E57" s="122"/>
      <c r="F57" s="123"/>
      <c r="G57" s="94"/>
      <c r="H57" s="94"/>
    </row>
    <row r="58" spans="1:8" ht="15.75" thickBot="1" x14ac:dyDescent="0.3">
      <c r="A58" s="681" t="s">
        <v>222</v>
      </c>
      <c r="B58" s="682"/>
      <c r="C58" s="682"/>
      <c r="D58" s="682"/>
      <c r="E58" s="682"/>
      <c r="F58" s="683"/>
    </row>
    <row r="59" spans="1:8" s="35" customFormat="1" ht="30" customHeight="1" x14ac:dyDescent="0.25">
      <c r="A59" s="48" t="s">
        <v>221</v>
      </c>
      <c r="B59" s="111" t="s">
        <v>11</v>
      </c>
      <c r="C59" s="111" t="s">
        <v>12</v>
      </c>
      <c r="D59" s="112" t="s">
        <v>13</v>
      </c>
      <c r="E59" s="111" t="s">
        <v>10</v>
      </c>
      <c r="F59" s="113" t="s">
        <v>151</v>
      </c>
      <c r="G59" s="94"/>
      <c r="H59" s="94"/>
    </row>
    <row r="60" spans="1:8" s="35" customFormat="1" ht="15" x14ac:dyDescent="0.25">
      <c r="A60" s="49" t="s">
        <v>40</v>
      </c>
      <c r="B60" s="98"/>
      <c r="C60" s="98">
        <f>'Yale allocation'!K29</f>
        <v>3.8411079754310222</v>
      </c>
      <c r="D60" s="124"/>
      <c r="E60" s="98">
        <f>'Trout Allocate'!D42</f>
        <v>1.2545454545454546</v>
      </c>
      <c r="F60" s="108">
        <f t="shared" ref="F60:F66" si="3">SUM(B60:D60)</f>
        <v>3.8411079754310222</v>
      </c>
      <c r="G60" s="94"/>
      <c r="H60" s="94"/>
    </row>
    <row r="61" spans="1:8" s="35" customFormat="1" ht="15" x14ac:dyDescent="0.25">
      <c r="A61" s="49" t="s">
        <v>36</v>
      </c>
      <c r="B61" s="98">
        <f>'Harris Allocate'!K39</f>
        <v>402.31450858034322</v>
      </c>
      <c r="C61" s="98">
        <f>'Yale allocation'!K30</f>
        <v>94.980124483385268</v>
      </c>
      <c r="D61" s="125">
        <f>'Carlton Allocate'!K33</f>
        <v>24.9375</v>
      </c>
      <c r="E61" s="98">
        <f>'Trout Allocate'!D43</f>
        <v>5.6454545454545464</v>
      </c>
      <c r="F61" s="108">
        <f t="shared" si="3"/>
        <v>522.2321330637285</v>
      </c>
      <c r="G61" s="94"/>
      <c r="H61" s="94"/>
    </row>
    <row r="62" spans="1:8" s="35" customFormat="1" ht="15" x14ac:dyDescent="0.25">
      <c r="A62" s="61" t="s">
        <v>48</v>
      </c>
      <c r="B62" s="98">
        <f>'Harris Allocate'!K37</f>
        <v>25.237441497659908</v>
      </c>
      <c r="C62" s="98"/>
      <c r="D62" s="124"/>
      <c r="E62" s="96"/>
      <c r="F62" s="108">
        <f t="shared" si="3"/>
        <v>25.237441497659908</v>
      </c>
      <c r="G62" s="94"/>
      <c r="H62" s="94"/>
    </row>
    <row r="63" spans="1:8" s="35" customFormat="1" ht="15" x14ac:dyDescent="0.25">
      <c r="A63" s="61" t="s">
        <v>61</v>
      </c>
      <c r="B63" s="98">
        <f>'Harris Allocate'!K38</f>
        <v>41.814976599063968</v>
      </c>
      <c r="C63" s="98"/>
      <c r="D63" s="124"/>
      <c r="E63" s="96"/>
      <c r="F63" s="108">
        <f t="shared" si="3"/>
        <v>41.814976599063968</v>
      </c>
      <c r="G63" s="94"/>
      <c r="H63" s="94"/>
    </row>
    <row r="64" spans="1:8" ht="15" x14ac:dyDescent="0.25">
      <c r="A64" s="61" t="s">
        <v>37</v>
      </c>
      <c r="B64" s="124">
        <f>'Harris Allocate'!K40</f>
        <v>0.98970358814352588</v>
      </c>
      <c r="C64" s="98"/>
      <c r="D64" s="124"/>
      <c r="E64" s="96"/>
      <c r="F64" s="108">
        <f t="shared" si="3"/>
        <v>0.98970358814352588</v>
      </c>
    </row>
    <row r="65" spans="1:8" ht="15" x14ac:dyDescent="0.25">
      <c r="A65" s="61" t="s">
        <v>50</v>
      </c>
      <c r="B65" s="98">
        <f>'Harris Allocate'!K41</f>
        <v>5.4433697347893917</v>
      </c>
      <c r="C65" s="98"/>
      <c r="D65" s="124"/>
      <c r="E65" s="96"/>
      <c r="F65" s="108">
        <f t="shared" si="3"/>
        <v>5.4433697347893917</v>
      </c>
    </row>
    <row r="66" spans="1:8" ht="15.75" thickBot="1" x14ac:dyDescent="0.3">
      <c r="A66" s="62" t="s">
        <v>47</v>
      </c>
      <c r="B66" s="102"/>
      <c r="C66" s="102"/>
      <c r="D66" s="126">
        <f>'Carlton Allocate'!K34</f>
        <v>27.5625</v>
      </c>
      <c r="E66" s="127"/>
      <c r="F66" s="109">
        <f t="shared" si="3"/>
        <v>27.5625</v>
      </c>
    </row>
    <row r="67" spans="1:8" ht="15" thickBot="1" x14ac:dyDescent="0.25"/>
    <row r="68" spans="1:8" ht="15.75" thickBot="1" x14ac:dyDescent="0.3">
      <c r="A68" s="687" t="s">
        <v>85</v>
      </c>
      <c r="B68" s="688"/>
      <c r="C68" s="688"/>
      <c r="D68" s="688"/>
      <c r="E68" s="688"/>
      <c r="F68" s="688"/>
      <c r="G68" s="689"/>
    </row>
    <row r="69" spans="1:8" ht="32.25" customHeight="1" x14ac:dyDescent="0.25">
      <c r="A69" s="132" t="s">
        <v>221</v>
      </c>
      <c r="B69" s="133" t="s">
        <v>55</v>
      </c>
      <c r="C69" s="133" t="s">
        <v>11</v>
      </c>
      <c r="D69" s="133" t="s">
        <v>13</v>
      </c>
      <c r="E69" s="133" t="s">
        <v>12</v>
      </c>
      <c r="F69" s="133" t="s">
        <v>10</v>
      </c>
      <c r="G69" s="134" t="s">
        <v>151</v>
      </c>
      <c r="H69" s="80"/>
    </row>
    <row r="70" spans="1:8" ht="15" x14ac:dyDescent="0.2">
      <c r="A70" s="93" t="s">
        <v>48</v>
      </c>
      <c r="B70" s="128"/>
      <c r="C70" s="128">
        <f>C40+F62</f>
        <v>65.292931220740911</v>
      </c>
      <c r="D70" s="128"/>
      <c r="E70" s="128"/>
      <c r="F70" s="128"/>
      <c r="G70" s="129">
        <f>SUM(B70:F70)</f>
        <v>65.292931220740911</v>
      </c>
      <c r="H70" s="130"/>
    </row>
    <row r="71" spans="1:8" ht="15" x14ac:dyDescent="0.2">
      <c r="A71" s="93" t="s">
        <v>34</v>
      </c>
      <c r="B71" s="128">
        <f>B41</f>
        <v>15.14202710060651</v>
      </c>
      <c r="C71" s="128"/>
      <c r="D71" s="128"/>
      <c r="E71" s="128"/>
      <c r="F71" s="128"/>
      <c r="G71" s="129">
        <f t="shared" ref="G71:G85" si="4">SUM(B71:F71)</f>
        <v>15.14202710060651</v>
      </c>
      <c r="H71" s="130"/>
    </row>
    <row r="72" spans="1:8" ht="15" x14ac:dyDescent="0.2">
      <c r="A72" s="93" t="s">
        <v>40</v>
      </c>
      <c r="B72" s="128"/>
      <c r="C72" s="128"/>
      <c r="D72" s="128"/>
      <c r="E72" s="128">
        <f>E42+C60</f>
        <v>123.00652180135256</v>
      </c>
      <c r="F72" s="128">
        <f>F42+E60</f>
        <v>213.14883918700684</v>
      </c>
      <c r="G72" s="129">
        <f t="shared" si="4"/>
        <v>336.1553609883594</v>
      </c>
      <c r="H72" s="130"/>
    </row>
    <row r="73" spans="1:8" ht="15" x14ac:dyDescent="0.2">
      <c r="A73" s="93" t="s">
        <v>41</v>
      </c>
      <c r="B73" s="128">
        <f>B43</f>
        <v>8.6291167850571071</v>
      </c>
      <c r="C73" s="128">
        <f>C43</f>
        <v>46.948660102780046</v>
      </c>
      <c r="D73" s="128">
        <f>D43</f>
        <v>15.610942189484401</v>
      </c>
      <c r="E73" s="128">
        <f>E43</f>
        <v>23.539024630941167</v>
      </c>
      <c r="F73" s="99">
        <f>F43</f>
        <v>28.985280656211735</v>
      </c>
      <c r="G73" s="129">
        <f t="shared" si="4"/>
        <v>123.71302436447445</v>
      </c>
      <c r="H73" s="130"/>
    </row>
    <row r="74" spans="1:8" ht="15" x14ac:dyDescent="0.2">
      <c r="A74" s="93" t="s">
        <v>35</v>
      </c>
      <c r="B74" s="128">
        <f>B44</f>
        <v>118.85200615306491</v>
      </c>
      <c r="C74" s="128"/>
      <c r="D74" s="128"/>
      <c r="E74" s="128"/>
      <c r="F74" s="128"/>
      <c r="G74" s="129">
        <f t="shared" si="4"/>
        <v>118.85200615306491</v>
      </c>
      <c r="H74" s="130"/>
    </row>
    <row r="75" spans="1:8" ht="15" x14ac:dyDescent="0.2">
      <c r="A75" s="93" t="s">
        <v>49</v>
      </c>
      <c r="B75" s="128"/>
      <c r="C75" s="128">
        <f>C45+B63</f>
        <v>63.447536103817662</v>
      </c>
      <c r="D75" s="128"/>
      <c r="E75" s="128"/>
      <c r="F75" s="128"/>
      <c r="G75" s="129">
        <f t="shared" si="4"/>
        <v>63.447536103817662</v>
      </c>
      <c r="H75" s="130"/>
    </row>
    <row r="76" spans="1:8" ht="15" x14ac:dyDescent="0.2">
      <c r="A76" s="93" t="s">
        <v>36</v>
      </c>
      <c r="B76" s="128">
        <f>B46</f>
        <v>244.90018271509661</v>
      </c>
      <c r="C76" s="128">
        <f>B61+C46</f>
        <v>788.7402868820285</v>
      </c>
      <c r="D76" s="128">
        <f>D61+D46</f>
        <v>36.866090534544654</v>
      </c>
      <c r="E76" s="128">
        <f>C61+E46</f>
        <v>279.26371520375881</v>
      </c>
      <c r="F76" s="128">
        <f>F46+E61</f>
        <v>77.985141634651129</v>
      </c>
      <c r="G76" s="129">
        <f t="shared" si="4"/>
        <v>1427.7554169700795</v>
      </c>
      <c r="H76" s="130"/>
    </row>
    <row r="77" spans="1:8" ht="15" x14ac:dyDescent="0.2">
      <c r="A77" s="93" t="s">
        <v>37</v>
      </c>
      <c r="B77" s="128">
        <f>B47</f>
        <v>30.478533048974018</v>
      </c>
      <c r="C77" s="128">
        <f>B64+C47</f>
        <v>391.12228773822505</v>
      </c>
      <c r="D77" s="128"/>
      <c r="E77" s="128"/>
      <c r="F77" s="128"/>
      <c r="G77" s="129">
        <f t="shared" si="4"/>
        <v>421.6008207871991</v>
      </c>
      <c r="H77" s="130"/>
    </row>
    <row r="78" spans="1:8" ht="15" x14ac:dyDescent="0.2">
      <c r="A78" s="93" t="s">
        <v>42</v>
      </c>
      <c r="B78" s="128"/>
      <c r="C78" s="128"/>
      <c r="D78" s="128"/>
      <c r="E78" s="128">
        <f>E48</f>
        <v>7.660297691323259</v>
      </c>
      <c r="F78" s="128"/>
      <c r="G78" s="129">
        <f t="shared" si="4"/>
        <v>7.660297691323259</v>
      </c>
      <c r="H78" s="131"/>
    </row>
    <row r="79" spans="1:8" ht="15" x14ac:dyDescent="0.2">
      <c r="A79" s="93" t="s">
        <v>38</v>
      </c>
      <c r="B79" s="128">
        <f>B49</f>
        <v>0.92838930957888333</v>
      </c>
      <c r="C79" s="128"/>
      <c r="D79" s="128"/>
      <c r="E79" s="128"/>
      <c r="F79" s="128"/>
      <c r="G79" s="129">
        <f t="shared" si="4"/>
        <v>0.92838930957888333</v>
      </c>
      <c r="H79" s="130"/>
    </row>
    <row r="80" spans="1:8" ht="15" x14ac:dyDescent="0.2">
      <c r="A80" s="93" t="s">
        <v>39</v>
      </c>
      <c r="B80" s="128">
        <f>B50</f>
        <v>23.985716440320008</v>
      </c>
      <c r="C80" s="128"/>
      <c r="D80" s="128"/>
      <c r="E80" s="128"/>
      <c r="F80" s="128"/>
      <c r="G80" s="129">
        <f t="shared" si="4"/>
        <v>23.985716440320008</v>
      </c>
      <c r="H80" s="130"/>
    </row>
    <row r="81" spans="1:8" ht="15" x14ac:dyDescent="0.2">
      <c r="A81" s="93" t="s">
        <v>47</v>
      </c>
      <c r="B81" s="128"/>
      <c r="C81" s="128"/>
      <c r="D81" s="128">
        <f>D66+D51</f>
        <v>117.72300578567571</v>
      </c>
      <c r="E81" s="128"/>
      <c r="F81" s="128"/>
      <c r="G81" s="129">
        <f t="shared" si="4"/>
        <v>117.72300578567571</v>
      </c>
      <c r="H81" s="130"/>
    </row>
    <row r="82" spans="1:8" ht="15" x14ac:dyDescent="0.2">
      <c r="A82" s="93" t="s">
        <v>50</v>
      </c>
      <c r="B82" s="128"/>
      <c r="C82" s="128">
        <f>B65+C52</f>
        <v>153.33373007674214</v>
      </c>
      <c r="D82" s="128"/>
      <c r="E82" s="128"/>
      <c r="F82" s="128"/>
      <c r="G82" s="129">
        <f t="shared" si="4"/>
        <v>153.33373007674214</v>
      </c>
      <c r="H82" s="130"/>
    </row>
    <row r="83" spans="1:8" ht="15" x14ac:dyDescent="0.2">
      <c r="A83" s="93" t="s">
        <v>43</v>
      </c>
      <c r="B83" s="128"/>
      <c r="C83" s="128"/>
      <c r="D83" s="128"/>
      <c r="E83" s="128">
        <f>E53</f>
        <v>23.900983507446803</v>
      </c>
      <c r="F83" s="128">
        <f>F53</f>
        <v>165.52101224421969</v>
      </c>
      <c r="G83" s="129">
        <f t="shared" si="4"/>
        <v>189.42199575166649</v>
      </c>
      <c r="H83" s="130"/>
    </row>
    <row r="84" spans="1:8" ht="15" x14ac:dyDescent="0.2">
      <c r="A84" s="93" t="s">
        <v>51</v>
      </c>
      <c r="B84" s="128"/>
      <c r="C84" s="128">
        <f>C54</f>
        <v>1.5145678751562859</v>
      </c>
      <c r="D84" s="128"/>
      <c r="E84" s="128"/>
      <c r="F84" s="128"/>
      <c r="G84" s="129">
        <f t="shared" si="4"/>
        <v>1.5145678751562859</v>
      </c>
      <c r="H84" s="130"/>
    </row>
    <row r="85" spans="1:8" s="35" customFormat="1" ht="15" x14ac:dyDescent="0.2">
      <c r="A85" s="93" t="s">
        <v>148</v>
      </c>
      <c r="B85" s="128">
        <f>'Palatlakaha allocate'!K44</f>
        <v>4.2186960980423747</v>
      </c>
      <c r="C85" s="128"/>
      <c r="D85" s="128"/>
      <c r="E85" s="128"/>
      <c r="F85" s="128"/>
      <c r="G85" s="129">
        <f t="shared" si="4"/>
        <v>4.2186960980423747</v>
      </c>
      <c r="H85" s="130"/>
    </row>
    <row r="86" spans="1:8" ht="48" customHeight="1" thickBot="1" x14ac:dyDescent="0.25">
      <c r="A86" s="140" t="s">
        <v>225</v>
      </c>
      <c r="B86" s="149">
        <f>SUM(B71:B85)</f>
        <v>447.13466765074043</v>
      </c>
      <c r="C86" s="149">
        <f>SUM(C70:C84)</f>
        <v>1510.3999999994905</v>
      </c>
      <c r="D86" s="149">
        <f>SUM(D70:D84)</f>
        <v>170.20003850970477</v>
      </c>
      <c r="E86" s="149">
        <f>SUM(E70:E84)</f>
        <v>457.37054283482257</v>
      </c>
      <c r="F86" s="149">
        <f>SUM(F72:F84)</f>
        <v>485.64027372208943</v>
      </c>
      <c r="G86" s="150" t="s">
        <v>239</v>
      </c>
      <c r="H86" s="130"/>
    </row>
  </sheetData>
  <sortState ref="A3:A24">
    <sortCondition ref="A3"/>
  </sortState>
  <mergeCells count="13">
    <mergeCell ref="A2:F2"/>
    <mergeCell ref="A21:F21"/>
    <mergeCell ref="A38:G38"/>
    <mergeCell ref="A68:G68"/>
    <mergeCell ref="A58:F58"/>
    <mergeCell ref="A28:B28"/>
    <mergeCell ref="A29:B29"/>
    <mergeCell ref="A30:B30"/>
    <mergeCell ref="A31:B31"/>
    <mergeCell ref="A33:B33"/>
    <mergeCell ref="A34:B34"/>
    <mergeCell ref="A35:B35"/>
    <mergeCell ref="A36:B36"/>
  </mergeCells>
  <pageMargins left="0.7" right="0.45833333333333298" top="0.75" bottom="0.75" header="0.3" footer="0.3"/>
  <pageSetup orientation="landscape" r:id="rId1"/>
  <headerFooter>
    <oddHeader xml:space="preserve">&amp;C&amp;"Arial,Bold"&amp;12Upper Ocklawaha
Draft Priority Lake Reduction Summary
</oddHeader>
    <oddFooter xml:space="preserve">&amp;LDraft 1/27/16&amp;C&amp;P&amp;R
</oddFooter>
  </headerFooter>
  <rowBreaks count="2" manualBreakCount="2">
    <brk id="26" max="16383" man="1"/>
    <brk id="5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50"/>
  <sheetViews>
    <sheetView view="pageLayout" zoomScaleNormal="100" workbookViewId="0">
      <selection activeCell="F9" sqref="F9"/>
    </sheetView>
  </sheetViews>
  <sheetFormatPr defaultRowHeight="12.75" x14ac:dyDescent="0.2"/>
  <cols>
    <col min="1" max="1" width="22.85546875" customWidth="1"/>
    <col min="2" max="3" width="12.5703125" bestFit="1" customWidth="1"/>
    <col min="4" max="4" width="14" bestFit="1" customWidth="1"/>
    <col min="5" max="5" width="12" bestFit="1" customWidth="1"/>
    <col min="6" max="7" width="16.7109375" bestFit="1" customWidth="1"/>
    <col min="8" max="8" width="24" customWidth="1"/>
  </cols>
  <sheetData>
    <row r="1" spans="1:8" s="35" customFormat="1" ht="13.5" thickBot="1" x14ac:dyDescent="0.25"/>
    <row r="2" spans="1:8" s="6" customFormat="1" ht="15.75" thickBot="1" x14ac:dyDescent="0.3">
      <c r="A2" s="687" t="s">
        <v>154</v>
      </c>
      <c r="B2" s="688"/>
      <c r="C2" s="688"/>
      <c r="D2" s="688"/>
      <c r="E2" s="688"/>
      <c r="F2" s="688"/>
      <c r="G2" s="689"/>
    </row>
    <row r="3" spans="1:8" ht="30" x14ac:dyDescent="0.25">
      <c r="A3" s="48" t="s">
        <v>221</v>
      </c>
      <c r="B3" s="111" t="s">
        <v>55</v>
      </c>
      <c r="C3" s="111" t="s">
        <v>11</v>
      </c>
      <c r="D3" s="111" t="s">
        <v>13</v>
      </c>
      <c r="E3" s="111" t="s">
        <v>12</v>
      </c>
      <c r="F3" s="146" t="s">
        <v>10</v>
      </c>
      <c r="G3" s="141" t="s">
        <v>155</v>
      </c>
    </row>
    <row r="4" spans="1:8" ht="15" x14ac:dyDescent="0.25">
      <c r="A4" s="49" t="s">
        <v>48</v>
      </c>
      <c r="B4" s="103"/>
      <c r="C4" s="147">
        <f>'Harris Allocate'!L48</f>
        <v>87.487483639051717</v>
      </c>
      <c r="D4" s="103"/>
      <c r="E4" s="103"/>
      <c r="F4" s="103"/>
      <c r="G4" s="142">
        <f>SUM(B4:F4)</f>
        <v>87.487483639051717</v>
      </c>
      <c r="H4" s="35"/>
    </row>
    <row r="5" spans="1:8" ht="15" x14ac:dyDescent="0.25">
      <c r="A5" s="49" t="s">
        <v>34</v>
      </c>
      <c r="B5" s="103">
        <f>'Palatlakaha allocate'!D51</f>
        <v>29.075776996241018</v>
      </c>
      <c r="C5" s="103"/>
      <c r="D5" s="103"/>
      <c r="E5" s="103"/>
      <c r="F5" s="103"/>
      <c r="G5" s="142">
        <f t="shared" ref="G5:G18" si="0">SUM(B5:F5)</f>
        <v>29.075776996241018</v>
      </c>
      <c r="H5" s="35"/>
    </row>
    <row r="6" spans="1:8" ht="15" x14ac:dyDescent="0.25">
      <c r="A6" s="49" t="s">
        <v>40</v>
      </c>
      <c r="B6" s="103"/>
      <c r="C6" s="103"/>
      <c r="D6" s="103"/>
      <c r="E6" s="103">
        <f>'Yale allocation'!L38</f>
        <v>111.1554744531887</v>
      </c>
      <c r="F6" s="103">
        <f>'Trout Allocate'!L34</f>
        <v>15.753341670360461</v>
      </c>
      <c r="G6" s="142">
        <f t="shared" si="0"/>
        <v>126.90881612354916</v>
      </c>
      <c r="H6" s="35"/>
    </row>
    <row r="7" spans="1:8" ht="15" x14ac:dyDescent="0.25">
      <c r="A7" s="49" t="s">
        <v>41</v>
      </c>
      <c r="B7" s="103">
        <f>'Palatlakaha allocate'!L45</f>
        <v>16.569662281663138</v>
      </c>
      <c r="C7" s="103">
        <f>'Harris Allocate'!L49</f>
        <v>102.55720063415907</v>
      </c>
      <c r="D7" s="103">
        <f>'Carlton Allocate'!L40</f>
        <v>0.43695611085657965</v>
      </c>
      <c r="E7" s="103">
        <f>'Yale allocation'!L39</f>
        <v>21.956802456455758</v>
      </c>
      <c r="F7" s="103">
        <f>'Trout Allocate'!L35</f>
        <v>2.1529625131389833</v>
      </c>
      <c r="G7" s="142">
        <f t="shared" si="0"/>
        <v>143.67358399627355</v>
      </c>
      <c r="H7" s="35"/>
    </row>
    <row r="8" spans="1:8" ht="15" x14ac:dyDescent="0.25">
      <c r="A8" s="49" t="s">
        <v>35</v>
      </c>
      <c r="B8" s="103">
        <f>'Palatlakaha allocate'!D52</f>
        <v>228.22006614451001</v>
      </c>
      <c r="C8" s="103"/>
      <c r="D8" s="103"/>
      <c r="E8" s="103"/>
      <c r="F8" s="103"/>
      <c r="G8" s="142">
        <f t="shared" si="0"/>
        <v>228.22006614451001</v>
      </c>
      <c r="H8" s="35"/>
    </row>
    <row r="9" spans="1:8" ht="15" x14ac:dyDescent="0.25">
      <c r="A9" s="49" t="s">
        <v>49</v>
      </c>
      <c r="B9" s="103"/>
      <c r="C9" s="103">
        <f>'Harris Allocate'!L50</f>
        <v>47.24537309843992</v>
      </c>
      <c r="D9" s="103"/>
      <c r="E9" s="103"/>
      <c r="F9" s="103"/>
      <c r="G9" s="142">
        <f t="shared" si="0"/>
        <v>47.24537309843992</v>
      </c>
      <c r="H9" s="35"/>
    </row>
    <row r="10" spans="1:8" ht="15" x14ac:dyDescent="0.25">
      <c r="A10" s="49" t="s">
        <v>36</v>
      </c>
      <c r="B10" s="103">
        <f>'Palatlakaha allocate'!D53</f>
        <v>470.25824558705301</v>
      </c>
      <c r="C10" s="103">
        <f>'Harris Allocate'!L51</f>
        <v>844.12075501420543</v>
      </c>
      <c r="D10" s="103">
        <f>'Carlton Allocate'!L41</f>
        <v>0.3402415370477217</v>
      </c>
      <c r="E10" s="103">
        <f>'Yale allocation'!L40</f>
        <v>171.89660407997121</v>
      </c>
      <c r="F10" s="103">
        <f>'Trout Allocate'!L36</f>
        <v>5.3894792874017732</v>
      </c>
      <c r="G10" s="142">
        <f t="shared" si="0"/>
        <v>1492.0053255056791</v>
      </c>
      <c r="H10" s="35"/>
    </row>
    <row r="11" spans="1:8" ht="15" x14ac:dyDescent="0.25">
      <c r="A11" s="49" t="s">
        <v>37</v>
      </c>
      <c r="B11" s="103">
        <f>'Palatlakaha allocate'!D54</f>
        <v>58.524993002359281</v>
      </c>
      <c r="C11" s="103">
        <f>'Harris Allocate'!L52</f>
        <v>852.21443271852183</v>
      </c>
      <c r="D11" s="103"/>
      <c r="E11" s="103"/>
      <c r="F11" s="103"/>
      <c r="G11" s="142">
        <f t="shared" si="0"/>
        <v>910.73942572088117</v>
      </c>
      <c r="H11" s="35"/>
    </row>
    <row r="12" spans="1:8" ht="15" x14ac:dyDescent="0.25">
      <c r="A12" s="49" t="s">
        <v>42</v>
      </c>
      <c r="B12" s="103"/>
      <c r="C12" s="103"/>
      <c r="D12" s="103"/>
      <c r="E12" s="103">
        <f>'Yale allocation'!L41</f>
        <v>7.1453956059395107</v>
      </c>
      <c r="F12" s="103"/>
      <c r="G12" s="142">
        <f t="shared" si="0"/>
        <v>7.1453956059395107</v>
      </c>
      <c r="H12" s="35"/>
    </row>
    <row r="13" spans="1:8" ht="15" x14ac:dyDescent="0.25">
      <c r="A13" s="49" t="s">
        <v>38</v>
      </c>
      <c r="B13" s="103">
        <f>'Palatlakaha allocate'!D55</f>
        <v>1.7826966199214209</v>
      </c>
      <c r="C13" s="103"/>
      <c r="D13" s="103"/>
      <c r="E13" s="103"/>
      <c r="F13" s="103"/>
      <c r="G13" s="142">
        <f t="shared" si="0"/>
        <v>1.7826966199214209</v>
      </c>
      <c r="H13" s="35"/>
    </row>
    <row r="14" spans="1:8" ht="15" x14ac:dyDescent="0.25">
      <c r="A14" s="49" t="s">
        <v>39</v>
      </c>
      <c r="B14" s="103">
        <f>'Palatlakaha allocate'!D56</f>
        <v>46.057462298814819</v>
      </c>
      <c r="C14" s="103"/>
      <c r="D14" s="103"/>
      <c r="E14" s="103"/>
      <c r="F14" s="103"/>
      <c r="G14" s="142">
        <f t="shared" si="0"/>
        <v>46.057462298814819</v>
      </c>
      <c r="H14" s="35"/>
    </row>
    <row r="15" spans="1:8" ht="15" x14ac:dyDescent="0.25">
      <c r="A15" s="49" t="s">
        <v>47</v>
      </c>
      <c r="B15" s="103"/>
      <c r="C15" s="103"/>
      <c r="D15" s="103">
        <f>'Carlton Allocate'!L42</f>
        <v>2.578850237408723</v>
      </c>
      <c r="E15" s="103"/>
      <c r="F15" s="103"/>
      <c r="G15" s="142">
        <f t="shared" si="0"/>
        <v>2.578850237408723</v>
      </c>
      <c r="H15" s="35"/>
    </row>
    <row r="16" spans="1:8" ht="15" x14ac:dyDescent="0.25">
      <c r="A16" s="49" t="s">
        <v>50</v>
      </c>
      <c r="B16" s="103"/>
      <c r="C16" s="103">
        <f>'Harris Allocate'!L53</f>
        <v>323.05097711134829</v>
      </c>
      <c r="D16" s="103"/>
      <c r="E16" s="103"/>
      <c r="F16" s="103"/>
      <c r="G16" s="142">
        <f t="shared" si="0"/>
        <v>323.05097711134829</v>
      </c>
      <c r="H16" s="35"/>
    </row>
    <row r="17" spans="1:8" ht="15" x14ac:dyDescent="0.25">
      <c r="A17" s="49" t="s">
        <v>43</v>
      </c>
      <c r="B17" s="103"/>
      <c r="C17" s="103"/>
      <c r="D17" s="103"/>
      <c r="E17" s="103">
        <f>'Yale allocation'!L42</f>
        <v>22.294431549988722</v>
      </c>
      <c r="F17" s="103">
        <f>'Trout Allocate'!L37</f>
        <v>12.307207763130899</v>
      </c>
      <c r="G17" s="142">
        <f t="shared" si="0"/>
        <v>34.60163931311962</v>
      </c>
      <c r="H17" s="35"/>
    </row>
    <row r="18" spans="1:8" ht="15" x14ac:dyDescent="0.25">
      <c r="A18" s="49" t="s">
        <v>51</v>
      </c>
      <c r="B18" s="103"/>
      <c r="C18" s="103">
        <f>'Harris Allocate'!L54</f>
        <v>3.3076189619916869</v>
      </c>
      <c r="D18" s="103"/>
      <c r="E18" s="103"/>
      <c r="F18" s="103"/>
      <c r="G18" s="142">
        <f t="shared" si="0"/>
        <v>3.3076189619916869</v>
      </c>
      <c r="H18" s="35"/>
    </row>
    <row r="19" spans="1:8" s="35" customFormat="1" ht="15.75" thickBot="1" x14ac:dyDescent="0.3">
      <c r="A19" s="50" t="s">
        <v>148</v>
      </c>
      <c r="B19" s="148">
        <f>'Palatlakaha allocate'!L44</f>
        <v>8.1007560048997043</v>
      </c>
      <c r="C19" s="107"/>
      <c r="D19" s="107"/>
      <c r="E19" s="107"/>
      <c r="F19" s="107"/>
      <c r="G19" s="145">
        <f>SUM(B19:F19)</f>
        <v>8.1007560048997043</v>
      </c>
    </row>
    <row r="20" spans="1:8" ht="13.5" thickBot="1" x14ac:dyDescent="0.25"/>
    <row r="21" spans="1:8" ht="15.75" thickBot="1" x14ac:dyDescent="0.3">
      <c r="A21" s="681" t="s">
        <v>223</v>
      </c>
      <c r="B21" s="682"/>
      <c r="C21" s="682"/>
      <c r="D21" s="682"/>
      <c r="E21" s="682"/>
      <c r="F21" s="683"/>
    </row>
    <row r="22" spans="1:8" ht="30" x14ac:dyDescent="0.25">
      <c r="A22" s="48" t="s">
        <v>221</v>
      </c>
      <c r="B22" s="111" t="s">
        <v>11</v>
      </c>
      <c r="C22" s="111" t="s">
        <v>12</v>
      </c>
      <c r="D22" s="111" t="s">
        <v>13</v>
      </c>
      <c r="E22" s="111" t="s">
        <v>10</v>
      </c>
      <c r="F22" s="141" t="s">
        <v>155</v>
      </c>
    </row>
    <row r="23" spans="1:8" x14ac:dyDescent="0.2">
      <c r="A23" s="36" t="s">
        <v>40</v>
      </c>
      <c r="B23" s="144"/>
      <c r="C23" s="152">
        <f>'Yale allocation'!L29</f>
        <v>3.5829202931202144</v>
      </c>
      <c r="D23" s="152"/>
      <c r="E23" s="152">
        <f>'Trout Allocate'!E42</f>
        <v>9.0909090909090912E-2</v>
      </c>
      <c r="F23" s="142">
        <v>3.9437085365853659</v>
      </c>
    </row>
    <row r="24" spans="1:8" x14ac:dyDescent="0.2">
      <c r="A24" s="36" t="s">
        <v>36</v>
      </c>
      <c r="B24" s="103">
        <f>'Harris Allocate'!L39</f>
        <v>878.69953198127928</v>
      </c>
      <c r="C24" s="103">
        <f>'Yale allocation'!L30</f>
        <v>88.595847248063478</v>
      </c>
      <c r="D24" s="103">
        <f>'Carlton Allocate'!L33</f>
        <v>0.71249999999999991</v>
      </c>
      <c r="E24" s="103">
        <f>'Trout Allocate'!E43</f>
        <v>0.40909090909090912</v>
      </c>
      <c r="F24" s="142">
        <v>942.24739985485974</v>
      </c>
    </row>
    <row r="25" spans="1:8" x14ac:dyDescent="0.2">
      <c r="A25" s="36" t="s">
        <v>48</v>
      </c>
      <c r="B25" s="103">
        <f>'Harris Allocate'!L37</f>
        <v>55.121372854914199</v>
      </c>
      <c r="C25" s="103"/>
      <c r="D25" s="103"/>
      <c r="E25" s="103"/>
      <c r="F25" s="142">
        <v>23.846511627906978</v>
      </c>
    </row>
    <row r="26" spans="1:8" x14ac:dyDescent="0.2">
      <c r="A26" s="36" t="s">
        <v>61</v>
      </c>
      <c r="B26" s="103">
        <f>'Harris Allocate'!L38</f>
        <v>91.328549141965695</v>
      </c>
      <c r="C26" s="103"/>
      <c r="D26" s="103"/>
      <c r="E26" s="103"/>
      <c r="F26" s="142">
        <v>38.107660738714095</v>
      </c>
    </row>
    <row r="27" spans="1:8" x14ac:dyDescent="0.2">
      <c r="A27" s="36" t="s">
        <v>37</v>
      </c>
      <c r="B27" s="103">
        <v>2.5776333789329686</v>
      </c>
      <c r="C27" s="103"/>
      <c r="D27" s="103"/>
      <c r="E27" s="103"/>
      <c r="F27" s="142">
        <v>1.1689466484268125</v>
      </c>
    </row>
    <row r="28" spans="1:8" x14ac:dyDescent="0.2">
      <c r="A28" s="36" t="s">
        <v>50</v>
      </c>
      <c r="B28" s="103">
        <f>'Harris Allocate'!L41</f>
        <v>11.888923556942277</v>
      </c>
      <c r="C28" s="103"/>
      <c r="D28" s="103"/>
      <c r="E28" s="103"/>
      <c r="F28" s="142">
        <v>18.235567715458277</v>
      </c>
    </row>
    <row r="29" spans="1:8" ht="13.5" thickBot="1" x14ac:dyDescent="0.25">
      <c r="A29" s="29" t="s">
        <v>47</v>
      </c>
      <c r="B29" s="107"/>
      <c r="C29" s="107"/>
      <c r="D29" s="107">
        <f>'Carlton Allocate'!L34</f>
        <v>0.78750000000000009</v>
      </c>
      <c r="E29" s="107"/>
      <c r="F29" s="145">
        <v>27.5124</v>
      </c>
    </row>
    <row r="31" spans="1:8" ht="13.5" thickBot="1" x14ac:dyDescent="0.25"/>
    <row r="32" spans="1:8" ht="15.75" thickBot="1" x14ac:dyDescent="0.3">
      <c r="A32" s="687" t="s">
        <v>125</v>
      </c>
      <c r="B32" s="688"/>
      <c r="C32" s="688"/>
      <c r="D32" s="688"/>
      <c r="E32" s="688"/>
      <c r="F32" s="688"/>
      <c r="G32" s="689"/>
    </row>
    <row r="33" spans="1:7" ht="30" x14ac:dyDescent="0.25">
      <c r="A33" s="48" t="s">
        <v>221</v>
      </c>
      <c r="B33" s="111" t="s">
        <v>55</v>
      </c>
      <c r="C33" s="111" t="s">
        <v>11</v>
      </c>
      <c r="D33" s="111" t="s">
        <v>13</v>
      </c>
      <c r="E33" s="111" t="s">
        <v>12</v>
      </c>
      <c r="F33" s="111" t="s">
        <v>10</v>
      </c>
      <c r="G33" s="141" t="s">
        <v>155</v>
      </c>
    </row>
    <row r="34" spans="1:7" x14ac:dyDescent="0.2">
      <c r="A34" s="36" t="s">
        <v>48</v>
      </c>
      <c r="B34" s="110"/>
      <c r="C34" s="147">
        <f>C4+B25</f>
        <v>142.6088564939659</v>
      </c>
      <c r="D34" s="151"/>
      <c r="E34" s="103"/>
      <c r="F34" s="103"/>
      <c r="G34" s="142">
        <f>SUM(B34:F34)</f>
        <v>142.6088564939659</v>
      </c>
    </row>
    <row r="35" spans="1:7" x14ac:dyDescent="0.2">
      <c r="A35" s="36" t="s">
        <v>34</v>
      </c>
      <c r="B35" s="103">
        <f>'Palatlakaha allocate'!D51</f>
        <v>29.075776996241018</v>
      </c>
      <c r="C35" s="103"/>
      <c r="D35" s="103"/>
      <c r="E35" s="103"/>
      <c r="F35" s="103"/>
      <c r="G35" s="142">
        <f t="shared" ref="G35:G50" si="1">SUM(B35:F35)</f>
        <v>29.075776996241018</v>
      </c>
    </row>
    <row r="36" spans="1:7" x14ac:dyDescent="0.2">
      <c r="A36" s="36" t="s">
        <v>40</v>
      </c>
      <c r="B36" s="103"/>
      <c r="C36" s="103"/>
      <c r="D36" s="103"/>
      <c r="E36" s="103">
        <f>E6+C23</f>
        <v>114.73839474630891</v>
      </c>
      <c r="F36" s="103">
        <f>F6+E23</f>
        <v>15.844250761269553</v>
      </c>
      <c r="G36" s="142">
        <f t="shared" si="1"/>
        <v>130.58264550757846</v>
      </c>
    </row>
    <row r="37" spans="1:7" x14ac:dyDescent="0.2">
      <c r="A37" s="36" t="s">
        <v>41</v>
      </c>
      <c r="B37" s="103"/>
      <c r="C37" s="103">
        <f>C7</f>
        <v>102.55720063415907</v>
      </c>
      <c r="D37" s="103">
        <f>D7</f>
        <v>0.43695611085657965</v>
      </c>
      <c r="E37" s="103">
        <f>E7</f>
        <v>21.956802456455758</v>
      </c>
      <c r="F37" s="103">
        <f>F7</f>
        <v>2.1529625131389833</v>
      </c>
      <c r="G37" s="142">
        <f t="shared" si="1"/>
        <v>127.10392171461041</v>
      </c>
    </row>
    <row r="38" spans="1:7" x14ac:dyDescent="0.2">
      <c r="A38" s="36" t="s">
        <v>35</v>
      </c>
      <c r="B38" s="103">
        <f>'Palatlakaha allocate'!D52</f>
        <v>228.22006614451001</v>
      </c>
      <c r="C38" s="103"/>
      <c r="D38" s="103"/>
      <c r="E38" s="103"/>
      <c r="F38" s="103"/>
      <c r="G38" s="142">
        <f t="shared" si="1"/>
        <v>228.22006614451001</v>
      </c>
    </row>
    <row r="39" spans="1:7" x14ac:dyDescent="0.2">
      <c r="A39" s="36" t="s">
        <v>49</v>
      </c>
      <c r="B39" s="103"/>
      <c r="C39" s="103">
        <f>C9+B26</f>
        <v>138.57392224040561</v>
      </c>
      <c r="D39" s="103"/>
      <c r="E39" s="103"/>
      <c r="F39" s="103"/>
      <c r="G39" s="142">
        <f t="shared" si="1"/>
        <v>138.57392224040561</v>
      </c>
    </row>
    <row r="40" spans="1:7" x14ac:dyDescent="0.2">
      <c r="A40" s="36" t="s">
        <v>36</v>
      </c>
      <c r="B40" s="103">
        <f>'Palatlakaha allocate'!D53</f>
        <v>470.25824558705301</v>
      </c>
      <c r="C40" s="103">
        <f>C10+B24</f>
        <v>1722.8202869954848</v>
      </c>
      <c r="D40" s="103">
        <f>D10+D24</f>
        <v>1.0527415370477216</v>
      </c>
      <c r="E40" s="103">
        <f>E10+C24</f>
        <v>260.49245132803469</v>
      </c>
      <c r="F40" s="103">
        <f>F10+E24</f>
        <v>5.7985701964926823</v>
      </c>
      <c r="G40" s="142">
        <f t="shared" si="1"/>
        <v>2460.4222956441126</v>
      </c>
    </row>
    <row r="41" spans="1:7" x14ac:dyDescent="0.2">
      <c r="A41" s="36" t="s">
        <v>37</v>
      </c>
      <c r="B41" s="103">
        <f>'Palatlakaha allocate'!D54</f>
        <v>58.524993002359281</v>
      </c>
      <c r="C41" s="103">
        <f>C11+B27</f>
        <v>854.79206609745484</v>
      </c>
      <c r="D41" s="103"/>
      <c r="E41" s="103"/>
      <c r="F41" s="103"/>
      <c r="G41" s="142">
        <f t="shared" si="1"/>
        <v>913.31705909981406</v>
      </c>
    </row>
    <row r="42" spans="1:7" x14ac:dyDescent="0.2">
      <c r="A42" s="36" t="s">
        <v>42</v>
      </c>
      <c r="B42" s="103"/>
      <c r="C42" s="103"/>
      <c r="D42" s="103"/>
      <c r="E42" s="103">
        <f>E12</f>
        <v>7.1453956059395107</v>
      </c>
      <c r="F42" s="103"/>
      <c r="G42" s="142">
        <f t="shared" si="1"/>
        <v>7.1453956059395107</v>
      </c>
    </row>
    <row r="43" spans="1:7" x14ac:dyDescent="0.2">
      <c r="A43" s="36" t="s">
        <v>38</v>
      </c>
      <c r="B43" s="103">
        <f>'Palatlakaha allocate'!D55</f>
        <v>1.7826966199214209</v>
      </c>
      <c r="C43" s="103"/>
      <c r="D43" s="103"/>
      <c r="E43" s="103"/>
      <c r="F43" s="103"/>
      <c r="G43" s="142">
        <f t="shared" si="1"/>
        <v>1.7826966199214209</v>
      </c>
    </row>
    <row r="44" spans="1:7" x14ac:dyDescent="0.2">
      <c r="A44" s="36" t="s">
        <v>39</v>
      </c>
      <c r="B44" s="103">
        <f>'Palatlakaha allocate'!D56</f>
        <v>46.057462298814819</v>
      </c>
      <c r="C44" s="103"/>
      <c r="D44" s="103"/>
      <c r="E44" s="103"/>
      <c r="F44" s="103"/>
      <c r="G44" s="142">
        <f t="shared" si="1"/>
        <v>46.057462298814819</v>
      </c>
    </row>
    <row r="45" spans="1:7" x14ac:dyDescent="0.2">
      <c r="A45" s="36" t="s">
        <v>47</v>
      </c>
      <c r="B45" s="103"/>
      <c r="C45" s="103"/>
      <c r="D45" s="103">
        <f>D15+D29</f>
        <v>3.3663502374087231</v>
      </c>
      <c r="E45" s="103"/>
      <c r="F45" s="103"/>
      <c r="G45" s="142">
        <f t="shared" si="1"/>
        <v>3.3663502374087231</v>
      </c>
    </row>
    <row r="46" spans="1:7" x14ac:dyDescent="0.2">
      <c r="A46" s="36" t="s">
        <v>50</v>
      </c>
      <c r="B46" s="103"/>
      <c r="C46" s="103">
        <f>C16+B28</f>
        <v>334.93990066829059</v>
      </c>
      <c r="D46" s="103"/>
      <c r="E46" s="103"/>
      <c r="F46" s="103"/>
      <c r="G46" s="142">
        <f t="shared" si="1"/>
        <v>334.93990066829059</v>
      </c>
    </row>
    <row r="47" spans="1:7" x14ac:dyDescent="0.2">
      <c r="A47" s="36" t="s">
        <v>43</v>
      </c>
      <c r="B47" s="103"/>
      <c r="C47" s="103"/>
      <c r="D47" s="103"/>
      <c r="E47" s="103">
        <f>E17</f>
        <v>22.294431549988722</v>
      </c>
      <c r="F47" s="103">
        <f>F17</f>
        <v>12.307207763130899</v>
      </c>
      <c r="G47" s="142">
        <f t="shared" si="1"/>
        <v>34.60163931311962</v>
      </c>
    </row>
    <row r="48" spans="1:7" x14ac:dyDescent="0.2">
      <c r="A48" s="36" t="s">
        <v>51</v>
      </c>
      <c r="B48" s="103"/>
      <c r="C48" s="103">
        <f>C18</f>
        <v>3.3076189619916869</v>
      </c>
      <c r="D48" s="103"/>
      <c r="E48" s="103"/>
      <c r="F48" s="103"/>
      <c r="G48" s="142">
        <f t="shared" si="1"/>
        <v>3.3076189619916869</v>
      </c>
    </row>
    <row r="49" spans="1:7" s="35" customFormat="1" x14ac:dyDescent="0.2">
      <c r="A49" s="71" t="s">
        <v>148</v>
      </c>
      <c r="B49" s="143">
        <f>'Palatlakaha allocate'!D57</f>
        <v>8.1007560048997043</v>
      </c>
      <c r="C49" s="143"/>
      <c r="D49" s="143"/>
      <c r="E49" s="143"/>
      <c r="F49" s="143"/>
      <c r="G49" s="142">
        <f t="shared" si="1"/>
        <v>8.1007560048997043</v>
      </c>
    </row>
    <row r="50" spans="1:7" ht="39" thickBot="1" x14ac:dyDescent="0.25">
      <c r="A50" s="153" t="s">
        <v>224</v>
      </c>
      <c r="B50" s="104">
        <f>SUM(B34:B49)</f>
        <v>842.01999665379935</v>
      </c>
      <c r="C50" s="104">
        <f>SUM(C34:C49)</f>
        <v>3299.5998520917528</v>
      </c>
      <c r="D50" s="104">
        <f>SUM(D34:D49)</f>
        <v>4.856047885313024</v>
      </c>
      <c r="E50" s="104">
        <f>SUM(E34:E49)</f>
        <v>426.62747568672756</v>
      </c>
      <c r="F50" s="104">
        <f>SUM(F34:F49)</f>
        <v>36.102991234032118</v>
      </c>
      <c r="G50" s="105">
        <f t="shared" si="1"/>
        <v>4609.2063635516251</v>
      </c>
    </row>
  </sheetData>
  <mergeCells count="3">
    <mergeCell ref="A32:G32"/>
    <mergeCell ref="A21:F21"/>
    <mergeCell ref="A2:G2"/>
  </mergeCells>
  <pageMargins left="0.7" right="0.7" top="0.75" bottom="0.75" header="0.3" footer="0.3"/>
  <pageSetup orientation="landscape" r:id="rId1"/>
  <headerFooter>
    <oddHeader>&amp;C&amp;"Arial,Bold"&amp;12Upper Ocklawaha 
Draft Priority Lake Allocation Summary</oddHeader>
    <oddFooter>&amp;LDraft 1/27/16&amp;C&amp;P</odd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AI37"/>
  <sheetViews>
    <sheetView workbookViewId="0">
      <pane xSplit="1" topLeftCell="B1" activePane="topRight" state="frozen"/>
      <selection pane="topRight" activeCell="B19" sqref="B19"/>
    </sheetView>
  </sheetViews>
  <sheetFormatPr defaultColWidth="17.140625" defaultRowHeight="12.75" x14ac:dyDescent="0.2"/>
  <cols>
    <col min="1" max="1" width="18.85546875" style="155" customWidth="1"/>
    <col min="2" max="34" width="17.140625" style="333"/>
    <col min="35" max="35" width="106.7109375" style="155" customWidth="1"/>
    <col min="36" max="16384" width="17.140625" style="328"/>
  </cols>
  <sheetData>
    <row r="1" spans="1:35" ht="15" x14ac:dyDescent="0.2">
      <c r="B1" s="694"/>
      <c r="C1" s="694"/>
      <c r="D1" s="694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5"/>
      <c r="AB1" s="695"/>
      <c r="AC1" s="695"/>
      <c r="AD1" s="695"/>
      <c r="AE1" s="695"/>
      <c r="AF1" s="695"/>
      <c r="AG1" s="331"/>
      <c r="AH1" s="331"/>
      <c r="AI1" s="336"/>
    </row>
    <row r="2" spans="1:35" ht="38.25" x14ac:dyDescent="0.2">
      <c r="A2" s="341" t="s">
        <v>33</v>
      </c>
      <c r="B2" s="342" t="s">
        <v>302</v>
      </c>
      <c r="C2" s="343" t="s">
        <v>303</v>
      </c>
      <c r="D2" s="329" t="s">
        <v>304</v>
      </c>
      <c r="E2" s="342" t="s">
        <v>305</v>
      </c>
      <c r="F2" s="343" t="s">
        <v>306</v>
      </c>
      <c r="G2" s="344" t="s">
        <v>307</v>
      </c>
      <c r="H2" s="342" t="s">
        <v>308</v>
      </c>
      <c r="I2" s="343" t="s">
        <v>309</v>
      </c>
      <c r="J2" s="344" t="s">
        <v>310</v>
      </c>
      <c r="K2" s="342" t="s">
        <v>311</v>
      </c>
      <c r="L2" s="343" t="s">
        <v>312</v>
      </c>
      <c r="M2" s="344" t="s">
        <v>313</v>
      </c>
      <c r="N2" s="342" t="s">
        <v>314</v>
      </c>
      <c r="O2" s="343" t="s">
        <v>315</v>
      </c>
      <c r="P2" s="344" t="s">
        <v>316</v>
      </c>
      <c r="Q2" s="342" t="s">
        <v>317</v>
      </c>
      <c r="R2" s="343" t="s">
        <v>318</v>
      </c>
      <c r="S2" s="344" t="s">
        <v>319</v>
      </c>
      <c r="T2" s="342" t="s">
        <v>320</v>
      </c>
      <c r="U2" s="343" t="s">
        <v>321</v>
      </c>
      <c r="V2" s="344" t="s">
        <v>322</v>
      </c>
      <c r="W2" s="342" t="s">
        <v>323</v>
      </c>
      <c r="X2" s="343" t="s">
        <v>324</v>
      </c>
      <c r="Y2" s="344" t="s">
        <v>325</v>
      </c>
      <c r="Z2" s="342" t="s">
        <v>326</v>
      </c>
      <c r="AA2" s="343" t="s">
        <v>327</v>
      </c>
      <c r="AB2" s="344" t="s">
        <v>328</v>
      </c>
      <c r="AC2" s="342" t="s">
        <v>329</v>
      </c>
      <c r="AD2" s="343" t="s">
        <v>330</v>
      </c>
      <c r="AE2" s="344" t="s">
        <v>331</v>
      </c>
      <c r="AF2" s="342" t="s">
        <v>332</v>
      </c>
      <c r="AG2" s="343" t="s">
        <v>333</v>
      </c>
      <c r="AH2" s="344" t="s">
        <v>334</v>
      </c>
      <c r="AI2" s="345" t="s">
        <v>335</v>
      </c>
    </row>
    <row r="3" spans="1:35" x14ac:dyDescent="0.2">
      <c r="A3" s="346" t="s">
        <v>298</v>
      </c>
      <c r="B3" s="332"/>
      <c r="C3" s="332"/>
      <c r="D3" s="332"/>
      <c r="E3" s="332">
        <v>557</v>
      </c>
      <c r="F3" s="332"/>
      <c r="G3" s="332">
        <v>557</v>
      </c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2"/>
      <c r="W3" s="332"/>
      <c r="X3" s="332"/>
      <c r="Y3" s="332"/>
      <c r="Z3" s="332"/>
      <c r="AA3" s="332"/>
      <c r="AB3" s="332"/>
      <c r="AC3" s="332"/>
      <c r="AD3" s="332"/>
      <c r="AE3" s="332"/>
      <c r="AF3" s="332"/>
      <c r="AG3" s="332"/>
      <c r="AH3" s="332"/>
      <c r="AI3" s="82"/>
    </row>
    <row r="4" spans="1:35" x14ac:dyDescent="0.2">
      <c r="A4" s="346" t="s">
        <v>48</v>
      </c>
      <c r="B4" s="332"/>
      <c r="C4" s="332"/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82"/>
    </row>
    <row r="5" spans="1:35" x14ac:dyDescent="0.2">
      <c r="A5" s="346" t="s">
        <v>34</v>
      </c>
      <c r="B5" s="332">
        <v>353</v>
      </c>
      <c r="C5" s="332">
        <v>0.99490059217906957</v>
      </c>
      <c r="D5" s="332">
        <v>353.99490059217908</v>
      </c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82"/>
    </row>
    <row r="6" spans="1:35" x14ac:dyDescent="0.2">
      <c r="A6" s="346" t="s">
        <v>40</v>
      </c>
      <c r="B6" s="332"/>
      <c r="C6" s="332"/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>
        <v>3.5107800140983714</v>
      </c>
      <c r="P6" s="332">
        <v>3.5107800140983714</v>
      </c>
      <c r="Q6" s="332"/>
      <c r="R6" s="332"/>
      <c r="S6" s="332"/>
      <c r="T6" s="332">
        <v>2620</v>
      </c>
      <c r="U6" s="332">
        <v>13.658327677017905</v>
      </c>
      <c r="V6" s="332">
        <v>2633.658327677018</v>
      </c>
      <c r="W6" s="332">
        <v>467.8</v>
      </c>
      <c r="X6" s="332">
        <v>42.03049191093168</v>
      </c>
      <c r="Y6" s="332">
        <v>509.8304919109317</v>
      </c>
      <c r="Z6" s="332"/>
      <c r="AA6" s="332">
        <v>13.819253296746611</v>
      </c>
      <c r="AB6" s="332">
        <v>13.819253296746611</v>
      </c>
      <c r="AC6" s="332"/>
      <c r="AD6" s="332"/>
      <c r="AE6" s="332"/>
      <c r="AF6" s="332"/>
      <c r="AG6" s="332"/>
      <c r="AH6" s="332"/>
      <c r="AI6" s="337" t="s">
        <v>336</v>
      </c>
    </row>
    <row r="7" spans="1:35" x14ac:dyDescent="0.2">
      <c r="A7" s="346" t="s">
        <v>41</v>
      </c>
      <c r="B7" s="332">
        <v>13.3</v>
      </c>
      <c r="C7" s="332">
        <v>0.12300127338382176</v>
      </c>
      <c r="D7" s="332">
        <v>13.423001273383823</v>
      </c>
      <c r="E7" s="332">
        <v>133.99</v>
      </c>
      <c r="F7" s="332"/>
      <c r="G7" s="332">
        <v>133.99</v>
      </c>
      <c r="H7" s="332">
        <v>196.48556293303483</v>
      </c>
      <c r="I7" s="332">
        <v>0.7475293036846955</v>
      </c>
      <c r="J7" s="332">
        <v>197.23309223671953</v>
      </c>
      <c r="K7" s="332"/>
      <c r="L7" s="332">
        <v>8.0239491501704896E-2</v>
      </c>
      <c r="M7" s="332">
        <v>8.0239491501704896E-2</v>
      </c>
      <c r="N7" s="332">
        <v>56.402947199306723</v>
      </c>
      <c r="O7" s="332">
        <v>8.7654450592891772E-2</v>
      </c>
      <c r="P7" s="332">
        <v>56.490601649899617</v>
      </c>
      <c r="Q7" s="332"/>
      <c r="R7" s="332"/>
      <c r="S7" s="332"/>
      <c r="T7" s="332"/>
      <c r="U7" s="332">
        <v>0.15569121584675361</v>
      </c>
      <c r="V7" s="332">
        <v>0.15569121584675361</v>
      </c>
      <c r="W7" s="332">
        <v>217.16298339677564</v>
      </c>
      <c r="X7" s="332">
        <v>0.39406856530996581</v>
      </c>
      <c r="Y7" s="332">
        <v>217.55705196208561</v>
      </c>
      <c r="Z7" s="332"/>
      <c r="AA7" s="332">
        <v>0.22747913543698464</v>
      </c>
      <c r="AB7" s="332">
        <v>0.22747913543698464</v>
      </c>
      <c r="AC7" s="332">
        <v>225.99850647088275</v>
      </c>
      <c r="AD7" s="332">
        <v>0.16792655230808404</v>
      </c>
      <c r="AE7" s="332">
        <v>226.16643302319082</v>
      </c>
      <c r="AF7" s="332"/>
      <c r="AG7" s="332"/>
      <c r="AH7" s="332"/>
      <c r="AI7" s="82" t="s">
        <v>337</v>
      </c>
    </row>
    <row r="8" spans="1:35" x14ac:dyDescent="0.2">
      <c r="A8" s="346" t="s">
        <v>149</v>
      </c>
      <c r="B8" s="332"/>
      <c r="C8" s="332"/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  <c r="AD8" s="332">
        <v>7.4999172950386095</v>
      </c>
      <c r="AE8" s="332">
        <v>7.4999172950386095</v>
      </c>
      <c r="AF8" s="332"/>
      <c r="AG8" s="332"/>
      <c r="AH8" s="332"/>
      <c r="AI8" s="82"/>
    </row>
    <row r="9" spans="1:35" x14ac:dyDescent="0.2">
      <c r="A9" s="346" t="s">
        <v>35</v>
      </c>
      <c r="B9" s="332">
        <v>15</v>
      </c>
      <c r="C9" s="332">
        <v>7.8091216266954362</v>
      </c>
      <c r="D9" s="332">
        <v>22.809121626695436</v>
      </c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82"/>
    </row>
    <row r="10" spans="1:35" x14ac:dyDescent="0.2">
      <c r="A10" s="346" t="s">
        <v>49</v>
      </c>
      <c r="B10" s="332"/>
      <c r="C10" s="332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332"/>
      <c r="T10" s="332"/>
      <c r="U10" s="332"/>
      <c r="V10" s="332"/>
      <c r="W10" s="332"/>
      <c r="X10" s="332"/>
      <c r="Y10" s="332"/>
      <c r="Z10" s="332"/>
      <c r="AA10" s="332"/>
      <c r="AB10" s="332"/>
      <c r="AC10" s="332"/>
      <c r="AD10" s="332"/>
      <c r="AE10" s="332"/>
      <c r="AF10" s="332"/>
      <c r="AG10" s="332"/>
      <c r="AH10" s="332"/>
      <c r="AI10" s="82"/>
    </row>
    <row r="11" spans="1:35" x14ac:dyDescent="0.2">
      <c r="A11" s="346" t="s">
        <v>36</v>
      </c>
      <c r="B11" s="332"/>
      <c r="C11" s="332">
        <v>36.049050177523519</v>
      </c>
      <c r="D11" s="332">
        <v>36.049050177523519</v>
      </c>
      <c r="E11" s="332"/>
      <c r="F11" s="332"/>
      <c r="G11" s="332"/>
      <c r="H11" s="332">
        <v>188.1</v>
      </c>
      <c r="I11" s="332">
        <v>61.527326665794533</v>
      </c>
      <c r="J11" s="332">
        <v>249.62732666579453</v>
      </c>
      <c r="K11" s="332"/>
      <c r="L11" s="332">
        <v>0.61344160357961863</v>
      </c>
      <c r="M11" s="332">
        <v>0.61344160357961863</v>
      </c>
      <c r="N11" s="332"/>
      <c r="O11" s="332">
        <v>37.065402638163185</v>
      </c>
      <c r="P11" s="332">
        <v>37.065402638163185</v>
      </c>
      <c r="Q11" s="332"/>
      <c r="R11" s="332">
        <v>9.3965173780031321</v>
      </c>
      <c r="S11" s="332">
        <v>9.3965173780031321</v>
      </c>
      <c r="T11" s="332">
        <v>142.6</v>
      </c>
      <c r="U11" s="332">
        <v>3.8840230825735</v>
      </c>
      <c r="V11" s="332">
        <v>146.48402308257349</v>
      </c>
      <c r="W11" s="332">
        <v>6.4</v>
      </c>
      <c r="X11" s="332">
        <v>84.478276070768445</v>
      </c>
      <c r="Y11" s="332">
        <v>90.87827607076845</v>
      </c>
      <c r="Z11" s="332"/>
      <c r="AA11" s="332">
        <v>17.809009740017235</v>
      </c>
      <c r="AB11" s="332">
        <v>17.809009740017235</v>
      </c>
      <c r="AC11" s="332">
        <v>106.5</v>
      </c>
      <c r="AD11" s="332">
        <v>56.270348744021867</v>
      </c>
      <c r="AE11" s="332">
        <v>162.77034874402187</v>
      </c>
      <c r="AF11" s="332"/>
      <c r="AG11" s="332"/>
      <c r="AH11" s="332"/>
      <c r="AI11" s="82"/>
    </row>
    <row r="12" spans="1:35" ht="25.5" x14ac:dyDescent="0.2">
      <c r="A12" s="346" t="s">
        <v>299</v>
      </c>
      <c r="B12" s="332"/>
      <c r="C12" s="332"/>
      <c r="D12" s="332"/>
      <c r="E12" s="332"/>
      <c r="F12" s="332"/>
      <c r="G12" s="332"/>
      <c r="H12" s="332"/>
      <c r="I12" s="332"/>
      <c r="J12" s="332"/>
      <c r="K12" s="332"/>
      <c r="L12" s="332"/>
      <c r="M12" s="332"/>
      <c r="N12" s="332"/>
      <c r="O12" s="332"/>
      <c r="P12" s="332"/>
      <c r="Q12" s="332"/>
      <c r="R12" s="332"/>
      <c r="S12" s="332"/>
      <c r="T12" s="332">
        <v>726</v>
      </c>
      <c r="U12" s="332"/>
      <c r="V12" s="332">
        <v>726</v>
      </c>
      <c r="W12" s="332">
        <v>1487</v>
      </c>
      <c r="X12" s="332"/>
      <c r="Y12" s="332">
        <v>1487</v>
      </c>
      <c r="Z12" s="332"/>
      <c r="AA12" s="332"/>
      <c r="AB12" s="332"/>
      <c r="AC12" s="332"/>
      <c r="AD12" s="332"/>
      <c r="AE12" s="332"/>
      <c r="AF12" s="332"/>
      <c r="AG12" s="332"/>
      <c r="AH12" s="332"/>
      <c r="AI12" s="82"/>
    </row>
    <row r="13" spans="1:35" x14ac:dyDescent="0.2">
      <c r="A13" s="346" t="s">
        <v>300</v>
      </c>
      <c r="B13" s="332"/>
      <c r="C13" s="332"/>
      <c r="D13" s="332"/>
      <c r="E13" s="332"/>
      <c r="F13" s="332"/>
      <c r="G13" s="332"/>
      <c r="H13" s="332"/>
      <c r="I13" s="332"/>
      <c r="J13" s="332"/>
      <c r="K13" s="332"/>
      <c r="L13" s="332"/>
      <c r="M13" s="332"/>
      <c r="N13" s="332"/>
      <c r="O13" s="332"/>
      <c r="P13" s="332"/>
      <c r="Q13" s="332">
        <v>5000</v>
      </c>
      <c r="R13" s="332"/>
      <c r="S13" s="332">
        <v>5000</v>
      </c>
      <c r="T13" s="332"/>
      <c r="U13" s="332"/>
      <c r="V13" s="332"/>
      <c r="W13" s="332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8" t="s">
        <v>338</v>
      </c>
    </row>
    <row r="14" spans="1:35" x14ac:dyDescent="0.2">
      <c r="A14" s="346" t="s">
        <v>37</v>
      </c>
      <c r="B14" s="332"/>
      <c r="C14" s="332">
        <v>5.3408244222800239</v>
      </c>
      <c r="D14" s="332">
        <v>5.3408244222800239</v>
      </c>
      <c r="E14" s="332"/>
      <c r="F14" s="332"/>
      <c r="G14" s="332"/>
      <c r="H14" s="332">
        <v>36.599999999999994</v>
      </c>
      <c r="I14" s="332">
        <v>74.540821012116211</v>
      </c>
      <c r="J14" s="332">
        <v>111.14082101211621</v>
      </c>
      <c r="K14" s="332"/>
      <c r="L14" s="332"/>
      <c r="M14" s="332"/>
      <c r="N14" s="332"/>
      <c r="O14" s="332"/>
      <c r="P14" s="332"/>
      <c r="Q14" s="332"/>
      <c r="R14" s="332"/>
      <c r="S14" s="332"/>
      <c r="T14" s="332"/>
      <c r="U14" s="332"/>
      <c r="V14" s="332"/>
      <c r="W14" s="332"/>
      <c r="X14" s="332">
        <v>4.5361295857919828</v>
      </c>
      <c r="Y14" s="332">
        <v>4.5361295857919828</v>
      </c>
      <c r="Z14" s="332"/>
      <c r="AA14" s="332"/>
      <c r="AB14" s="332"/>
      <c r="AC14" s="332">
        <v>202.4</v>
      </c>
      <c r="AD14" s="332">
        <v>30.664171885382913</v>
      </c>
      <c r="AE14" s="332">
        <v>233.0641718853829</v>
      </c>
      <c r="AF14" s="332"/>
      <c r="AG14" s="332"/>
      <c r="AH14" s="332"/>
      <c r="AI14" s="82"/>
    </row>
    <row r="15" spans="1:35" x14ac:dyDescent="0.2">
      <c r="A15" s="346" t="s">
        <v>42</v>
      </c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/>
      <c r="AA15" s="332">
        <v>0.81431313134945238</v>
      </c>
      <c r="AB15" s="332">
        <v>0.81431313134945238</v>
      </c>
      <c r="AC15" s="332"/>
      <c r="AD15" s="332">
        <v>39.466682782880746</v>
      </c>
      <c r="AE15" s="332">
        <v>39.466682782880746</v>
      </c>
      <c r="AF15" s="332"/>
      <c r="AG15" s="332"/>
      <c r="AH15" s="332"/>
      <c r="AI15" s="82"/>
    </row>
    <row r="16" spans="1:35" x14ac:dyDescent="0.2">
      <c r="A16" s="346" t="s">
        <v>38</v>
      </c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82"/>
    </row>
    <row r="17" spans="1:35" x14ac:dyDescent="0.2">
      <c r="A17" s="346" t="s">
        <v>39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332"/>
      <c r="P17" s="332"/>
      <c r="Q17" s="332"/>
      <c r="R17" s="332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82"/>
    </row>
    <row r="18" spans="1:35" x14ac:dyDescent="0.2">
      <c r="A18" s="346" t="s">
        <v>301</v>
      </c>
      <c r="B18" s="332"/>
      <c r="C18" s="332"/>
      <c r="D18" s="332"/>
      <c r="E18" s="332"/>
      <c r="F18" s="332"/>
      <c r="G18" s="332"/>
      <c r="H18" s="332"/>
      <c r="I18" s="332"/>
      <c r="J18" s="332"/>
      <c r="K18" s="332"/>
      <c r="L18" s="332"/>
      <c r="M18" s="332"/>
      <c r="N18" s="332">
        <v>361.56</v>
      </c>
      <c r="O18" s="332"/>
      <c r="P18" s="332">
        <v>361.56</v>
      </c>
      <c r="Q18" s="332"/>
      <c r="R18" s="332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82" t="s">
        <v>339</v>
      </c>
    </row>
    <row r="19" spans="1:35" x14ac:dyDescent="0.2">
      <c r="A19" s="346" t="s">
        <v>297</v>
      </c>
      <c r="B19" s="332"/>
      <c r="C19" s="332"/>
      <c r="D19" s="332"/>
      <c r="E19" s="332">
        <v>262.7</v>
      </c>
      <c r="F19" s="332"/>
      <c r="G19" s="332">
        <v>262.7</v>
      </c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82"/>
    </row>
    <row r="20" spans="1:35" x14ac:dyDescent="0.2">
      <c r="A20" s="346" t="s">
        <v>47</v>
      </c>
      <c r="B20" s="332"/>
      <c r="C20" s="332"/>
      <c r="D20" s="332"/>
      <c r="E20" s="332">
        <v>321.7</v>
      </c>
      <c r="F20" s="332"/>
      <c r="G20" s="332">
        <v>321.7</v>
      </c>
      <c r="H20" s="332"/>
      <c r="I20" s="332"/>
      <c r="J20" s="332"/>
      <c r="K20" s="332"/>
      <c r="L20" s="332">
        <v>5.1006645812696432</v>
      </c>
      <c r="M20" s="332">
        <v>5.1006645812696432</v>
      </c>
      <c r="N20" s="332"/>
      <c r="O20" s="332">
        <v>0.86488009724867976</v>
      </c>
      <c r="P20" s="332">
        <v>0.86488009724867976</v>
      </c>
      <c r="Q20" s="332"/>
      <c r="R20" s="332">
        <v>2.5762812648797322</v>
      </c>
      <c r="S20" s="332">
        <v>2.5762812648797322</v>
      </c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>
        <v>1511</v>
      </c>
      <c r="AG20" s="332"/>
      <c r="AH20" s="332">
        <v>1511</v>
      </c>
      <c r="AI20" s="82"/>
    </row>
    <row r="21" spans="1:35" x14ac:dyDescent="0.2">
      <c r="A21" s="346" t="s">
        <v>50</v>
      </c>
      <c r="B21" s="332"/>
      <c r="C21" s="332"/>
      <c r="D21" s="332"/>
      <c r="E21" s="332"/>
      <c r="F21" s="332"/>
      <c r="G21" s="332"/>
      <c r="H21" s="332">
        <v>9.9</v>
      </c>
      <c r="I21" s="332">
        <v>8.2414734054327692</v>
      </c>
      <c r="J21" s="332">
        <v>18.14147340543277</v>
      </c>
      <c r="K21" s="332"/>
      <c r="L21" s="332"/>
      <c r="M21" s="332"/>
      <c r="N21" s="332">
        <v>339.7</v>
      </c>
      <c r="O21" s="332">
        <v>6.4264851334542481</v>
      </c>
      <c r="P21" s="332">
        <v>346.12648513345425</v>
      </c>
      <c r="Q21" s="332"/>
      <c r="R21" s="332"/>
      <c r="S21" s="332">
        <v>1.5609205103537119E-3</v>
      </c>
      <c r="T21" s="332"/>
      <c r="U21" s="332"/>
      <c r="V21" s="332"/>
      <c r="W21" s="332">
        <v>298.95999999999998</v>
      </c>
      <c r="X21" s="332">
        <v>8.6014321267684348</v>
      </c>
      <c r="Y21" s="332">
        <v>307.56143212676841</v>
      </c>
      <c r="Z21" s="332"/>
      <c r="AA21" s="332"/>
      <c r="AB21" s="332"/>
      <c r="AC21" s="332"/>
      <c r="AD21" s="332"/>
      <c r="AE21" s="332"/>
      <c r="AF21" s="332"/>
      <c r="AG21" s="332"/>
      <c r="AH21" s="332"/>
      <c r="AI21" s="82" t="s">
        <v>340</v>
      </c>
    </row>
    <row r="22" spans="1:35" x14ac:dyDescent="0.2">
      <c r="A22" s="346" t="s">
        <v>341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82"/>
    </row>
    <row r="23" spans="1:35" x14ac:dyDescent="0.2">
      <c r="A23" s="346" t="s">
        <v>43</v>
      </c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>
        <v>27.4</v>
      </c>
      <c r="U23" s="332">
        <v>9.7805521004042824</v>
      </c>
      <c r="V23" s="332">
        <v>37.180552100404284</v>
      </c>
      <c r="W23" s="332">
        <v>18.760000000000002</v>
      </c>
      <c r="X23" s="332"/>
      <c r="Y23" s="332">
        <v>18.760000000000002</v>
      </c>
      <c r="Z23" s="332">
        <v>4</v>
      </c>
      <c r="AA23" s="332">
        <v>2.5407478281589539</v>
      </c>
      <c r="AB23" s="332">
        <v>6.5407478281589544</v>
      </c>
      <c r="AC23" s="332"/>
      <c r="AD23" s="332"/>
      <c r="AE23" s="332"/>
      <c r="AF23" s="332"/>
      <c r="AG23" s="332"/>
      <c r="AH23" s="332"/>
      <c r="AI23" s="338" t="s">
        <v>342</v>
      </c>
    </row>
    <row r="24" spans="1:35" x14ac:dyDescent="0.2">
      <c r="A24" s="346" t="s">
        <v>51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8"/>
    </row>
    <row r="25" spans="1:35" x14ac:dyDescent="0.2">
      <c r="A25" s="346" t="s">
        <v>296</v>
      </c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82"/>
    </row>
    <row r="26" spans="1:35" x14ac:dyDescent="0.2">
      <c r="A26" s="347" t="s">
        <v>343</v>
      </c>
      <c r="B26" s="334">
        <f>SUM(B3:B25)</f>
        <v>381.3</v>
      </c>
      <c r="C26" s="334">
        <f t="shared" ref="C26:AH26" si="0">SUM(C3:C25)</f>
        <v>50.316898092061869</v>
      </c>
      <c r="D26" s="334">
        <f t="shared" si="0"/>
        <v>431.61689809206189</v>
      </c>
      <c r="E26" s="334">
        <f t="shared" si="0"/>
        <v>1275.3900000000001</v>
      </c>
      <c r="F26" s="334">
        <f t="shared" si="0"/>
        <v>0</v>
      </c>
      <c r="G26" s="334">
        <f t="shared" si="0"/>
        <v>1275.3900000000001</v>
      </c>
      <c r="H26" s="334">
        <f t="shared" si="0"/>
        <v>431.08556293303479</v>
      </c>
      <c r="I26" s="334">
        <f t="shared" si="0"/>
        <v>145.0571503870282</v>
      </c>
      <c r="J26" s="334">
        <f t="shared" si="0"/>
        <v>576.14271332006308</v>
      </c>
      <c r="K26" s="334">
        <f t="shared" si="0"/>
        <v>0</v>
      </c>
      <c r="L26" s="334">
        <f t="shared" si="0"/>
        <v>5.7943456763509662</v>
      </c>
      <c r="M26" s="334">
        <f t="shared" si="0"/>
        <v>5.7943456763509662</v>
      </c>
      <c r="N26" s="334">
        <f t="shared" si="0"/>
        <v>757.6629471993067</v>
      </c>
      <c r="O26" s="334">
        <f t="shared" si="0"/>
        <v>47.955202333557381</v>
      </c>
      <c r="P26" s="334">
        <f t="shared" si="0"/>
        <v>805.61814953286409</v>
      </c>
      <c r="Q26" s="334">
        <f t="shared" si="0"/>
        <v>5000</v>
      </c>
      <c r="R26" s="334">
        <f t="shared" si="0"/>
        <v>11.972798642882864</v>
      </c>
      <c r="S26" s="334">
        <f t="shared" si="0"/>
        <v>5011.9743595633936</v>
      </c>
      <c r="T26" s="334">
        <f t="shared" si="0"/>
        <v>3516</v>
      </c>
      <c r="U26" s="334">
        <f t="shared" si="0"/>
        <v>27.478594075842441</v>
      </c>
      <c r="V26" s="334">
        <f t="shared" si="0"/>
        <v>3543.4785940758425</v>
      </c>
      <c r="W26" s="330">
        <f t="shared" si="0"/>
        <v>2496.0829833967759</v>
      </c>
      <c r="X26" s="330">
        <f t="shared" si="0"/>
        <v>140.04039825957051</v>
      </c>
      <c r="Y26" s="330">
        <f t="shared" si="0"/>
        <v>2636.1233816563463</v>
      </c>
      <c r="Z26" s="330">
        <f t="shared" si="0"/>
        <v>4</v>
      </c>
      <c r="AA26" s="330">
        <f t="shared" si="0"/>
        <v>35.210803131709241</v>
      </c>
      <c r="AB26" s="330">
        <f t="shared" si="0"/>
        <v>39.210803131709241</v>
      </c>
      <c r="AC26" s="330">
        <f t="shared" si="0"/>
        <v>534.89850647088269</v>
      </c>
      <c r="AD26" s="330">
        <f t="shared" si="0"/>
        <v>134.06904725963221</v>
      </c>
      <c r="AE26" s="330">
        <f t="shared" si="0"/>
        <v>668.96755373051496</v>
      </c>
      <c r="AF26" s="330">
        <f t="shared" si="0"/>
        <v>1511</v>
      </c>
      <c r="AG26" s="330">
        <f t="shared" si="0"/>
        <v>0</v>
      </c>
      <c r="AH26" s="330">
        <f t="shared" si="0"/>
        <v>1511</v>
      </c>
      <c r="AI26" s="339"/>
    </row>
    <row r="35" spans="1:35" x14ac:dyDescent="0.2">
      <c r="A35" s="348"/>
    </row>
    <row r="37" spans="1:35" ht="15" x14ac:dyDescent="0.25">
      <c r="AI37" s="340"/>
    </row>
  </sheetData>
  <mergeCells count="1">
    <mergeCell ref="B1:A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G3" sqref="G3"/>
    </sheetView>
  </sheetViews>
  <sheetFormatPr defaultRowHeight="12.75" x14ac:dyDescent="0.2"/>
  <cols>
    <col min="1" max="1" width="11.28515625" style="35" bestFit="1" customWidth="1"/>
    <col min="2" max="2" width="27.42578125" customWidth="1"/>
    <col min="3" max="3" width="18.140625" customWidth="1"/>
    <col min="4" max="4" width="19.28515625" customWidth="1"/>
    <col min="5" max="5" width="17.140625" customWidth="1"/>
    <col min="6" max="6" width="17" bestFit="1" customWidth="1"/>
    <col min="7" max="7" width="18.7109375" customWidth="1"/>
  </cols>
  <sheetData>
    <row r="1" spans="1:8" ht="13.5" thickBot="1" x14ac:dyDescent="0.25">
      <c r="A1" s="696" t="s">
        <v>405</v>
      </c>
      <c r="B1" s="696"/>
      <c r="C1" s="696"/>
      <c r="D1" s="696"/>
      <c r="E1" s="696"/>
      <c r="F1" s="696"/>
      <c r="G1" s="696"/>
    </row>
    <row r="2" spans="1:8" ht="39" thickBot="1" x14ac:dyDescent="0.25">
      <c r="A2" s="620" t="s">
        <v>360</v>
      </c>
      <c r="B2" s="621" t="s">
        <v>361</v>
      </c>
      <c r="C2" s="621" t="s">
        <v>126</v>
      </c>
      <c r="D2" s="621" t="s">
        <v>128</v>
      </c>
      <c r="E2" s="621" t="s">
        <v>129</v>
      </c>
      <c r="F2" s="622" t="s">
        <v>131</v>
      </c>
      <c r="G2" s="623" t="s">
        <v>354</v>
      </c>
    </row>
    <row r="3" spans="1:8" x14ac:dyDescent="0.2">
      <c r="A3" s="387" t="s">
        <v>46</v>
      </c>
      <c r="B3" s="388" t="str">
        <f>'Carlton Allocate'!A70</f>
        <v>Lake County</v>
      </c>
      <c r="C3" s="371">
        <f>'Carlton Allocate'!B70</f>
        <v>0</v>
      </c>
      <c r="D3" s="371">
        <f>'Carlton Allocate'!C70</f>
        <v>1.1477049328217666</v>
      </c>
      <c r="E3" s="371">
        <f>'Carlton Allocate'!D70</f>
        <v>11.121127138770605</v>
      </c>
      <c r="F3" s="372">
        <f>'Carlton Allocate'!E70</f>
        <v>12.268832071592371</v>
      </c>
      <c r="G3" s="624">
        <f>'Carlton Allocate'!F70</f>
        <v>0.1013483290014678</v>
      </c>
    </row>
    <row r="4" spans="1:8" x14ac:dyDescent="0.2">
      <c r="A4" s="375" t="s">
        <v>46</v>
      </c>
      <c r="B4" s="376" t="str">
        <f>'Carlton Allocate'!A69</f>
        <v>FDOT</v>
      </c>
      <c r="C4" s="356">
        <f>'Carlton Allocate'!B69</f>
        <v>15.938493516051416</v>
      </c>
      <c r="D4" s="356">
        <f>'Carlton Allocate'!C69</f>
        <v>0.10940478428956435</v>
      </c>
      <c r="E4" s="356">
        <f>'Carlton Allocate'!D69</f>
        <v>0</v>
      </c>
      <c r="F4" s="374">
        <f>'Carlton Allocate'!E69</f>
        <v>16.047898300340979</v>
      </c>
      <c r="G4" s="427">
        <f>'Carlton Allocate'!F69</f>
        <v>0.13256581125524847</v>
      </c>
    </row>
    <row r="5" spans="1:8" ht="13.5" thickBot="1" x14ac:dyDescent="0.25">
      <c r="A5" s="379" t="s">
        <v>46</v>
      </c>
      <c r="B5" s="380" t="str">
        <f>'Carlton Allocate'!A71</f>
        <v>Orange County</v>
      </c>
      <c r="C5" s="381">
        <f>'Carlton Allocate'!B71</f>
        <v>0.30372815186480906</v>
      </c>
      <c r="D5" s="381">
        <f>'Carlton Allocate'!C71</f>
        <v>55.936824020788514</v>
      </c>
      <c r="E5" s="381">
        <f>'Carlton Allocate'!D71</f>
        <v>36.498803850431102</v>
      </c>
      <c r="F5" s="368">
        <f>'Carlton Allocate'!E71</f>
        <v>92.739356023084426</v>
      </c>
      <c r="G5" s="428">
        <f>'Carlton Allocate'!F71</f>
        <v>0.7660858597432838</v>
      </c>
    </row>
    <row r="6" spans="1:8" x14ac:dyDescent="0.2">
      <c r="A6" s="389" t="s">
        <v>356</v>
      </c>
      <c r="B6" s="390" t="str">
        <f>'Harris Allocate'!A99</f>
        <v>Wildwood</v>
      </c>
      <c r="C6" s="391">
        <f>'Harris Allocate'!B99</f>
        <v>4.7474061740108986E-2</v>
      </c>
      <c r="D6" s="391">
        <f>'Harris Allocate'!C99</f>
        <v>4.7747127754078633</v>
      </c>
      <c r="E6" s="391">
        <f>'Harris Allocate'!D99</f>
        <v>0</v>
      </c>
      <c r="F6" s="372">
        <f>'Harris Allocate'!E99</f>
        <v>4.8221868371479726</v>
      </c>
      <c r="G6" s="392">
        <f>'Harris Allocate'!F99</f>
        <v>1.4636710035659396E-3</v>
      </c>
    </row>
    <row r="7" spans="1:8" x14ac:dyDescent="0.2">
      <c r="A7" s="282" t="s">
        <v>356</v>
      </c>
      <c r="B7" s="385" t="str">
        <f>'Harris Allocate'!A95</f>
        <v>Howey-in-the-Hills</v>
      </c>
      <c r="C7" s="357">
        <f>'Harris Allocate'!B95</f>
        <v>3.0819478673614324</v>
      </c>
      <c r="D7" s="357">
        <f>'Harris Allocate'!C95</f>
        <v>60.982630191638293</v>
      </c>
      <c r="E7" s="357">
        <f>'Harris Allocate'!D95</f>
        <v>4.8133545441938868</v>
      </c>
      <c r="F7" s="374">
        <f>'Harris Allocate'!E95</f>
        <v>68.877932603193614</v>
      </c>
      <c r="G7" s="427">
        <f>'Harris Allocate'!F95</f>
        <v>2.0906413654533804E-2</v>
      </c>
    </row>
    <row r="8" spans="1:8" x14ac:dyDescent="0.2">
      <c r="A8" s="282" t="s">
        <v>356</v>
      </c>
      <c r="B8" s="385" t="str">
        <f>'Harris Allocate'!A93</f>
        <v>Astatula</v>
      </c>
      <c r="C8" s="357">
        <f>'Harris Allocate'!B93</f>
        <v>49.610644393299651</v>
      </c>
      <c r="D8" s="357">
        <f>'Harris Allocate'!C93</f>
        <v>73.288812276430718</v>
      </c>
      <c r="E8" s="357">
        <f>'Harris Allocate'!D93</f>
        <v>4.6435166924023603</v>
      </c>
      <c r="F8" s="374">
        <f>'Harris Allocate'!E93</f>
        <v>127.54297336213273</v>
      </c>
      <c r="G8" s="427">
        <f>'Harris Allocate'!F93</f>
        <v>3.8712923850363921E-2</v>
      </c>
    </row>
    <row r="9" spans="1:8" x14ac:dyDescent="0.2">
      <c r="A9" s="282" t="s">
        <v>356</v>
      </c>
      <c r="B9" s="385" t="str">
        <f>'Harris Allocate'!A94</f>
        <v>FDOT</v>
      </c>
      <c r="C9" s="357">
        <f>'Harris Allocate'!B94</f>
        <v>142.07820878675409</v>
      </c>
      <c r="D9" s="357">
        <f>'Harris Allocate'!C94</f>
        <v>7.0315724407708737</v>
      </c>
      <c r="E9" s="357">
        <f>'Harris Allocate'!D94</f>
        <v>0.39607950941414494</v>
      </c>
      <c r="F9" s="374">
        <f>'Harris Allocate'!E94</f>
        <v>149.5058607369391</v>
      </c>
      <c r="G9" s="427">
        <f>'Harris Allocate'!F94</f>
        <v>4.537928550135735E-2</v>
      </c>
      <c r="H9" s="180"/>
    </row>
    <row r="10" spans="1:8" x14ac:dyDescent="0.2">
      <c r="A10" s="282" t="s">
        <v>356</v>
      </c>
      <c r="B10" s="385" t="str">
        <f>'Harris Allocate'!A98</f>
        <v>Tavares</v>
      </c>
      <c r="C10" s="357">
        <f>'Harris Allocate'!B98</f>
        <v>383.82847110019651</v>
      </c>
      <c r="D10" s="357">
        <f>'Harris Allocate'!C98</f>
        <v>78.033458126064829</v>
      </c>
      <c r="E10" s="357">
        <f>'Harris Allocate'!D98</f>
        <v>9.0794082270396803</v>
      </c>
      <c r="F10" s="374">
        <f>'Harris Allocate'!E98</f>
        <v>470.941337453301</v>
      </c>
      <c r="G10" s="427">
        <f>'Harris Allocate'!F98</f>
        <v>0.142944104674849</v>
      </c>
    </row>
    <row r="11" spans="1:8" x14ac:dyDescent="0.2">
      <c r="A11" s="282" t="s">
        <v>356</v>
      </c>
      <c r="B11" s="385" t="str">
        <f>'Harris Allocate'!A96</f>
        <v>Lake County</v>
      </c>
      <c r="C11" s="357">
        <f>'Harris Allocate'!B96</f>
        <v>743.4478457017326</v>
      </c>
      <c r="D11" s="357">
        <f>'Harris Allocate'!C96</f>
        <v>323.23080406381666</v>
      </c>
      <c r="E11" s="357">
        <f>'Harris Allocate'!D96</f>
        <v>163.8678835503413</v>
      </c>
      <c r="F11" s="374">
        <f>'Harris Allocate'!E96</f>
        <v>1230.5465333158907</v>
      </c>
      <c r="G11" s="427">
        <f>'Harris Allocate'!F96</f>
        <v>0.3735059092854035</v>
      </c>
    </row>
    <row r="12" spans="1:8" ht="13.5" thickBot="1" x14ac:dyDescent="0.25">
      <c r="A12" s="393" t="s">
        <v>356</v>
      </c>
      <c r="B12" s="394" t="str">
        <f>'Harris Allocate'!A97</f>
        <v>Leesburg</v>
      </c>
      <c r="C12" s="382">
        <f>'Harris Allocate'!B97</f>
        <v>883.47698828551836</v>
      </c>
      <c r="D12" s="382">
        <f>'Harris Allocate'!C97</f>
        <v>257.22035948636312</v>
      </c>
      <c r="E12" s="382">
        <f>'Harris Allocate'!D97</f>
        <v>101.64966909672182</v>
      </c>
      <c r="F12" s="368">
        <f>'Harris Allocate'!E97</f>
        <v>1242.3470168686035</v>
      </c>
      <c r="G12" s="428">
        <f>'Harris Allocate'!F97</f>
        <v>0.37708769202992654</v>
      </c>
    </row>
    <row r="13" spans="1:8" x14ac:dyDescent="0.2">
      <c r="A13" s="387" t="s">
        <v>358</v>
      </c>
      <c r="B13" s="395" t="str">
        <f>'Palatlakaha allocate'!A92</f>
        <v>Mascotte</v>
      </c>
      <c r="C13" s="391">
        <f>'Palatlakaha allocate'!B92</f>
        <v>0.13521929735823521</v>
      </c>
      <c r="D13" s="391">
        <f>'Palatlakaha allocate'!C92</f>
        <v>1.1828685224101925</v>
      </c>
      <c r="E13" s="391">
        <f>'Palatlakaha allocate'!D92</f>
        <v>1.3929981097318767</v>
      </c>
      <c r="F13" s="372">
        <f>'Palatlakaha allocate'!E92</f>
        <v>2.711085929500304</v>
      </c>
      <c r="G13" s="373">
        <f>'Palatlakaha allocate'!F92</f>
        <v>2.077609002934965E-3</v>
      </c>
      <c r="H13" s="180"/>
    </row>
    <row r="14" spans="1:8" x14ac:dyDescent="0.2">
      <c r="A14" s="375" t="s">
        <v>358</v>
      </c>
      <c r="B14" s="386" t="str">
        <f>'Palatlakaha allocate'!A94</f>
        <v>Turnpike</v>
      </c>
      <c r="C14" s="357">
        <f>'Palatlakaha allocate'!B94</f>
        <v>0</v>
      </c>
      <c r="D14" s="357">
        <f>'Palatlakaha allocate'!C94</f>
        <v>12.31945210294208</v>
      </c>
      <c r="E14" s="357">
        <f>'Palatlakaha allocate'!D94</f>
        <v>0</v>
      </c>
      <c r="F14" s="374">
        <f>'Palatlakaha allocate'!E94</f>
        <v>12.31945210294208</v>
      </c>
      <c r="G14" s="369">
        <f>'Palatlakaha allocate'!F94</f>
        <v>9.4408680749621682E-3</v>
      </c>
    </row>
    <row r="15" spans="1:8" x14ac:dyDescent="0.2">
      <c r="A15" s="375" t="s">
        <v>358</v>
      </c>
      <c r="B15" s="376" t="str">
        <f>'Palatlakaha allocate'!A95</f>
        <v>FDOT</v>
      </c>
      <c r="C15" s="356">
        <f>'Palatlakaha allocate'!B95</f>
        <v>0.63932543739145409</v>
      </c>
      <c r="D15" s="356">
        <f>'Palatlakaha allocate'!C95</f>
        <v>23.741837434950622</v>
      </c>
      <c r="E15" s="356">
        <f>'Palatlakaha allocate'!D95</f>
        <v>0</v>
      </c>
      <c r="F15" s="374">
        <f>'Palatlakaha allocate'!E95</f>
        <v>24.381162872342074</v>
      </c>
      <c r="G15" s="427">
        <f>'Palatlakaha allocate'!F95</f>
        <v>1.8684219092582593E-2</v>
      </c>
    </row>
    <row r="16" spans="1:8" x14ac:dyDescent="0.2">
      <c r="A16" s="375" t="s">
        <v>358</v>
      </c>
      <c r="B16" s="376" t="str">
        <f>'Palatlakaha allocate'!A88</f>
        <v>Clermont</v>
      </c>
      <c r="C16" s="356">
        <f>'Palatlakaha allocate'!B88</f>
        <v>16.078279103039559</v>
      </c>
      <c r="D16" s="356">
        <f>'Palatlakaha allocate'!C88</f>
        <v>23.914932968428928</v>
      </c>
      <c r="E16" s="356">
        <f>'Palatlakaha allocate'!D88</f>
        <v>4.224592025379045</v>
      </c>
      <c r="F16" s="374">
        <f>'Palatlakaha allocate'!E88</f>
        <v>44.217804096847537</v>
      </c>
      <c r="G16" s="427">
        <f>'Palatlakaha allocate'!F88</f>
        <v>3.3885797156771646E-2</v>
      </c>
    </row>
    <row r="17" spans="1:7" x14ac:dyDescent="0.2">
      <c r="A17" s="375" t="s">
        <v>358</v>
      </c>
      <c r="B17" s="376" t="str">
        <f>'Palatlakaha allocate'!A93</f>
        <v>Minneola</v>
      </c>
      <c r="C17" s="356">
        <f>'Palatlakaha allocate'!B93</f>
        <v>3.6645435410879137</v>
      </c>
      <c r="D17" s="356">
        <f>'Palatlakaha allocate'!C93</f>
        <v>63.710564006722727</v>
      </c>
      <c r="E17" s="356">
        <f>'Palatlakaha allocate'!D93</f>
        <v>2.6680711913241906</v>
      </c>
      <c r="F17" s="374">
        <f>'Palatlakaha allocate'!E93</f>
        <v>70.043178739134831</v>
      </c>
      <c r="G17" s="427">
        <f>'Palatlakaha allocate'!F93</f>
        <v>5.3676771052930637E-2</v>
      </c>
    </row>
    <row r="18" spans="1:7" x14ac:dyDescent="0.2">
      <c r="A18" s="375" t="s">
        <v>358</v>
      </c>
      <c r="B18" s="376" t="str">
        <f>'Palatlakaha allocate'!A91</f>
        <v>Leesburg</v>
      </c>
      <c r="C18" s="356">
        <f>'Palatlakaha allocate'!B91</f>
        <v>71.98570440968426</v>
      </c>
      <c r="D18" s="356">
        <f>'Palatlakaha allocate'!C91</f>
        <v>8.1680504483125773</v>
      </c>
      <c r="E18" s="356">
        <f>'Palatlakaha allocate'!D91</f>
        <v>8.849771193336462</v>
      </c>
      <c r="F18" s="374">
        <f>'Palatlakaha allocate'!E91</f>
        <v>89.003526051333296</v>
      </c>
      <c r="G18" s="427">
        <f>'Palatlakaha allocate'!F91</f>
        <v>6.8206811523413957E-2</v>
      </c>
    </row>
    <row r="19" spans="1:7" x14ac:dyDescent="0.2">
      <c r="A19" s="375" t="s">
        <v>358</v>
      </c>
      <c r="B19" s="376" t="str">
        <f>'Palatlakaha allocate'!A89</f>
        <v>Groveland</v>
      </c>
      <c r="C19" s="356">
        <f>'Palatlakaha allocate'!B89</f>
        <v>239.0443382402315</v>
      </c>
      <c r="D19" s="356">
        <f>'Palatlakaha allocate'!C89</f>
        <v>91.997269189786593</v>
      </c>
      <c r="E19" s="356">
        <f>'Palatlakaha allocate'!D89</f>
        <v>16.030464867556852</v>
      </c>
      <c r="F19" s="374">
        <f>'Palatlakaha allocate'!E89</f>
        <v>347.07207229757495</v>
      </c>
      <c r="G19" s="427">
        <f>'Palatlakaha allocate'!F89</f>
        <v>0.26597462449507947</v>
      </c>
    </row>
    <row r="20" spans="1:7" ht="13.5" thickBot="1" x14ac:dyDescent="0.25">
      <c r="A20" s="379" t="s">
        <v>358</v>
      </c>
      <c r="B20" s="380" t="str">
        <f>'Palatlakaha allocate'!A90</f>
        <v>Lake County</v>
      </c>
      <c r="C20" s="381">
        <f>'Palatlakaha allocate'!B90</f>
        <v>365.0874539187264</v>
      </c>
      <c r="D20" s="381">
        <f>'Palatlakaha allocate'!C90</f>
        <v>244.65449371270628</v>
      </c>
      <c r="E20" s="381">
        <f>'Palatlakaha allocate'!D90</f>
        <v>105.41648067071699</v>
      </c>
      <c r="F20" s="368">
        <f>'Palatlakaha allocate'!E90</f>
        <v>715.15842830214967</v>
      </c>
      <c r="G20" s="428">
        <f>'Palatlakaha allocate'!F90</f>
        <v>0.54805329960132465</v>
      </c>
    </row>
    <row r="21" spans="1:7" x14ac:dyDescent="0.2">
      <c r="A21" s="387" t="s">
        <v>357</v>
      </c>
      <c r="B21" s="388" t="str">
        <f>'Trout Allocate'!A74</f>
        <v>FDOT</v>
      </c>
      <c r="C21" s="371">
        <f>'Trout Allocate'!B74</f>
        <v>30.221901389841999</v>
      </c>
      <c r="D21" s="371">
        <f>'Trout Allocate'!C74</f>
        <v>0.90385078473021185</v>
      </c>
      <c r="E21" s="371">
        <f>'Trout Allocate'!D74</f>
        <v>1.2490994778505776E-2</v>
      </c>
      <c r="F21" s="372">
        <f>'Trout Allocate'!E74</f>
        <v>31.138243169350719</v>
      </c>
      <c r="G21" s="624">
        <f>'Trout Allocate'!F74</f>
        <v>6.0546583332988152E-2</v>
      </c>
    </row>
    <row r="22" spans="1:7" x14ac:dyDescent="0.2">
      <c r="A22" s="375" t="s">
        <v>357</v>
      </c>
      <c r="B22" s="376" t="str">
        <f>'Trout Allocate'!A75</f>
        <v>Lake County</v>
      </c>
      <c r="C22" s="356">
        <f>'Trout Allocate'!B75</f>
        <v>8.6986000000000008</v>
      </c>
      <c r="D22" s="356">
        <f>'Trout Allocate'!C75</f>
        <v>57.876252820205259</v>
      </c>
      <c r="E22" s="356">
        <f>'Trout Allocate'!D75</f>
        <v>11.105608831264728</v>
      </c>
      <c r="F22" s="374">
        <f>'Trout Allocate'!E75</f>
        <v>77.680461651469997</v>
      </c>
      <c r="G22" s="427">
        <f>'Trout Allocate'!F75</f>
        <v>0.15104534058476202</v>
      </c>
    </row>
    <row r="23" spans="1:7" x14ac:dyDescent="0.2">
      <c r="A23" s="375" t="s">
        <v>357</v>
      </c>
      <c r="B23" s="376" t="str">
        <f>'Trout Allocate'!A76</f>
        <v>Umatilla</v>
      </c>
      <c r="C23" s="356">
        <f>'Trout Allocate'!B76</f>
        <v>101.08461293363709</v>
      </c>
      <c r="D23" s="356">
        <f>'Trout Allocate'!C76</f>
        <v>73.940419345334391</v>
      </c>
      <c r="E23" s="356">
        <f>'Trout Allocate'!D76</f>
        <v>2.8031877283791129</v>
      </c>
      <c r="F23" s="374">
        <f>'Trout Allocate'!E76</f>
        <v>177.82822000735058</v>
      </c>
      <c r="G23" s="427">
        <f>'Trout Allocate'!F76</f>
        <v>0.34577709098982889</v>
      </c>
    </row>
    <row r="24" spans="1:7" ht="13.5" thickBot="1" x14ac:dyDescent="0.25">
      <c r="A24" s="379" t="s">
        <v>357</v>
      </c>
      <c r="B24" s="380" t="str">
        <f>'Trout Allocate'!A73</f>
        <v>Eustis</v>
      </c>
      <c r="C24" s="381">
        <f>'Trout Allocate'!B73</f>
        <v>140.5806</v>
      </c>
      <c r="D24" s="381">
        <f>'Trout Allocate'!C73</f>
        <v>83.779482834186865</v>
      </c>
      <c r="E24" s="381">
        <f>'Trout Allocate'!D73</f>
        <v>3.2787117827782217</v>
      </c>
      <c r="F24" s="368">
        <f>'Trout Allocate'!E73</f>
        <v>227.6387946169651</v>
      </c>
      <c r="G24" s="428">
        <f>'Trout Allocate'!F73</f>
        <v>0.44263098509242077</v>
      </c>
    </row>
    <row r="25" spans="1:7" x14ac:dyDescent="0.2">
      <c r="A25" s="383" t="s">
        <v>359</v>
      </c>
      <c r="B25" s="384" t="str">
        <f>'Yale allocation'!A78</f>
        <v>Marion County</v>
      </c>
      <c r="C25" s="377">
        <f>'Yale allocation'!B78</f>
        <v>0</v>
      </c>
      <c r="D25" s="377">
        <f>'Yale allocation'!C78</f>
        <v>0</v>
      </c>
      <c r="E25" s="377">
        <f>'Yale allocation'!D78</f>
        <v>14.805693297262771</v>
      </c>
      <c r="F25" s="378">
        <f>'Yale allocation'!E78</f>
        <v>14.805693297262771</v>
      </c>
      <c r="G25" s="625">
        <f>'Yale allocation'!F78</f>
        <v>2.1364697880160474E-2</v>
      </c>
    </row>
    <row r="26" spans="1:7" x14ac:dyDescent="0.2">
      <c r="A26" s="375" t="s">
        <v>359</v>
      </c>
      <c r="B26" s="376" t="str">
        <f>'Yale allocation'!A76</f>
        <v>FDOT</v>
      </c>
      <c r="C26" s="356">
        <f>'Yale allocation'!B76</f>
        <v>44.837505878613278</v>
      </c>
      <c r="D26" s="356">
        <f>'Yale allocation'!C76</f>
        <v>0.62848922588714984</v>
      </c>
      <c r="E26" s="356">
        <f>'Yale allocation'!D76</f>
        <v>2.9831982896493456E-2</v>
      </c>
      <c r="F26" s="374">
        <f>'Yale allocation'!E76</f>
        <v>45.495827087396925</v>
      </c>
      <c r="G26" s="427">
        <f>'Yale allocation'!F76</f>
        <v>6.5650731851237099E-2</v>
      </c>
    </row>
    <row r="27" spans="1:7" x14ac:dyDescent="0.2">
      <c r="A27" s="375" t="s">
        <v>359</v>
      </c>
      <c r="B27" s="376" t="str">
        <f>'Yale allocation'!A79</f>
        <v>Umatilla</v>
      </c>
      <c r="C27" s="356">
        <f>'Yale allocation'!B79</f>
        <v>30.362801817508693</v>
      </c>
      <c r="D27" s="356">
        <f>'Yale allocation'!C79</f>
        <v>12.972052899798353</v>
      </c>
      <c r="E27" s="356">
        <f>'Yale allocation'!D79</f>
        <v>2.86056034012848</v>
      </c>
      <c r="F27" s="374">
        <f>'Yale allocation'!E79</f>
        <v>46.195415057435525</v>
      </c>
      <c r="G27" s="427">
        <f>'Yale allocation'!F79</f>
        <v>6.6660241187975339E-2</v>
      </c>
    </row>
    <row r="28" spans="1:7" x14ac:dyDescent="0.2">
      <c r="A28" s="375" t="s">
        <v>359</v>
      </c>
      <c r="B28" s="376" t="str">
        <f>'Yale allocation'!A75</f>
        <v>Eustis</v>
      </c>
      <c r="C28" s="356">
        <f>'Yale allocation'!B75</f>
        <v>197.67500451040669</v>
      </c>
      <c r="D28" s="356">
        <f>'Yale allocation'!C75</f>
        <v>31.865414447104399</v>
      </c>
      <c r="E28" s="356">
        <f>'Yale allocation'!D75</f>
        <v>0.7804693215991062</v>
      </c>
      <c r="F28" s="374">
        <f>'Yale allocation'!E75</f>
        <v>230.32088827911019</v>
      </c>
      <c r="G28" s="427">
        <f>'Yale allocation'!F75</f>
        <v>0.33235432443296076</v>
      </c>
    </row>
    <row r="29" spans="1:7" ht="13.5" thickBot="1" x14ac:dyDescent="0.25">
      <c r="A29" s="379" t="s">
        <v>359</v>
      </c>
      <c r="B29" s="380" t="str">
        <f>'Yale allocation'!A77</f>
        <v>Lake County</v>
      </c>
      <c r="C29" s="381">
        <f>'Yale allocation'!B77</f>
        <v>186.88317917508465</v>
      </c>
      <c r="D29" s="381">
        <f>'Yale allocation'!C77</f>
        <v>139.83037002666603</v>
      </c>
      <c r="E29" s="381">
        <f>'Yale allocation'!D77</f>
        <v>29.466645598594052</v>
      </c>
      <c r="F29" s="368">
        <f>'Yale allocation'!E77</f>
        <v>356.18019480034468</v>
      </c>
      <c r="G29" s="428">
        <f>'Yale allocation'!F77</f>
        <v>0.5139700046476664</v>
      </c>
    </row>
  </sheetData>
  <sortState ref="A3:G29">
    <sortCondition ref="A3:A29"/>
    <sortCondition ref="G3:G29"/>
  </sortState>
  <mergeCells count="1">
    <mergeCell ref="A1:G1"/>
  </mergeCells>
  <conditionalFormatting sqref="G3:G9">
    <cfRule type="cellIs" dxfId="9" priority="5" operator="between">
      <formula>0</formula>
      <formula>0.01</formula>
    </cfRule>
  </conditionalFormatting>
  <conditionalFormatting sqref="G10:G13">
    <cfRule type="cellIs" dxfId="8" priority="4" operator="between">
      <formula>0</formula>
      <formula>0.01</formula>
    </cfRule>
  </conditionalFormatting>
  <conditionalFormatting sqref="G14:G21">
    <cfRule type="cellIs" dxfId="7" priority="3" operator="between">
      <formula>0</formula>
      <formula>0.01</formula>
    </cfRule>
  </conditionalFormatting>
  <conditionalFormatting sqref="G22:G26">
    <cfRule type="cellIs" dxfId="6" priority="2" operator="between">
      <formula>0</formula>
      <formula>0.01</formula>
    </cfRule>
  </conditionalFormatting>
  <conditionalFormatting sqref="G27:G29">
    <cfRule type="cellIs" dxfId="5" priority="1" operator="between">
      <formula>0</formula>
      <formula>0.01</formula>
    </cfRule>
  </conditionalFormatting>
  <pageMargins left="0.7" right="0.7" top="0.75" bottom="0.75" header="0.3" footer="0.3"/>
  <pageSetup scale="95" orientation="landscape" r:id="rId1"/>
  <headerFooter>
    <oddHeader>&amp;L&amp;"Arial,Bold"&amp;11&amp;KC00000DRAFT&amp;CCalculation of Portion of Stormwater Loading by Jurisdiction&amp;RFDEP, April 13, 2016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workbookViewId="0">
      <selection activeCell="A78" sqref="A78:J78"/>
    </sheetView>
  </sheetViews>
  <sheetFormatPr defaultRowHeight="12.75" x14ac:dyDescent="0.2"/>
  <cols>
    <col min="1" max="1" width="41.5703125" customWidth="1"/>
    <col min="2" max="2" width="15.7109375" customWidth="1"/>
    <col min="3" max="3" width="15.140625" customWidth="1"/>
    <col min="4" max="4" width="15" customWidth="1"/>
    <col min="5" max="5" width="16.85546875" customWidth="1"/>
    <col min="6" max="6" width="14.7109375" customWidth="1"/>
    <col min="7" max="7" width="15.7109375" customWidth="1"/>
    <col min="8" max="8" width="14.7109375" customWidth="1"/>
    <col min="9" max="9" width="14.140625" customWidth="1"/>
    <col min="10" max="10" width="13.7109375" customWidth="1"/>
    <col min="11" max="11" width="13" customWidth="1"/>
    <col min="12" max="12" width="13.28515625" customWidth="1"/>
  </cols>
  <sheetData>
    <row r="1" spans="1:10" s="35" customFormat="1" x14ac:dyDescent="0.2">
      <c r="A1" s="203" t="s">
        <v>207</v>
      </c>
    </row>
    <row r="2" spans="1:10" s="35" customFormat="1" ht="15.75" thickBot="1" x14ac:dyDescent="0.3">
      <c r="A2" s="13" t="s">
        <v>82</v>
      </c>
    </row>
    <row r="3" spans="1:10" x14ac:dyDescent="0.2">
      <c r="A3" s="53"/>
      <c r="B3" s="697" t="s">
        <v>381</v>
      </c>
      <c r="C3" s="698"/>
      <c r="D3" s="698"/>
      <c r="E3" s="698"/>
      <c r="F3" s="699"/>
    </row>
    <row r="4" spans="1:10" ht="13.5" thickBot="1" x14ac:dyDescent="0.25">
      <c r="A4" s="2"/>
      <c r="B4" s="700"/>
      <c r="C4" s="701"/>
      <c r="D4" s="701"/>
      <c r="E4" s="701"/>
      <c r="F4" s="702"/>
    </row>
    <row r="5" spans="1:10" ht="64.5" thickBot="1" x14ac:dyDescent="0.25">
      <c r="A5" s="396" t="s">
        <v>1</v>
      </c>
      <c r="B5" s="12" t="s">
        <v>4</v>
      </c>
      <c r="C5" s="11" t="s">
        <v>0</v>
      </c>
      <c r="D5" s="8" t="s">
        <v>9</v>
      </c>
      <c r="E5" s="9" t="s">
        <v>31</v>
      </c>
      <c r="F5" s="14" t="s">
        <v>16</v>
      </c>
      <c r="G5" s="396" t="s">
        <v>99</v>
      </c>
      <c r="H5" s="396" t="s">
        <v>100</v>
      </c>
      <c r="I5" s="397" t="s">
        <v>54</v>
      </c>
      <c r="J5" s="398" t="s">
        <v>53</v>
      </c>
    </row>
    <row r="6" spans="1:10" s="17" customFormat="1" ht="14.25" thickTop="1" thickBot="1" x14ac:dyDescent="0.25">
      <c r="A6" s="220" t="s">
        <v>22</v>
      </c>
      <c r="B6" s="221">
        <v>2047</v>
      </c>
      <c r="C6" s="199"/>
      <c r="D6" s="199"/>
      <c r="E6" s="199"/>
      <c r="F6" s="221">
        <f>IF(SUM(B6:E6)&lt;&gt;0,SUM(B6:E6),"")</f>
        <v>2047</v>
      </c>
      <c r="G6" s="222"/>
      <c r="H6" s="223"/>
      <c r="I6" s="224"/>
      <c r="J6" s="225">
        <v>2047</v>
      </c>
    </row>
    <row r="7" spans="1:10" s="17" customFormat="1" ht="13.5" thickTop="1" x14ac:dyDescent="0.2">
      <c r="A7" s="226" t="s">
        <v>23</v>
      </c>
      <c r="B7" s="54">
        <v>174</v>
      </c>
      <c r="C7" s="43">
        <v>-174</v>
      </c>
      <c r="D7" s="43"/>
      <c r="E7" s="43"/>
      <c r="F7" s="221" t="str">
        <f>IF(SUM(B7:E7)&lt;&gt;0,SUM(B7:E7),"")</f>
        <v/>
      </c>
      <c r="G7" s="56">
        <v>0</v>
      </c>
      <c r="H7" s="19">
        <f>G7/(F$27-F$6-F$11-F$12-F$16)</f>
        <v>0</v>
      </c>
      <c r="I7" s="57">
        <f>F$29*H7</f>
        <v>0</v>
      </c>
      <c r="J7" s="69"/>
    </row>
    <row r="8" spans="1:10" s="17" customFormat="1" x14ac:dyDescent="0.2">
      <c r="A8" s="26" t="s">
        <v>6</v>
      </c>
      <c r="B8" s="54">
        <v>1827</v>
      </c>
      <c r="C8" s="43"/>
      <c r="D8" s="43"/>
      <c r="E8" s="43"/>
      <c r="F8" s="54">
        <f t="shared" ref="F8:F15" si="0">IF(SUM(B8:E8)&lt;&gt;0,SUM(B8:E8),"")</f>
        <v>1827</v>
      </c>
      <c r="G8" s="56">
        <f>F8</f>
        <v>1827</v>
      </c>
      <c r="H8" s="19">
        <f>G8/(F$27-F$6-F$11-F$12-F$16)</f>
        <v>0.14751020407497481</v>
      </c>
      <c r="I8" s="57">
        <f t="shared" ref="I8:I17" si="1">(ROUND(F$29*H8,1))</f>
        <v>573.79999999999995</v>
      </c>
      <c r="J8" s="69">
        <f>F8-I8</f>
        <v>1253.2</v>
      </c>
    </row>
    <row r="9" spans="1:10" s="17" customFormat="1" x14ac:dyDescent="0.2">
      <c r="A9" s="226" t="s">
        <v>24</v>
      </c>
      <c r="B9" s="54"/>
      <c r="C9" s="18"/>
      <c r="D9" s="43"/>
      <c r="E9" s="43"/>
      <c r="F9" s="54" t="str">
        <f t="shared" si="0"/>
        <v/>
      </c>
      <c r="G9" s="56"/>
      <c r="H9" s="19"/>
      <c r="I9" s="57"/>
      <c r="J9" s="69"/>
    </row>
    <row r="10" spans="1:10" s="17" customFormat="1" x14ac:dyDescent="0.2">
      <c r="A10" s="26" t="s">
        <v>25</v>
      </c>
      <c r="B10" s="54">
        <v>6907</v>
      </c>
      <c r="C10" s="43">
        <v>-4715</v>
      </c>
      <c r="D10" s="43">
        <v>-2193</v>
      </c>
      <c r="E10" s="43"/>
      <c r="F10" s="54">
        <f t="shared" si="0"/>
        <v>-1</v>
      </c>
      <c r="G10" s="56">
        <f>F10</f>
        <v>-1</v>
      </c>
      <c r="H10" s="19">
        <f>G10/(F$27-F$6-F$11-F$12-F$16)</f>
        <v>-8.0739027955651236E-5</v>
      </c>
      <c r="I10" s="57">
        <f t="shared" si="1"/>
        <v>-0.3</v>
      </c>
      <c r="J10" s="69">
        <f>F10-I10</f>
        <v>-0.7</v>
      </c>
    </row>
    <row r="11" spans="1:10" s="17" customFormat="1" x14ac:dyDescent="0.2">
      <c r="A11" s="226" t="s">
        <v>26</v>
      </c>
      <c r="B11" s="54">
        <v>5422</v>
      </c>
      <c r="C11" s="43"/>
      <c r="D11" s="43"/>
      <c r="E11" s="43"/>
      <c r="F11" s="54">
        <f t="shared" si="0"/>
        <v>5422</v>
      </c>
      <c r="G11" s="56"/>
      <c r="H11" s="19"/>
      <c r="I11" s="57"/>
      <c r="J11" s="69">
        <f>F11-I11</f>
        <v>5422</v>
      </c>
    </row>
    <row r="12" spans="1:10" s="17" customFormat="1" x14ac:dyDescent="0.2">
      <c r="A12" s="36" t="s">
        <v>362</v>
      </c>
      <c r="B12" s="54">
        <v>183</v>
      </c>
      <c r="C12" s="18"/>
      <c r="D12" s="43">
        <v>-99</v>
      </c>
      <c r="E12" s="43"/>
      <c r="F12" s="54">
        <f t="shared" si="0"/>
        <v>84</v>
      </c>
      <c r="G12" s="56"/>
      <c r="H12" s="19"/>
      <c r="I12" s="57"/>
      <c r="J12" s="69">
        <f>F12-I12</f>
        <v>84</v>
      </c>
    </row>
    <row r="13" spans="1:10" s="17" customFormat="1" x14ac:dyDescent="0.2">
      <c r="A13" s="36" t="s">
        <v>18</v>
      </c>
      <c r="B13" s="54">
        <v>3891</v>
      </c>
      <c r="C13" s="43"/>
      <c r="D13" s="43"/>
      <c r="E13" s="43">
        <v>695</v>
      </c>
      <c r="F13" s="54">
        <f>IF(SUM(B13:E13)&lt;&gt;0,SUM(B13:E13),"")</f>
        <v>4586</v>
      </c>
      <c r="G13" s="56">
        <f>F13</f>
        <v>4586</v>
      </c>
      <c r="H13" s="19">
        <f>G13/(F$27-F$6-F$11-F$12-F$16)</f>
        <v>0.37026918220461658</v>
      </c>
      <c r="I13" s="57">
        <f t="shared" si="1"/>
        <v>1440.2</v>
      </c>
      <c r="J13" s="69">
        <f>F13-I13</f>
        <v>3145.8</v>
      </c>
    </row>
    <row r="14" spans="1:10" s="17" customFormat="1" x14ac:dyDescent="0.2">
      <c r="A14" s="226" t="s">
        <v>27</v>
      </c>
      <c r="B14" s="54">
        <v>121</v>
      </c>
      <c r="C14" s="43"/>
      <c r="D14" s="43">
        <v>-120</v>
      </c>
      <c r="E14" s="43"/>
      <c r="F14" s="54">
        <f t="shared" si="0"/>
        <v>1</v>
      </c>
      <c r="G14" s="56">
        <f>F14</f>
        <v>1</v>
      </c>
      <c r="H14" s="19">
        <f>G14/(F$27-F$6-F$11-F$12-F$16)</f>
        <v>8.0739027955651236E-5</v>
      </c>
      <c r="I14" s="57">
        <f t="shared" si="1"/>
        <v>0.3</v>
      </c>
      <c r="J14" s="69">
        <f>F14-I14</f>
        <v>0.7</v>
      </c>
    </row>
    <row r="15" spans="1:10" s="17" customFormat="1" x14ac:dyDescent="0.2">
      <c r="A15" s="226" t="s">
        <v>19</v>
      </c>
      <c r="B15" s="54"/>
      <c r="C15" s="43"/>
      <c r="D15" s="18"/>
      <c r="E15" s="18"/>
      <c r="F15" s="54" t="str">
        <f t="shared" si="0"/>
        <v/>
      </c>
      <c r="G15" s="56"/>
      <c r="H15" s="19"/>
      <c r="I15" s="57"/>
      <c r="J15" s="69"/>
    </row>
    <row r="16" spans="1:10" s="17" customFormat="1" x14ac:dyDescent="0.2">
      <c r="A16" s="227" t="s">
        <v>20</v>
      </c>
      <c r="B16" s="54">
        <v>2211</v>
      </c>
      <c r="C16" s="43"/>
      <c r="D16" s="18"/>
      <c r="E16" s="43">
        <v>42</v>
      </c>
      <c r="F16" s="54">
        <f>IF(SUM(B16:E16)&lt;&gt;0,SUM(B16:E16),"")</f>
        <v>2253</v>
      </c>
      <c r="G16" s="56"/>
      <c r="H16" s="19"/>
      <c r="I16" s="57"/>
      <c r="J16" s="69">
        <f>F16-I16</f>
        <v>2253</v>
      </c>
    </row>
    <row r="17" spans="1:11" s="17" customFormat="1" x14ac:dyDescent="0.2">
      <c r="A17" s="227" t="s">
        <v>32</v>
      </c>
      <c r="B17" s="54">
        <v>372</v>
      </c>
      <c r="C17" s="43"/>
      <c r="D17" s="43"/>
      <c r="E17" s="43">
        <v>116</v>
      </c>
      <c r="F17" s="54">
        <f>IF(SUM(B17:E17)&lt;&gt;0,SUM(B17:E17),"")</f>
        <v>488</v>
      </c>
      <c r="G17" s="56">
        <f>F17</f>
        <v>488</v>
      </c>
      <c r="H17" s="19">
        <f>G17/(F$27-F$6-F$11-F$12-F$16)</f>
        <v>3.9400645642357804E-2</v>
      </c>
      <c r="I17" s="57">
        <f t="shared" si="1"/>
        <v>153.30000000000001</v>
      </c>
      <c r="J17" s="69">
        <f>F17-I17</f>
        <v>334.7</v>
      </c>
    </row>
    <row r="18" spans="1:11" s="17" customFormat="1" x14ac:dyDescent="0.2">
      <c r="A18" s="228" t="s">
        <v>21</v>
      </c>
      <c r="B18" s="54">
        <v>2704</v>
      </c>
      <c r="C18" s="43"/>
      <c r="D18" s="43"/>
      <c r="E18" s="43">
        <v>591</v>
      </c>
      <c r="F18" s="54">
        <f>B18+E18</f>
        <v>3295</v>
      </c>
      <c r="G18" s="56">
        <f>F18</f>
        <v>3295</v>
      </c>
      <c r="H18" s="19"/>
      <c r="I18" s="57">
        <f>SUM(I19:I21)</f>
        <v>1034.5999999999999</v>
      </c>
      <c r="J18" s="69">
        <f>SUM(J19:J21)</f>
        <v>2259.9838411788305</v>
      </c>
    </row>
    <row r="19" spans="1:11" s="34" customFormat="1" x14ac:dyDescent="0.2">
      <c r="A19" s="26" t="s">
        <v>62</v>
      </c>
      <c r="B19" s="54"/>
      <c r="C19" s="43"/>
      <c r="D19" s="43"/>
      <c r="E19" s="43"/>
      <c r="F19" s="453">
        <v>2205.5715801979231</v>
      </c>
      <c r="G19" s="56">
        <v>2205.5715801979231</v>
      </c>
      <c r="H19" s="19">
        <f>G19/(F$27-F$6-F$11-F$12-F$16)</f>
        <v>0.17807570547179</v>
      </c>
      <c r="I19" s="57">
        <f>(ROUND(F$29*H19,1))</f>
        <v>692.6</v>
      </c>
      <c r="J19" s="69">
        <f t="shared" ref="J19:J21" si="2">F19-I19</f>
        <v>1512.9715801979232</v>
      </c>
      <c r="K19" s="79"/>
    </row>
    <row r="20" spans="1:11" s="34" customFormat="1" x14ac:dyDescent="0.2">
      <c r="A20" s="26" t="s">
        <v>63</v>
      </c>
      <c r="B20" s="54"/>
      <c r="C20" s="43"/>
      <c r="D20" s="43"/>
      <c r="E20" s="43"/>
      <c r="F20" s="47">
        <v>804.56234936115527</v>
      </c>
      <c r="G20" s="56">
        <v>804.56234936115527</v>
      </c>
      <c r="H20" s="19">
        <f>G20/(F$27-F$6-F$11-F$12-F$16)</f>
        <v>6.4959582017134754E-2</v>
      </c>
      <c r="I20" s="57">
        <f>(ROUND(F$29*H20,1))</f>
        <v>252.7</v>
      </c>
      <c r="J20" s="69">
        <f t="shared" si="2"/>
        <v>551.86234936115534</v>
      </c>
    </row>
    <row r="21" spans="1:11" s="34" customFormat="1" x14ac:dyDescent="0.2">
      <c r="A21" s="26" t="s">
        <v>64</v>
      </c>
      <c r="B21" s="54"/>
      <c r="C21" s="43"/>
      <c r="D21" s="43"/>
      <c r="E21" s="43"/>
      <c r="F21" s="47">
        <v>284.44991161975202</v>
      </c>
      <c r="G21" s="56">
        <v>284.44991161975202</v>
      </c>
      <c r="H21" s="19">
        <f>G21/(F$27-F$6-F$11-F$12-F$16)</f>
        <v>2.2966209366249685E-2</v>
      </c>
      <c r="I21" s="57">
        <f>(ROUND(F$29*H21,1))</f>
        <v>89.3</v>
      </c>
      <c r="J21" s="69">
        <f t="shared" si="2"/>
        <v>195.149911619752</v>
      </c>
    </row>
    <row r="22" spans="1:11" s="17" customFormat="1" x14ac:dyDescent="0.2">
      <c r="A22" s="36" t="s">
        <v>28</v>
      </c>
      <c r="B22" s="54"/>
      <c r="C22" s="43"/>
      <c r="D22" s="18"/>
      <c r="E22" s="43"/>
      <c r="F22" s="44"/>
      <c r="G22" s="56"/>
      <c r="H22" s="19"/>
      <c r="I22" s="57"/>
      <c r="J22" s="69"/>
    </row>
    <row r="23" spans="1:11" s="17" customFormat="1" x14ac:dyDescent="0.2">
      <c r="A23" s="226" t="s">
        <v>276</v>
      </c>
      <c r="B23" s="54">
        <v>1232</v>
      </c>
      <c r="C23" s="43"/>
      <c r="D23" s="43"/>
      <c r="E23" s="43">
        <v>959</v>
      </c>
      <c r="F23" s="54">
        <v>2191</v>
      </c>
      <c r="G23" s="56">
        <f>F23</f>
        <v>2191</v>
      </c>
      <c r="H23" s="19">
        <f>G23/(F$27-F$6-F$11-F$12-F$16)</f>
        <v>0.17689921025083188</v>
      </c>
      <c r="I23" s="57">
        <f>(ROUND(F$29*H23,1))</f>
        <v>688.1</v>
      </c>
      <c r="J23" s="69">
        <f>F23-I23</f>
        <v>1502.9</v>
      </c>
    </row>
    <row r="24" spans="1:11" s="35" customFormat="1" x14ac:dyDescent="0.2">
      <c r="A24" s="282" t="s">
        <v>240</v>
      </c>
      <c r="B24" s="54">
        <v>591</v>
      </c>
      <c r="C24" s="43"/>
      <c r="D24" s="43"/>
      <c r="E24" s="43">
        <v>924</v>
      </c>
      <c r="F24" s="54">
        <f>E24+B24</f>
        <v>1515</v>
      </c>
      <c r="G24" s="56">
        <f>F24</f>
        <v>1515</v>
      </c>
      <c r="H24" s="19">
        <f>G24/(F$27-F$6-F$11-F$12-F$16)</f>
        <v>0.12231962735281163</v>
      </c>
      <c r="I24" s="57">
        <f>(ROUND(F$29*H24,1))</f>
        <v>475.8</v>
      </c>
      <c r="J24" s="69">
        <f t="shared" ref="J24:J25" si="3">F24-I24</f>
        <v>1039.2</v>
      </c>
    </row>
    <row r="25" spans="1:11" s="17" customFormat="1" x14ac:dyDescent="0.2">
      <c r="A25" s="26" t="s">
        <v>241</v>
      </c>
      <c r="B25" s="44">
        <v>640</v>
      </c>
      <c r="C25" s="65"/>
      <c r="D25" s="65"/>
      <c r="E25" s="74">
        <v>35</v>
      </c>
      <c r="F25" s="44">
        <f>E25+B25</f>
        <v>675</v>
      </c>
      <c r="G25" s="56">
        <f>F25</f>
        <v>675</v>
      </c>
      <c r="H25" s="19">
        <f>G25/(F$27-F$6-F$11-F$12-F$16)</f>
        <v>5.4498843870064588E-2</v>
      </c>
      <c r="I25" s="57">
        <f>(ROUND(F$29*H25,1))</f>
        <v>212</v>
      </c>
      <c r="J25" s="69">
        <f t="shared" si="3"/>
        <v>463</v>
      </c>
    </row>
    <row r="26" spans="1:11" s="17" customFormat="1" x14ac:dyDescent="0.2">
      <c r="A26" s="75" t="s">
        <v>30</v>
      </c>
      <c r="B26" s="44"/>
      <c r="C26" s="65"/>
      <c r="D26" s="65"/>
      <c r="E26" s="74"/>
      <c r="F26" s="44"/>
      <c r="G26" s="56"/>
      <c r="H26" s="19"/>
      <c r="I26" s="57"/>
      <c r="J26" s="69"/>
    </row>
    <row r="27" spans="1:11" s="17" customFormat="1" x14ac:dyDescent="0.2">
      <c r="A27" s="229" t="s">
        <v>3</v>
      </c>
      <c r="B27" s="54">
        <f>SUM(B6:B23)</f>
        <v>27091</v>
      </c>
      <c r="C27" s="43"/>
      <c r="D27" s="43"/>
      <c r="E27" s="230"/>
      <c r="F27" s="54">
        <f>SUM(F6:F25)-F18-F23</f>
        <v>22191.583841178832</v>
      </c>
      <c r="G27" s="56"/>
      <c r="H27" s="19"/>
      <c r="I27" s="57"/>
      <c r="J27" s="69"/>
    </row>
    <row r="28" spans="1:11" s="17" customFormat="1" x14ac:dyDescent="0.2">
      <c r="A28" s="76" t="s">
        <v>17</v>
      </c>
      <c r="B28" s="54">
        <v>18302</v>
      </c>
      <c r="C28" s="65"/>
      <c r="D28" s="65"/>
      <c r="E28" s="230"/>
      <c r="F28" s="54">
        <f>B28</f>
        <v>18302</v>
      </c>
      <c r="G28" s="56"/>
      <c r="H28" s="19"/>
      <c r="I28" s="57"/>
      <c r="J28" s="69"/>
    </row>
    <row r="29" spans="1:11" s="17" customFormat="1" ht="25.5" x14ac:dyDescent="0.2">
      <c r="A29" s="231" t="s">
        <v>2</v>
      </c>
      <c r="B29" s="54">
        <f>B27-B28</f>
        <v>8789</v>
      </c>
      <c r="C29" s="65"/>
      <c r="D29" s="65"/>
      <c r="E29" s="230"/>
      <c r="F29" s="54">
        <f>F27-F28</f>
        <v>3889.5838411788318</v>
      </c>
      <c r="G29" s="18"/>
      <c r="H29" s="19"/>
      <c r="I29" s="55">
        <f>SUM(I7:I28)-I18-I23</f>
        <v>3889.7000000000012</v>
      </c>
      <c r="J29" s="67"/>
    </row>
    <row r="30" spans="1:11" s="17" customFormat="1" ht="25.5" x14ac:dyDescent="0.2">
      <c r="A30" s="232" t="s">
        <v>7</v>
      </c>
      <c r="B30" s="44"/>
      <c r="C30" s="65"/>
      <c r="D30" s="65"/>
      <c r="E30" s="74"/>
      <c r="F30" s="233">
        <f>F29/F28</f>
        <v>0.21252233860664582</v>
      </c>
      <c r="G30" s="18"/>
      <c r="H30" s="19">
        <f>H7+H8+H10+H12+H13+H14+H19+H20+H21+H24+H25+H17</f>
        <v>0.99999999999999989</v>
      </c>
      <c r="I30" s="24"/>
      <c r="J30" s="67"/>
    </row>
    <row r="31" spans="1:11" s="17" customFormat="1" x14ac:dyDescent="0.2">
      <c r="A31" s="68" t="s">
        <v>115</v>
      </c>
      <c r="B31" s="44"/>
      <c r="C31" s="65"/>
      <c r="D31" s="65"/>
      <c r="E31" s="74"/>
      <c r="F31" s="44"/>
      <c r="G31" s="18"/>
      <c r="H31" s="18"/>
      <c r="I31" s="24"/>
      <c r="J31" s="186">
        <f>SUM(J6:J28)-J18-J23</f>
        <v>18301.883841178831</v>
      </c>
    </row>
    <row r="32" spans="1:11" s="17" customFormat="1" ht="25.5" customHeight="1" thickBot="1" x14ac:dyDescent="0.25">
      <c r="A32" s="236" t="s">
        <v>236</v>
      </c>
      <c r="B32" s="234"/>
      <c r="C32" s="200"/>
      <c r="D32" s="200"/>
      <c r="E32" s="201"/>
      <c r="F32" s="234"/>
      <c r="G32" s="42"/>
      <c r="H32" s="42"/>
      <c r="I32" s="66"/>
      <c r="J32" s="399">
        <f>J18+J23</f>
        <v>3762.8838411788306</v>
      </c>
    </row>
    <row r="33" spans="1:12" s="35" customFormat="1" x14ac:dyDescent="0.2">
      <c r="B33" s="3"/>
      <c r="C33" s="3"/>
      <c r="D33" s="3"/>
      <c r="E33" s="3"/>
    </row>
    <row r="35" spans="1:12" ht="15.75" thickBot="1" x14ac:dyDescent="0.3">
      <c r="A35" s="442" t="s">
        <v>380</v>
      </c>
      <c r="B35" s="445"/>
      <c r="C35" s="445"/>
      <c r="D35" s="445"/>
      <c r="E35" s="445"/>
      <c r="G35" s="442" t="s">
        <v>363</v>
      </c>
      <c r="H35" s="445"/>
    </row>
    <row r="36" spans="1:12" ht="52.5" customHeight="1" x14ac:dyDescent="0.2">
      <c r="A36" s="405" t="s">
        <v>377</v>
      </c>
      <c r="B36" s="406" t="s">
        <v>122</v>
      </c>
      <c r="C36" s="407" t="s">
        <v>121</v>
      </c>
      <c r="D36" s="407" t="s">
        <v>231</v>
      </c>
      <c r="E36" s="408" t="s">
        <v>230</v>
      </c>
      <c r="G36" s="400" t="s">
        <v>289</v>
      </c>
      <c r="H36" s="401" t="s">
        <v>372</v>
      </c>
      <c r="I36" s="401" t="s">
        <v>373</v>
      </c>
      <c r="J36" s="402" t="s">
        <v>60</v>
      </c>
      <c r="K36" s="403" t="s">
        <v>120</v>
      </c>
      <c r="L36" s="404" t="s">
        <v>114</v>
      </c>
    </row>
    <row r="37" spans="1:12" x14ac:dyDescent="0.2">
      <c r="A37" s="26" t="s">
        <v>48</v>
      </c>
      <c r="B37" s="494">
        <v>450.20119551900001</v>
      </c>
      <c r="C37" s="495">
        <v>3.9284936001104574E-2</v>
      </c>
      <c r="D37" s="474">
        <v>3.9284936001104574E-2</v>
      </c>
      <c r="E37" s="496">
        <f>I$18*D37</f>
        <v>40.644194786742787</v>
      </c>
      <c r="G37" s="413" t="s">
        <v>48</v>
      </c>
      <c r="H37" s="497">
        <v>102</v>
      </c>
      <c r="I37" s="498">
        <f>H37/H$42</f>
        <v>5.3042121684867397E-2</v>
      </c>
      <c r="J37" s="499">
        <f>I37</f>
        <v>5.3042121684867397E-2</v>
      </c>
      <c r="K37" s="110">
        <f>I$24*J37</f>
        <v>25.237441497659908</v>
      </c>
      <c r="L37" s="496">
        <f>J$24*J37</f>
        <v>55.121372854914199</v>
      </c>
    </row>
    <row r="38" spans="1:12" ht="25.5" x14ac:dyDescent="0.2">
      <c r="A38" s="26" t="s">
        <v>41</v>
      </c>
      <c r="B38" s="494">
        <v>243.25919468421</v>
      </c>
      <c r="C38" s="495">
        <v>2.1227002482373719E-2</v>
      </c>
      <c r="D38" s="474">
        <v>2.1227002482373719E-2</v>
      </c>
      <c r="E38" s="496">
        <f t="shared" ref="E38:E43" si="4">I$18*D38</f>
        <v>21.961456768263847</v>
      </c>
      <c r="G38" s="413" t="s">
        <v>61</v>
      </c>
      <c r="H38" s="497">
        <v>169</v>
      </c>
      <c r="I38" s="498">
        <f t="shared" ref="I38:I41" si="5">H38/H$42</f>
        <v>8.788351534061363E-2</v>
      </c>
      <c r="J38" s="499">
        <f>I38</f>
        <v>8.788351534061363E-2</v>
      </c>
      <c r="K38" s="110">
        <f>I$24*J38</f>
        <v>41.814976599063968</v>
      </c>
      <c r="L38" s="496">
        <f>J$24*J38</f>
        <v>91.328549141965695</v>
      </c>
    </row>
    <row r="39" spans="1:12" x14ac:dyDescent="0.2">
      <c r="A39" s="26" t="s">
        <v>49</v>
      </c>
      <c r="B39" s="494">
        <v>335.33552609643999</v>
      </c>
      <c r="C39" s="495">
        <v>2.9261660814579971E-2</v>
      </c>
      <c r="D39" s="474">
        <v>2.9261660814579971E-2</v>
      </c>
      <c r="E39" s="496">
        <f t="shared" si="4"/>
        <v>30.274114278764436</v>
      </c>
      <c r="G39" s="413" t="s">
        <v>36</v>
      </c>
      <c r="H39" s="497">
        <v>1626</v>
      </c>
      <c r="I39" s="498">
        <f t="shared" si="5"/>
        <v>0.8455538221528861</v>
      </c>
      <c r="J39" s="499">
        <f>I39</f>
        <v>0.8455538221528861</v>
      </c>
      <c r="K39" s="110">
        <f>I$24*J39</f>
        <v>402.31450858034322</v>
      </c>
      <c r="L39" s="496">
        <f>J$24*J39</f>
        <v>878.69953198127928</v>
      </c>
    </row>
    <row r="40" spans="1:12" x14ac:dyDescent="0.2">
      <c r="A40" s="26" t="s">
        <v>36</v>
      </c>
      <c r="B40" s="494">
        <v>5263.4174219300003</v>
      </c>
      <c r="C40" s="495">
        <v>0.45929024317504813</v>
      </c>
      <c r="D40" s="474">
        <v>0.45929024317504813</v>
      </c>
      <c r="E40" s="496">
        <f t="shared" si="4"/>
        <v>475.18168558890477</v>
      </c>
      <c r="G40" s="413" t="s">
        <v>37</v>
      </c>
      <c r="H40" s="497">
        <v>4</v>
      </c>
      <c r="I40" s="498">
        <f t="shared" si="5"/>
        <v>2.0800832033281333E-3</v>
      </c>
      <c r="J40" s="499">
        <f>I40</f>
        <v>2.0800832033281333E-3</v>
      </c>
      <c r="K40" s="110">
        <f>I$24*J40</f>
        <v>0.98970358814352588</v>
      </c>
      <c r="L40" s="496">
        <f>J$24*J40</f>
        <v>2.1616224648985964</v>
      </c>
    </row>
    <row r="41" spans="1:12" x14ac:dyDescent="0.2">
      <c r="A41" s="26" t="s">
        <v>37</v>
      </c>
      <c r="B41" s="494">
        <v>4112.2227493600003</v>
      </c>
      <c r="C41" s="495">
        <v>0.35883602517904917</v>
      </c>
      <c r="D41" s="474">
        <v>0.35883602517904917</v>
      </c>
      <c r="E41" s="496">
        <f t="shared" si="4"/>
        <v>371.25175165024422</v>
      </c>
      <c r="G41" s="414" t="s">
        <v>50</v>
      </c>
      <c r="H41" s="497">
        <v>22</v>
      </c>
      <c r="I41" s="498">
        <f t="shared" si="5"/>
        <v>1.1440457618304731E-2</v>
      </c>
      <c r="J41" s="500">
        <f>I41</f>
        <v>1.1440457618304731E-2</v>
      </c>
      <c r="K41" s="110">
        <f>I$24*J41</f>
        <v>5.4433697347893917</v>
      </c>
      <c r="L41" s="496">
        <f>J$24*J41</f>
        <v>11.888923556942277</v>
      </c>
    </row>
    <row r="42" spans="1:12" ht="13.5" thickBot="1" x14ac:dyDescent="0.25">
      <c r="A42" s="26" t="s">
        <v>50</v>
      </c>
      <c r="B42" s="494">
        <v>1036.0833395669999</v>
      </c>
      <c r="C42" s="495">
        <v>9.0409505998263195E-2</v>
      </c>
      <c r="D42" s="474">
        <v>9.0409505998263195E-2</v>
      </c>
      <c r="E42" s="496">
        <f t="shared" si="4"/>
        <v>93.537674905803087</v>
      </c>
      <c r="G42" s="415" t="s">
        <v>15</v>
      </c>
      <c r="H42" s="501">
        <f>SUM(H37:H41)</f>
        <v>1923</v>
      </c>
      <c r="I42" s="502">
        <f>SUM(I37:I41)</f>
        <v>0.99999999999999989</v>
      </c>
      <c r="J42" s="503">
        <f>SUM(J37:J41)</f>
        <v>0.99999999999999989</v>
      </c>
      <c r="K42" s="504">
        <f>SUM(K37:K41)</f>
        <v>475.8</v>
      </c>
      <c r="L42" s="505">
        <f>SUM(L37:L41)</f>
        <v>1039.2</v>
      </c>
    </row>
    <row r="43" spans="1:12" x14ac:dyDescent="0.2">
      <c r="A43" s="26" t="s">
        <v>51</v>
      </c>
      <c r="B43" s="494">
        <v>19.374398464999999</v>
      </c>
      <c r="C43" s="495">
        <v>1.6906263495812992E-3</v>
      </c>
      <c r="D43" s="474">
        <v>1.6906263495812992E-3</v>
      </c>
      <c r="E43" s="496">
        <f t="shared" si="4"/>
        <v>1.7491220212768119</v>
      </c>
      <c r="G43" s="155" t="s">
        <v>351</v>
      </c>
    </row>
    <row r="44" spans="1:12" ht="13.5" thickBot="1" x14ac:dyDescent="0.25">
      <c r="A44" s="482" t="s">
        <v>15</v>
      </c>
      <c r="B44" s="631">
        <f>SUM(B37:B43)</f>
        <v>11459.89382562165</v>
      </c>
      <c r="C44" s="632">
        <f>SUM(C37:C43)</f>
        <v>1</v>
      </c>
      <c r="D44" s="503">
        <f>SUM(D37:D43)</f>
        <v>1</v>
      </c>
      <c r="E44" s="505">
        <f>SUM(E37:E43)</f>
        <v>1034.5999999999999</v>
      </c>
      <c r="G44" s="365" t="s">
        <v>374</v>
      </c>
    </row>
    <row r="45" spans="1:12" x14ac:dyDescent="0.2">
      <c r="B45" s="202"/>
    </row>
    <row r="46" spans="1:12" ht="15.75" thickBot="1" x14ac:dyDescent="0.3">
      <c r="A46" s="444" t="s">
        <v>80</v>
      </c>
      <c r="B46" s="445"/>
      <c r="C46" s="445"/>
    </row>
    <row r="47" spans="1:12" ht="54" customHeight="1" x14ac:dyDescent="0.2">
      <c r="A47" s="409" t="s">
        <v>376</v>
      </c>
      <c r="B47" s="410" t="s">
        <v>200</v>
      </c>
      <c r="C47" s="410" t="s">
        <v>71</v>
      </c>
      <c r="D47" s="410" t="s">
        <v>75</v>
      </c>
      <c r="E47" s="416" t="s">
        <v>202</v>
      </c>
      <c r="F47" s="410" t="s">
        <v>70</v>
      </c>
      <c r="G47" s="410" t="s">
        <v>76</v>
      </c>
      <c r="H47" s="410" t="s">
        <v>204</v>
      </c>
      <c r="I47" s="410" t="s">
        <v>72</v>
      </c>
      <c r="J47" s="410" t="s">
        <v>77</v>
      </c>
      <c r="K47" s="411" t="s">
        <v>74</v>
      </c>
      <c r="L47" s="412" t="s">
        <v>114</v>
      </c>
    </row>
    <row r="48" spans="1:12" x14ac:dyDescent="0.2">
      <c r="A48" s="26" t="s">
        <v>48</v>
      </c>
      <c r="B48" s="494">
        <v>72.592653589999998</v>
      </c>
      <c r="C48" s="474">
        <v>2.2493327733597156E-2</v>
      </c>
      <c r="D48" s="103">
        <f t="shared" ref="D48:D54" si="6">C48*I$19</f>
        <v>15.578878788289391</v>
      </c>
      <c r="E48" s="494">
        <v>296.31846263699998</v>
      </c>
      <c r="F48" s="474">
        <v>9.1091526137935808E-2</v>
      </c>
      <c r="G48" s="103">
        <f t="shared" ref="G48:G54" si="7">F48*I$20</f>
        <v>23.018828655056378</v>
      </c>
      <c r="H48" s="494">
        <v>81.290079241599997</v>
      </c>
      <c r="I48" s="474">
        <v>1.6324549605097917E-2</v>
      </c>
      <c r="J48" s="103">
        <f t="shared" ref="J48:J54" si="8">I48*I$21</f>
        <v>1.457782279735244</v>
      </c>
      <c r="K48" s="506">
        <f t="shared" ref="K48:K55" si="9">D48+G48+J48</f>
        <v>40.05548972308101</v>
      </c>
      <c r="L48" s="142">
        <f t="shared" ref="L48:L54" si="10">J$19*C48+J$20*F48+J$21*I48</f>
        <v>87.487483639051717</v>
      </c>
    </row>
    <row r="49" spans="1:12" x14ac:dyDescent="0.2">
      <c r="A49" s="26" t="s">
        <v>41</v>
      </c>
      <c r="B49" s="494">
        <v>207.89558898614001</v>
      </c>
      <c r="C49" s="474">
        <v>6.4417863406638701E-2</v>
      </c>
      <c r="D49" s="103">
        <f t="shared" si="6"/>
        <v>44.615812195437968</v>
      </c>
      <c r="E49" s="494">
        <v>28.42977834869</v>
      </c>
      <c r="F49" s="474">
        <v>8.7396240283355749E-3</v>
      </c>
      <c r="G49" s="103">
        <f t="shared" si="7"/>
        <v>2.2085029919603998</v>
      </c>
      <c r="H49" s="494">
        <v>6.9338261021399994</v>
      </c>
      <c r="I49" s="474">
        <v>1.3924402618328724E-3</v>
      </c>
      <c r="J49" s="103">
        <f t="shared" si="8"/>
        <v>0.12434491538167551</v>
      </c>
      <c r="K49" s="506">
        <f t="shared" si="9"/>
        <v>46.948660102780046</v>
      </c>
      <c r="L49" s="142">
        <f t="shared" si="10"/>
        <v>102.55720063415907</v>
      </c>
    </row>
    <row r="50" spans="1:12" x14ac:dyDescent="0.2">
      <c r="A50" s="26" t="s">
        <v>49</v>
      </c>
      <c r="B50" s="494">
        <v>4.5096526491900004</v>
      </c>
      <c r="C50" s="474">
        <v>1.3973465631457154E-3</v>
      </c>
      <c r="D50" s="103">
        <f t="shared" si="6"/>
        <v>0.96780222963472251</v>
      </c>
      <c r="E50" s="494">
        <v>246.56258799452098</v>
      </c>
      <c r="F50" s="474">
        <v>7.5796027790835829E-2</v>
      </c>
      <c r="G50" s="103">
        <f t="shared" si="7"/>
        <v>19.153656222744214</v>
      </c>
      <c r="H50" s="494">
        <v>84.263042967169994</v>
      </c>
      <c r="I50" s="474">
        <v>1.6921624326705013E-2</v>
      </c>
      <c r="J50" s="103">
        <f t="shared" si="8"/>
        <v>1.5111010523747577</v>
      </c>
      <c r="K50" s="506">
        <f t="shared" si="9"/>
        <v>21.632559504753694</v>
      </c>
      <c r="L50" s="142">
        <f t="shared" si="10"/>
        <v>47.24537309843992</v>
      </c>
    </row>
    <row r="51" spans="1:12" x14ac:dyDescent="0.2">
      <c r="A51" s="26" t="s">
        <v>36</v>
      </c>
      <c r="B51" s="494">
        <v>1087.8315814489999</v>
      </c>
      <c r="C51" s="474">
        <v>0.33707717871256632</v>
      </c>
      <c r="D51" s="103">
        <f t="shared" si="6"/>
        <v>233.45965397632344</v>
      </c>
      <c r="E51" s="494">
        <v>1306.4638068219999</v>
      </c>
      <c r="F51" s="474">
        <v>0.40174736528557525</v>
      </c>
      <c r="G51" s="103">
        <f t="shared" si="7"/>
        <v>101.52155920766486</v>
      </c>
      <c r="H51" s="494">
        <v>2868.1172772099999</v>
      </c>
      <c r="I51" s="474">
        <v>0.57608695540534116</v>
      </c>
      <c r="J51" s="103">
        <f t="shared" si="8"/>
        <v>51.444565117696968</v>
      </c>
      <c r="K51" s="506">
        <f t="shared" si="9"/>
        <v>386.42577830168528</v>
      </c>
      <c r="L51" s="142">
        <f t="shared" si="10"/>
        <v>844.12075501420543</v>
      </c>
    </row>
    <row r="52" spans="1:12" x14ac:dyDescent="0.2">
      <c r="A52" s="26" t="s">
        <v>37</v>
      </c>
      <c r="B52" s="494">
        <v>1292.74553421</v>
      </c>
      <c r="C52" s="474">
        <v>0.40056600122052582</v>
      </c>
      <c r="D52" s="103">
        <f t="shared" si="6"/>
        <v>277.43201244533617</v>
      </c>
      <c r="E52" s="494">
        <v>1040.164569</v>
      </c>
      <c r="F52" s="474">
        <v>0.31970220790297132</v>
      </c>
      <c r="G52" s="103">
        <f t="shared" si="7"/>
        <v>80.788747937080856</v>
      </c>
      <c r="H52" s="494">
        <v>1779.490755</v>
      </c>
      <c r="I52" s="474">
        <v>0.35735524935794472</v>
      </c>
      <c r="J52" s="103">
        <f t="shared" si="8"/>
        <v>31.911823767664462</v>
      </c>
      <c r="K52" s="506">
        <f t="shared" si="9"/>
        <v>390.13258415008153</v>
      </c>
      <c r="L52" s="142">
        <f t="shared" si="10"/>
        <v>852.21443271852183</v>
      </c>
    </row>
    <row r="53" spans="1:12" x14ac:dyDescent="0.2">
      <c r="A53" s="26" t="s">
        <v>50</v>
      </c>
      <c r="B53" s="494">
        <v>561.65272110679996</v>
      </c>
      <c r="C53" s="474">
        <v>0.17402675775580703</v>
      </c>
      <c r="D53" s="103">
        <f t="shared" si="6"/>
        <v>120.53093242167195</v>
      </c>
      <c r="E53" s="494">
        <v>315.73092112654001</v>
      </c>
      <c r="F53" s="474">
        <v>9.6988702228019433E-2</v>
      </c>
      <c r="G53" s="103">
        <f t="shared" si="7"/>
        <v>24.509045053020511</v>
      </c>
      <c r="H53" s="494">
        <v>159.52658775059999</v>
      </c>
      <c r="I53" s="474">
        <v>3.1919181044348099E-2</v>
      </c>
      <c r="J53" s="103">
        <f t="shared" si="8"/>
        <v>2.8503828672602851</v>
      </c>
      <c r="K53" s="506">
        <f t="shared" si="9"/>
        <v>147.89036034195274</v>
      </c>
      <c r="L53" s="142">
        <f t="shared" si="10"/>
        <v>323.05097711134829</v>
      </c>
    </row>
    <row r="54" spans="1:12" x14ac:dyDescent="0.2">
      <c r="A54" s="26" t="s">
        <v>51</v>
      </c>
      <c r="B54" s="494">
        <v>6.9466304268599996E-2</v>
      </c>
      <c r="C54" s="474">
        <v>2.1524607120594459E-5</v>
      </c>
      <c r="D54" s="103">
        <f t="shared" si="6"/>
        <v>1.4907942891723723E-2</v>
      </c>
      <c r="E54" s="494">
        <v>19.3049321608</v>
      </c>
      <c r="F54" s="474">
        <v>5.9345466255028177E-3</v>
      </c>
      <c r="G54" s="103">
        <f t="shared" si="7"/>
        <v>1.4996599322645621</v>
      </c>
      <c r="H54" s="507" t="s">
        <v>194</v>
      </c>
      <c r="I54" s="474">
        <v>0</v>
      </c>
      <c r="J54" s="327">
        <f t="shared" si="8"/>
        <v>0</v>
      </c>
      <c r="K54" s="506">
        <f t="shared" si="9"/>
        <v>1.5145678751562859</v>
      </c>
      <c r="L54" s="142">
        <f t="shared" si="10"/>
        <v>3.3076189619916869</v>
      </c>
    </row>
    <row r="55" spans="1:12" ht="13.5" thickBot="1" x14ac:dyDescent="0.25">
      <c r="A55" s="633" t="s">
        <v>15</v>
      </c>
      <c r="B55" s="634">
        <f t="shared" ref="B55:J55" si="11">SUM(B48:B54)</f>
        <v>3227.2971982953986</v>
      </c>
      <c r="C55" s="635">
        <f t="shared" si="11"/>
        <v>0.99999999999940126</v>
      </c>
      <c r="D55" s="636">
        <f t="shared" si="11"/>
        <v>692.59999999958541</v>
      </c>
      <c r="E55" s="634">
        <f t="shared" si="11"/>
        <v>3252.9750580895511</v>
      </c>
      <c r="F55" s="635">
        <f t="shared" si="11"/>
        <v>0.9999999999991761</v>
      </c>
      <c r="G55" s="636">
        <f t="shared" si="11"/>
        <v>252.69999999979177</v>
      </c>
      <c r="H55" s="634">
        <f t="shared" si="11"/>
        <v>4979.6215682715101</v>
      </c>
      <c r="I55" s="635">
        <f t="shared" si="11"/>
        <v>1.0000000000012697</v>
      </c>
      <c r="J55" s="636">
        <f t="shared" si="11"/>
        <v>89.300000000113386</v>
      </c>
      <c r="K55" s="637">
        <f t="shared" si="9"/>
        <v>1034.5999999994906</v>
      </c>
      <c r="L55" s="638">
        <f>SUM(L48:L54)</f>
        <v>2259.9838411777177</v>
      </c>
    </row>
    <row r="57" spans="1:12" ht="15.75" thickBot="1" x14ac:dyDescent="0.3">
      <c r="A57" s="442" t="s">
        <v>79</v>
      </c>
      <c r="B57" s="445"/>
      <c r="C57" s="445"/>
    </row>
    <row r="58" spans="1:12" ht="76.5" x14ac:dyDescent="0.2">
      <c r="A58" s="417" t="s">
        <v>73</v>
      </c>
      <c r="B58" s="410" t="s">
        <v>209</v>
      </c>
      <c r="C58" s="418" t="s">
        <v>379</v>
      </c>
      <c r="D58" s="410" t="s">
        <v>119</v>
      </c>
      <c r="E58" s="419" t="s">
        <v>229</v>
      </c>
      <c r="F58" s="420" t="s">
        <v>114</v>
      </c>
    </row>
    <row r="59" spans="1:12" x14ac:dyDescent="0.2">
      <c r="A59" s="26" t="s">
        <v>48</v>
      </c>
      <c r="B59" s="357">
        <v>39.789619424082275</v>
      </c>
      <c r="C59" s="490">
        <f t="shared" ref="C59:C65" si="12">B59-E37</f>
        <v>-0.85457536266051193</v>
      </c>
      <c r="D59" s="356">
        <f>K37</f>
        <v>25.237441497659908</v>
      </c>
      <c r="E59" s="491">
        <f>B59+D59</f>
        <v>65.027060921742191</v>
      </c>
      <c r="F59" s="492">
        <f>L37+L48</f>
        <v>142.6088564939659</v>
      </c>
    </row>
    <row r="60" spans="1:12" x14ac:dyDescent="0.2">
      <c r="A60" s="26" t="s">
        <v>41</v>
      </c>
      <c r="B60" s="357">
        <v>46.643086892444899</v>
      </c>
      <c r="C60" s="490">
        <f t="shared" si="12"/>
        <v>24.681630124181051</v>
      </c>
      <c r="D60" s="493"/>
      <c r="E60" s="491">
        <f t="shared" ref="E60:E65" si="13">B60+D60</f>
        <v>46.643086892444899</v>
      </c>
      <c r="F60" s="492">
        <f>L49</f>
        <v>102.55720063415907</v>
      </c>
    </row>
    <row r="61" spans="1:12" x14ac:dyDescent="0.2">
      <c r="A61" s="26" t="s">
        <v>49</v>
      </c>
      <c r="B61" s="357">
        <v>21.487265223379094</v>
      </c>
      <c r="C61" s="490">
        <f t="shared" si="12"/>
        <v>-8.7868490553853427</v>
      </c>
      <c r="D61" s="356">
        <f>K38</f>
        <v>41.814976599063968</v>
      </c>
      <c r="E61" s="491">
        <f t="shared" si="13"/>
        <v>63.302241822443065</v>
      </c>
      <c r="F61" s="492">
        <f>L38+L50</f>
        <v>138.57392224040561</v>
      </c>
    </row>
    <row r="62" spans="1:12" x14ac:dyDescent="0.2">
      <c r="A62" s="26" t="s">
        <v>36</v>
      </c>
      <c r="B62" s="357">
        <v>383.88030830325005</v>
      </c>
      <c r="C62" s="490">
        <f t="shared" si="12"/>
        <v>-91.301377285654723</v>
      </c>
      <c r="D62" s="356">
        <f>K39</f>
        <v>402.31450858034322</v>
      </c>
      <c r="E62" s="491">
        <f t="shared" si="13"/>
        <v>786.19481688359326</v>
      </c>
      <c r="F62" s="492">
        <f>L39+L51</f>
        <v>1722.8202869954848</v>
      </c>
    </row>
    <row r="63" spans="1:12" x14ac:dyDescent="0.2">
      <c r="A63" s="26" t="s">
        <v>37</v>
      </c>
      <c r="B63" s="357">
        <v>387.5721302415393</v>
      </c>
      <c r="C63" s="490">
        <f t="shared" si="12"/>
        <v>16.320378591295082</v>
      </c>
      <c r="D63" s="356">
        <f>K40</f>
        <v>0.98970358814352588</v>
      </c>
      <c r="E63" s="491">
        <f t="shared" si="13"/>
        <v>388.56183382968283</v>
      </c>
      <c r="F63" s="492">
        <f>L40+L52</f>
        <v>854.37605518342048</v>
      </c>
    </row>
    <row r="64" spans="1:12" x14ac:dyDescent="0.2">
      <c r="A64" s="26" t="s">
        <v>50</v>
      </c>
      <c r="B64" s="357">
        <v>146.92320762963737</v>
      </c>
      <c r="C64" s="490">
        <f t="shared" si="12"/>
        <v>53.385532723834288</v>
      </c>
      <c r="D64" s="356">
        <f>K41</f>
        <v>5.4433697347893917</v>
      </c>
      <c r="E64" s="491">
        <f t="shared" si="13"/>
        <v>152.36657736442677</v>
      </c>
      <c r="F64" s="492">
        <f>L41+L53</f>
        <v>334.93990066829059</v>
      </c>
    </row>
    <row r="65" spans="1:10" x14ac:dyDescent="0.2">
      <c r="A65" s="26" t="s">
        <v>51</v>
      </c>
      <c r="B65" s="357">
        <v>1.5043822851608881</v>
      </c>
      <c r="C65" s="490">
        <f t="shared" si="12"/>
        <v>-0.24473973611592381</v>
      </c>
      <c r="D65" s="493"/>
      <c r="E65" s="491">
        <f t="shared" si="13"/>
        <v>1.5043822851608881</v>
      </c>
      <c r="F65" s="492">
        <f>L54</f>
        <v>3.3076189619916869</v>
      </c>
    </row>
    <row r="66" spans="1:10" ht="13.5" thickBot="1" x14ac:dyDescent="0.25">
      <c r="A66" s="633" t="s">
        <v>98</v>
      </c>
      <c r="B66" s="639">
        <f>SUM(B59:B65)</f>
        <v>1027.799999999494</v>
      </c>
      <c r="C66" s="640"/>
      <c r="D66" s="640">
        <f>SUM(D59:D65)</f>
        <v>475.8</v>
      </c>
      <c r="E66" s="641">
        <f>SUM(E59:E65)</f>
        <v>1503.599999999494</v>
      </c>
      <c r="F66" s="642">
        <f>SUM(F59:F65)</f>
        <v>3299.183841177718</v>
      </c>
    </row>
    <row r="67" spans="1:10" x14ac:dyDescent="0.2">
      <c r="A67" s="182" t="s">
        <v>378</v>
      </c>
    </row>
    <row r="68" spans="1:10" s="35" customFormat="1" x14ac:dyDescent="0.2">
      <c r="A68" s="7"/>
    </row>
    <row r="69" spans="1:10" ht="15.75" thickBot="1" x14ac:dyDescent="0.3">
      <c r="A69" s="442" t="s">
        <v>195</v>
      </c>
    </row>
    <row r="70" spans="1:10" ht="51" x14ac:dyDescent="0.2">
      <c r="A70" s="422" t="s">
        <v>133</v>
      </c>
      <c r="B70" s="423" t="s">
        <v>127</v>
      </c>
      <c r="C70" s="423" t="s">
        <v>126</v>
      </c>
      <c r="D70" s="423" t="s">
        <v>70</v>
      </c>
      <c r="E70" s="423" t="s">
        <v>128</v>
      </c>
      <c r="F70" s="423" t="s">
        <v>72</v>
      </c>
      <c r="G70" s="423" t="s">
        <v>129</v>
      </c>
      <c r="H70" s="424" t="s">
        <v>131</v>
      </c>
      <c r="I70" s="425" t="s">
        <v>196</v>
      </c>
      <c r="J70" s="426" t="s">
        <v>364</v>
      </c>
    </row>
    <row r="71" spans="1:10" x14ac:dyDescent="0.2">
      <c r="A71" s="81" t="s">
        <v>48</v>
      </c>
      <c r="B71" s="476">
        <v>2.2493327733597156E-2</v>
      </c>
      <c r="C71" s="103">
        <f>B71*G$19</f>
        <v>49.610644393299651</v>
      </c>
      <c r="D71" s="474">
        <v>9.1091526137935808E-2</v>
      </c>
      <c r="E71" s="103">
        <f>G$20*D71</f>
        <v>73.288812276430718</v>
      </c>
      <c r="F71" s="474">
        <v>1.6324549605097917E-2</v>
      </c>
      <c r="G71" s="103">
        <f>F71*G$21</f>
        <v>4.6435166924023603</v>
      </c>
      <c r="H71" s="485">
        <f>C71+E71+G71</f>
        <v>127.54297336213273</v>
      </c>
      <c r="I71" s="486">
        <v>0</v>
      </c>
      <c r="J71" s="477">
        <f>H71*I71</f>
        <v>0</v>
      </c>
    </row>
    <row r="72" spans="1:10" x14ac:dyDescent="0.2">
      <c r="A72" s="81" t="s">
        <v>41</v>
      </c>
      <c r="B72" s="476">
        <v>6.4417863406638701E-2</v>
      </c>
      <c r="C72" s="103">
        <f t="shared" ref="C72:C77" si="14">B72*G$19</f>
        <v>142.07820878675409</v>
      </c>
      <c r="D72" s="474">
        <v>8.7396240283355749E-3</v>
      </c>
      <c r="E72" s="103">
        <f t="shared" ref="E72:E77" si="15">G$20*D72</f>
        <v>7.0315724407708737</v>
      </c>
      <c r="F72" s="474">
        <v>1.3924402618328724E-3</v>
      </c>
      <c r="G72" s="103">
        <f t="shared" ref="G72:G77" si="16">F72*G$21</f>
        <v>0.39607950941414494</v>
      </c>
      <c r="H72" s="485">
        <f t="shared" ref="H72:H77" si="17">C72+E72+G72</f>
        <v>149.5058607369391</v>
      </c>
      <c r="I72" s="486">
        <v>5.0000000000000001E-3</v>
      </c>
      <c r="J72" s="477">
        <f t="shared" ref="J72:J77" si="18">H72*I72</f>
        <v>0.7475293036846955</v>
      </c>
    </row>
    <row r="73" spans="1:10" x14ac:dyDescent="0.2">
      <c r="A73" s="81" t="s">
        <v>49</v>
      </c>
      <c r="B73" s="476">
        <v>1.3973465631457154E-3</v>
      </c>
      <c r="C73" s="103">
        <f t="shared" si="14"/>
        <v>3.0819478673614324</v>
      </c>
      <c r="D73" s="474">
        <v>7.5796027790835829E-2</v>
      </c>
      <c r="E73" s="103">
        <f t="shared" si="15"/>
        <v>60.982630191638293</v>
      </c>
      <c r="F73" s="474">
        <v>1.6921624326705013E-2</v>
      </c>
      <c r="G73" s="103">
        <f t="shared" si="16"/>
        <v>4.8133545441938868</v>
      </c>
      <c r="H73" s="485">
        <f t="shared" si="17"/>
        <v>68.877932603193614</v>
      </c>
      <c r="I73" s="486">
        <v>0</v>
      </c>
      <c r="J73" s="477">
        <f t="shared" si="18"/>
        <v>0</v>
      </c>
    </row>
    <row r="74" spans="1:10" x14ac:dyDescent="0.2">
      <c r="A74" s="81" t="s">
        <v>36</v>
      </c>
      <c r="B74" s="476">
        <v>0.33707717871256632</v>
      </c>
      <c r="C74" s="103">
        <f t="shared" si="14"/>
        <v>743.4478457017326</v>
      </c>
      <c r="D74" s="474">
        <v>0.40174736528557525</v>
      </c>
      <c r="E74" s="103">
        <f t="shared" si="15"/>
        <v>323.23080406381666</v>
      </c>
      <c r="F74" s="474">
        <v>0.57608695540534116</v>
      </c>
      <c r="G74" s="103">
        <f t="shared" si="16"/>
        <v>163.8678835503413</v>
      </c>
      <c r="H74" s="485">
        <f t="shared" si="17"/>
        <v>1230.5465333158907</v>
      </c>
      <c r="I74" s="487">
        <v>0.05</v>
      </c>
      <c r="J74" s="477">
        <f t="shared" si="18"/>
        <v>61.527326665794533</v>
      </c>
    </row>
    <row r="75" spans="1:10" x14ac:dyDescent="0.2">
      <c r="A75" s="81" t="s">
        <v>37</v>
      </c>
      <c r="B75" s="476">
        <v>0.40056600122052582</v>
      </c>
      <c r="C75" s="103">
        <f t="shared" si="14"/>
        <v>883.47698828551836</v>
      </c>
      <c r="D75" s="474">
        <v>0.31970220790297132</v>
      </c>
      <c r="E75" s="103">
        <f t="shared" si="15"/>
        <v>257.22035948636312</v>
      </c>
      <c r="F75" s="474">
        <v>0.35735524935794472</v>
      </c>
      <c r="G75" s="103">
        <f t="shared" si="16"/>
        <v>101.64966909672182</v>
      </c>
      <c r="H75" s="485">
        <f t="shared" si="17"/>
        <v>1242.3470168686035</v>
      </c>
      <c r="I75" s="487">
        <v>0.06</v>
      </c>
      <c r="J75" s="477">
        <f t="shared" si="18"/>
        <v>74.540821012116211</v>
      </c>
    </row>
    <row r="76" spans="1:10" x14ac:dyDescent="0.2">
      <c r="A76" s="81" t="s">
        <v>50</v>
      </c>
      <c r="B76" s="476">
        <v>0.17402675775580703</v>
      </c>
      <c r="C76" s="103">
        <f t="shared" si="14"/>
        <v>383.82847110019651</v>
      </c>
      <c r="D76" s="474">
        <v>9.6988702228019433E-2</v>
      </c>
      <c r="E76" s="103">
        <f t="shared" si="15"/>
        <v>78.033458126064829</v>
      </c>
      <c r="F76" s="474">
        <v>3.1919181044348099E-2</v>
      </c>
      <c r="G76" s="103">
        <f t="shared" si="16"/>
        <v>9.0794082270396803</v>
      </c>
      <c r="H76" s="485">
        <f t="shared" si="17"/>
        <v>470.941337453301</v>
      </c>
      <c r="I76" s="487">
        <v>1.7500000000000002E-2</v>
      </c>
      <c r="J76" s="477">
        <f t="shared" si="18"/>
        <v>8.2414734054327692</v>
      </c>
    </row>
    <row r="77" spans="1:10" x14ac:dyDescent="0.2">
      <c r="A77" s="206" t="s">
        <v>51</v>
      </c>
      <c r="B77" s="480">
        <v>2.1524607120594459E-5</v>
      </c>
      <c r="C77" s="143">
        <f t="shared" si="14"/>
        <v>4.7474061740108986E-2</v>
      </c>
      <c r="D77" s="479">
        <v>5.9345466255028177E-3</v>
      </c>
      <c r="E77" s="143">
        <f t="shared" si="15"/>
        <v>4.7747127754078633</v>
      </c>
      <c r="F77" s="479">
        <v>0</v>
      </c>
      <c r="G77" s="143">
        <f t="shared" si="16"/>
        <v>0</v>
      </c>
      <c r="H77" s="488">
        <f t="shared" si="17"/>
        <v>4.8221868371479726</v>
      </c>
      <c r="I77" s="489">
        <v>0</v>
      </c>
      <c r="J77" s="477">
        <f t="shared" si="18"/>
        <v>0</v>
      </c>
    </row>
    <row r="78" spans="1:10" ht="13.5" thickBot="1" x14ac:dyDescent="0.25">
      <c r="A78" s="643" t="s">
        <v>98</v>
      </c>
      <c r="B78" s="644"/>
      <c r="C78" s="645">
        <f>SUM(C71:C77)</f>
        <v>2205.5715801966026</v>
      </c>
      <c r="D78" s="644"/>
      <c r="E78" s="636">
        <f>SUM(E71:E77)</f>
        <v>804.56234936049236</v>
      </c>
      <c r="F78" s="644"/>
      <c r="G78" s="636">
        <f>SUM(G71:G77)</f>
        <v>284.4499116201132</v>
      </c>
      <c r="H78" s="645">
        <f>SUM(H71:H77)</f>
        <v>3294.5838411772083</v>
      </c>
      <c r="I78" s="646"/>
      <c r="J78" s="647">
        <f>SUM(J71:J77)</f>
        <v>145.0571503870282</v>
      </c>
    </row>
    <row r="80" spans="1:10" ht="15.75" thickBot="1" x14ac:dyDescent="0.3">
      <c r="A80" s="442" t="s">
        <v>347</v>
      </c>
      <c r="B80" s="445"/>
    </row>
    <row r="81" spans="1:9" ht="80.25" customHeight="1" x14ac:dyDescent="0.2">
      <c r="A81" s="439" t="s">
        <v>375</v>
      </c>
      <c r="B81" s="439" t="s">
        <v>365</v>
      </c>
      <c r="C81" s="439" t="s">
        <v>366</v>
      </c>
      <c r="D81" s="439" t="s">
        <v>367</v>
      </c>
      <c r="E81" s="439" t="s">
        <v>368</v>
      </c>
      <c r="F81" s="440" t="s">
        <v>396</v>
      </c>
      <c r="G81" s="439" t="s">
        <v>346</v>
      </c>
      <c r="H81" s="439" t="s">
        <v>369</v>
      </c>
      <c r="I81" s="441" t="s">
        <v>370</v>
      </c>
    </row>
    <row r="82" spans="1:9" x14ac:dyDescent="0.2">
      <c r="A82" s="18" t="s">
        <v>48</v>
      </c>
      <c r="B82" s="335">
        <f t="shared" ref="B82:B89" si="19">E59</f>
        <v>65.027060921742191</v>
      </c>
      <c r="C82" s="356">
        <f>B82*0.5</f>
        <v>32.513530460871095</v>
      </c>
      <c r="D82" s="357">
        <f t="shared" ref="D82:D89" si="20">J71</f>
        <v>0</v>
      </c>
      <c r="E82" s="356">
        <f>'Project Summary'!H4</f>
        <v>0</v>
      </c>
      <c r="F82" s="358">
        <f>C82-D82-E82</f>
        <v>32.513530460871095</v>
      </c>
      <c r="G82" s="356">
        <f>32.5</f>
        <v>32.5</v>
      </c>
      <c r="H82" s="18"/>
      <c r="I82" s="359">
        <f t="shared" ref="I82:I88" si="21">F82+G82</f>
        <v>65.013530460871095</v>
      </c>
    </row>
    <row r="83" spans="1:9" x14ac:dyDescent="0.2">
      <c r="A83" s="18" t="s">
        <v>41</v>
      </c>
      <c r="B83" s="335">
        <f t="shared" si="19"/>
        <v>46.643086892444899</v>
      </c>
      <c r="C83" s="356">
        <f t="shared" ref="C83:C88" si="22">B83*0.5</f>
        <v>23.321543446222449</v>
      </c>
      <c r="D83" s="357">
        <f t="shared" si="20"/>
        <v>0.7475293036846955</v>
      </c>
      <c r="E83" s="356">
        <f>'Project Summary'!H7</f>
        <v>196.48556293303483</v>
      </c>
      <c r="F83" s="358">
        <f t="shared" ref="F83:F89" si="23">C83-D83-E83</f>
        <v>-173.91154879049708</v>
      </c>
      <c r="G83" s="356">
        <f t="shared" ref="G83:G86" si="24">B83*0.5</f>
        <v>23.321543446222449</v>
      </c>
      <c r="H83" s="18"/>
      <c r="I83" s="359">
        <f t="shared" si="21"/>
        <v>-150.59000534427463</v>
      </c>
    </row>
    <row r="84" spans="1:9" x14ac:dyDescent="0.2">
      <c r="A84" s="18" t="s">
        <v>49</v>
      </c>
      <c r="B84" s="335">
        <f t="shared" si="19"/>
        <v>63.302241822443065</v>
      </c>
      <c r="C84" s="356">
        <f t="shared" si="22"/>
        <v>31.651120911221533</v>
      </c>
      <c r="D84" s="357">
        <f t="shared" si="20"/>
        <v>0</v>
      </c>
      <c r="E84" s="356">
        <f>'Project Summary'!H10</f>
        <v>0</v>
      </c>
      <c r="F84" s="358">
        <f t="shared" si="23"/>
        <v>31.651120911221533</v>
      </c>
      <c r="G84" s="356">
        <f t="shared" si="24"/>
        <v>31.651120911221533</v>
      </c>
      <c r="H84" s="18"/>
      <c r="I84" s="359">
        <f t="shared" si="21"/>
        <v>63.302241822443065</v>
      </c>
    </row>
    <row r="85" spans="1:9" x14ac:dyDescent="0.2">
      <c r="A85" s="18" t="s">
        <v>36</v>
      </c>
      <c r="B85" s="335">
        <f t="shared" si="19"/>
        <v>786.19481688359326</v>
      </c>
      <c r="C85" s="356">
        <f t="shared" si="22"/>
        <v>393.09740844179663</v>
      </c>
      <c r="D85" s="357">
        <f t="shared" si="20"/>
        <v>61.527326665794533</v>
      </c>
      <c r="E85" s="356">
        <f>'Project Summary'!H11</f>
        <v>188.1</v>
      </c>
      <c r="F85" s="358">
        <f t="shared" si="23"/>
        <v>143.4700817760021</v>
      </c>
      <c r="G85" s="356">
        <f t="shared" si="24"/>
        <v>393.09740844179663</v>
      </c>
      <c r="H85" s="18"/>
      <c r="I85" s="359">
        <f t="shared" si="21"/>
        <v>536.56749021779876</v>
      </c>
    </row>
    <row r="86" spans="1:9" x14ac:dyDescent="0.2">
      <c r="A86" s="18" t="s">
        <v>37</v>
      </c>
      <c r="B86" s="335">
        <f t="shared" si="19"/>
        <v>388.56183382968283</v>
      </c>
      <c r="C86" s="356">
        <f t="shared" si="22"/>
        <v>194.28091691484141</v>
      </c>
      <c r="D86" s="357">
        <f t="shared" si="20"/>
        <v>74.540821012116211</v>
      </c>
      <c r="E86" s="356">
        <f>'Project Summary'!H14</f>
        <v>36.599999999999994</v>
      </c>
      <c r="F86" s="358">
        <f t="shared" si="23"/>
        <v>83.140095902725207</v>
      </c>
      <c r="G86" s="356">
        <f t="shared" si="24"/>
        <v>194.28091691484141</v>
      </c>
      <c r="H86" s="18"/>
      <c r="I86" s="359">
        <f t="shared" si="21"/>
        <v>277.42101281756663</v>
      </c>
    </row>
    <row r="87" spans="1:9" x14ac:dyDescent="0.2">
      <c r="A87" s="18" t="s">
        <v>50</v>
      </c>
      <c r="B87" s="335">
        <f t="shared" si="19"/>
        <v>152.36657736442677</v>
      </c>
      <c r="C87" s="356">
        <f t="shared" si="22"/>
        <v>76.183288682213387</v>
      </c>
      <c r="D87" s="357">
        <f t="shared" si="20"/>
        <v>8.2414734054327692</v>
      </c>
      <c r="E87" s="356">
        <f>'Project Summary'!H21</f>
        <v>9.9</v>
      </c>
      <c r="F87" s="358">
        <f t="shared" si="23"/>
        <v>58.041815276780618</v>
      </c>
      <c r="G87" s="356">
        <v>76.099999999999994</v>
      </c>
      <c r="H87" s="18"/>
      <c r="I87" s="359">
        <f t="shared" si="21"/>
        <v>134.14181527678062</v>
      </c>
    </row>
    <row r="88" spans="1:9" x14ac:dyDescent="0.2">
      <c r="A88" s="18" t="s">
        <v>51</v>
      </c>
      <c r="B88" s="335">
        <f t="shared" si="19"/>
        <v>1.5043822851608881</v>
      </c>
      <c r="C88" s="356">
        <f t="shared" si="22"/>
        <v>0.75219114258044406</v>
      </c>
      <c r="D88" s="357">
        <f t="shared" si="20"/>
        <v>0</v>
      </c>
      <c r="E88" s="356">
        <f>'Project Summary'!H24</f>
        <v>0</v>
      </c>
      <c r="F88" s="358">
        <f t="shared" si="23"/>
        <v>0.75219114258044406</v>
      </c>
      <c r="G88" s="356">
        <v>0.7</v>
      </c>
      <c r="H88" s="18"/>
      <c r="I88" s="359">
        <f t="shared" si="21"/>
        <v>1.4521911425804439</v>
      </c>
    </row>
    <row r="89" spans="1:9" ht="13.5" thickBot="1" x14ac:dyDescent="0.25">
      <c r="A89" s="305" t="s">
        <v>98</v>
      </c>
      <c r="B89" s="438">
        <f t="shared" si="19"/>
        <v>1503.599999999494</v>
      </c>
      <c r="C89" s="354">
        <v>751.9</v>
      </c>
      <c r="D89" s="354">
        <f t="shared" si="20"/>
        <v>145.0571503870282</v>
      </c>
      <c r="E89" s="354">
        <f>SUM(E82:E88)</f>
        <v>431.08556293303479</v>
      </c>
      <c r="F89" s="355">
        <f t="shared" si="23"/>
        <v>175.75728667993701</v>
      </c>
      <c r="G89" s="354">
        <f>SUM(G82:G88)</f>
        <v>751.65098971408213</v>
      </c>
      <c r="H89" s="305"/>
      <c r="I89" s="483">
        <f>SUM(I82:I88)</f>
        <v>927.30827639376594</v>
      </c>
    </row>
    <row r="91" spans="1:9" s="35" customFormat="1" ht="15.75" thickBot="1" x14ac:dyDescent="0.3">
      <c r="A91" s="442" t="s">
        <v>355</v>
      </c>
    </row>
    <row r="92" spans="1:9" ht="51" x14ac:dyDescent="0.2">
      <c r="A92" s="422" t="str">
        <f t="shared" ref="A92" si="25">A70</f>
        <v>2009 Developed Stormwater  Loading by Jurisdiction for Lake Harris</v>
      </c>
      <c r="B92" s="423" t="str">
        <f t="shared" ref="B92:B100" si="26">C70</f>
        <v>Total Loading Developed-High lbs/yr TP</v>
      </c>
      <c r="C92" s="423" t="str">
        <f t="shared" ref="C92:C100" si="27">E70</f>
        <v>Total Loading Developed-Medium lbs/yr TP</v>
      </c>
      <c r="D92" s="423" t="str">
        <f t="shared" ref="D92:D100" si="28">G70</f>
        <v>Total Loading Developed-Low lbs/yr TP</v>
      </c>
      <c r="E92" s="424" t="str">
        <f t="shared" ref="E92:E100" si="29">H70</f>
        <v>Stormwater Total Loading lbs/yr TP</v>
      </c>
      <c r="F92" s="434" t="s">
        <v>354</v>
      </c>
      <c r="G92" s="33"/>
    </row>
    <row r="93" spans="1:9" x14ac:dyDescent="0.2">
      <c r="A93" s="366" t="str">
        <f t="shared" ref="A93" si="30">A71</f>
        <v>Astatula</v>
      </c>
      <c r="B93" s="356">
        <f t="shared" si="26"/>
        <v>49.610644393299651</v>
      </c>
      <c r="C93" s="356">
        <f t="shared" si="27"/>
        <v>73.288812276430718</v>
      </c>
      <c r="D93" s="356">
        <f t="shared" si="28"/>
        <v>4.6435166924023603</v>
      </c>
      <c r="E93" s="437">
        <f t="shared" si="29"/>
        <v>127.54297336213273</v>
      </c>
      <c r="F93" s="429">
        <f>E93/$E$100</f>
        <v>3.8712923850363921E-2</v>
      </c>
      <c r="G93" s="33"/>
    </row>
    <row r="94" spans="1:9" x14ac:dyDescent="0.2">
      <c r="A94" s="366" t="str">
        <f t="shared" ref="A94" si="31">A72</f>
        <v>FDOT</v>
      </c>
      <c r="B94" s="356">
        <f t="shared" si="26"/>
        <v>142.07820878675409</v>
      </c>
      <c r="C94" s="356">
        <f t="shared" si="27"/>
        <v>7.0315724407708737</v>
      </c>
      <c r="D94" s="356">
        <f t="shared" si="28"/>
        <v>0.39607950941414494</v>
      </c>
      <c r="E94" s="437">
        <f t="shared" si="29"/>
        <v>149.5058607369391</v>
      </c>
      <c r="F94" s="429">
        <f t="shared" ref="F94:F100" si="32">E94/$E$100</f>
        <v>4.537928550135735E-2</v>
      </c>
      <c r="G94" s="33"/>
    </row>
    <row r="95" spans="1:9" x14ac:dyDescent="0.2">
      <c r="A95" s="366" t="str">
        <f t="shared" ref="A95" si="33">A73</f>
        <v>Howey-in-the-Hills</v>
      </c>
      <c r="B95" s="356">
        <f t="shared" si="26"/>
        <v>3.0819478673614324</v>
      </c>
      <c r="C95" s="356">
        <f t="shared" si="27"/>
        <v>60.982630191638293</v>
      </c>
      <c r="D95" s="356">
        <f t="shared" si="28"/>
        <v>4.8133545441938868</v>
      </c>
      <c r="E95" s="437">
        <f t="shared" si="29"/>
        <v>68.877932603193614</v>
      </c>
      <c r="F95" s="429">
        <f t="shared" si="32"/>
        <v>2.0906413654533804E-2</v>
      </c>
      <c r="G95" s="33"/>
    </row>
    <row r="96" spans="1:9" x14ac:dyDescent="0.2">
      <c r="A96" s="366" t="str">
        <f t="shared" ref="A96" si="34">A74</f>
        <v>Lake County</v>
      </c>
      <c r="B96" s="356">
        <f t="shared" si="26"/>
        <v>743.4478457017326</v>
      </c>
      <c r="C96" s="356">
        <f t="shared" si="27"/>
        <v>323.23080406381666</v>
      </c>
      <c r="D96" s="356">
        <f t="shared" si="28"/>
        <v>163.8678835503413</v>
      </c>
      <c r="E96" s="437">
        <f t="shared" si="29"/>
        <v>1230.5465333158907</v>
      </c>
      <c r="F96" s="429">
        <f t="shared" si="32"/>
        <v>0.3735059092854035</v>
      </c>
      <c r="G96" s="33"/>
    </row>
    <row r="97" spans="1:7" x14ac:dyDescent="0.2">
      <c r="A97" s="366" t="str">
        <f t="shared" ref="A97" si="35">A75</f>
        <v>Leesburg</v>
      </c>
      <c r="B97" s="356">
        <f t="shared" si="26"/>
        <v>883.47698828551836</v>
      </c>
      <c r="C97" s="356">
        <f t="shared" si="27"/>
        <v>257.22035948636312</v>
      </c>
      <c r="D97" s="356">
        <f t="shared" si="28"/>
        <v>101.64966909672182</v>
      </c>
      <c r="E97" s="437">
        <f t="shared" si="29"/>
        <v>1242.3470168686035</v>
      </c>
      <c r="F97" s="429">
        <f t="shared" si="32"/>
        <v>0.37708769202992654</v>
      </c>
      <c r="G97" s="33"/>
    </row>
    <row r="98" spans="1:7" x14ac:dyDescent="0.2">
      <c r="A98" s="366" t="str">
        <f t="shared" ref="A98" si="36">A76</f>
        <v>Tavares</v>
      </c>
      <c r="B98" s="356">
        <f t="shared" si="26"/>
        <v>383.82847110019651</v>
      </c>
      <c r="C98" s="356">
        <f t="shared" si="27"/>
        <v>78.033458126064829</v>
      </c>
      <c r="D98" s="356">
        <f t="shared" si="28"/>
        <v>9.0794082270396803</v>
      </c>
      <c r="E98" s="437">
        <f t="shared" si="29"/>
        <v>470.941337453301</v>
      </c>
      <c r="F98" s="429">
        <f t="shared" si="32"/>
        <v>0.142944104674849</v>
      </c>
      <c r="G98" s="33"/>
    </row>
    <row r="99" spans="1:7" x14ac:dyDescent="0.2">
      <c r="A99" s="366" t="str">
        <f t="shared" ref="A99" si="37">A77</f>
        <v>Wildwood</v>
      </c>
      <c r="B99" s="356">
        <f t="shared" si="26"/>
        <v>4.7474061740108986E-2</v>
      </c>
      <c r="C99" s="356">
        <f t="shared" si="27"/>
        <v>4.7747127754078633</v>
      </c>
      <c r="D99" s="356">
        <f t="shared" si="28"/>
        <v>0</v>
      </c>
      <c r="E99" s="437">
        <f t="shared" si="29"/>
        <v>4.8221868371479726</v>
      </c>
      <c r="F99" s="369">
        <f t="shared" si="32"/>
        <v>1.4636710035659396E-3</v>
      </c>
      <c r="G99" s="33"/>
    </row>
    <row r="100" spans="1:7" ht="13.5" thickBot="1" x14ac:dyDescent="0.25">
      <c r="A100" s="430" t="str">
        <f t="shared" ref="A100" si="38">A78</f>
        <v>Total lbs/yr TP</v>
      </c>
      <c r="B100" s="435">
        <f t="shared" si="26"/>
        <v>2205.5715801966026</v>
      </c>
      <c r="C100" s="435">
        <f t="shared" si="27"/>
        <v>804.56234936049236</v>
      </c>
      <c r="D100" s="435">
        <f t="shared" si="28"/>
        <v>284.4499116201132</v>
      </c>
      <c r="E100" s="436">
        <f t="shared" si="29"/>
        <v>3294.5838411772083</v>
      </c>
      <c r="F100" s="433">
        <f t="shared" si="32"/>
        <v>1</v>
      </c>
      <c r="G100" s="33"/>
    </row>
  </sheetData>
  <mergeCells count="1">
    <mergeCell ref="B3:F4"/>
  </mergeCells>
  <conditionalFormatting sqref="F93:F100">
    <cfRule type="cellIs" dxfId="4" priority="1" operator="between">
      <formula>0</formula>
      <formula>0.01</formula>
    </cfRule>
  </conditionalFormatting>
  <printOptions gridLines="1"/>
  <pageMargins left="0.45" right="0.45" top="0.5" bottom="0.75" header="0.3" footer="0.3"/>
  <pageSetup paperSize="5" scale="80" pageOrder="overThenDown" orientation="landscape" r:id="rId1"/>
  <headerFooter>
    <oddHeader>&amp;L&amp;"Arial,Bold"&amp;12&amp;KC00000DRAFT&amp;CLake Harris Allocation Calculations&amp;RFDEP, April 13, 2016</oddHeader>
    <oddFooter xml:space="preserve">&amp;RPage &amp;P of &amp;N </oddFooter>
  </headerFooter>
  <rowBreaks count="2" manualBreakCount="2">
    <brk id="33" max="16383" man="1"/>
    <brk id="6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A60" workbookViewId="0">
      <selection activeCell="A38" sqref="A38:L38"/>
    </sheetView>
  </sheetViews>
  <sheetFormatPr defaultRowHeight="12.75" x14ac:dyDescent="0.2"/>
  <cols>
    <col min="1" max="1" width="55.28515625" customWidth="1"/>
    <col min="2" max="2" width="13.140625" customWidth="1"/>
    <col min="3" max="3" width="13.5703125" customWidth="1"/>
    <col min="4" max="4" width="13.7109375" customWidth="1"/>
    <col min="5" max="5" width="14.140625" customWidth="1"/>
    <col min="6" max="6" width="14.85546875" customWidth="1"/>
    <col min="7" max="7" width="12.85546875" customWidth="1"/>
    <col min="8" max="8" width="13.42578125" customWidth="1"/>
    <col min="9" max="9" width="13.28515625" customWidth="1"/>
    <col min="10" max="10" width="12.85546875" customWidth="1"/>
    <col min="11" max="11" width="13.28515625" customWidth="1"/>
    <col min="12" max="12" width="13.85546875" customWidth="1"/>
  </cols>
  <sheetData>
    <row r="1" spans="1:10" ht="15" x14ac:dyDescent="0.25">
      <c r="A1" s="13" t="s">
        <v>108</v>
      </c>
    </row>
    <row r="2" spans="1:10" x14ac:dyDescent="0.2">
      <c r="A2" s="6" t="s">
        <v>270</v>
      </c>
    </row>
    <row r="3" spans="1:10" x14ac:dyDescent="0.2">
      <c r="B3" s="703" t="s">
        <v>382</v>
      </c>
      <c r="C3" s="704"/>
      <c r="D3" s="704"/>
      <c r="E3" s="704"/>
      <c r="F3" s="704"/>
      <c r="G3" s="704"/>
      <c r="H3" s="704"/>
      <c r="I3" s="704"/>
      <c r="J3" s="704"/>
    </row>
    <row r="4" spans="1:10" ht="13.5" thickBot="1" x14ac:dyDescent="0.25">
      <c r="B4" s="705"/>
      <c r="C4" s="705"/>
      <c r="D4" s="705"/>
      <c r="E4" s="705"/>
      <c r="F4" s="705"/>
      <c r="G4" s="705"/>
      <c r="H4" s="705"/>
      <c r="I4" s="705"/>
      <c r="J4" s="705"/>
    </row>
    <row r="5" spans="1:10" ht="76.5" x14ac:dyDescent="0.2">
      <c r="A5" s="446" t="s">
        <v>1</v>
      </c>
      <c r="B5" s="447" t="s">
        <v>104</v>
      </c>
      <c r="C5" s="448" t="s">
        <v>0</v>
      </c>
      <c r="D5" s="448" t="s">
        <v>9</v>
      </c>
      <c r="E5" s="449" t="s">
        <v>31</v>
      </c>
      <c r="F5" s="447" t="s">
        <v>16</v>
      </c>
      <c r="G5" s="450" t="s">
        <v>99</v>
      </c>
      <c r="H5" s="448" t="s">
        <v>100</v>
      </c>
      <c r="I5" s="451" t="s">
        <v>54</v>
      </c>
      <c r="J5" s="452" t="s">
        <v>53</v>
      </c>
    </row>
    <row r="6" spans="1:10" x14ac:dyDescent="0.2">
      <c r="A6" s="36" t="s">
        <v>23</v>
      </c>
      <c r="B6" s="516" t="s">
        <v>45</v>
      </c>
      <c r="C6" s="327" t="s">
        <v>45</v>
      </c>
      <c r="D6" s="327" t="s">
        <v>45</v>
      </c>
      <c r="E6" s="517" t="s">
        <v>45</v>
      </c>
      <c r="F6" s="516"/>
      <c r="G6" s="518"/>
      <c r="H6" s="474"/>
      <c r="I6" s="519"/>
      <c r="J6" s="520"/>
    </row>
    <row r="7" spans="1:10" x14ac:dyDescent="0.2">
      <c r="A7" s="26" t="s">
        <v>101</v>
      </c>
      <c r="B7" s="516" t="s">
        <v>45</v>
      </c>
      <c r="C7" s="327" t="s">
        <v>45</v>
      </c>
      <c r="D7" s="327" t="s">
        <v>45</v>
      </c>
      <c r="E7" s="327" t="s">
        <v>45</v>
      </c>
      <c r="F7" s="516"/>
      <c r="G7" s="518"/>
      <c r="H7" s="474"/>
      <c r="I7" s="519"/>
      <c r="J7" s="520"/>
    </row>
    <row r="8" spans="1:10" x14ac:dyDescent="0.2">
      <c r="A8" s="26" t="s">
        <v>102</v>
      </c>
      <c r="B8" s="516">
        <v>474.2</v>
      </c>
      <c r="C8" s="327" t="s">
        <v>45</v>
      </c>
      <c r="D8" s="327">
        <v>-19</v>
      </c>
      <c r="E8" s="327" t="s">
        <v>45</v>
      </c>
      <c r="F8" s="516">
        <f>SUM(B8:E8)</f>
        <v>455.2</v>
      </c>
      <c r="G8" s="518">
        <f>F8</f>
        <v>455.2</v>
      </c>
      <c r="H8" s="474">
        <f>G8/(F$24-F$11-F$14)</f>
        <v>0.28697516076156854</v>
      </c>
      <c r="I8" s="519">
        <f>ROUND(H8*F$26,1)</f>
        <v>423.7</v>
      </c>
      <c r="J8" s="520">
        <f>F8-I8</f>
        <v>31.5</v>
      </c>
    </row>
    <row r="9" spans="1:10" x14ac:dyDescent="0.2">
      <c r="A9" s="36" t="s">
        <v>24</v>
      </c>
      <c r="B9" s="516" t="s">
        <v>45</v>
      </c>
      <c r="C9" s="327" t="s">
        <v>45</v>
      </c>
      <c r="D9" s="327" t="s">
        <v>45</v>
      </c>
      <c r="E9" s="327" t="s">
        <v>45</v>
      </c>
      <c r="F9" s="516"/>
      <c r="G9" s="518"/>
      <c r="H9" s="474"/>
      <c r="I9" s="519"/>
      <c r="J9" s="520"/>
    </row>
    <row r="10" spans="1:10" x14ac:dyDescent="0.2">
      <c r="A10" s="26" t="s">
        <v>103</v>
      </c>
      <c r="B10" s="521">
        <v>1265.5</v>
      </c>
      <c r="C10" s="327" t="s">
        <v>45</v>
      </c>
      <c r="D10" s="327">
        <v>-726</v>
      </c>
      <c r="E10" s="327" t="s">
        <v>45</v>
      </c>
      <c r="F10" s="516">
        <f>SUM(B10:E10)</f>
        <v>539.5</v>
      </c>
      <c r="G10" s="518">
        <f>F10</f>
        <v>539.5</v>
      </c>
      <c r="H10" s="474">
        <f>G10/(F$24-F$11-F$14)</f>
        <v>0.34012104400453919</v>
      </c>
      <c r="I10" s="519">
        <f>ROUND(H10*F$26,1)</f>
        <v>502.2</v>
      </c>
      <c r="J10" s="520">
        <f>F10-I10</f>
        <v>37.300000000000011</v>
      </c>
    </row>
    <row r="11" spans="1:10" x14ac:dyDescent="0.2">
      <c r="A11" s="36" t="s">
        <v>26</v>
      </c>
      <c r="B11" s="516">
        <v>29.6</v>
      </c>
      <c r="C11" s="327" t="s">
        <v>45</v>
      </c>
      <c r="D11" s="327">
        <v>0</v>
      </c>
      <c r="E11" s="327" t="s">
        <v>45</v>
      </c>
      <c r="F11" s="516">
        <f>SUM(B11:E11)</f>
        <v>29.6</v>
      </c>
      <c r="G11" s="518"/>
      <c r="H11" s="474"/>
      <c r="I11" s="519"/>
      <c r="J11" s="520">
        <f>F11-I11</f>
        <v>29.6</v>
      </c>
    </row>
    <row r="12" spans="1:10" x14ac:dyDescent="0.2">
      <c r="A12" s="36" t="s">
        <v>27</v>
      </c>
      <c r="B12" s="516" t="s">
        <v>45</v>
      </c>
      <c r="C12" s="327" t="s">
        <v>45</v>
      </c>
      <c r="D12" s="327" t="s">
        <v>45</v>
      </c>
      <c r="E12" s="327" t="s">
        <v>45</v>
      </c>
      <c r="F12" s="516"/>
      <c r="G12" s="518"/>
      <c r="H12" s="474"/>
      <c r="I12" s="519"/>
      <c r="J12" s="520"/>
    </row>
    <row r="13" spans="1:10" x14ac:dyDescent="0.2">
      <c r="A13" s="36" t="s">
        <v>19</v>
      </c>
      <c r="B13" s="516" t="s">
        <v>45</v>
      </c>
      <c r="C13" s="327" t="s">
        <v>45</v>
      </c>
      <c r="D13" s="327" t="s">
        <v>45</v>
      </c>
      <c r="E13" s="327" t="s">
        <v>45</v>
      </c>
      <c r="F13" s="516"/>
      <c r="G13" s="518"/>
      <c r="H13" s="474"/>
      <c r="I13" s="519"/>
      <c r="J13" s="520"/>
    </row>
    <row r="14" spans="1:10" x14ac:dyDescent="0.2">
      <c r="A14" s="26" t="s">
        <v>20</v>
      </c>
      <c r="B14" s="516">
        <v>375.6</v>
      </c>
      <c r="C14" s="327" t="s">
        <v>45</v>
      </c>
      <c r="D14" s="327" t="s">
        <v>45</v>
      </c>
      <c r="E14" s="327">
        <v>6.1</v>
      </c>
      <c r="F14" s="516">
        <f>SUM(B14:E14)</f>
        <v>381.70000000000005</v>
      </c>
      <c r="G14" s="518"/>
      <c r="H14" s="474"/>
      <c r="I14" s="519"/>
      <c r="J14" s="520">
        <f>F14-I14</f>
        <v>381.70000000000005</v>
      </c>
    </row>
    <row r="15" spans="1:10" s="35" customFormat="1" x14ac:dyDescent="0.2">
      <c r="A15" s="39" t="s">
        <v>124</v>
      </c>
      <c r="B15" s="516">
        <v>123.5</v>
      </c>
      <c r="C15" s="327"/>
      <c r="D15" s="327"/>
      <c r="E15" s="327">
        <v>-53.7</v>
      </c>
      <c r="F15" s="516">
        <f t="shared" ref="F15:F19" si="0">SUM(B15:E15)</f>
        <v>69.8</v>
      </c>
      <c r="G15" s="518">
        <f>F15</f>
        <v>69.8</v>
      </c>
      <c r="H15" s="474">
        <f>G15/(F$24-F$11-F$14)</f>
        <v>4.4004539150170219E-2</v>
      </c>
      <c r="I15" s="519">
        <f>ROUND(H15*F$26,1)</f>
        <v>65</v>
      </c>
      <c r="J15" s="520">
        <f>F15-I15</f>
        <v>4.7999999999999972</v>
      </c>
    </row>
    <row r="16" spans="1:10" s="35" customFormat="1" x14ac:dyDescent="0.2">
      <c r="A16" s="26" t="s">
        <v>21</v>
      </c>
      <c r="B16" s="516">
        <v>616.29999999999995</v>
      </c>
      <c r="C16" s="327"/>
      <c r="D16" s="327"/>
      <c r="E16" s="327">
        <v>-102</v>
      </c>
      <c r="F16" s="516">
        <f t="shared" si="0"/>
        <v>514.29999999999995</v>
      </c>
      <c r="G16" s="518">
        <f>F16</f>
        <v>514.29999999999995</v>
      </c>
      <c r="H16" s="474">
        <f>G16/(F$24-F$11-F$14)</f>
        <v>0.32423401840877569</v>
      </c>
      <c r="I16" s="522">
        <f>H16*F26</f>
        <v>478.73152818055723</v>
      </c>
      <c r="J16" s="520"/>
    </row>
    <row r="17" spans="1:10" s="35" customFormat="1" x14ac:dyDescent="0.2">
      <c r="A17" s="39" t="s">
        <v>105</v>
      </c>
      <c r="B17" s="516">
        <v>332.3</v>
      </c>
      <c r="C17" s="327"/>
      <c r="D17" s="327"/>
      <c r="E17" s="327">
        <v>-51.7</v>
      </c>
      <c r="F17" s="516">
        <f t="shared" si="0"/>
        <v>280.60000000000002</v>
      </c>
      <c r="G17" s="518">
        <f>F17</f>
        <v>280.60000000000002</v>
      </c>
      <c r="H17" s="474">
        <f>G17/(F$24-F$11-F$14)</f>
        <v>0.17690076913377889</v>
      </c>
      <c r="I17" s="519">
        <f>ROUND(H17*F$26,1)</f>
        <v>261.2</v>
      </c>
      <c r="J17" s="520">
        <f>F17-I17</f>
        <v>19.400000000000034</v>
      </c>
    </row>
    <row r="18" spans="1:10" s="35" customFormat="1" x14ac:dyDescent="0.2">
      <c r="A18" s="39" t="s">
        <v>106</v>
      </c>
      <c r="B18" s="516">
        <v>265.3</v>
      </c>
      <c r="C18" s="327"/>
      <c r="D18" s="327"/>
      <c r="E18" s="327">
        <v>-48.8</v>
      </c>
      <c r="F18" s="516">
        <f t="shared" si="0"/>
        <v>216.5</v>
      </c>
      <c r="G18" s="518">
        <f>F18</f>
        <v>216.5</v>
      </c>
      <c r="H18" s="474">
        <f>G18/(F$24-F$11-F$14)</f>
        <v>0.13648972386836467</v>
      </c>
      <c r="I18" s="519">
        <f>ROUND(H18*F$26,1)</f>
        <v>201.5</v>
      </c>
      <c r="J18" s="520">
        <f>F18-I18</f>
        <v>15</v>
      </c>
    </row>
    <row r="19" spans="1:10" x14ac:dyDescent="0.2">
      <c r="A19" s="64" t="s">
        <v>107</v>
      </c>
      <c r="B19" s="516">
        <v>18.600000000000001</v>
      </c>
      <c r="C19" s="327" t="s">
        <v>45</v>
      </c>
      <c r="D19" s="327"/>
      <c r="E19" s="327">
        <v>-1.4</v>
      </c>
      <c r="F19" s="516">
        <f t="shared" si="0"/>
        <v>17.200000000000003</v>
      </c>
      <c r="G19" s="518">
        <f>F19</f>
        <v>17.200000000000003</v>
      </c>
      <c r="H19" s="474">
        <f>G19/(F$24-F$11-F$14)</f>
        <v>1.0843525406632205E-2</v>
      </c>
      <c r="I19" s="519">
        <f>ROUND(H19*F$26,1)</f>
        <v>16</v>
      </c>
      <c r="J19" s="520">
        <f>F19-I19</f>
        <v>1.2000000000000028</v>
      </c>
    </row>
    <row r="20" spans="1:10" x14ac:dyDescent="0.2">
      <c r="A20" s="36" t="s">
        <v>28</v>
      </c>
      <c r="B20" s="516" t="s">
        <v>45</v>
      </c>
      <c r="C20" s="327" t="s">
        <v>45</v>
      </c>
      <c r="D20" s="327" t="s">
        <v>45</v>
      </c>
      <c r="E20" s="327" t="s">
        <v>45</v>
      </c>
      <c r="F20" s="516"/>
      <c r="G20" s="518"/>
      <c r="H20" s="474"/>
      <c r="I20" s="519"/>
      <c r="J20" s="520"/>
    </row>
    <row r="21" spans="1:10" x14ac:dyDescent="0.2">
      <c r="A21" s="36" t="s">
        <v>29</v>
      </c>
      <c r="B21" s="516">
        <v>7.4</v>
      </c>
      <c r="C21" s="327" t="s">
        <v>45</v>
      </c>
      <c r="D21" s="327" t="s">
        <v>45</v>
      </c>
      <c r="E21" s="327" t="s">
        <v>45</v>
      </c>
      <c r="F21" s="516">
        <f>SUM(B21:E21)</f>
        <v>7.4</v>
      </c>
      <c r="G21" s="518">
        <f>F21</f>
        <v>7.4</v>
      </c>
      <c r="H21" s="474">
        <f>G21/(F$24-F$11-F$14)</f>
        <v>4.6652376749464139E-3</v>
      </c>
      <c r="I21" s="519">
        <f>ROUND(H21*F$26,1)</f>
        <v>6.9</v>
      </c>
      <c r="J21" s="520">
        <f>F21-I21</f>
        <v>0.5</v>
      </c>
    </row>
    <row r="22" spans="1:10" x14ac:dyDescent="0.2">
      <c r="A22" s="26"/>
      <c r="B22" s="516"/>
      <c r="C22" s="327"/>
      <c r="D22" s="327"/>
      <c r="E22" s="327"/>
      <c r="F22" s="516"/>
      <c r="G22" s="518"/>
      <c r="H22" s="327"/>
      <c r="I22" s="519"/>
      <c r="J22" s="520"/>
    </row>
    <row r="23" spans="1:10" x14ac:dyDescent="0.2">
      <c r="A23" s="75" t="s">
        <v>30</v>
      </c>
      <c r="B23" s="516"/>
      <c r="C23" s="327"/>
      <c r="D23" s="327"/>
      <c r="E23" s="327"/>
      <c r="F23" s="516"/>
      <c r="G23" s="518"/>
      <c r="H23" s="327"/>
      <c r="I23" s="519"/>
      <c r="J23" s="520"/>
    </row>
    <row r="24" spans="1:10" x14ac:dyDescent="0.2">
      <c r="A24" s="76" t="s">
        <v>3</v>
      </c>
      <c r="B24" s="523">
        <f>SUM(B6:B21)-B16</f>
        <v>2892</v>
      </c>
      <c r="C24" s="327">
        <v>0</v>
      </c>
      <c r="D24" s="327">
        <f>SUM(D8:D21)-D19</f>
        <v>-745</v>
      </c>
      <c r="E24" s="327">
        <f>SUM(E6:E21)-E16</f>
        <v>-149.50000000000003</v>
      </c>
      <c r="F24" s="521">
        <f>SUM(F6:F21)-F16</f>
        <v>1997.4999999999998</v>
      </c>
      <c r="G24" s="518"/>
      <c r="H24" s="327"/>
      <c r="I24" s="519"/>
      <c r="J24" s="520"/>
    </row>
    <row r="25" spans="1:10" x14ac:dyDescent="0.2">
      <c r="A25" s="76" t="s">
        <v>17</v>
      </c>
      <c r="B25" s="523">
        <v>521</v>
      </c>
      <c r="C25" s="327"/>
      <c r="D25" s="327"/>
      <c r="E25" s="327"/>
      <c r="F25" s="521">
        <v>521</v>
      </c>
      <c r="G25" s="518"/>
      <c r="H25" s="327"/>
      <c r="I25" s="519"/>
      <c r="J25" s="520"/>
    </row>
    <row r="26" spans="1:10" x14ac:dyDescent="0.2">
      <c r="A26" s="76" t="s">
        <v>2</v>
      </c>
      <c r="B26" s="523">
        <f>B24-B25</f>
        <v>2371</v>
      </c>
      <c r="C26" s="327"/>
      <c r="D26" s="327"/>
      <c r="E26" s="327"/>
      <c r="F26" s="521">
        <f>F24-F25</f>
        <v>1476.4999999999998</v>
      </c>
      <c r="G26" s="518"/>
      <c r="H26" s="327"/>
      <c r="I26" s="522">
        <f>SUM(I8:I21)-I16</f>
        <v>1476.5000000000002</v>
      </c>
      <c r="J26" s="520"/>
    </row>
    <row r="27" spans="1:10" x14ac:dyDescent="0.2">
      <c r="A27" s="77" t="s">
        <v>7</v>
      </c>
      <c r="B27" s="524"/>
      <c r="C27" s="525"/>
      <c r="D27" s="525"/>
      <c r="E27" s="525"/>
      <c r="F27" s="526">
        <f>F26/F25</f>
        <v>2.8339731285988479</v>
      </c>
      <c r="G27" s="527"/>
      <c r="H27" s="479">
        <f>SUM(H8:H21)-H16</f>
        <v>1</v>
      </c>
      <c r="I27" s="528"/>
      <c r="J27" s="529"/>
    </row>
    <row r="28" spans="1:10" x14ac:dyDescent="0.2">
      <c r="A28" s="68" t="s">
        <v>115</v>
      </c>
      <c r="B28" s="516"/>
      <c r="C28" s="327"/>
      <c r="D28" s="327"/>
      <c r="E28" s="327"/>
      <c r="F28" s="516"/>
      <c r="G28" s="327"/>
      <c r="H28" s="327"/>
      <c r="I28" s="519"/>
      <c r="J28" s="520">
        <f>+SUM(J8:J21)</f>
        <v>521.00000000000011</v>
      </c>
    </row>
    <row r="29" spans="1:10" s="35" customFormat="1" ht="26.25" thickBot="1" x14ac:dyDescent="0.25">
      <c r="A29" s="236" t="s">
        <v>236</v>
      </c>
      <c r="B29" s="530"/>
      <c r="C29" s="361"/>
      <c r="D29" s="361"/>
      <c r="E29" s="361"/>
      <c r="F29" s="530"/>
      <c r="G29" s="361"/>
      <c r="H29" s="361"/>
      <c r="I29" s="531"/>
      <c r="J29" s="532">
        <f>SUM(J17:J19)+J21</f>
        <v>36.100000000000037</v>
      </c>
    </row>
    <row r="30" spans="1:10" s="35" customFormat="1" x14ac:dyDescent="0.2"/>
    <row r="32" spans="1:10" ht="15.75" thickBot="1" x14ac:dyDescent="0.3">
      <c r="A32" s="444" t="s">
        <v>80</v>
      </c>
      <c r="B32" s="6"/>
      <c r="C32" s="6"/>
      <c r="D32" s="6"/>
      <c r="E32" s="6"/>
      <c r="F32" s="6"/>
      <c r="G32" s="6"/>
      <c r="H32" s="35"/>
    </row>
    <row r="33" spans="1:12" ht="63.75" x14ac:dyDescent="0.2">
      <c r="A33" s="417" t="s">
        <v>389</v>
      </c>
      <c r="B33" s="410" t="s">
        <v>200</v>
      </c>
      <c r="C33" s="410" t="s">
        <v>71</v>
      </c>
      <c r="D33" s="410" t="s">
        <v>75</v>
      </c>
      <c r="E33" s="416" t="s">
        <v>202</v>
      </c>
      <c r="F33" s="410" t="s">
        <v>70</v>
      </c>
      <c r="G33" s="410" t="s">
        <v>76</v>
      </c>
      <c r="H33" s="410" t="s">
        <v>204</v>
      </c>
      <c r="I33" s="410" t="s">
        <v>72</v>
      </c>
      <c r="J33" s="410" t="s">
        <v>77</v>
      </c>
      <c r="K33" s="411" t="s">
        <v>74</v>
      </c>
      <c r="L33" s="412" t="s">
        <v>114</v>
      </c>
    </row>
    <row r="34" spans="1:12" x14ac:dyDescent="0.2">
      <c r="A34" s="36" t="s">
        <v>40</v>
      </c>
      <c r="B34" s="512">
        <v>180.22161976500001</v>
      </c>
      <c r="C34" s="474">
        <v>0.50103150672080099</v>
      </c>
      <c r="D34" s="103">
        <f>I$17*C34</f>
        <v>130.8694295554732</v>
      </c>
      <c r="E34" s="513">
        <v>538.40491885799997</v>
      </c>
      <c r="F34" s="474">
        <v>0.38697220708631347</v>
      </c>
      <c r="G34" s="103">
        <f>I$18*F34</f>
        <v>77.974899727892165</v>
      </c>
      <c r="H34" s="512">
        <v>147.346812774</v>
      </c>
      <c r="I34" s="474">
        <v>0.19062277806850123</v>
      </c>
      <c r="J34" s="103">
        <f>I$19*I34</f>
        <v>3.0499644490960196</v>
      </c>
      <c r="K34" s="514">
        <f>D34+G34+J34</f>
        <v>211.89429373246139</v>
      </c>
      <c r="L34" s="515">
        <f>J$17*C34+J$18*F34+J$19*I34</f>
        <v>15.753341670360461</v>
      </c>
    </row>
    <row r="35" spans="1:12" x14ac:dyDescent="0.2">
      <c r="A35" s="36" t="s">
        <v>41</v>
      </c>
      <c r="B35" s="512">
        <v>38.769820466299997</v>
      </c>
      <c r="C35" s="474">
        <v>0.10770456660670705</v>
      </c>
      <c r="D35" s="103">
        <f>I$17*C35</f>
        <v>28.132432797671878</v>
      </c>
      <c r="E35" s="513">
        <v>5.80855456933</v>
      </c>
      <c r="F35" s="474">
        <v>4.1748304144582533E-3</v>
      </c>
      <c r="G35" s="103">
        <f>I$18*F35</f>
        <v>0.84122832851333806</v>
      </c>
      <c r="H35" s="512">
        <v>0.56135110420300005</v>
      </c>
      <c r="I35" s="474">
        <v>7.2622062665731238E-4</v>
      </c>
      <c r="J35" s="103">
        <f>I$19*I35</f>
        <v>1.1619530026516998E-2</v>
      </c>
      <c r="K35" s="514">
        <f>D35+G35+J35</f>
        <v>28.985280656211735</v>
      </c>
      <c r="L35" s="515">
        <f>J$17*C35+J$18*F35+J$19*I35</f>
        <v>2.1529625131389833</v>
      </c>
    </row>
    <row r="36" spans="1:12" x14ac:dyDescent="0.2">
      <c r="A36" s="36" t="s">
        <v>36</v>
      </c>
      <c r="B36" s="512">
        <v>11.2977812496</v>
      </c>
      <c r="C36" s="474">
        <v>3.1173573503664901E-2</v>
      </c>
      <c r="D36" s="103">
        <f>I$17*C36</f>
        <v>8.1425373991572716</v>
      </c>
      <c r="E36" s="513">
        <v>371.93902163500002</v>
      </c>
      <c r="F36" s="474">
        <v>0.26732680286468941</v>
      </c>
      <c r="G36" s="103">
        <f>I$18*F36</f>
        <v>53.866350777234913</v>
      </c>
      <c r="H36" s="512">
        <v>499.09116303799999</v>
      </c>
      <c r="I36" s="474">
        <v>0.64567493205027482</v>
      </c>
      <c r="J36" s="103">
        <f>I$19*I36</f>
        <v>10.330798912804397</v>
      </c>
      <c r="K36" s="514">
        <f>D36+G36+J36</f>
        <v>72.339687089196588</v>
      </c>
      <c r="L36" s="515">
        <f>J$17*C36+J$18*F36+J$19*I36</f>
        <v>5.3894792874017732</v>
      </c>
    </row>
    <row r="37" spans="1:12" x14ac:dyDescent="0.2">
      <c r="A37" s="36" t="s">
        <v>43</v>
      </c>
      <c r="B37" s="512">
        <v>129.67523931700001</v>
      </c>
      <c r="C37" s="474">
        <v>0.36024452221538517</v>
      </c>
      <c r="D37" s="103">
        <f>I$17*C37</f>
        <v>94.095869202658605</v>
      </c>
      <c r="E37" s="513">
        <v>475.17463968599998</v>
      </c>
      <c r="F37" s="474">
        <v>0.3415261863525838</v>
      </c>
      <c r="G37" s="103">
        <f>I$18*F37</f>
        <v>68.817526550045642</v>
      </c>
      <c r="H37" s="512">
        <v>125.976543374</v>
      </c>
      <c r="I37" s="474">
        <v>0.16297603071971584</v>
      </c>
      <c r="J37" s="103">
        <f>I$19*I37</f>
        <v>2.6076164915154534</v>
      </c>
      <c r="K37" s="514">
        <f>D37+G37+J37</f>
        <v>165.52101224421969</v>
      </c>
      <c r="L37" s="515">
        <f>J$17*C37+J$18*F37+J$19*I37</f>
        <v>12.307207763130899</v>
      </c>
    </row>
    <row r="38" spans="1:12" s="35" customFormat="1" ht="13.5" thickBot="1" x14ac:dyDescent="0.25">
      <c r="A38" s="633" t="s">
        <v>343</v>
      </c>
      <c r="B38" s="650">
        <f t="shared" ref="B38:L38" si="1">SUM(B34:B37)</f>
        <v>359.96446079790002</v>
      </c>
      <c r="C38" s="635">
        <f t="shared" si="1"/>
        <v>1.0001541690465581</v>
      </c>
      <c r="D38" s="636">
        <f t="shared" si="1"/>
        <v>261.24026895496092</v>
      </c>
      <c r="E38" s="651">
        <f t="shared" si="1"/>
        <v>1391.3271347483301</v>
      </c>
      <c r="F38" s="635">
        <f t="shared" si="1"/>
        <v>1.0000000267180449</v>
      </c>
      <c r="G38" s="636">
        <f t="shared" si="1"/>
        <v>201.50000538368604</v>
      </c>
      <c r="H38" s="650">
        <f t="shared" si="1"/>
        <v>772.97587029020303</v>
      </c>
      <c r="I38" s="635">
        <f t="shared" si="1"/>
        <v>0.99999996146514913</v>
      </c>
      <c r="J38" s="636">
        <f t="shared" si="1"/>
        <v>15.999999383442386</v>
      </c>
      <c r="K38" s="636">
        <f t="shared" si="1"/>
        <v>478.74027372208946</v>
      </c>
      <c r="L38" s="652">
        <f t="shared" si="1"/>
        <v>35.602991234032118</v>
      </c>
    </row>
    <row r="40" spans="1:12" ht="15.75" thickBot="1" x14ac:dyDescent="0.3">
      <c r="A40" s="444" t="s">
        <v>363</v>
      </c>
    </row>
    <row r="41" spans="1:12" ht="38.25" x14ac:dyDescent="0.2">
      <c r="A41" s="461" t="s">
        <v>289</v>
      </c>
      <c r="B41" s="447" t="s">
        <v>353</v>
      </c>
      <c r="C41" s="447" t="s">
        <v>60</v>
      </c>
      <c r="D41" s="447" t="s">
        <v>235</v>
      </c>
      <c r="E41" s="408" t="s">
        <v>114</v>
      </c>
    </row>
    <row r="42" spans="1:12" x14ac:dyDescent="0.2">
      <c r="A42" s="36" t="s">
        <v>40</v>
      </c>
      <c r="B42" s="327">
        <v>2</v>
      </c>
      <c r="C42" s="474">
        <v>0.18181818181818182</v>
      </c>
      <c r="D42" s="152">
        <f>I$21*C42</f>
        <v>1.2545454545454546</v>
      </c>
      <c r="E42" s="477">
        <f>J$21*C42</f>
        <v>9.0909090909090912E-2</v>
      </c>
    </row>
    <row r="43" spans="1:12" x14ac:dyDescent="0.2">
      <c r="A43" s="71" t="s">
        <v>36</v>
      </c>
      <c r="B43" s="327">
        <v>9</v>
      </c>
      <c r="C43" s="479">
        <v>0.81818181818181823</v>
      </c>
      <c r="D43" s="511">
        <f>I$21*C43</f>
        <v>5.6454545454545464</v>
      </c>
      <c r="E43" s="477">
        <f>J$21*C43</f>
        <v>0.40909090909090912</v>
      </c>
    </row>
    <row r="44" spans="1:12" ht="13.5" thickBot="1" x14ac:dyDescent="0.25">
      <c r="A44" s="633" t="s">
        <v>15</v>
      </c>
      <c r="B44" s="644">
        <v>11</v>
      </c>
      <c r="C44" s="635">
        <f>SUM(C42:C43)</f>
        <v>1</v>
      </c>
      <c r="D44" s="636">
        <f>SUM(D42:D43)</f>
        <v>6.9000000000000012</v>
      </c>
      <c r="E44" s="647">
        <f>SUM(E42:E43)</f>
        <v>0.5</v>
      </c>
    </row>
    <row r="45" spans="1:12" x14ac:dyDescent="0.2">
      <c r="A45" s="155" t="s">
        <v>351</v>
      </c>
    </row>
    <row r="46" spans="1:12" s="35" customFormat="1" x14ac:dyDescent="0.2">
      <c r="A46" s="155"/>
    </row>
    <row r="47" spans="1:12" ht="15.75" thickBot="1" x14ac:dyDescent="0.3">
      <c r="A47" s="442" t="s">
        <v>79</v>
      </c>
      <c r="B47" s="445"/>
      <c r="C47" s="445"/>
    </row>
    <row r="48" spans="1:12" ht="69" customHeight="1" x14ac:dyDescent="0.2">
      <c r="A48" s="417" t="s">
        <v>109</v>
      </c>
      <c r="B48" s="410" t="s">
        <v>74</v>
      </c>
      <c r="C48" s="410" t="s">
        <v>119</v>
      </c>
      <c r="D48" s="462" t="s">
        <v>229</v>
      </c>
      <c r="E48" s="463" t="s">
        <v>117</v>
      </c>
      <c r="F48" s="16"/>
    </row>
    <row r="49" spans="1:10" x14ac:dyDescent="0.2">
      <c r="A49" s="36" t="s">
        <v>40</v>
      </c>
      <c r="B49" s="103">
        <f>K34</f>
        <v>211.89429373246139</v>
      </c>
      <c r="C49" s="103">
        <f>D42</f>
        <v>1.2545454545454546</v>
      </c>
      <c r="D49" s="509">
        <f>SUM(B49:C49)</f>
        <v>213.14883918700684</v>
      </c>
      <c r="E49" s="510">
        <f>L34+E42</f>
        <v>15.844250761269553</v>
      </c>
    </row>
    <row r="50" spans="1:10" x14ac:dyDescent="0.2">
      <c r="A50" s="36" t="s">
        <v>41</v>
      </c>
      <c r="B50" s="103">
        <f>K35</f>
        <v>28.985280656211735</v>
      </c>
      <c r="C50" s="327"/>
      <c r="D50" s="509">
        <f t="shared" ref="D50:D52" si="2">SUM(B50:C50)</f>
        <v>28.985280656211735</v>
      </c>
      <c r="E50" s="510">
        <f>L35</f>
        <v>2.1529625131389833</v>
      </c>
    </row>
    <row r="51" spans="1:10" s="35" customFormat="1" x14ac:dyDescent="0.2">
      <c r="A51" s="36" t="s">
        <v>36</v>
      </c>
      <c r="B51" s="103">
        <f>K36</f>
        <v>72.339687089196588</v>
      </c>
      <c r="C51" s="103">
        <f>D43</f>
        <v>5.6454545454545464</v>
      </c>
      <c r="D51" s="509">
        <f t="shared" si="2"/>
        <v>77.985141634651129</v>
      </c>
      <c r="E51" s="510">
        <f>L36+E43</f>
        <v>5.7985701964926823</v>
      </c>
      <c r="G51" s="15"/>
    </row>
    <row r="52" spans="1:10" s="35" customFormat="1" x14ac:dyDescent="0.2">
      <c r="A52" s="36" t="s">
        <v>43</v>
      </c>
      <c r="B52" s="103">
        <f>K37</f>
        <v>165.52101224421969</v>
      </c>
      <c r="C52" s="327"/>
      <c r="D52" s="509">
        <f t="shared" si="2"/>
        <v>165.52101224421969</v>
      </c>
      <c r="E52" s="510">
        <f>L37</f>
        <v>12.307207763130899</v>
      </c>
      <c r="G52" s="15"/>
    </row>
    <row r="53" spans="1:10" ht="13.5" thickBot="1" x14ac:dyDescent="0.25">
      <c r="A53" s="633" t="s">
        <v>98</v>
      </c>
      <c r="B53" s="636">
        <f>SUM(B49:B52)</f>
        <v>478.74027372208946</v>
      </c>
      <c r="C53" s="636">
        <f>SUM(C49:C52)</f>
        <v>6.9000000000000012</v>
      </c>
      <c r="D53" s="647">
        <f>SUM(D49:D52)</f>
        <v>485.64027372208943</v>
      </c>
      <c r="E53" s="648">
        <f>SUM(E49:E52)</f>
        <v>36.102991234032118</v>
      </c>
      <c r="G53" s="15"/>
    </row>
    <row r="55" spans="1:10" ht="15.75" thickBot="1" x14ac:dyDescent="0.3">
      <c r="A55" s="442" t="s">
        <v>195</v>
      </c>
    </row>
    <row r="56" spans="1:10" ht="66.75" customHeight="1" thickBot="1" x14ac:dyDescent="0.25">
      <c r="A56" s="422" t="s">
        <v>132</v>
      </c>
      <c r="B56" s="457" t="s">
        <v>127</v>
      </c>
      <c r="C56" s="457" t="s">
        <v>126</v>
      </c>
      <c r="D56" s="457" t="s">
        <v>70</v>
      </c>
      <c r="E56" s="457" t="s">
        <v>128</v>
      </c>
      <c r="F56" s="458" t="s">
        <v>72</v>
      </c>
      <c r="G56" s="457" t="s">
        <v>129</v>
      </c>
      <c r="H56" s="459" t="s">
        <v>131</v>
      </c>
      <c r="I56" s="423" t="s">
        <v>196</v>
      </c>
      <c r="J56" s="426" t="s">
        <v>384</v>
      </c>
    </row>
    <row r="57" spans="1:10" x14ac:dyDescent="0.2">
      <c r="A57" s="36" t="s">
        <v>40</v>
      </c>
      <c r="B57" s="549">
        <v>0.501</v>
      </c>
      <c r="C57" s="550">
        <f>B57*G$17</f>
        <v>140.5806</v>
      </c>
      <c r="D57" s="549">
        <v>0.38697220708631347</v>
      </c>
      <c r="E57" s="550">
        <f>D57*G$18</f>
        <v>83.779482834186865</v>
      </c>
      <c r="F57" s="549">
        <v>0.19062277806850123</v>
      </c>
      <c r="G57" s="550">
        <f>F57*G$19</f>
        <v>3.2787117827782217</v>
      </c>
      <c r="H57" s="551">
        <f>C57+E57+G57</f>
        <v>227.6387946169651</v>
      </c>
      <c r="I57" s="552">
        <v>0.06</v>
      </c>
      <c r="J57" s="553">
        <f>I57*H57</f>
        <v>13.658327677017905</v>
      </c>
    </row>
    <row r="58" spans="1:10" x14ac:dyDescent="0.2">
      <c r="A58" s="36" t="s">
        <v>41</v>
      </c>
      <c r="B58" s="474">
        <v>0.10770456660670705</v>
      </c>
      <c r="C58" s="103">
        <f t="shared" ref="C58:C60" si="3">B58*G$17</f>
        <v>30.221901389841999</v>
      </c>
      <c r="D58" s="474">
        <v>4.1748304144582533E-3</v>
      </c>
      <c r="E58" s="103">
        <f t="shared" ref="E58:E60" si="4">D58*G$18</f>
        <v>0.90385078473021185</v>
      </c>
      <c r="F58" s="474">
        <v>7.2622062665731238E-4</v>
      </c>
      <c r="G58" s="103">
        <f t="shared" ref="G58:G60" si="5">F58*G$19</f>
        <v>1.2490994778505776E-2</v>
      </c>
      <c r="H58" s="554">
        <f t="shared" ref="H58:H60" si="6">C58+E58+G58</f>
        <v>31.138243169350719</v>
      </c>
      <c r="I58" s="552">
        <v>5.0000000000000001E-3</v>
      </c>
      <c r="J58" s="553">
        <f t="shared" ref="J58:J60" si="7">I58*H58</f>
        <v>0.15569121584675361</v>
      </c>
    </row>
    <row r="59" spans="1:10" x14ac:dyDescent="0.2">
      <c r="A59" s="36" t="s">
        <v>36</v>
      </c>
      <c r="B59" s="474">
        <v>3.1E-2</v>
      </c>
      <c r="C59" s="103">
        <f t="shared" si="3"/>
        <v>8.6986000000000008</v>
      </c>
      <c r="D59" s="474">
        <v>0.26732680286468941</v>
      </c>
      <c r="E59" s="103">
        <f t="shared" si="4"/>
        <v>57.876252820205259</v>
      </c>
      <c r="F59" s="474">
        <v>0.64567493205027482</v>
      </c>
      <c r="G59" s="103">
        <f t="shared" si="5"/>
        <v>11.105608831264728</v>
      </c>
      <c r="H59" s="554">
        <f t="shared" si="6"/>
        <v>77.680461651469997</v>
      </c>
      <c r="I59" s="552">
        <v>0.05</v>
      </c>
      <c r="J59" s="553">
        <f t="shared" si="7"/>
        <v>3.8840230825735</v>
      </c>
    </row>
    <row r="60" spans="1:10" x14ac:dyDescent="0.2">
      <c r="A60" s="36" t="s">
        <v>43</v>
      </c>
      <c r="B60" s="474">
        <v>0.36024452221538517</v>
      </c>
      <c r="C60" s="103">
        <f t="shared" si="3"/>
        <v>101.08461293363709</v>
      </c>
      <c r="D60" s="474">
        <v>0.3415261863525838</v>
      </c>
      <c r="E60" s="103">
        <f t="shared" si="4"/>
        <v>73.940419345334391</v>
      </c>
      <c r="F60" s="474">
        <v>0.16297603071971584</v>
      </c>
      <c r="G60" s="103">
        <f t="shared" si="5"/>
        <v>2.8031877283791129</v>
      </c>
      <c r="H60" s="554">
        <f t="shared" si="6"/>
        <v>177.82822000735058</v>
      </c>
      <c r="I60" s="552">
        <v>5.5E-2</v>
      </c>
      <c r="J60" s="553">
        <f t="shared" si="7"/>
        <v>9.7805521004042824</v>
      </c>
    </row>
    <row r="61" spans="1:10" ht="13.5" thickBot="1" x14ac:dyDescent="0.25">
      <c r="A61" s="633" t="s">
        <v>98</v>
      </c>
      <c r="B61" s="644"/>
      <c r="C61" s="636">
        <f>SUM(C57:C60)</f>
        <v>280.58571432347912</v>
      </c>
      <c r="D61" s="644"/>
      <c r="E61" s="636">
        <f>SUM(E57:E60)</f>
        <v>216.50000578445673</v>
      </c>
      <c r="F61" s="644"/>
      <c r="G61" s="636">
        <f>SUM(G57:G60)</f>
        <v>17.199999337200566</v>
      </c>
      <c r="H61" s="649">
        <f>SUM(H57:H60)</f>
        <v>514.28571944513646</v>
      </c>
      <c r="I61" s="644"/>
      <c r="J61" s="647">
        <f>SUM(J57:J60)</f>
        <v>27.478594075842441</v>
      </c>
    </row>
    <row r="62" spans="1:10" s="35" customFormat="1" x14ac:dyDescent="0.2">
      <c r="A62" s="7"/>
      <c r="B62" s="15"/>
      <c r="C62" s="58"/>
      <c r="D62" s="15"/>
      <c r="E62" s="58"/>
      <c r="F62" s="15"/>
      <c r="G62" s="58"/>
      <c r="H62" s="58"/>
      <c r="I62" s="15"/>
      <c r="J62" s="58"/>
    </row>
    <row r="63" spans="1:10" ht="15.75" thickBot="1" x14ac:dyDescent="0.3">
      <c r="A63" s="442" t="s">
        <v>347</v>
      </c>
    </row>
    <row r="64" spans="1:10" ht="76.5" customHeight="1" x14ac:dyDescent="0.2">
      <c r="A64" s="454" t="s">
        <v>383</v>
      </c>
      <c r="B64" s="454" t="s">
        <v>388</v>
      </c>
      <c r="C64" s="454" t="s">
        <v>366</v>
      </c>
      <c r="D64" s="455" t="s">
        <v>367</v>
      </c>
      <c r="E64" s="454" t="s">
        <v>387</v>
      </c>
      <c r="F64" s="456" t="s">
        <v>386</v>
      </c>
      <c r="G64" s="454" t="s">
        <v>385</v>
      </c>
      <c r="H64" s="454" t="s">
        <v>369</v>
      </c>
      <c r="I64" s="419" t="s">
        <v>370</v>
      </c>
    </row>
    <row r="65" spans="1:9" x14ac:dyDescent="0.2">
      <c r="A65" s="360" t="s">
        <v>40</v>
      </c>
      <c r="B65" s="335">
        <f t="shared" ref="B65:B69" si="8">D49</f>
        <v>213.14883918700684</v>
      </c>
      <c r="C65" s="31">
        <f>B65*0.5</f>
        <v>106.57441959350342</v>
      </c>
      <c r="D65" s="103">
        <f>J57</f>
        <v>13.658327677017905</v>
      </c>
      <c r="E65" s="466">
        <f>'Project Summary'!T6</f>
        <v>2620</v>
      </c>
      <c r="F65" s="465">
        <f>C65-D65-E65</f>
        <v>-2527.0839080835144</v>
      </c>
      <c r="G65" s="327">
        <f>213.1-106.6</f>
        <v>106.5</v>
      </c>
      <c r="H65" s="327"/>
      <c r="I65" s="477">
        <f>F65+G65</f>
        <v>-2420.5839080835144</v>
      </c>
    </row>
    <row r="66" spans="1:9" x14ac:dyDescent="0.2">
      <c r="A66" s="360" t="s">
        <v>41</v>
      </c>
      <c r="B66" s="335">
        <f t="shared" si="8"/>
        <v>28.985280656211735</v>
      </c>
      <c r="C66" s="31">
        <f t="shared" ref="C66:C68" si="9">B66*0.5</f>
        <v>14.492640328105868</v>
      </c>
      <c r="D66" s="103">
        <f>J58</f>
        <v>0.15569121584675361</v>
      </c>
      <c r="E66" s="466">
        <f>'Project Summary'!T7</f>
        <v>0</v>
      </c>
      <c r="F66" s="465">
        <f t="shared" ref="F66:F68" si="10">C66-D66-E66</f>
        <v>14.336949112259115</v>
      </c>
      <c r="G66" s="327">
        <v>14.5</v>
      </c>
      <c r="H66" s="327"/>
      <c r="I66" s="477">
        <f>F66+G66</f>
        <v>28.836949112259113</v>
      </c>
    </row>
    <row r="67" spans="1:9" x14ac:dyDescent="0.2">
      <c r="A67" s="360" t="s">
        <v>36</v>
      </c>
      <c r="B67" s="335">
        <f t="shared" si="8"/>
        <v>77.985141634651129</v>
      </c>
      <c r="C67" s="31">
        <f t="shared" si="9"/>
        <v>38.992570817325564</v>
      </c>
      <c r="D67" s="103">
        <f>J59</f>
        <v>3.8840230825735</v>
      </c>
      <c r="E67" s="466">
        <f>'Project Summary'!T11</f>
        <v>142.6</v>
      </c>
      <c r="F67" s="465">
        <f t="shared" si="10"/>
        <v>-107.49145226524793</v>
      </c>
      <c r="G67" s="327">
        <v>39</v>
      </c>
      <c r="H67" s="327"/>
      <c r="I67" s="477">
        <f>F67+G67</f>
        <v>-68.491452265247929</v>
      </c>
    </row>
    <row r="68" spans="1:9" x14ac:dyDescent="0.2">
      <c r="A68" s="360" t="s">
        <v>43</v>
      </c>
      <c r="B68" s="335">
        <f t="shared" si="8"/>
        <v>165.52101224421969</v>
      </c>
      <c r="C68" s="31">
        <f t="shared" si="9"/>
        <v>82.760506122109845</v>
      </c>
      <c r="D68" s="103">
        <f>J60</f>
        <v>9.7805521004042824</v>
      </c>
      <c r="E68" s="466">
        <f>'Project Summary'!T23</f>
        <v>27.4</v>
      </c>
      <c r="F68" s="465">
        <f t="shared" si="10"/>
        <v>45.579954021705568</v>
      </c>
      <c r="G68" s="327">
        <v>82.7</v>
      </c>
      <c r="H68" s="327"/>
      <c r="I68" s="477">
        <f>F68+G68</f>
        <v>128.27995402170558</v>
      </c>
    </row>
    <row r="69" spans="1:9" ht="13.5" thickBot="1" x14ac:dyDescent="0.25">
      <c r="A69" s="508" t="s">
        <v>98</v>
      </c>
      <c r="B69" s="354">
        <f t="shared" si="8"/>
        <v>485.64027372208943</v>
      </c>
      <c r="C69" s="286">
        <v>242.9</v>
      </c>
      <c r="D69" s="354">
        <f>J61</f>
        <v>27.478594075842441</v>
      </c>
      <c r="E69" s="438">
        <f>SUM(E65:E68)</f>
        <v>2790</v>
      </c>
      <c r="F69" s="467">
        <f>SUM(F65:F68)</f>
        <v>-2574.6584572147981</v>
      </c>
      <c r="G69" s="481">
        <f>SUM(G65:G68)</f>
        <v>242.7</v>
      </c>
      <c r="H69" s="481"/>
      <c r="I69" s="548"/>
    </row>
    <row r="71" spans="1:9" s="35" customFormat="1" ht="13.5" thickBot="1" x14ac:dyDescent="0.25">
      <c r="A71" s="464" t="s">
        <v>355</v>
      </c>
    </row>
    <row r="72" spans="1:9" ht="62.25" customHeight="1" x14ac:dyDescent="0.2">
      <c r="A72" s="422" t="str">
        <f t="shared" ref="A72:A77" si="11">A56</f>
        <v xml:space="preserve">2009 Developed Stormwater  Loading by Jurisdiction for Trout Lake </v>
      </c>
      <c r="B72" s="423" t="str">
        <f t="shared" ref="B72:B77" si="12">C56</f>
        <v>Total Loading Developed-High lbs/yr TP</v>
      </c>
      <c r="C72" s="423" t="str">
        <f t="shared" ref="C72:C77" si="13">E56</f>
        <v>Total Loading Developed-Medium lbs/yr TP</v>
      </c>
      <c r="D72" s="423" t="str">
        <f t="shared" ref="D72:D77" si="14">G56</f>
        <v>Total Loading Developed-Low lbs/yr TP</v>
      </c>
      <c r="E72" s="424" t="str">
        <f t="shared" ref="E72:E77" si="15">H56</f>
        <v>Stormwater Total Loading lbs/yr TP</v>
      </c>
      <c r="F72" s="434" t="s">
        <v>354</v>
      </c>
    </row>
    <row r="73" spans="1:9" x14ac:dyDescent="0.2">
      <c r="A73" s="370" t="str">
        <f t="shared" si="11"/>
        <v>Eustis</v>
      </c>
      <c r="B73" s="356">
        <f t="shared" si="12"/>
        <v>140.5806</v>
      </c>
      <c r="C73" s="356">
        <f t="shared" si="13"/>
        <v>83.779482834186865</v>
      </c>
      <c r="D73" s="356">
        <f t="shared" si="14"/>
        <v>3.2787117827782217</v>
      </c>
      <c r="E73" s="367">
        <f t="shared" si="15"/>
        <v>227.6387946169651</v>
      </c>
      <c r="F73" s="429">
        <f>E73/$E$77</f>
        <v>0.44263098509242077</v>
      </c>
    </row>
    <row r="74" spans="1:9" x14ac:dyDescent="0.2">
      <c r="A74" s="370" t="str">
        <f t="shared" si="11"/>
        <v>FDOT</v>
      </c>
      <c r="B74" s="356">
        <f t="shared" si="12"/>
        <v>30.221901389841999</v>
      </c>
      <c r="C74" s="356">
        <f t="shared" si="13"/>
        <v>0.90385078473021185</v>
      </c>
      <c r="D74" s="356">
        <f t="shared" si="14"/>
        <v>1.2490994778505776E-2</v>
      </c>
      <c r="E74" s="367">
        <f t="shared" si="15"/>
        <v>31.138243169350719</v>
      </c>
      <c r="F74" s="429">
        <f t="shared" ref="F74:F77" si="16">E74/$E$77</f>
        <v>6.0546583332988152E-2</v>
      </c>
    </row>
    <row r="75" spans="1:9" x14ac:dyDescent="0.2">
      <c r="A75" s="370" t="str">
        <f t="shared" si="11"/>
        <v>Lake County</v>
      </c>
      <c r="B75" s="356">
        <f t="shared" si="12"/>
        <v>8.6986000000000008</v>
      </c>
      <c r="C75" s="356">
        <f t="shared" si="13"/>
        <v>57.876252820205259</v>
      </c>
      <c r="D75" s="356">
        <f t="shared" si="14"/>
        <v>11.105608831264728</v>
      </c>
      <c r="E75" s="367">
        <f t="shared" si="15"/>
        <v>77.680461651469997</v>
      </c>
      <c r="F75" s="429">
        <f t="shared" si="16"/>
        <v>0.15104534058476202</v>
      </c>
    </row>
    <row r="76" spans="1:9" x14ac:dyDescent="0.2">
      <c r="A76" s="370" t="str">
        <f t="shared" si="11"/>
        <v>Umatilla</v>
      </c>
      <c r="B76" s="356">
        <f t="shared" si="12"/>
        <v>101.08461293363709</v>
      </c>
      <c r="C76" s="356">
        <f t="shared" si="13"/>
        <v>73.940419345334391</v>
      </c>
      <c r="D76" s="356">
        <f t="shared" si="14"/>
        <v>2.8031877283791129</v>
      </c>
      <c r="E76" s="367">
        <f t="shared" si="15"/>
        <v>177.82822000735058</v>
      </c>
      <c r="F76" s="429">
        <f t="shared" si="16"/>
        <v>0.34577709098982889</v>
      </c>
    </row>
    <row r="77" spans="1:9" ht="13.5" thickBot="1" x14ac:dyDescent="0.25">
      <c r="A77" s="484" t="str">
        <f t="shared" si="11"/>
        <v>Total lbs/yr TP</v>
      </c>
      <c r="B77" s="431">
        <f t="shared" si="12"/>
        <v>280.58571432347912</v>
      </c>
      <c r="C77" s="431">
        <f t="shared" si="13"/>
        <v>216.50000578445673</v>
      </c>
      <c r="D77" s="431">
        <f t="shared" si="14"/>
        <v>17.199999337200566</v>
      </c>
      <c r="E77" s="432">
        <f t="shared" si="15"/>
        <v>514.28571944513646</v>
      </c>
      <c r="F77" s="433">
        <f t="shared" si="16"/>
        <v>1</v>
      </c>
    </row>
  </sheetData>
  <mergeCells count="1">
    <mergeCell ref="B3:J4"/>
  </mergeCells>
  <conditionalFormatting sqref="F73:F77">
    <cfRule type="cellIs" dxfId="3" priority="1" operator="between">
      <formula>0</formula>
      <formula>0.01</formula>
    </cfRule>
  </conditionalFormatting>
  <printOptions gridLines="1"/>
  <pageMargins left="0.7" right="0.7" top="0.5" bottom="1" header="0.3" footer="0.3"/>
  <pageSetup paperSize="5" scale="80" pageOrder="overThenDown" orientation="landscape" r:id="rId1"/>
  <headerFooter>
    <oddHeader>&amp;L&amp;"Arial,Bold"&amp;11&amp;KC00000DRAFT&amp;CTrout Lake Allocation Calculations&amp;RFDEP, April 13, 2016</oddHeader>
    <oddFooter>&amp;RPage &amp;P of &amp;N</oddFooter>
  </headerFooter>
  <rowBreaks count="2" manualBreakCount="2">
    <brk id="38" max="16383" man="1"/>
    <brk id="6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opLeftCell="A43" workbookViewId="0">
      <selection activeCell="A34" sqref="A34:E34"/>
    </sheetView>
  </sheetViews>
  <sheetFormatPr defaultRowHeight="12.75" x14ac:dyDescent="0.2"/>
  <cols>
    <col min="1" max="1" width="54.7109375" customWidth="1"/>
    <col min="2" max="2" width="14" customWidth="1"/>
    <col min="3" max="3" width="14.7109375" customWidth="1"/>
    <col min="4" max="4" width="15.28515625" customWidth="1"/>
    <col min="5" max="5" width="14.28515625" customWidth="1"/>
    <col min="6" max="6" width="14.5703125" customWidth="1"/>
    <col min="7" max="7" width="13.5703125" customWidth="1"/>
    <col min="8" max="8" width="14.28515625" customWidth="1"/>
    <col min="9" max="9" width="13.140625" customWidth="1"/>
    <col min="10" max="10" width="13.28515625" customWidth="1"/>
    <col min="11" max="11" width="12.85546875" customWidth="1"/>
    <col min="12" max="12" width="13.28515625" customWidth="1"/>
  </cols>
  <sheetData>
    <row r="1" spans="1:11" ht="15.75" thickBot="1" x14ac:dyDescent="0.3">
      <c r="A1" s="13" t="s">
        <v>83</v>
      </c>
    </row>
    <row r="2" spans="1:11" s="35" customFormat="1" ht="15" x14ac:dyDescent="0.25">
      <c r="A2" s="13"/>
      <c r="B2" s="697" t="s">
        <v>390</v>
      </c>
      <c r="C2" s="698"/>
      <c r="D2" s="698"/>
      <c r="E2" s="698"/>
      <c r="F2" s="699"/>
    </row>
    <row r="3" spans="1:11" s="35" customFormat="1" ht="15.75" thickBot="1" x14ac:dyDescent="0.3">
      <c r="A3" s="13"/>
      <c r="B3" s="706"/>
      <c r="C3" s="707"/>
      <c r="D3" s="707"/>
      <c r="E3" s="707"/>
      <c r="F3" s="708"/>
    </row>
    <row r="4" spans="1:11" ht="65.25" thickTop="1" thickBot="1" x14ac:dyDescent="0.25">
      <c r="A4" s="468" t="s">
        <v>1</v>
      </c>
      <c r="B4" s="468" t="s">
        <v>4</v>
      </c>
      <c r="C4" s="468" t="s">
        <v>0</v>
      </c>
      <c r="D4" s="468" t="s">
        <v>9</v>
      </c>
      <c r="E4" s="468" t="s">
        <v>31</v>
      </c>
      <c r="F4" s="469" t="s">
        <v>16</v>
      </c>
      <c r="G4" s="468" t="s">
        <v>99</v>
      </c>
      <c r="H4" s="468" t="s">
        <v>100</v>
      </c>
      <c r="I4" s="470" t="s">
        <v>54</v>
      </c>
      <c r="J4" s="471" t="s">
        <v>53</v>
      </c>
    </row>
    <row r="5" spans="1:11" ht="13.5" thickTop="1" x14ac:dyDescent="0.2">
      <c r="A5" s="239" t="s">
        <v>26</v>
      </c>
      <c r="B5" s="533" t="s">
        <v>45</v>
      </c>
      <c r="C5" s="533" t="s">
        <v>45</v>
      </c>
      <c r="D5" s="533" t="s">
        <v>45</v>
      </c>
      <c r="E5" s="533" t="s">
        <v>45</v>
      </c>
      <c r="F5" s="534"/>
      <c r="G5" s="533"/>
      <c r="H5" s="533"/>
      <c r="I5" s="535"/>
      <c r="J5" s="536"/>
    </row>
    <row r="6" spans="1:11" x14ac:dyDescent="0.2">
      <c r="A6" s="26" t="s">
        <v>27</v>
      </c>
      <c r="B6" s="327" t="s">
        <v>45</v>
      </c>
      <c r="C6" s="327" t="s">
        <v>45</v>
      </c>
      <c r="D6" s="327" t="s">
        <v>45</v>
      </c>
      <c r="E6" s="327" t="s">
        <v>45</v>
      </c>
      <c r="F6" s="516"/>
      <c r="G6" s="327"/>
      <c r="H6" s="327"/>
      <c r="I6" s="537"/>
      <c r="J6" s="520"/>
    </row>
    <row r="7" spans="1:11" x14ac:dyDescent="0.2">
      <c r="A7" s="26" t="s">
        <v>19</v>
      </c>
      <c r="B7" s="327" t="s">
        <v>45</v>
      </c>
      <c r="C7" s="327" t="s">
        <v>45</v>
      </c>
      <c r="D7" s="327" t="s">
        <v>45</v>
      </c>
      <c r="E7" s="327" t="s">
        <v>45</v>
      </c>
      <c r="F7" s="516"/>
      <c r="G7" s="327"/>
      <c r="H7" s="327"/>
      <c r="I7" s="537"/>
      <c r="J7" s="520"/>
    </row>
    <row r="8" spans="1:11" x14ac:dyDescent="0.2">
      <c r="A8" s="26" t="s">
        <v>20</v>
      </c>
      <c r="B8" s="497">
        <v>1293</v>
      </c>
      <c r="C8" s="327" t="s">
        <v>45</v>
      </c>
      <c r="D8" s="327" t="s">
        <v>45</v>
      </c>
      <c r="E8" s="327">
        <v>-244</v>
      </c>
      <c r="F8" s="516">
        <v>1049</v>
      </c>
      <c r="G8" s="327"/>
      <c r="H8" s="327"/>
      <c r="I8" s="537"/>
      <c r="J8" s="538">
        <v>1049</v>
      </c>
    </row>
    <row r="9" spans="1:11" x14ac:dyDescent="0.2">
      <c r="A9" s="26" t="s">
        <v>32</v>
      </c>
      <c r="B9" s="327">
        <v>370</v>
      </c>
      <c r="C9" s="327" t="s">
        <v>45</v>
      </c>
      <c r="D9" s="327" t="s">
        <v>45</v>
      </c>
      <c r="E9" s="327">
        <v>44</v>
      </c>
      <c r="F9" s="516">
        <v>414</v>
      </c>
      <c r="G9" s="327">
        <f>F9</f>
        <v>414</v>
      </c>
      <c r="H9" s="474">
        <f>G9/(F$18-F$8-F$14)</f>
        <v>0.24069767441860465</v>
      </c>
      <c r="I9" s="539">
        <f>H9*F$20</f>
        <v>141.77093023255813</v>
      </c>
      <c r="J9" s="142">
        <f>F9-I9</f>
        <v>272.22906976744184</v>
      </c>
    </row>
    <row r="10" spans="1:11" x14ac:dyDescent="0.2">
      <c r="A10" s="26" t="s">
        <v>21</v>
      </c>
      <c r="B10" s="327">
        <v>687</v>
      </c>
      <c r="C10" s="327" t="s">
        <v>45</v>
      </c>
      <c r="D10" s="327" t="s">
        <v>45</v>
      </c>
      <c r="E10" s="327">
        <v>619</v>
      </c>
      <c r="F10" s="516">
        <v>1306</v>
      </c>
      <c r="G10" s="327">
        <v>1306</v>
      </c>
      <c r="H10" s="474">
        <f>G10/(F$18-F$8-F$14)</f>
        <v>0.75930232558139532</v>
      </c>
      <c r="I10" s="539">
        <f>SUM(I11:I13)</f>
        <v>447.09209302325581</v>
      </c>
      <c r="J10" s="142">
        <f t="shared" ref="J10:J13" si="0">F10-I10</f>
        <v>858.90790697674424</v>
      </c>
    </row>
    <row r="11" spans="1:11" s="32" customFormat="1" x14ac:dyDescent="0.2">
      <c r="A11" s="26" t="s">
        <v>56</v>
      </c>
      <c r="B11" s="327"/>
      <c r="C11" s="327"/>
      <c r="D11" s="327"/>
      <c r="E11" s="327"/>
      <c r="F11" s="516">
        <v>696.6</v>
      </c>
      <c r="G11" s="327">
        <f>F11</f>
        <v>696.6</v>
      </c>
      <c r="H11" s="474">
        <f>G11/(F$18-F$8-F$14)</f>
        <v>0.40500000000000003</v>
      </c>
      <c r="I11" s="539">
        <f>H11*F$20</f>
        <v>238.54500000000002</v>
      </c>
      <c r="J11" s="142">
        <f t="shared" si="0"/>
        <v>458.05500000000001</v>
      </c>
      <c r="K11" s="35"/>
    </row>
    <row r="12" spans="1:11" s="32" customFormat="1" x14ac:dyDescent="0.2">
      <c r="A12" s="26" t="s">
        <v>57</v>
      </c>
      <c r="B12" s="327"/>
      <c r="C12" s="327"/>
      <c r="D12" s="327"/>
      <c r="E12" s="327"/>
      <c r="F12" s="516">
        <v>469.6</v>
      </c>
      <c r="G12" s="327">
        <f>F12</f>
        <v>469.6</v>
      </c>
      <c r="H12" s="474">
        <f>G12/(F$18-F$8-F$14)</f>
        <v>0.27302325581395348</v>
      </c>
      <c r="I12" s="539">
        <f>H12*F$20</f>
        <v>160.81069767441861</v>
      </c>
      <c r="J12" s="142">
        <f t="shared" si="0"/>
        <v>308.78930232558139</v>
      </c>
      <c r="K12" s="35"/>
    </row>
    <row r="13" spans="1:11" s="32" customFormat="1" x14ac:dyDescent="0.2">
      <c r="A13" s="26" t="s">
        <v>58</v>
      </c>
      <c r="B13" s="327"/>
      <c r="C13" s="327"/>
      <c r="D13" s="327"/>
      <c r="E13" s="327"/>
      <c r="F13" s="516">
        <v>139.4</v>
      </c>
      <c r="G13" s="327">
        <f>F13</f>
        <v>139.4</v>
      </c>
      <c r="H13" s="474">
        <f>G13/(F$18-F$8-F$14)</f>
        <v>8.1046511627906978E-2</v>
      </c>
      <c r="I13" s="539">
        <f>H13*F$20</f>
        <v>47.736395348837213</v>
      </c>
      <c r="J13" s="142">
        <f t="shared" si="0"/>
        <v>91.663604651162785</v>
      </c>
      <c r="K13" s="35"/>
    </row>
    <row r="14" spans="1:11" x14ac:dyDescent="0.2">
      <c r="A14" s="26" t="s">
        <v>28</v>
      </c>
      <c r="B14" s="327">
        <v>27</v>
      </c>
      <c r="C14" s="327" t="s">
        <v>45</v>
      </c>
      <c r="D14" s="327" t="s">
        <v>45</v>
      </c>
      <c r="E14" s="327" t="s">
        <v>45</v>
      </c>
      <c r="F14" s="516">
        <v>27</v>
      </c>
      <c r="G14" s="327"/>
      <c r="H14" s="327"/>
      <c r="I14" s="537"/>
      <c r="J14" s="520">
        <v>27</v>
      </c>
    </row>
    <row r="15" spans="1:11" x14ac:dyDescent="0.2">
      <c r="A15" s="26" t="s">
        <v>29</v>
      </c>
      <c r="B15" s="327" t="s">
        <v>45</v>
      </c>
      <c r="C15" s="327" t="s">
        <v>45</v>
      </c>
      <c r="D15" s="327" t="s">
        <v>45</v>
      </c>
      <c r="E15" s="327" t="s">
        <v>45</v>
      </c>
      <c r="F15" s="516"/>
      <c r="G15" s="327"/>
      <c r="H15" s="327"/>
      <c r="I15" s="537"/>
      <c r="J15" s="520"/>
    </row>
    <row r="16" spans="1:11" x14ac:dyDescent="0.2">
      <c r="A16" s="26"/>
      <c r="B16" s="327"/>
      <c r="C16" s="327"/>
      <c r="D16" s="327"/>
      <c r="E16" s="327"/>
      <c r="F16" s="516"/>
      <c r="G16" s="327"/>
      <c r="H16" s="327"/>
      <c r="I16" s="537"/>
      <c r="J16" s="520"/>
    </row>
    <row r="17" spans="1:10" x14ac:dyDescent="0.2">
      <c r="A17" s="240" t="s">
        <v>30</v>
      </c>
      <c r="B17" s="327"/>
      <c r="C17" s="327"/>
      <c r="D17" s="327"/>
      <c r="E17" s="327"/>
      <c r="F17" s="516"/>
      <c r="G17" s="327"/>
      <c r="H17" s="327"/>
      <c r="I17" s="537"/>
      <c r="J17" s="520"/>
    </row>
    <row r="18" spans="1:10" x14ac:dyDescent="0.2">
      <c r="A18" s="241" t="s">
        <v>3</v>
      </c>
      <c r="B18" s="497">
        <f>SUM(B8:B14)</f>
        <v>2377</v>
      </c>
      <c r="C18" s="327">
        <v>0</v>
      </c>
      <c r="D18" s="327">
        <v>0</v>
      </c>
      <c r="E18" s="327">
        <v>419</v>
      </c>
      <c r="F18" s="521">
        <f>F8+F9+F10+F14</f>
        <v>2796</v>
      </c>
      <c r="G18" s="327"/>
      <c r="H18" s="474">
        <f>SUM(H9:H13)-H10</f>
        <v>0.99976744186046518</v>
      </c>
      <c r="I18" s="537"/>
      <c r="J18" s="520"/>
    </row>
    <row r="19" spans="1:10" x14ac:dyDescent="0.2">
      <c r="A19" s="241" t="s">
        <v>17</v>
      </c>
      <c r="B19" s="497">
        <v>2207</v>
      </c>
      <c r="C19" s="327"/>
      <c r="D19" s="327"/>
      <c r="E19" s="327"/>
      <c r="F19" s="521">
        <v>2207</v>
      </c>
      <c r="G19" s="327"/>
      <c r="H19" s="327"/>
      <c r="I19" s="537"/>
      <c r="J19" s="520"/>
    </row>
    <row r="20" spans="1:10" ht="16.5" customHeight="1" x14ac:dyDescent="0.2">
      <c r="A20" s="241" t="s">
        <v>2</v>
      </c>
      <c r="B20" s="327">
        <f>B18-B19</f>
        <v>170</v>
      </c>
      <c r="C20" s="327"/>
      <c r="D20" s="327"/>
      <c r="E20" s="327"/>
      <c r="F20" s="521">
        <f>F18-F19</f>
        <v>589</v>
      </c>
      <c r="G20" s="327"/>
      <c r="H20" s="327"/>
      <c r="I20" s="539">
        <f>SUM(I9:I13)-I10</f>
        <v>588.86302325581414</v>
      </c>
      <c r="J20" s="520"/>
    </row>
    <row r="21" spans="1:10" ht="17.25" customHeight="1" x14ac:dyDescent="0.2">
      <c r="A21" s="241" t="s">
        <v>7</v>
      </c>
      <c r="B21" s="327"/>
      <c r="C21" s="327"/>
      <c r="D21" s="327"/>
      <c r="E21" s="327"/>
      <c r="F21" s="540">
        <f>F20/F19</f>
        <v>0.26687811508835524</v>
      </c>
      <c r="G21" s="327"/>
      <c r="H21" s="327"/>
      <c r="I21" s="537"/>
      <c r="J21" s="520"/>
    </row>
    <row r="22" spans="1:10" x14ac:dyDescent="0.2">
      <c r="A22" s="72" t="s">
        <v>115</v>
      </c>
      <c r="B22" s="327"/>
      <c r="C22" s="327"/>
      <c r="D22" s="327"/>
      <c r="E22" s="327"/>
      <c r="F22" s="516"/>
      <c r="G22" s="327"/>
      <c r="H22" s="327"/>
      <c r="I22" s="537"/>
      <c r="J22" s="541">
        <f>SUM(J8:J14)-J10</f>
        <v>2206.736976744186</v>
      </c>
    </row>
    <row r="23" spans="1:10" ht="13.5" thickBot="1" x14ac:dyDescent="0.25">
      <c r="A23" s="73" t="s">
        <v>116</v>
      </c>
      <c r="B23" s="361"/>
      <c r="C23" s="361"/>
      <c r="D23" s="361"/>
      <c r="E23" s="361"/>
      <c r="F23" s="530"/>
      <c r="G23" s="361"/>
      <c r="H23" s="361"/>
      <c r="I23" s="542"/>
      <c r="J23" s="145">
        <f>J10</f>
        <v>858.90790697674424</v>
      </c>
    </row>
    <row r="24" spans="1:10" s="35" customFormat="1" x14ac:dyDescent="0.2">
      <c r="A24" s="472"/>
      <c r="B24" s="5"/>
      <c r="C24" s="5"/>
      <c r="D24" s="5"/>
      <c r="E24" s="5"/>
      <c r="F24" s="15"/>
      <c r="G24" s="5"/>
      <c r="H24" s="5"/>
      <c r="I24" s="15"/>
      <c r="J24" s="58"/>
    </row>
    <row r="25" spans="1:10" x14ac:dyDescent="0.2">
      <c r="A25" s="22"/>
    </row>
    <row r="26" spans="1:10" ht="15.75" thickBot="1" x14ac:dyDescent="0.3">
      <c r="A26" s="442" t="s">
        <v>380</v>
      </c>
      <c r="B26" s="445"/>
      <c r="C26" s="445"/>
      <c r="D26" s="445"/>
    </row>
    <row r="27" spans="1:10" ht="51.75" customHeight="1" x14ac:dyDescent="0.2">
      <c r="A27" s="417" t="s">
        <v>391</v>
      </c>
      <c r="B27" s="407" t="s">
        <v>122</v>
      </c>
      <c r="C27" s="407" t="s">
        <v>121</v>
      </c>
      <c r="D27" s="407" t="s">
        <v>232</v>
      </c>
      <c r="E27" s="408" t="s">
        <v>210</v>
      </c>
    </row>
    <row r="28" spans="1:10" x14ac:dyDescent="0.2">
      <c r="A28" s="26" t="s">
        <v>34</v>
      </c>
      <c r="B28" s="494">
        <v>258.24114083137999</v>
      </c>
      <c r="C28" s="495">
        <v>3.7111224191930262E-2</v>
      </c>
      <c r="D28" s="476">
        <v>3.7111224191930262E-2</v>
      </c>
      <c r="E28" s="543">
        <f t="shared" ref="E28:E33" si="1">D28*I$10</f>
        <v>16.592134898625385</v>
      </c>
    </row>
    <row r="29" spans="1:10" x14ac:dyDescent="0.2">
      <c r="A29" s="26" t="s">
        <v>35</v>
      </c>
      <c r="B29" s="494">
        <v>1462.5512048017999</v>
      </c>
      <c r="C29" s="495">
        <v>0.21017977801227969</v>
      </c>
      <c r="D29" s="476">
        <v>0.21017977801227969</v>
      </c>
      <c r="E29" s="543">
        <f t="shared" si="1"/>
        <v>93.969716862673408</v>
      </c>
    </row>
    <row r="30" spans="1:10" x14ac:dyDescent="0.2">
      <c r="A30" s="26" t="s">
        <v>36</v>
      </c>
      <c r="B30" s="494">
        <v>4703.6524992172244</v>
      </c>
      <c r="C30" s="495">
        <v>0.67595078714960566</v>
      </c>
      <c r="D30" s="476">
        <v>0.67595078714960566</v>
      </c>
      <c r="E30" s="543">
        <f t="shared" si="1"/>
        <v>302.21225220743446</v>
      </c>
    </row>
    <row r="31" spans="1:10" x14ac:dyDescent="0.2">
      <c r="A31" s="26" t="s">
        <v>37</v>
      </c>
      <c r="B31" s="494">
        <v>414.161376583226</v>
      </c>
      <c r="C31" s="495">
        <v>5.9518152872684631E-2</v>
      </c>
      <c r="D31" s="476">
        <v>5.9518152872684631E-2</v>
      </c>
      <c r="E31" s="543">
        <f t="shared" si="1"/>
        <v>26.610095540726679</v>
      </c>
    </row>
    <row r="32" spans="1:10" x14ac:dyDescent="0.2">
      <c r="A32" s="26" t="s">
        <v>38</v>
      </c>
      <c r="B32" s="494">
        <v>39.724230971152004</v>
      </c>
      <c r="C32" s="495">
        <v>5.7086753747925796E-3</v>
      </c>
      <c r="D32" s="476">
        <v>5.7086753747925796E-3</v>
      </c>
      <c r="E32" s="543">
        <f t="shared" si="1"/>
        <v>2.5523036217063337</v>
      </c>
    </row>
    <row r="33" spans="1:12" x14ac:dyDescent="0.2">
      <c r="A33" s="26" t="s">
        <v>39</v>
      </c>
      <c r="B33" s="494">
        <v>80.241959429959991</v>
      </c>
      <c r="C33" s="495">
        <v>1.1531382398707104E-2</v>
      </c>
      <c r="D33" s="476">
        <v>1.1531382398707104E-2</v>
      </c>
      <c r="E33" s="543">
        <f t="shared" si="1"/>
        <v>5.1555898920894911</v>
      </c>
    </row>
    <row r="34" spans="1:12" ht="13.5" thickBot="1" x14ac:dyDescent="0.25">
      <c r="A34" s="633" t="s">
        <v>15</v>
      </c>
      <c r="B34" s="634">
        <v>6958.5724118347425</v>
      </c>
      <c r="C34" s="653">
        <v>1</v>
      </c>
      <c r="D34" s="654">
        <f>SUM(D28:D33)</f>
        <v>0.99999999999999989</v>
      </c>
      <c r="E34" s="647">
        <f>SUM(E28:E33)</f>
        <v>447.09209302325576</v>
      </c>
    </row>
    <row r="36" spans="1:12" ht="15" customHeight="1" thickBot="1" x14ac:dyDescent="0.3">
      <c r="A36" s="444" t="s">
        <v>80</v>
      </c>
      <c r="B36" s="445"/>
    </row>
    <row r="37" spans="1:12" ht="57" customHeight="1" x14ac:dyDescent="0.2">
      <c r="A37" s="417" t="s">
        <v>391</v>
      </c>
      <c r="B37" s="410" t="s">
        <v>200</v>
      </c>
      <c r="C37" s="410" t="s">
        <v>71</v>
      </c>
      <c r="D37" s="410" t="s">
        <v>75</v>
      </c>
      <c r="E37" s="410" t="s">
        <v>202</v>
      </c>
      <c r="F37" s="410" t="s">
        <v>70</v>
      </c>
      <c r="G37" s="410" t="s">
        <v>76</v>
      </c>
      <c r="H37" s="460" t="s">
        <v>204</v>
      </c>
      <c r="I37" s="410" t="s">
        <v>72</v>
      </c>
      <c r="J37" s="410" t="s">
        <v>77</v>
      </c>
      <c r="K37" s="454" t="s">
        <v>74</v>
      </c>
      <c r="L37" s="412" t="s">
        <v>117</v>
      </c>
    </row>
    <row r="38" spans="1:12" x14ac:dyDescent="0.2">
      <c r="A38" s="26" t="s">
        <v>34</v>
      </c>
      <c r="B38" s="494">
        <v>35.770269732599999</v>
      </c>
      <c r="C38" s="474">
        <v>2.3081078241515299E-2</v>
      </c>
      <c r="D38" s="103">
        <f t="shared" ref="D38:D45" si="2">C38*I$11</f>
        <v>5.5058758091222675</v>
      </c>
      <c r="E38" s="494">
        <v>121.070919815</v>
      </c>
      <c r="F38" s="474">
        <v>5.0926177530725994E-2</v>
      </c>
      <c r="G38" s="103">
        <f t="shared" ref="G38:G45" si="3">F38*I$12</f>
        <v>8.1894741386073484</v>
      </c>
      <c r="H38" s="494">
        <v>101.399537665</v>
      </c>
      <c r="I38" s="474">
        <v>3.0305538202145231E-2</v>
      </c>
      <c r="J38" s="103">
        <f t="shared" ref="J38:J45" si="4">I38*I$13</f>
        <v>1.446677152876894</v>
      </c>
      <c r="K38" s="514">
        <f t="shared" ref="K38:K46" si="5">D38+G38+J38</f>
        <v>15.14202710060651</v>
      </c>
      <c r="L38" s="142">
        <f t="shared" ref="L38:L45" si="6">J$11*C38+J$12*F38+J$13*I38</f>
        <v>29.075776996241018</v>
      </c>
    </row>
    <row r="39" spans="1:12" x14ac:dyDescent="0.2">
      <c r="A39" s="26" t="s">
        <v>35</v>
      </c>
      <c r="B39" s="494">
        <v>531.81565030100001</v>
      </c>
      <c r="C39" s="474">
        <v>0.34315868251540554</v>
      </c>
      <c r="D39" s="103">
        <f t="shared" si="2"/>
        <v>81.858787920637425</v>
      </c>
      <c r="E39" s="494">
        <v>465.74381235800001</v>
      </c>
      <c r="F39" s="474">
        <v>0.19590559878574657</v>
      </c>
      <c r="G39" s="103">
        <f t="shared" si="3"/>
        <v>31.50371601906064</v>
      </c>
      <c r="H39" s="494">
        <v>384.76655647699999</v>
      </c>
      <c r="I39" s="474">
        <v>0.11499616117329162</v>
      </c>
      <c r="J39" s="103">
        <f t="shared" si="4"/>
        <v>5.4895022133668521</v>
      </c>
      <c r="K39" s="514">
        <f t="shared" si="5"/>
        <v>118.85200615306491</v>
      </c>
      <c r="L39" s="142">
        <f t="shared" si="6"/>
        <v>228.22006614451001</v>
      </c>
    </row>
    <row r="40" spans="1:12" x14ac:dyDescent="0.2">
      <c r="A40" s="26" t="s">
        <v>36</v>
      </c>
      <c r="B40" s="494">
        <v>812.15343546199995</v>
      </c>
      <c r="C40" s="474">
        <v>0.52409912994362096</v>
      </c>
      <c r="D40" s="103">
        <f t="shared" si="2"/>
        <v>125.02122695240107</v>
      </c>
      <c r="E40" s="494">
        <v>1238.5836850000001</v>
      </c>
      <c r="F40" s="474">
        <v>0.52098486736095884</v>
      </c>
      <c r="G40" s="103">
        <f t="shared" si="3"/>
        <v>83.779939998130232</v>
      </c>
      <c r="H40" s="494">
        <v>2530.2283245499998</v>
      </c>
      <c r="I40" s="474">
        <v>0.75621578673398127</v>
      </c>
      <c r="J40" s="103">
        <f t="shared" si="4"/>
        <v>36.099015764565294</v>
      </c>
      <c r="K40" s="514">
        <f t="shared" si="5"/>
        <v>244.90018271509661</v>
      </c>
      <c r="L40" s="142">
        <f t="shared" si="6"/>
        <v>470.25824558705301</v>
      </c>
    </row>
    <row r="41" spans="1:12" x14ac:dyDescent="0.2">
      <c r="A41" s="26" t="s">
        <v>37</v>
      </c>
      <c r="B41" s="494">
        <v>160.15072552999999</v>
      </c>
      <c r="C41" s="474">
        <v>0.10333865117669287</v>
      </c>
      <c r="D41" s="103">
        <f t="shared" si="2"/>
        <v>24.650918544944204</v>
      </c>
      <c r="E41" s="494">
        <v>40.8989068554</v>
      </c>
      <c r="F41" s="474">
        <v>1.7393633833715026E-2</v>
      </c>
      <c r="G41" s="103">
        <f t="shared" si="3"/>
        <v>2.7970823918930856</v>
      </c>
      <c r="H41" s="494">
        <v>212.41418890599999</v>
      </c>
      <c r="I41" s="474">
        <v>6.3484728790075051E-2</v>
      </c>
      <c r="J41" s="103">
        <f t="shared" si="4"/>
        <v>3.0305321121367306</v>
      </c>
      <c r="K41" s="514">
        <f t="shared" si="5"/>
        <v>30.478533048974018</v>
      </c>
      <c r="L41" s="142">
        <f t="shared" si="6"/>
        <v>58.524993002359281</v>
      </c>
    </row>
    <row r="42" spans="1:12" x14ac:dyDescent="0.2">
      <c r="A42" s="26" t="s">
        <v>38</v>
      </c>
      <c r="B42" s="494">
        <v>0.30083012669199999</v>
      </c>
      <c r="C42" s="474">
        <v>1.9411326063484811E-4</v>
      </c>
      <c r="D42" s="103">
        <f t="shared" si="2"/>
        <v>4.6304747758139843E-2</v>
      </c>
      <c r="E42" s="494">
        <v>5.9883700896500001</v>
      </c>
      <c r="F42" s="474">
        <v>2.5188852691869516E-3</v>
      </c>
      <c r="G42" s="103">
        <f t="shared" si="3"/>
        <v>0.40506369749976939</v>
      </c>
      <c r="H42" s="494">
        <v>33.435030754800003</v>
      </c>
      <c r="I42" s="474">
        <v>9.9928128388226435E-3</v>
      </c>
      <c r="J42" s="103">
        <f t="shared" si="4"/>
        <v>0.47702086432097401</v>
      </c>
      <c r="K42" s="514">
        <f t="shared" si="5"/>
        <v>0.92838930957888333</v>
      </c>
      <c r="L42" s="142">
        <f t="shared" si="6"/>
        <v>1.7826966199214209</v>
      </c>
    </row>
    <row r="43" spans="1:12" x14ac:dyDescent="0.2">
      <c r="A43" s="26" t="s">
        <v>39</v>
      </c>
      <c r="B43" s="494">
        <v>8.1527202054100005</v>
      </c>
      <c r="C43" s="474">
        <v>5.2606137540739499E-3</v>
      </c>
      <c r="D43" s="103">
        <f t="shared" si="2"/>
        <v>1.2548931079655705</v>
      </c>
      <c r="E43" s="494">
        <v>322.540019169</v>
      </c>
      <c r="F43" s="474">
        <v>0.13566985521022726</v>
      </c>
      <c r="G43" s="103">
        <f t="shared" si="3"/>
        <v>21.817164069744003</v>
      </c>
      <c r="H43" s="494">
        <v>64.039600423500005</v>
      </c>
      <c r="I43" s="474">
        <v>1.9139678560431781E-2</v>
      </c>
      <c r="J43" s="103">
        <f t="shared" si="4"/>
        <v>0.91365926261043495</v>
      </c>
      <c r="K43" s="514">
        <f t="shared" si="5"/>
        <v>23.985716440320008</v>
      </c>
      <c r="L43" s="142">
        <f t="shared" si="6"/>
        <v>46.057462298814819</v>
      </c>
    </row>
    <row r="44" spans="1:12" s="35" customFormat="1" x14ac:dyDescent="0.2">
      <c r="A44" s="39" t="s">
        <v>148</v>
      </c>
      <c r="B44" s="507">
        <v>3.4740000000000001E-3</v>
      </c>
      <c r="C44" s="474">
        <v>0</v>
      </c>
      <c r="D44" s="103">
        <f t="shared" si="2"/>
        <v>0</v>
      </c>
      <c r="E44" s="494">
        <v>62.368248999999999</v>
      </c>
      <c r="F44" s="544">
        <v>2.6233926965379215E-2</v>
      </c>
      <c r="G44" s="103">
        <f t="shared" si="3"/>
        <v>4.2186960980423747</v>
      </c>
      <c r="H44" s="507" t="s">
        <v>194</v>
      </c>
      <c r="I44" s="474"/>
      <c r="J44" s="103"/>
      <c r="K44" s="514">
        <f t="shared" si="5"/>
        <v>4.2186960980423747</v>
      </c>
      <c r="L44" s="142">
        <f t="shared" si="6"/>
        <v>8.1007560048997043</v>
      </c>
    </row>
    <row r="45" spans="1:12" s="35" customFormat="1" x14ac:dyDescent="0.2">
      <c r="A45" s="92" t="s">
        <v>41</v>
      </c>
      <c r="B45" s="494">
        <v>1.4223439707600001</v>
      </c>
      <c r="C45" s="474">
        <v>9.1777984121655764E-4</v>
      </c>
      <c r="D45" s="103">
        <f t="shared" si="2"/>
        <v>0.21893179222300377</v>
      </c>
      <c r="E45" s="494">
        <v>120.19502300000001</v>
      </c>
      <c r="F45" s="544">
        <v>5.0557575457731305E-2</v>
      </c>
      <c r="G45" s="103">
        <f t="shared" si="3"/>
        <v>8.1301989820848348</v>
      </c>
      <c r="H45" s="494">
        <v>19.624594185500001</v>
      </c>
      <c r="I45" s="474">
        <v>5.8652524704316412E-3</v>
      </c>
      <c r="J45" s="103">
        <f t="shared" si="4"/>
        <v>0.27998601074926899</v>
      </c>
      <c r="K45" s="514">
        <f t="shared" si="5"/>
        <v>8.6291167850571071</v>
      </c>
      <c r="L45" s="142">
        <f t="shared" si="6"/>
        <v>16.569662281663138</v>
      </c>
    </row>
    <row r="46" spans="1:12" ht="13.5" thickBot="1" x14ac:dyDescent="0.25">
      <c r="A46" s="633" t="s">
        <v>15</v>
      </c>
      <c r="B46" s="634">
        <f t="shared" ref="B46:J46" si="7">SUM(B38:B45)</f>
        <v>1549.7694493284623</v>
      </c>
      <c r="C46" s="635">
        <f t="shared" si="7"/>
        <v>1.0000500487331601</v>
      </c>
      <c r="D46" s="636">
        <f t="shared" si="7"/>
        <v>238.55693887505169</v>
      </c>
      <c r="E46" s="634">
        <f t="shared" si="7"/>
        <v>2377.3889852870502</v>
      </c>
      <c r="F46" s="635">
        <f t="shared" si="7"/>
        <v>1.0001905204136712</v>
      </c>
      <c r="G46" s="636">
        <f t="shared" si="7"/>
        <v>160.84133539506229</v>
      </c>
      <c r="H46" s="634">
        <f t="shared" si="7"/>
        <v>3345.9078329618001</v>
      </c>
      <c r="I46" s="635">
        <f t="shared" si="7"/>
        <v>0.99999995876917935</v>
      </c>
      <c r="J46" s="636">
        <f t="shared" si="7"/>
        <v>47.73639338062646</v>
      </c>
      <c r="K46" s="636">
        <f t="shared" si="5"/>
        <v>447.13466765074043</v>
      </c>
      <c r="L46" s="647">
        <f>SUM(L38:L45)</f>
        <v>858.58965893546247</v>
      </c>
    </row>
    <row r="47" spans="1:12" s="70" customFormat="1" x14ac:dyDescent="0.2">
      <c r="A47" s="7"/>
      <c r="B47" s="209"/>
      <c r="C47" s="58"/>
      <c r="D47" s="15"/>
      <c r="E47" s="58"/>
      <c r="F47" s="15"/>
      <c r="G47" s="58"/>
      <c r="H47" s="58"/>
    </row>
    <row r="48" spans="1:12" x14ac:dyDescent="0.2">
      <c r="A48" s="5"/>
      <c r="D48" s="21"/>
    </row>
    <row r="49" spans="1:10" ht="15.75" thickBot="1" x14ac:dyDescent="0.3">
      <c r="A49" s="442" t="s">
        <v>97</v>
      </c>
    </row>
    <row r="50" spans="1:10" ht="76.5" x14ac:dyDescent="0.2">
      <c r="A50" s="417" t="s">
        <v>392</v>
      </c>
      <c r="B50" s="473" t="s">
        <v>233</v>
      </c>
      <c r="C50" s="418" t="s">
        <v>379</v>
      </c>
      <c r="D50" s="412" t="s">
        <v>211</v>
      </c>
      <c r="F50" s="91"/>
    </row>
    <row r="51" spans="1:10" x14ac:dyDescent="0.2">
      <c r="A51" s="26" t="s">
        <v>34</v>
      </c>
      <c r="B51" s="514">
        <f t="shared" ref="B51:B58" si="8">K38</f>
        <v>15.14202710060651</v>
      </c>
      <c r="C51" s="545">
        <f t="shared" ref="C51:C56" si="9">B51-E28</f>
        <v>-1.450107798018875</v>
      </c>
      <c r="D51" s="515">
        <f t="shared" ref="D51:D58" si="10">L38</f>
        <v>29.075776996241018</v>
      </c>
      <c r="F51" s="91"/>
    </row>
    <row r="52" spans="1:10" x14ac:dyDescent="0.2">
      <c r="A52" s="26" t="s">
        <v>35</v>
      </c>
      <c r="B52" s="514">
        <f t="shared" si="8"/>
        <v>118.85200615306491</v>
      </c>
      <c r="C52" s="545">
        <f t="shared" si="9"/>
        <v>24.882289290391498</v>
      </c>
      <c r="D52" s="515">
        <f t="shared" si="10"/>
        <v>228.22006614451001</v>
      </c>
      <c r="F52" s="91"/>
    </row>
    <row r="53" spans="1:10" x14ac:dyDescent="0.2">
      <c r="A53" s="26" t="s">
        <v>36</v>
      </c>
      <c r="B53" s="514">
        <f t="shared" si="8"/>
        <v>244.90018271509661</v>
      </c>
      <c r="C53" s="545">
        <f t="shared" si="9"/>
        <v>-57.312069492337855</v>
      </c>
      <c r="D53" s="515">
        <f t="shared" si="10"/>
        <v>470.25824558705301</v>
      </c>
    </row>
    <row r="54" spans="1:10" x14ac:dyDescent="0.2">
      <c r="A54" s="26" t="s">
        <v>37</v>
      </c>
      <c r="B54" s="514">
        <f t="shared" si="8"/>
        <v>30.478533048974018</v>
      </c>
      <c r="C54" s="545">
        <f t="shared" si="9"/>
        <v>3.8684375082473395</v>
      </c>
      <c r="D54" s="515">
        <f t="shared" si="10"/>
        <v>58.524993002359281</v>
      </c>
    </row>
    <row r="55" spans="1:10" x14ac:dyDescent="0.2">
      <c r="A55" s="26" t="s">
        <v>38</v>
      </c>
      <c r="B55" s="514">
        <f t="shared" si="8"/>
        <v>0.92838930957888333</v>
      </c>
      <c r="C55" s="545">
        <f t="shared" si="9"/>
        <v>-1.6239143121274504</v>
      </c>
      <c r="D55" s="515">
        <f t="shared" si="10"/>
        <v>1.7826966199214209</v>
      </c>
      <c r="E55" s="33"/>
    </row>
    <row r="56" spans="1:10" x14ac:dyDescent="0.2">
      <c r="A56" s="26" t="s">
        <v>39</v>
      </c>
      <c r="B56" s="514">
        <f t="shared" si="8"/>
        <v>23.985716440320008</v>
      </c>
      <c r="C56" s="545">
        <f t="shared" si="9"/>
        <v>18.830126548230517</v>
      </c>
      <c r="D56" s="515">
        <f t="shared" si="10"/>
        <v>46.057462298814819</v>
      </c>
      <c r="E56" s="33"/>
    </row>
    <row r="57" spans="1:10" s="35" customFormat="1" x14ac:dyDescent="0.2">
      <c r="A57" s="92" t="s">
        <v>148</v>
      </c>
      <c r="B57" s="546">
        <f t="shared" si="8"/>
        <v>4.2186960980423747</v>
      </c>
      <c r="C57" s="547" t="s">
        <v>194</v>
      </c>
      <c r="D57" s="515">
        <f t="shared" si="10"/>
        <v>8.1007560048997043</v>
      </c>
    </row>
    <row r="58" spans="1:10" s="35" customFormat="1" x14ac:dyDescent="0.2">
      <c r="A58" s="92" t="s">
        <v>41</v>
      </c>
      <c r="B58" s="546">
        <f t="shared" si="8"/>
        <v>8.6291167850571071</v>
      </c>
      <c r="C58" s="547" t="s">
        <v>194</v>
      </c>
      <c r="D58" s="515">
        <f t="shared" si="10"/>
        <v>16.569662281663138</v>
      </c>
    </row>
    <row r="59" spans="1:10" ht="13.5" thickBot="1" x14ac:dyDescent="0.25">
      <c r="A59" s="633" t="s">
        <v>98</v>
      </c>
      <c r="B59" s="636">
        <f t="shared" ref="B59" si="11">K46</f>
        <v>447.13466765074043</v>
      </c>
      <c r="C59" s="646"/>
      <c r="D59" s="647">
        <f t="shared" ref="D59" si="12">L46</f>
        <v>858.58965893546247</v>
      </c>
    </row>
    <row r="60" spans="1:10" x14ac:dyDescent="0.2">
      <c r="A60" s="182" t="s">
        <v>378</v>
      </c>
    </row>
    <row r="61" spans="1:10" s="35" customFormat="1" x14ac:dyDescent="0.2">
      <c r="A61" s="7"/>
    </row>
    <row r="62" spans="1:10" ht="15.75" thickBot="1" x14ac:dyDescent="0.3">
      <c r="A62" s="421" t="s">
        <v>136</v>
      </c>
    </row>
    <row r="63" spans="1:10" ht="51" x14ac:dyDescent="0.2">
      <c r="A63" s="422" t="s">
        <v>348</v>
      </c>
      <c r="B63" s="423" t="s">
        <v>127</v>
      </c>
      <c r="C63" s="423" t="s">
        <v>126</v>
      </c>
      <c r="D63" s="423" t="s">
        <v>70</v>
      </c>
      <c r="E63" s="423" t="s">
        <v>128</v>
      </c>
      <c r="F63" s="423" t="s">
        <v>72</v>
      </c>
      <c r="G63" s="423" t="s">
        <v>129</v>
      </c>
      <c r="H63" s="424" t="s">
        <v>134</v>
      </c>
      <c r="I63" s="423" t="s">
        <v>196</v>
      </c>
      <c r="J63" s="426" t="s">
        <v>384</v>
      </c>
    </row>
    <row r="64" spans="1:10" x14ac:dyDescent="0.2">
      <c r="A64" s="26" t="s">
        <v>34</v>
      </c>
      <c r="B64" s="474">
        <f t="shared" ref="B64:B71" si="13">C38</f>
        <v>2.3081078241515299E-2</v>
      </c>
      <c r="C64" s="103">
        <f>B64*G$11</f>
        <v>16.078279103039559</v>
      </c>
      <c r="D64" s="474">
        <f t="shared" ref="D64:D71" si="14">F38</f>
        <v>5.0926177530725994E-2</v>
      </c>
      <c r="E64" s="103">
        <f>D64*G$12</f>
        <v>23.914932968428928</v>
      </c>
      <c r="F64" s="474">
        <f t="shared" ref="F64:F69" si="15">I38</f>
        <v>3.0305538202145231E-2</v>
      </c>
      <c r="G64" s="103">
        <f>F64*G$13</f>
        <v>4.224592025379045</v>
      </c>
      <c r="H64" s="475">
        <f>C64+E64+G64</f>
        <v>44.217804096847537</v>
      </c>
      <c r="I64" s="476">
        <v>2.2499999999999999E-2</v>
      </c>
      <c r="J64" s="477">
        <f>I64*H64</f>
        <v>0.99490059217906957</v>
      </c>
    </row>
    <row r="65" spans="1:10" x14ac:dyDescent="0.2">
      <c r="A65" s="26" t="s">
        <v>35</v>
      </c>
      <c r="B65" s="474">
        <f t="shared" si="13"/>
        <v>0.34315868251540554</v>
      </c>
      <c r="C65" s="103">
        <f t="shared" ref="C65:C71" si="16">B65*G$11</f>
        <v>239.0443382402315</v>
      </c>
      <c r="D65" s="474">
        <f t="shared" si="14"/>
        <v>0.19590559878574657</v>
      </c>
      <c r="E65" s="103">
        <f t="shared" ref="E65:E71" si="17">D65*G$12</f>
        <v>91.997269189786593</v>
      </c>
      <c r="F65" s="474">
        <f t="shared" si="15"/>
        <v>0.11499616117329162</v>
      </c>
      <c r="G65" s="103">
        <f t="shared" ref="G65:G70" si="18">F65*G$13</f>
        <v>16.030464867556852</v>
      </c>
      <c r="H65" s="475">
        <f t="shared" ref="H65:H72" si="19">C65+E65+G65</f>
        <v>347.07207229757495</v>
      </c>
      <c r="I65" s="476">
        <v>2.2499999999999999E-2</v>
      </c>
      <c r="J65" s="477">
        <f t="shared" ref="J65:J71" si="20">I65*H65</f>
        <v>7.8091216266954362</v>
      </c>
    </row>
    <row r="66" spans="1:10" x14ac:dyDescent="0.2">
      <c r="A66" s="26" t="s">
        <v>36</v>
      </c>
      <c r="B66" s="474">
        <f t="shared" si="13"/>
        <v>0.52409912994362096</v>
      </c>
      <c r="C66" s="103">
        <f t="shared" si="16"/>
        <v>365.0874539187264</v>
      </c>
      <c r="D66" s="474">
        <f t="shared" si="14"/>
        <v>0.52098486736095884</v>
      </c>
      <c r="E66" s="103">
        <f t="shared" si="17"/>
        <v>244.65449371270628</v>
      </c>
      <c r="F66" s="474">
        <f t="shared" si="15"/>
        <v>0.75621578673398127</v>
      </c>
      <c r="G66" s="103">
        <f t="shared" si="18"/>
        <v>105.41648067071699</v>
      </c>
      <c r="H66" s="475">
        <f t="shared" si="19"/>
        <v>715.15842830214967</v>
      </c>
      <c r="I66" s="476">
        <v>0.05</v>
      </c>
      <c r="J66" s="477">
        <f t="shared" si="20"/>
        <v>35.757921415107482</v>
      </c>
    </row>
    <row r="67" spans="1:10" x14ac:dyDescent="0.2">
      <c r="A67" s="26" t="s">
        <v>37</v>
      </c>
      <c r="B67" s="474">
        <f t="shared" si="13"/>
        <v>0.10333865117669287</v>
      </c>
      <c r="C67" s="103">
        <f t="shared" si="16"/>
        <v>71.98570440968426</v>
      </c>
      <c r="D67" s="474">
        <f t="shared" si="14"/>
        <v>1.7393633833715026E-2</v>
      </c>
      <c r="E67" s="103">
        <f t="shared" si="17"/>
        <v>8.1680504483125773</v>
      </c>
      <c r="F67" s="474">
        <f t="shared" si="15"/>
        <v>6.3484728790075051E-2</v>
      </c>
      <c r="G67" s="103">
        <f t="shared" si="18"/>
        <v>8.849771193336462</v>
      </c>
      <c r="H67" s="475">
        <f t="shared" si="19"/>
        <v>89.003526051333296</v>
      </c>
      <c r="I67" s="476">
        <v>0.06</v>
      </c>
      <c r="J67" s="477">
        <f t="shared" si="20"/>
        <v>5.3402115630799978</v>
      </c>
    </row>
    <row r="68" spans="1:10" x14ac:dyDescent="0.2">
      <c r="A68" s="26" t="s">
        <v>38</v>
      </c>
      <c r="B68" s="474">
        <f t="shared" si="13"/>
        <v>1.9411326063484811E-4</v>
      </c>
      <c r="C68" s="103">
        <f t="shared" si="16"/>
        <v>0.13521929735823521</v>
      </c>
      <c r="D68" s="474">
        <f t="shared" si="14"/>
        <v>2.5188852691869516E-3</v>
      </c>
      <c r="E68" s="103">
        <f t="shared" si="17"/>
        <v>1.1828685224101925</v>
      </c>
      <c r="F68" s="474">
        <f t="shared" si="15"/>
        <v>9.9928128388226435E-3</v>
      </c>
      <c r="G68" s="103">
        <f t="shared" si="18"/>
        <v>1.3929981097318767</v>
      </c>
      <c r="H68" s="475">
        <f t="shared" si="19"/>
        <v>2.711085929500304</v>
      </c>
      <c r="I68" s="476">
        <v>0</v>
      </c>
      <c r="J68" s="478">
        <f t="shared" si="20"/>
        <v>0</v>
      </c>
    </row>
    <row r="69" spans="1:10" x14ac:dyDescent="0.2">
      <c r="A69" s="26" t="s">
        <v>39</v>
      </c>
      <c r="B69" s="474">
        <f t="shared" si="13"/>
        <v>5.2606137540739499E-3</v>
      </c>
      <c r="C69" s="103">
        <f t="shared" si="16"/>
        <v>3.6645435410879137</v>
      </c>
      <c r="D69" s="474">
        <f t="shared" si="14"/>
        <v>0.13566985521022726</v>
      </c>
      <c r="E69" s="103">
        <f t="shared" si="17"/>
        <v>63.710564006722727</v>
      </c>
      <c r="F69" s="474">
        <f t="shared" si="15"/>
        <v>1.9139678560431781E-2</v>
      </c>
      <c r="G69" s="103">
        <f t="shared" si="18"/>
        <v>2.6680711913241906</v>
      </c>
      <c r="H69" s="475">
        <f t="shared" si="19"/>
        <v>70.043178739134831</v>
      </c>
      <c r="I69" s="476">
        <v>0</v>
      </c>
      <c r="J69" s="478">
        <f t="shared" si="20"/>
        <v>0</v>
      </c>
    </row>
    <row r="70" spans="1:10" s="35" customFormat="1" x14ac:dyDescent="0.2">
      <c r="A70" s="39" t="s">
        <v>148</v>
      </c>
      <c r="B70" s="474">
        <f t="shared" si="13"/>
        <v>0</v>
      </c>
      <c r="C70" s="103">
        <f t="shared" si="16"/>
        <v>0</v>
      </c>
      <c r="D70" s="474">
        <f t="shared" si="14"/>
        <v>2.6233926965379215E-2</v>
      </c>
      <c r="E70" s="103">
        <f t="shared" si="17"/>
        <v>12.31945210294208</v>
      </c>
      <c r="F70" s="474"/>
      <c r="G70" s="103">
        <f t="shared" si="18"/>
        <v>0</v>
      </c>
      <c r="H70" s="475">
        <f t="shared" si="19"/>
        <v>12.31945210294208</v>
      </c>
      <c r="I70" s="476">
        <v>0</v>
      </c>
      <c r="J70" s="478">
        <f t="shared" si="20"/>
        <v>0</v>
      </c>
    </row>
    <row r="71" spans="1:10" s="35" customFormat="1" x14ac:dyDescent="0.2">
      <c r="A71" s="92" t="s">
        <v>41</v>
      </c>
      <c r="B71" s="479">
        <f t="shared" si="13"/>
        <v>9.1777984121655764E-4</v>
      </c>
      <c r="C71" s="103">
        <f t="shared" si="16"/>
        <v>0.63932543739145409</v>
      </c>
      <c r="D71" s="479">
        <f t="shared" si="14"/>
        <v>5.0557575457731305E-2</v>
      </c>
      <c r="E71" s="103">
        <f t="shared" si="17"/>
        <v>23.741837434950622</v>
      </c>
      <c r="F71" s="479">
        <f>I45</f>
        <v>5.8652524704316412E-3</v>
      </c>
      <c r="G71" s="143"/>
      <c r="H71" s="475">
        <f t="shared" si="19"/>
        <v>24.381162872342074</v>
      </c>
      <c r="I71" s="480">
        <v>5.0000000000000001E-3</v>
      </c>
      <c r="J71" s="477">
        <f t="shared" si="20"/>
        <v>0.12190581436171037</v>
      </c>
    </row>
    <row r="72" spans="1:10" ht="13.5" thickBot="1" x14ac:dyDescent="0.25">
      <c r="A72" s="482" t="s">
        <v>98</v>
      </c>
      <c r="B72" s="354"/>
      <c r="C72" s="354">
        <f>SUM(C64:C71)</f>
        <v>696.63486394751931</v>
      </c>
      <c r="D72" s="354"/>
      <c r="E72" s="354">
        <f>SUM(E64:E71)</f>
        <v>469.68946838626005</v>
      </c>
      <c r="F72" s="354"/>
      <c r="G72" s="354">
        <f>SUM(G64:G71)</f>
        <v>138.58237805804544</v>
      </c>
      <c r="H72" s="438">
        <f t="shared" si="19"/>
        <v>1304.9067103918246</v>
      </c>
      <c r="I72" s="481"/>
      <c r="J72" s="483">
        <f>SUM(J64:J71)</f>
        <v>50.024061011423697</v>
      </c>
    </row>
    <row r="73" spans="1:10" s="35" customFormat="1" x14ac:dyDescent="0.2">
      <c r="A73" s="7"/>
      <c r="B73" s="58"/>
      <c r="C73" s="58"/>
      <c r="D73" s="58"/>
      <c r="E73" s="58"/>
      <c r="F73" s="58"/>
      <c r="G73" s="58"/>
      <c r="H73" s="58"/>
      <c r="I73" s="15"/>
      <c r="J73" s="58"/>
    </row>
    <row r="74" spans="1:10" ht="13.5" thickBot="1" x14ac:dyDescent="0.25">
      <c r="A74" s="6" t="s">
        <v>347</v>
      </c>
    </row>
    <row r="75" spans="1:10" ht="78" customHeight="1" x14ac:dyDescent="0.2">
      <c r="A75" s="454" t="s">
        <v>393</v>
      </c>
      <c r="B75" s="439" t="s">
        <v>365</v>
      </c>
      <c r="C75" s="439" t="s">
        <v>366</v>
      </c>
      <c r="D75" s="439" t="s">
        <v>367</v>
      </c>
      <c r="E75" s="439" t="s">
        <v>368</v>
      </c>
      <c r="F75" s="440" t="s">
        <v>371</v>
      </c>
      <c r="G75" s="439" t="s">
        <v>346</v>
      </c>
      <c r="H75" s="439" t="s">
        <v>369</v>
      </c>
      <c r="I75" s="441" t="s">
        <v>370</v>
      </c>
    </row>
    <row r="76" spans="1:10" x14ac:dyDescent="0.2">
      <c r="A76" s="26" t="s">
        <v>34</v>
      </c>
      <c r="B76" s="335">
        <f t="shared" ref="B76:B84" si="21">B51</f>
        <v>15.14202710060651</v>
      </c>
      <c r="C76" s="31">
        <f>B76*0.5</f>
        <v>7.5710135503032552</v>
      </c>
      <c r="D76" s="103">
        <f t="shared" ref="D76:D83" si="22">J64</f>
        <v>0.99490059217906957</v>
      </c>
      <c r="E76" s="327">
        <f>'Project Summary'!B5</f>
        <v>353</v>
      </c>
      <c r="F76" s="330">
        <f>C76-D76-E76</f>
        <v>-346.42388704187579</v>
      </c>
      <c r="G76" s="31">
        <v>7.5</v>
      </c>
      <c r="H76" s="18"/>
      <c r="I76" s="28">
        <f t="shared" ref="I76:I84" si="23">F76+G76</f>
        <v>-338.92388704187579</v>
      </c>
    </row>
    <row r="77" spans="1:10" x14ac:dyDescent="0.2">
      <c r="A77" s="26" t="s">
        <v>35</v>
      </c>
      <c r="B77" s="335">
        <f t="shared" si="21"/>
        <v>118.85200615306491</v>
      </c>
      <c r="C77" s="31">
        <f t="shared" ref="C77:C83" si="24">B77*0.5</f>
        <v>59.426003076532453</v>
      </c>
      <c r="D77" s="103">
        <f t="shared" si="22"/>
        <v>7.8091216266954362</v>
      </c>
      <c r="E77" s="327">
        <f>'Project Summary'!B9</f>
        <v>15</v>
      </c>
      <c r="F77" s="330">
        <f t="shared" ref="F77:F83" si="25">C77-D77-E77</f>
        <v>36.616881449837017</v>
      </c>
      <c r="G77" s="31">
        <v>59.5</v>
      </c>
      <c r="H77" s="18"/>
      <c r="I77" s="28">
        <f t="shared" si="23"/>
        <v>96.116881449837024</v>
      </c>
    </row>
    <row r="78" spans="1:10" x14ac:dyDescent="0.2">
      <c r="A78" s="26" t="s">
        <v>36</v>
      </c>
      <c r="B78" s="335">
        <f t="shared" si="21"/>
        <v>244.90018271509661</v>
      </c>
      <c r="C78" s="31">
        <f t="shared" si="24"/>
        <v>122.4500913575483</v>
      </c>
      <c r="D78" s="103">
        <f t="shared" si="22"/>
        <v>35.757921415107482</v>
      </c>
      <c r="E78" s="327">
        <f>'Project Summary'!B11</f>
        <v>0</v>
      </c>
      <c r="F78" s="330">
        <f t="shared" si="25"/>
        <v>86.692169942440813</v>
      </c>
      <c r="G78" s="31">
        <v>122.4</v>
      </c>
      <c r="H78" s="18"/>
      <c r="I78" s="28">
        <f t="shared" si="23"/>
        <v>209.09216994244082</v>
      </c>
    </row>
    <row r="79" spans="1:10" x14ac:dyDescent="0.2">
      <c r="A79" s="26" t="s">
        <v>37</v>
      </c>
      <c r="B79" s="335">
        <f t="shared" si="21"/>
        <v>30.478533048974018</v>
      </c>
      <c r="C79" s="31">
        <f t="shared" si="24"/>
        <v>15.239266524487009</v>
      </c>
      <c r="D79" s="103">
        <f t="shared" si="22"/>
        <v>5.3402115630799978</v>
      </c>
      <c r="E79" s="327">
        <f>'Project Summary'!B14</f>
        <v>0</v>
      </c>
      <c r="F79" s="330">
        <f t="shared" si="25"/>
        <v>9.8990549614070105</v>
      </c>
      <c r="G79" s="31">
        <v>15.3</v>
      </c>
      <c r="H79" s="18"/>
      <c r="I79" s="28">
        <f t="shared" si="23"/>
        <v>25.199054961407011</v>
      </c>
    </row>
    <row r="80" spans="1:10" x14ac:dyDescent="0.2">
      <c r="A80" s="26" t="s">
        <v>38</v>
      </c>
      <c r="B80" s="335">
        <f t="shared" si="21"/>
        <v>0.92838930957888333</v>
      </c>
      <c r="C80" s="31">
        <f t="shared" si="24"/>
        <v>0.46419465478944166</v>
      </c>
      <c r="D80" s="103">
        <f t="shared" si="22"/>
        <v>0</v>
      </c>
      <c r="E80" s="327">
        <f>'Project Summary'!B16</f>
        <v>0</v>
      </c>
      <c r="F80" s="330">
        <f t="shared" si="25"/>
        <v>0.46419465478944166</v>
      </c>
      <c r="G80" s="31">
        <v>0.4</v>
      </c>
      <c r="H80" s="18"/>
      <c r="I80" s="28">
        <f t="shared" si="23"/>
        <v>0.86419465478944169</v>
      </c>
    </row>
    <row r="81" spans="1:9" x14ac:dyDescent="0.2">
      <c r="A81" s="26" t="s">
        <v>39</v>
      </c>
      <c r="B81" s="335">
        <f t="shared" si="21"/>
        <v>23.985716440320008</v>
      </c>
      <c r="C81" s="31">
        <f t="shared" si="24"/>
        <v>11.992858220160004</v>
      </c>
      <c r="D81" s="103">
        <f t="shared" si="22"/>
        <v>0</v>
      </c>
      <c r="E81" s="327">
        <f>'Project Summary'!B17</f>
        <v>0</v>
      </c>
      <c r="F81" s="330">
        <f t="shared" si="25"/>
        <v>11.992858220160004</v>
      </c>
      <c r="G81" s="31">
        <f t="shared" ref="G81:G84" si="26">C81</f>
        <v>11.992858220160004</v>
      </c>
      <c r="H81" s="18"/>
      <c r="I81" s="28">
        <f t="shared" si="23"/>
        <v>23.985716440320008</v>
      </c>
    </row>
    <row r="82" spans="1:9" x14ac:dyDescent="0.2">
      <c r="A82" s="26" t="s">
        <v>148</v>
      </c>
      <c r="B82" s="335">
        <f t="shared" si="21"/>
        <v>4.2186960980423747</v>
      </c>
      <c r="C82" s="31">
        <f t="shared" si="24"/>
        <v>2.1093480490211873</v>
      </c>
      <c r="D82" s="103">
        <f t="shared" si="22"/>
        <v>0</v>
      </c>
      <c r="E82" s="327">
        <f>'Project Summary'!B22</f>
        <v>0</v>
      </c>
      <c r="F82" s="330">
        <f t="shared" si="25"/>
        <v>2.1093480490211873</v>
      </c>
      <c r="G82" s="31">
        <f t="shared" si="26"/>
        <v>2.1093480490211873</v>
      </c>
      <c r="H82" s="18"/>
      <c r="I82" s="28">
        <f t="shared" si="23"/>
        <v>4.2186960980423747</v>
      </c>
    </row>
    <row r="83" spans="1:9" x14ac:dyDescent="0.2">
      <c r="A83" s="26" t="s">
        <v>41</v>
      </c>
      <c r="B83" s="335">
        <f t="shared" si="21"/>
        <v>8.6291167850571071</v>
      </c>
      <c r="C83" s="31">
        <f t="shared" si="24"/>
        <v>4.3145583925285536</v>
      </c>
      <c r="D83" s="103">
        <f t="shared" si="22"/>
        <v>0.12190581436171037</v>
      </c>
      <c r="E83" s="327">
        <f>'Project Summary'!B7</f>
        <v>13.3</v>
      </c>
      <c r="F83" s="330">
        <f t="shared" si="25"/>
        <v>-9.1073474218331576</v>
      </c>
      <c r="G83" s="31">
        <f t="shared" si="26"/>
        <v>4.3145583925285536</v>
      </c>
      <c r="H83" s="18"/>
      <c r="I83" s="28">
        <f t="shared" si="23"/>
        <v>-4.792789029304604</v>
      </c>
    </row>
    <row r="84" spans="1:9" ht="13.5" thickBot="1" x14ac:dyDescent="0.25">
      <c r="A84" s="482" t="s">
        <v>98</v>
      </c>
      <c r="B84" s="354">
        <f t="shared" si="21"/>
        <v>447.13466765074043</v>
      </c>
      <c r="C84" s="286">
        <f>SUM(C76:C83)</f>
        <v>223.56733382537021</v>
      </c>
      <c r="D84" s="354">
        <f>$J$72</f>
        <v>50.024061011423697</v>
      </c>
      <c r="E84" s="481">
        <f>SUM(E76:E83)</f>
        <v>381.3</v>
      </c>
      <c r="F84" s="355">
        <f>SUM(F76:F83)</f>
        <v>-207.75672718605347</v>
      </c>
      <c r="G84" s="286">
        <f t="shared" si="26"/>
        <v>223.56733382537021</v>
      </c>
      <c r="H84" s="305"/>
      <c r="I84" s="287">
        <f t="shared" si="23"/>
        <v>15.810606639316745</v>
      </c>
    </row>
    <row r="86" spans="1:9" s="35" customFormat="1" ht="13.5" thickBot="1" x14ac:dyDescent="0.25">
      <c r="A86" s="6" t="s">
        <v>355</v>
      </c>
    </row>
    <row r="87" spans="1:9" ht="51" x14ac:dyDescent="0.2">
      <c r="A87" s="422" t="str">
        <f t="shared" ref="A87:A96" si="27">A63</f>
        <v>2009 Developed Stormwater Loading by Jurisdiction for Palatlakaha River</v>
      </c>
      <c r="B87" s="423" t="str">
        <f t="shared" ref="B87:B96" si="28">C63</f>
        <v>Total Loading Developed-High lbs/yr TP</v>
      </c>
      <c r="C87" s="423" t="str">
        <f t="shared" ref="C87:C96" si="29">E63</f>
        <v>Total Loading Developed-Medium lbs/yr TP</v>
      </c>
      <c r="D87" s="423" t="str">
        <f t="shared" ref="D87:D96" si="30">G63</f>
        <v>Total Loading Developed-Low lbs/yr TP</v>
      </c>
      <c r="E87" s="424" t="str">
        <f t="shared" ref="E87:E96" si="31">H63</f>
        <v>Total Stormwater Loading lbs/yr TP</v>
      </c>
      <c r="F87" s="434" t="s">
        <v>354</v>
      </c>
    </row>
    <row r="88" spans="1:9" x14ac:dyDescent="0.2">
      <c r="A88" s="370" t="str">
        <f t="shared" si="27"/>
        <v>Clermont</v>
      </c>
      <c r="B88" s="356">
        <f t="shared" si="28"/>
        <v>16.078279103039559</v>
      </c>
      <c r="C88" s="356">
        <f t="shared" si="29"/>
        <v>23.914932968428928</v>
      </c>
      <c r="D88" s="356">
        <f t="shared" si="30"/>
        <v>4.224592025379045</v>
      </c>
      <c r="E88" s="367">
        <f t="shared" si="31"/>
        <v>44.217804096847537</v>
      </c>
      <c r="F88" s="429">
        <f>E88/$E$96</f>
        <v>3.3885797156771646E-2</v>
      </c>
    </row>
    <row r="89" spans="1:9" s="35" customFormat="1" x14ac:dyDescent="0.2">
      <c r="A89" s="370" t="str">
        <f t="shared" si="27"/>
        <v>Groveland</v>
      </c>
      <c r="B89" s="356">
        <f t="shared" si="28"/>
        <v>239.0443382402315</v>
      </c>
      <c r="C89" s="356">
        <f t="shared" si="29"/>
        <v>91.997269189786593</v>
      </c>
      <c r="D89" s="356">
        <f t="shared" si="30"/>
        <v>16.030464867556852</v>
      </c>
      <c r="E89" s="367">
        <f t="shared" si="31"/>
        <v>347.07207229757495</v>
      </c>
      <c r="F89" s="429">
        <f t="shared" ref="F89:F95" si="32">E89/$E$96</f>
        <v>0.26597462449507947</v>
      </c>
    </row>
    <row r="90" spans="1:9" x14ac:dyDescent="0.2">
      <c r="A90" s="370" t="str">
        <f t="shared" si="27"/>
        <v>Lake County</v>
      </c>
      <c r="B90" s="356">
        <f t="shared" si="28"/>
        <v>365.0874539187264</v>
      </c>
      <c r="C90" s="356">
        <f t="shared" si="29"/>
        <v>244.65449371270628</v>
      </c>
      <c r="D90" s="356">
        <f t="shared" si="30"/>
        <v>105.41648067071699</v>
      </c>
      <c r="E90" s="367">
        <f t="shared" si="31"/>
        <v>715.15842830214967</v>
      </c>
      <c r="F90" s="429">
        <f t="shared" si="32"/>
        <v>0.54805329960132465</v>
      </c>
    </row>
    <row r="91" spans="1:9" x14ac:dyDescent="0.2">
      <c r="A91" s="370" t="str">
        <f t="shared" si="27"/>
        <v>Leesburg</v>
      </c>
      <c r="B91" s="356">
        <f t="shared" si="28"/>
        <v>71.98570440968426</v>
      </c>
      <c r="C91" s="356">
        <f t="shared" si="29"/>
        <v>8.1680504483125773</v>
      </c>
      <c r="D91" s="356">
        <f t="shared" si="30"/>
        <v>8.849771193336462</v>
      </c>
      <c r="E91" s="367">
        <f t="shared" si="31"/>
        <v>89.003526051333296</v>
      </c>
      <c r="F91" s="429">
        <f t="shared" si="32"/>
        <v>6.8206811523413957E-2</v>
      </c>
    </row>
    <row r="92" spans="1:9" x14ac:dyDescent="0.2">
      <c r="A92" s="370" t="str">
        <f t="shared" si="27"/>
        <v>Mascotte</v>
      </c>
      <c r="B92" s="356">
        <f t="shared" si="28"/>
        <v>0.13521929735823521</v>
      </c>
      <c r="C92" s="356">
        <f t="shared" si="29"/>
        <v>1.1828685224101925</v>
      </c>
      <c r="D92" s="356">
        <f t="shared" si="30"/>
        <v>1.3929981097318767</v>
      </c>
      <c r="E92" s="367">
        <f t="shared" si="31"/>
        <v>2.711085929500304</v>
      </c>
      <c r="F92" s="369">
        <f t="shared" si="32"/>
        <v>2.077609002934965E-3</v>
      </c>
    </row>
    <row r="93" spans="1:9" x14ac:dyDescent="0.2">
      <c r="A93" s="370" t="str">
        <f t="shared" si="27"/>
        <v>Minneola</v>
      </c>
      <c r="B93" s="356">
        <f t="shared" si="28"/>
        <v>3.6645435410879137</v>
      </c>
      <c r="C93" s="356">
        <f t="shared" si="29"/>
        <v>63.710564006722727</v>
      </c>
      <c r="D93" s="356">
        <f t="shared" si="30"/>
        <v>2.6680711913241906</v>
      </c>
      <c r="E93" s="367">
        <f t="shared" si="31"/>
        <v>70.043178739134831</v>
      </c>
      <c r="F93" s="429">
        <f t="shared" si="32"/>
        <v>5.3676771052930637E-2</v>
      </c>
    </row>
    <row r="94" spans="1:9" x14ac:dyDescent="0.2">
      <c r="A94" s="370" t="str">
        <f t="shared" si="27"/>
        <v>Turnpike</v>
      </c>
      <c r="B94" s="356">
        <f t="shared" si="28"/>
        <v>0</v>
      </c>
      <c r="C94" s="356">
        <f t="shared" si="29"/>
        <v>12.31945210294208</v>
      </c>
      <c r="D94" s="356">
        <f t="shared" si="30"/>
        <v>0</v>
      </c>
      <c r="E94" s="367">
        <f t="shared" si="31"/>
        <v>12.31945210294208</v>
      </c>
      <c r="F94" s="369">
        <f t="shared" si="32"/>
        <v>9.4408680749621682E-3</v>
      </c>
    </row>
    <row r="95" spans="1:9" x14ac:dyDescent="0.2">
      <c r="A95" s="370" t="str">
        <f t="shared" si="27"/>
        <v>FDOT</v>
      </c>
      <c r="B95" s="356">
        <f t="shared" si="28"/>
        <v>0.63932543739145409</v>
      </c>
      <c r="C95" s="356">
        <f t="shared" si="29"/>
        <v>23.741837434950622</v>
      </c>
      <c r="D95" s="356">
        <f t="shared" si="30"/>
        <v>0</v>
      </c>
      <c r="E95" s="367">
        <f t="shared" si="31"/>
        <v>24.381162872342074</v>
      </c>
      <c r="F95" s="429">
        <f t="shared" si="32"/>
        <v>1.8684219092582593E-2</v>
      </c>
    </row>
    <row r="96" spans="1:9" ht="13.5" thickBot="1" x14ac:dyDescent="0.25">
      <c r="A96" s="484" t="str">
        <f t="shared" si="27"/>
        <v>Total lbs/yr TP</v>
      </c>
      <c r="B96" s="431">
        <f t="shared" si="28"/>
        <v>696.63486394751931</v>
      </c>
      <c r="C96" s="431">
        <f t="shared" si="29"/>
        <v>469.68946838626005</v>
      </c>
      <c r="D96" s="431">
        <f t="shared" si="30"/>
        <v>138.58237805804544</v>
      </c>
      <c r="E96" s="432">
        <f t="shared" si="31"/>
        <v>1304.9067103918246</v>
      </c>
      <c r="F96" s="433">
        <f>E96/$E$96</f>
        <v>1</v>
      </c>
    </row>
  </sheetData>
  <mergeCells count="1">
    <mergeCell ref="B2:F3"/>
  </mergeCells>
  <conditionalFormatting sqref="F88:F96">
    <cfRule type="cellIs" dxfId="2" priority="1" operator="between">
      <formula>0</formula>
      <formula>0.01</formula>
    </cfRule>
  </conditionalFormatting>
  <printOptions gridLines="1"/>
  <pageMargins left="0.7" right="0.7" top="0.75" bottom="0.75" header="0.3" footer="0.3"/>
  <pageSetup paperSize="5" scale="75" pageOrder="overThenDown" orientation="landscape" r:id="rId1"/>
  <headerFooter>
    <oddHeader>&amp;L&amp;"Arial,Bold"&amp;11&amp;KC00000DRAFT&amp;CPalatlakaha River Allocation Calculations&amp;RFDEP, April 13
, 2016</oddHeader>
    <oddFooter>&amp;RPage &amp;P of &amp;N</oddFooter>
  </headerFooter>
  <rowBreaks count="2" manualBreakCount="2">
    <brk id="34" max="16383" man="1"/>
    <brk id="7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opLeftCell="C19" workbookViewId="0">
      <selection activeCell="G31" sqref="G31:L31"/>
    </sheetView>
  </sheetViews>
  <sheetFormatPr defaultRowHeight="12.75" x14ac:dyDescent="0.2"/>
  <cols>
    <col min="1" max="1" width="42.7109375" customWidth="1"/>
    <col min="2" max="2" width="18" customWidth="1"/>
    <col min="3" max="3" width="15.85546875" customWidth="1"/>
    <col min="4" max="4" width="15.28515625" customWidth="1"/>
    <col min="5" max="5" width="15.42578125" customWidth="1"/>
    <col min="6" max="6" width="14.28515625" customWidth="1"/>
    <col min="7" max="7" width="14" customWidth="1"/>
    <col min="8" max="8" width="14.140625" customWidth="1"/>
    <col min="9" max="9" width="15.28515625" customWidth="1"/>
    <col min="10" max="10" width="14.42578125" customWidth="1"/>
    <col min="11" max="11" width="16" customWidth="1"/>
    <col min="12" max="12" width="15.42578125" customWidth="1"/>
  </cols>
  <sheetData>
    <row r="1" spans="1:10" ht="15.75" thickBot="1" x14ac:dyDescent="0.3">
      <c r="A1" s="13" t="s">
        <v>81</v>
      </c>
      <c r="B1" s="17"/>
      <c r="C1" s="17"/>
      <c r="D1" s="17"/>
      <c r="E1" s="17"/>
      <c r="F1" s="17"/>
    </row>
    <row r="2" spans="1:10" x14ac:dyDescent="0.2">
      <c r="A2" s="1"/>
      <c r="B2" s="697" t="s">
        <v>399</v>
      </c>
      <c r="C2" s="698"/>
      <c r="D2" s="698"/>
      <c r="E2" s="698"/>
      <c r="F2" s="699"/>
    </row>
    <row r="3" spans="1:10" ht="13.5" thickBot="1" x14ac:dyDescent="0.25">
      <c r="A3" s="2"/>
      <c r="B3" s="706"/>
      <c r="C3" s="707"/>
      <c r="D3" s="707"/>
      <c r="E3" s="707"/>
      <c r="F3" s="708"/>
    </row>
    <row r="4" spans="1:10" ht="103.5" customHeight="1" thickBot="1" x14ac:dyDescent="0.25">
      <c r="A4" s="4" t="s">
        <v>1</v>
      </c>
      <c r="B4" s="12" t="s">
        <v>4</v>
      </c>
      <c r="C4" s="11" t="s">
        <v>0</v>
      </c>
      <c r="D4" s="8" t="s">
        <v>9</v>
      </c>
      <c r="E4" s="9" t="s">
        <v>31</v>
      </c>
      <c r="F4" s="14" t="s">
        <v>16</v>
      </c>
      <c r="G4" s="183" t="s">
        <v>99</v>
      </c>
      <c r="H4" s="183" t="s">
        <v>100</v>
      </c>
      <c r="I4" s="184" t="s">
        <v>54</v>
      </c>
      <c r="J4" s="185" t="s">
        <v>53</v>
      </c>
    </row>
    <row r="5" spans="1:10" ht="13.5" thickTop="1" x14ac:dyDescent="0.2">
      <c r="A5" s="187" t="s">
        <v>26</v>
      </c>
      <c r="B5" s="555">
        <v>1443</v>
      </c>
      <c r="C5" s="556"/>
      <c r="D5" s="556"/>
      <c r="E5" s="556"/>
      <c r="F5" s="557">
        <f>IF(SUM(B5:E5)&lt;&gt;0,SUM(B5:E5),"")</f>
        <v>1443</v>
      </c>
      <c r="G5" s="533"/>
      <c r="H5" s="533"/>
      <c r="I5" s="558"/>
      <c r="J5" s="559">
        <f>F5</f>
        <v>1443</v>
      </c>
    </row>
    <row r="6" spans="1:10" x14ac:dyDescent="0.2">
      <c r="A6" s="188" t="s">
        <v>27</v>
      </c>
      <c r="B6" s="560">
        <v>141</v>
      </c>
      <c r="C6" s="561">
        <v>-141</v>
      </c>
      <c r="D6" s="561"/>
      <c r="E6" s="561"/>
      <c r="F6" s="557">
        <v>0</v>
      </c>
      <c r="G6" s="497">
        <v>0</v>
      </c>
      <c r="H6" s="327"/>
      <c r="I6" s="562"/>
      <c r="J6" s="520"/>
    </row>
    <row r="7" spans="1:10" x14ac:dyDescent="0.2">
      <c r="A7" s="188" t="s">
        <v>19</v>
      </c>
      <c r="B7" s="560"/>
      <c r="C7" s="327"/>
      <c r="D7" s="561"/>
      <c r="E7" s="561"/>
      <c r="F7" s="557" t="str">
        <f t="shared" ref="F7:F17" si="0">IF(SUM(B7:E7)&lt;&gt;0,SUM(B7:E7),"")</f>
        <v/>
      </c>
      <c r="G7" s="327"/>
      <c r="H7" s="327"/>
      <c r="I7" s="562"/>
      <c r="J7" s="520"/>
    </row>
    <row r="8" spans="1:10" x14ac:dyDescent="0.2">
      <c r="A8" s="189" t="s">
        <v>20</v>
      </c>
      <c r="B8" s="560">
        <v>557</v>
      </c>
      <c r="C8" s="561"/>
      <c r="D8" s="561"/>
      <c r="E8" s="561">
        <v>53</v>
      </c>
      <c r="F8" s="557">
        <f>IF(SUM(B8:E8)&lt;&gt;0,SUM(B8:E8),"")</f>
        <v>610</v>
      </c>
      <c r="G8" s="327"/>
      <c r="H8" s="327"/>
      <c r="I8" s="563"/>
      <c r="J8" s="538">
        <f>F8-I8</f>
        <v>610</v>
      </c>
    </row>
    <row r="9" spans="1:10" x14ac:dyDescent="0.2">
      <c r="A9" s="189" t="s">
        <v>32</v>
      </c>
      <c r="B9" s="560">
        <v>197</v>
      </c>
      <c r="C9" s="561"/>
      <c r="D9" s="561"/>
      <c r="E9" s="561">
        <v>164</v>
      </c>
      <c r="F9" s="557">
        <f t="shared" si="0"/>
        <v>361</v>
      </c>
      <c r="G9" s="497">
        <f>F9</f>
        <v>361</v>
      </c>
      <c r="H9" s="474">
        <f>G9/(F$19-F$5-F$8)</f>
        <v>0.22025625381330091</v>
      </c>
      <c r="I9" s="563">
        <f>F$21*H9</f>
        <v>186.77730323367896</v>
      </c>
      <c r="J9" s="541">
        <f>F9-I9</f>
        <v>174.22269676632104</v>
      </c>
    </row>
    <row r="10" spans="1:10" x14ac:dyDescent="0.2">
      <c r="A10" s="190" t="s">
        <v>21</v>
      </c>
      <c r="B10" s="560">
        <v>598</v>
      </c>
      <c r="C10" s="561"/>
      <c r="D10" s="561"/>
      <c r="E10" s="327">
        <v>95</v>
      </c>
      <c r="F10" s="557">
        <f t="shared" si="0"/>
        <v>693</v>
      </c>
      <c r="G10" s="497">
        <f>F10</f>
        <v>693</v>
      </c>
      <c r="H10" s="474"/>
      <c r="I10" s="563">
        <f>SUM(I11:I13)</f>
        <v>358.54931037599482</v>
      </c>
      <c r="J10" s="541">
        <f>F10-I10</f>
        <v>334.45068962400518</v>
      </c>
    </row>
    <row r="11" spans="1:10" s="34" customFormat="1" x14ac:dyDescent="0.2">
      <c r="A11" s="34" t="s">
        <v>62</v>
      </c>
      <c r="B11" s="560"/>
      <c r="C11" s="561"/>
      <c r="D11" s="561"/>
      <c r="E11" s="327"/>
      <c r="F11" s="564">
        <v>459.75849138151312</v>
      </c>
      <c r="G11" s="103">
        <f>F11</f>
        <v>459.75849138151312</v>
      </c>
      <c r="H11" s="474">
        <f>G11/(F$19-F$5-F$8)</f>
        <v>0.28051158717603014</v>
      </c>
      <c r="I11" s="563">
        <f>F$21*H11</f>
        <v>237.87382592527331</v>
      </c>
      <c r="J11" s="541">
        <f t="shared" ref="J11:J13" si="1">F11-I11</f>
        <v>221.88466545623982</v>
      </c>
    </row>
    <row r="12" spans="1:10" s="34" customFormat="1" x14ac:dyDescent="0.2">
      <c r="A12" s="34" t="s">
        <v>63</v>
      </c>
      <c r="B12" s="560"/>
      <c r="C12" s="561"/>
      <c r="D12" s="561"/>
      <c r="E12" s="327"/>
      <c r="F12" s="565">
        <v>185.29632659962397</v>
      </c>
      <c r="G12" s="103">
        <f>F12</f>
        <v>185.29632659962397</v>
      </c>
      <c r="H12" s="474">
        <f>G12/(F$19-F$5-F$8)</f>
        <v>0.11305450067091158</v>
      </c>
      <c r="I12" s="563">
        <f>F$21*H12</f>
        <v>95.870216568932918</v>
      </c>
      <c r="J12" s="541">
        <f t="shared" si="1"/>
        <v>89.426110030691049</v>
      </c>
    </row>
    <row r="13" spans="1:10" s="34" customFormat="1" x14ac:dyDescent="0.2">
      <c r="A13" s="34" t="s">
        <v>64</v>
      </c>
      <c r="B13" s="560"/>
      <c r="C13" s="561"/>
      <c r="D13" s="561"/>
      <c r="E13" s="327"/>
      <c r="F13" s="566">
        <v>47.943200540391011</v>
      </c>
      <c r="G13" s="103">
        <f>F13</f>
        <v>47.943200540391011</v>
      </c>
      <c r="H13" s="474">
        <f>G13/(F$19-F$5-F$8)</f>
        <v>2.9251495143618692E-2</v>
      </c>
      <c r="I13" s="563">
        <f>F$21*H13</f>
        <v>24.805267881788623</v>
      </c>
      <c r="J13" s="541">
        <f t="shared" si="1"/>
        <v>23.137932658602388</v>
      </c>
    </row>
    <row r="14" spans="1:10" x14ac:dyDescent="0.2">
      <c r="A14" s="191" t="s">
        <v>28</v>
      </c>
      <c r="B14" s="560"/>
      <c r="C14" s="561"/>
      <c r="D14" s="561"/>
      <c r="E14" s="561"/>
      <c r="F14" s="557" t="str">
        <f t="shared" si="0"/>
        <v/>
      </c>
      <c r="G14" s="327"/>
      <c r="H14" s="474"/>
      <c r="I14" s="563"/>
      <c r="J14" s="541"/>
    </row>
    <row r="15" spans="1:10" x14ac:dyDescent="0.2">
      <c r="A15" s="188" t="s">
        <v>276</v>
      </c>
      <c r="B15" s="76">
        <v>292</v>
      </c>
      <c r="C15" s="561"/>
      <c r="D15" s="561"/>
      <c r="E15" s="561">
        <v>294</v>
      </c>
      <c r="F15" s="557">
        <f t="shared" si="0"/>
        <v>586</v>
      </c>
      <c r="G15" s="497">
        <f>F15</f>
        <v>586</v>
      </c>
      <c r="H15" s="474">
        <f>G15/(F$19-F$5-F$8)</f>
        <v>0.35753508236729731</v>
      </c>
      <c r="I15" s="563">
        <f>G$21*H15</f>
        <v>0</v>
      </c>
      <c r="J15" s="541">
        <f t="shared" ref="J15:J17" si="2">F15-I15</f>
        <v>586</v>
      </c>
    </row>
    <row r="16" spans="1:10" s="35" customFormat="1" x14ac:dyDescent="0.2">
      <c r="A16" s="281" t="s">
        <v>240</v>
      </c>
      <c r="B16" s="76">
        <v>94</v>
      </c>
      <c r="C16" s="561"/>
      <c r="D16" s="561"/>
      <c r="E16" s="561">
        <v>97</v>
      </c>
      <c r="F16" s="557">
        <f t="shared" si="0"/>
        <v>191</v>
      </c>
      <c r="G16" s="497">
        <f>F16</f>
        <v>191</v>
      </c>
      <c r="H16" s="474">
        <f>G16/(F$19-F$5-F$8)</f>
        <v>0.11653447223917029</v>
      </c>
      <c r="I16" s="563">
        <f t="shared" ref="I16:I17" si="3">F$21*H16</f>
        <v>98.821232458816297</v>
      </c>
      <c r="J16" s="541">
        <f t="shared" si="2"/>
        <v>92.178767541183703</v>
      </c>
    </row>
    <row r="17" spans="1:12" x14ac:dyDescent="0.2">
      <c r="A17" s="192" t="s">
        <v>241</v>
      </c>
      <c r="B17" s="567">
        <v>197</v>
      </c>
      <c r="C17" s="518"/>
      <c r="D17" s="518"/>
      <c r="E17" s="568">
        <v>197</v>
      </c>
      <c r="F17" s="557">
        <f t="shared" si="0"/>
        <v>394</v>
      </c>
      <c r="G17" s="497">
        <f>F17</f>
        <v>394</v>
      </c>
      <c r="H17" s="474">
        <f>G17/(F$19-F$5-F$8)</f>
        <v>0.2403904820012204</v>
      </c>
      <c r="I17" s="563">
        <f t="shared" si="3"/>
        <v>203.85112873703468</v>
      </c>
      <c r="J17" s="541">
        <f t="shared" si="2"/>
        <v>190.14887126296532</v>
      </c>
    </row>
    <row r="18" spans="1:12" x14ac:dyDescent="0.2">
      <c r="A18" s="193" t="s">
        <v>30</v>
      </c>
      <c r="B18" s="567"/>
      <c r="C18" s="518"/>
      <c r="D18" s="518"/>
      <c r="E18" s="568"/>
      <c r="F18" s="569"/>
      <c r="G18" s="327"/>
      <c r="H18" s="103"/>
      <c r="I18" s="562"/>
      <c r="J18" s="520"/>
    </row>
    <row r="19" spans="1:12" x14ac:dyDescent="0.2">
      <c r="A19" s="194" t="s">
        <v>3</v>
      </c>
      <c r="B19" s="560">
        <f>SUM(B5:B17)-B16-B17</f>
        <v>3228</v>
      </c>
      <c r="C19" s="561">
        <f>SUM(C5:C17)</f>
        <v>-141</v>
      </c>
      <c r="D19" s="561">
        <f>SUM(D5:D17)-D10</f>
        <v>0</v>
      </c>
      <c r="E19" s="561">
        <f>SUM(E5:E17)-E16-E17</f>
        <v>606</v>
      </c>
      <c r="F19" s="557">
        <f>SUM(F5:F17)-F11-F12-F13-F15</f>
        <v>3691.9999999999991</v>
      </c>
      <c r="G19" s="327"/>
      <c r="H19" s="103"/>
      <c r="I19" s="562"/>
      <c r="J19" s="520"/>
    </row>
    <row r="20" spans="1:12" x14ac:dyDescent="0.2">
      <c r="A20" s="195" t="s">
        <v>17</v>
      </c>
      <c r="B20" s="560">
        <v>2844</v>
      </c>
      <c r="C20" s="518"/>
      <c r="D20" s="518"/>
      <c r="E20" s="568"/>
      <c r="F20" s="570">
        <f>B20</f>
        <v>2844</v>
      </c>
      <c r="G20" s="327"/>
      <c r="H20" s="103"/>
      <c r="I20" s="562"/>
      <c r="J20" s="538"/>
    </row>
    <row r="21" spans="1:12" ht="27.75" customHeight="1" x14ac:dyDescent="0.2">
      <c r="A21" s="196" t="s">
        <v>2</v>
      </c>
      <c r="B21" s="560">
        <f>B19-B20</f>
        <v>384</v>
      </c>
      <c r="C21" s="518"/>
      <c r="D21" s="518"/>
      <c r="E21" s="568"/>
      <c r="F21" s="557">
        <f>F19-F20</f>
        <v>847.99999999999909</v>
      </c>
      <c r="G21" s="327"/>
      <c r="H21" s="103"/>
      <c r="I21" s="563">
        <f>SUM(I9:I15)-I10-I15</f>
        <v>545.32661360967381</v>
      </c>
      <c r="J21" s="520"/>
    </row>
    <row r="22" spans="1:12" ht="28.5" customHeight="1" x14ac:dyDescent="0.2">
      <c r="A22" s="197" t="s">
        <v>7</v>
      </c>
      <c r="B22" s="567"/>
      <c r="C22" s="518"/>
      <c r="D22" s="518"/>
      <c r="E22" s="568"/>
      <c r="F22" s="571">
        <f>F21/F20</f>
        <v>0.29817158931082949</v>
      </c>
      <c r="G22" s="327"/>
      <c r="H22" s="103">
        <f>SUM(H9:H15)</f>
        <v>1.0006089191711587</v>
      </c>
      <c r="I22" s="562"/>
      <c r="J22" s="520"/>
    </row>
    <row r="23" spans="1:12" x14ac:dyDescent="0.2">
      <c r="A23" s="198" t="s">
        <v>115</v>
      </c>
      <c r="B23" s="567"/>
      <c r="C23" s="518"/>
      <c r="D23" s="518"/>
      <c r="E23" s="568"/>
      <c r="F23" s="569"/>
      <c r="G23" s="327"/>
      <c r="H23" s="327"/>
      <c r="I23" s="562"/>
      <c r="J23" s="538">
        <f>SUM(J5:J15)-J10</f>
        <v>3147.6714049118546</v>
      </c>
    </row>
    <row r="24" spans="1:12" ht="26.25" thickBot="1" x14ac:dyDescent="0.25">
      <c r="A24" s="236" t="s">
        <v>236</v>
      </c>
      <c r="B24" s="572"/>
      <c r="C24" s="573"/>
      <c r="D24" s="573"/>
      <c r="E24" s="574"/>
      <c r="F24" s="575"/>
      <c r="G24" s="361"/>
      <c r="H24" s="361"/>
      <c r="I24" s="576"/>
      <c r="J24" s="577">
        <f>J10+J15</f>
        <v>920.45068962400524</v>
      </c>
    </row>
    <row r="25" spans="1:12" x14ac:dyDescent="0.2">
      <c r="A25" s="17"/>
      <c r="B25" s="17"/>
      <c r="C25" s="17"/>
      <c r="D25" s="17"/>
      <c r="E25" s="17"/>
      <c r="F25" s="17"/>
    </row>
    <row r="26" spans="1:12" x14ac:dyDescent="0.2">
      <c r="A26" s="6"/>
    </row>
    <row r="27" spans="1:12" ht="15.75" thickBot="1" x14ac:dyDescent="0.3">
      <c r="A27" s="442" t="s">
        <v>380</v>
      </c>
      <c r="B27" s="445"/>
      <c r="C27" s="445"/>
      <c r="D27" s="445"/>
      <c r="G27" s="444" t="s">
        <v>363</v>
      </c>
      <c r="H27" s="445"/>
    </row>
    <row r="28" spans="1:12" ht="65.25" thickTop="1" thickBot="1" x14ac:dyDescent="0.25">
      <c r="A28" s="461" t="s">
        <v>397</v>
      </c>
      <c r="B28" s="578" t="s">
        <v>110</v>
      </c>
      <c r="C28" s="579" t="s">
        <v>111</v>
      </c>
      <c r="D28" s="578" t="s">
        <v>112</v>
      </c>
      <c r="E28" s="580" t="s">
        <v>52</v>
      </c>
      <c r="G28" s="461" t="s">
        <v>289</v>
      </c>
      <c r="H28" s="447" t="s">
        <v>353</v>
      </c>
      <c r="I28" s="447" t="s">
        <v>349</v>
      </c>
      <c r="J28" s="447" t="s">
        <v>60</v>
      </c>
      <c r="K28" s="408" t="s">
        <v>234</v>
      </c>
      <c r="L28" s="585" t="s">
        <v>114</v>
      </c>
    </row>
    <row r="29" spans="1:12" x14ac:dyDescent="0.2">
      <c r="A29" s="25" t="s">
        <v>40</v>
      </c>
      <c r="B29" s="581">
        <v>343.24901233999998</v>
      </c>
      <c r="C29" s="582">
        <v>0.12831055929131721</v>
      </c>
      <c r="D29" s="549">
        <v>0.12831055929131721</v>
      </c>
      <c r="E29" s="583">
        <f>D29*I$10</f>
        <v>46.005662547859984</v>
      </c>
      <c r="G29" s="71" t="s">
        <v>40</v>
      </c>
      <c r="H29" s="525">
        <v>11</v>
      </c>
      <c r="I29" s="586">
        <f>H29/H$31</f>
        <v>3.8869257950530034E-2</v>
      </c>
      <c r="J29" s="479">
        <f>I29</f>
        <v>3.8869257950530034E-2</v>
      </c>
      <c r="K29" s="143">
        <f>I$16*J29</f>
        <v>3.8411079754310222</v>
      </c>
      <c r="L29" s="587">
        <f>J$16*J29</f>
        <v>3.5829202931202144</v>
      </c>
    </row>
    <row r="30" spans="1:12" x14ac:dyDescent="0.2">
      <c r="A30" s="26" t="s">
        <v>41</v>
      </c>
      <c r="B30" s="494">
        <v>48.084097931499997</v>
      </c>
      <c r="C30" s="495">
        <v>1.7974407141186283E-2</v>
      </c>
      <c r="D30" s="474">
        <v>1.7974407141186283E-2</v>
      </c>
      <c r="E30" s="584">
        <f t="shared" ref="E30:E34" si="4">D30*I$10</f>
        <v>6.4447112848896984</v>
      </c>
      <c r="G30" s="36" t="s">
        <v>36</v>
      </c>
      <c r="H30" s="327">
        <v>272</v>
      </c>
      <c r="I30" s="586">
        <f>H30/H$31</f>
        <v>0.96113074204946991</v>
      </c>
      <c r="J30" s="474">
        <f>I30</f>
        <v>0.96113074204946991</v>
      </c>
      <c r="K30" s="103">
        <f>I$16*J30</f>
        <v>94.980124483385268</v>
      </c>
      <c r="L30" s="477">
        <f>J$16*J30</f>
        <v>88.595847248063478</v>
      </c>
    </row>
    <row r="31" spans="1:12" ht="13.5" thickBot="1" x14ac:dyDescent="0.25">
      <c r="A31" s="26" t="s">
        <v>36</v>
      </c>
      <c r="B31" s="494">
        <v>1647.49479466</v>
      </c>
      <c r="C31" s="495">
        <v>0.61585312974759088</v>
      </c>
      <c r="D31" s="474">
        <v>0.61585312974759088</v>
      </c>
      <c r="E31" s="584">
        <f t="shared" si="4"/>
        <v>220.81371496389676</v>
      </c>
      <c r="G31" s="667" t="s">
        <v>15</v>
      </c>
      <c r="H31" s="668">
        <f>SUM(H29:H30)</f>
        <v>283</v>
      </c>
      <c r="I31" s="502">
        <f>SUM(I29:I30)</f>
        <v>1</v>
      </c>
      <c r="J31" s="669">
        <f>SUM(J29:J30)</f>
        <v>1</v>
      </c>
      <c r="K31" s="636">
        <f>SUM(K29:K30)</f>
        <v>98.821232458816297</v>
      </c>
      <c r="L31" s="647">
        <f>SUM(L29:L30)</f>
        <v>92.178767541183689</v>
      </c>
    </row>
    <row r="32" spans="1:12" x14ac:dyDescent="0.2">
      <c r="A32" s="26" t="s">
        <v>42</v>
      </c>
      <c r="B32" s="494">
        <v>466.47661900100002</v>
      </c>
      <c r="C32" s="495">
        <v>0.17437450284941733</v>
      </c>
      <c r="D32" s="474">
        <v>0.17437450284941733</v>
      </c>
      <c r="E32" s="584">
        <f t="shared" si="4"/>
        <v>62.521857743815524</v>
      </c>
      <c r="G32" s="155" t="s">
        <v>351</v>
      </c>
    </row>
    <row r="33" spans="1:12" x14ac:dyDescent="0.2">
      <c r="A33" s="26" t="s">
        <v>43</v>
      </c>
      <c r="B33" s="494">
        <v>169.837835635</v>
      </c>
      <c r="C33" s="495">
        <v>6.3487400970488272E-2</v>
      </c>
      <c r="D33" s="474">
        <v>6.3487400970488272E-2</v>
      </c>
      <c r="E33" s="584">
        <f t="shared" si="4"/>
        <v>22.763363835532836</v>
      </c>
      <c r="G33" s="155" t="s">
        <v>398</v>
      </c>
    </row>
    <row r="34" spans="1:12" ht="13.5" thickBot="1" x14ac:dyDescent="0.25">
      <c r="A34" s="633" t="s">
        <v>15</v>
      </c>
      <c r="B34" s="634">
        <v>2675.1423595675001</v>
      </c>
      <c r="C34" s="653">
        <v>1</v>
      </c>
      <c r="D34" s="654">
        <f>SUM(C29:C33)</f>
        <v>1</v>
      </c>
      <c r="E34" s="647">
        <f t="shared" si="4"/>
        <v>358.54931037599482</v>
      </c>
    </row>
    <row r="36" spans="1:12" ht="15.75" thickBot="1" x14ac:dyDescent="0.3">
      <c r="A36" s="444" t="s">
        <v>80</v>
      </c>
      <c r="B36" s="443"/>
      <c r="C36" s="6"/>
      <c r="D36" s="6"/>
      <c r="E36" s="6"/>
      <c r="F36" s="6"/>
      <c r="G36" s="6"/>
    </row>
    <row r="37" spans="1:12" ht="57.75" customHeight="1" x14ac:dyDescent="0.2">
      <c r="A37" s="417" t="s">
        <v>397</v>
      </c>
      <c r="B37" s="410" t="s">
        <v>200</v>
      </c>
      <c r="C37" s="410" t="s">
        <v>201</v>
      </c>
      <c r="D37" s="410" t="s">
        <v>75</v>
      </c>
      <c r="E37" s="410" t="s">
        <v>202</v>
      </c>
      <c r="F37" s="410" t="s">
        <v>203</v>
      </c>
      <c r="G37" s="410" t="s">
        <v>76</v>
      </c>
      <c r="H37" s="410" t="s">
        <v>204</v>
      </c>
      <c r="I37" s="410" t="s">
        <v>205</v>
      </c>
      <c r="J37" s="410" t="s">
        <v>77</v>
      </c>
      <c r="K37" s="419" t="s">
        <v>74</v>
      </c>
      <c r="L37" s="463" t="s">
        <v>117</v>
      </c>
    </row>
    <row r="38" spans="1:12" x14ac:dyDescent="0.2">
      <c r="A38" s="36" t="s">
        <v>40</v>
      </c>
      <c r="B38" s="327">
        <v>197.29</v>
      </c>
      <c r="C38" s="474">
        <v>0.42995400458275301</v>
      </c>
      <c r="D38" s="103">
        <f>C38*I$11</f>
        <v>102.27480404199196</v>
      </c>
      <c r="E38" s="327">
        <v>121.37</v>
      </c>
      <c r="F38" s="474">
        <v>0.1719700278568235</v>
      </c>
      <c r="G38" s="103">
        <f>F38*I$12</f>
        <v>16.486803813999096</v>
      </c>
      <c r="H38" s="327">
        <v>24.59</v>
      </c>
      <c r="I38" s="474">
        <v>1.6279040881752967E-2</v>
      </c>
      <c r="J38" s="103">
        <f>I38*I$13</f>
        <v>0.40380596993047085</v>
      </c>
      <c r="K38" s="588">
        <f>D38+G38+J38</f>
        <v>119.16541382592153</v>
      </c>
      <c r="L38" s="510">
        <f>(J$11*C38)+(J$12*F38)+(J$13*I38)</f>
        <v>111.1554744531887</v>
      </c>
    </row>
    <row r="39" spans="1:12" x14ac:dyDescent="0.2">
      <c r="A39" s="36" t="s">
        <v>41</v>
      </c>
      <c r="B39" s="327">
        <v>44.75</v>
      </c>
      <c r="C39" s="474">
        <v>9.7524040815173504E-2</v>
      </c>
      <c r="D39" s="103">
        <f>C39*I$11</f>
        <v>23.198416708397833</v>
      </c>
      <c r="E39" s="327">
        <v>2.39</v>
      </c>
      <c r="F39" s="474">
        <v>3.3918061810537009E-3</v>
      </c>
      <c r="G39" s="103">
        <f>F39*I$12</f>
        <v>0.32517319313746362</v>
      </c>
      <c r="H39" s="327">
        <v>0.94</v>
      </c>
      <c r="I39" s="474">
        <v>6.2223594921162419E-4</v>
      </c>
      <c r="J39" s="103">
        <f>I39*I$13</f>
        <v>1.5434729405873359E-2</v>
      </c>
      <c r="K39" s="588">
        <f>D39+G39+J39</f>
        <v>23.539024630941167</v>
      </c>
      <c r="L39" s="510">
        <f>(J$11*C39)+(J$12*F39)+(J$13*I39)</f>
        <v>21.956802456455758</v>
      </c>
    </row>
    <row r="40" spans="1:12" x14ac:dyDescent="0.2">
      <c r="A40" s="36" t="s">
        <v>36</v>
      </c>
      <c r="B40" s="327">
        <v>186.52</v>
      </c>
      <c r="C40" s="474">
        <v>0.40648119105647307</v>
      </c>
      <c r="D40" s="103">
        <f>C40*I$11</f>
        <v>96.691236083265238</v>
      </c>
      <c r="E40" s="327">
        <v>532.58000000000004</v>
      </c>
      <c r="F40" s="474">
        <v>0.75463109600009626</v>
      </c>
      <c r="G40" s="103">
        <f>F40*I$12</f>
        <v>72.346646603180432</v>
      </c>
      <c r="H40" s="327">
        <v>928.39</v>
      </c>
      <c r="I40" s="474">
        <v>0.61461573834164662</v>
      </c>
      <c r="J40" s="103">
        <f>I40*I$13</f>
        <v>15.245708033927848</v>
      </c>
      <c r="K40" s="588">
        <f>D40+G40+J40</f>
        <v>184.28359072037352</v>
      </c>
      <c r="L40" s="510">
        <f>(J$11*C40)+(J$12*F40)+(J$13*I40)</f>
        <v>171.89660407997121</v>
      </c>
    </row>
    <row r="41" spans="1:12" x14ac:dyDescent="0.2">
      <c r="A41" s="36" t="s">
        <v>42</v>
      </c>
      <c r="B41" s="589" t="s">
        <v>194</v>
      </c>
      <c r="C41" s="474">
        <v>0</v>
      </c>
      <c r="D41" s="103">
        <f>C41*I$11</f>
        <v>0</v>
      </c>
      <c r="E41" s="589" t="s">
        <v>194</v>
      </c>
      <c r="F41" s="474">
        <v>0</v>
      </c>
      <c r="G41" s="103">
        <f>F41*I$12</f>
        <v>0</v>
      </c>
      <c r="H41" s="327">
        <v>466.48</v>
      </c>
      <c r="I41" s="474">
        <v>0.30881737410895888</v>
      </c>
      <c r="J41" s="103">
        <f>I41*I$13</f>
        <v>7.660297691323259</v>
      </c>
      <c r="K41" s="588">
        <f>D41+G41+J41</f>
        <v>7.660297691323259</v>
      </c>
      <c r="L41" s="510">
        <f>(J$11*C41)+(J$12*F41)+(J$13*I41)</f>
        <v>7.1453956059395107</v>
      </c>
    </row>
    <row r="42" spans="1:12" ht="13.5" thickBot="1" x14ac:dyDescent="0.25">
      <c r="A42" s="29" t="s">
        <v>43</v>
      </c>
      <c r="B42" s="590">
        <v>30.31</v>
      </c>
      <c r="C42" s="591">
        <v>6.6040763545818393E-2</v>
      </c>
      <c r="D42" s="107">
        <f>C42*I$11</f>
        <v>15.709369091670141</v>
      </c>
      <c r="E42" s="525">
        <v>49.41</v>
      </c>
      <c r="F42" s="591">
        <v>7.0007069961119661E-2</v>
      </c>
      <c r="G42" s="107">
        <f>F42*I$12</f>
        <v>6.7115929585289802</v>
      </c>
      <c r="H42" s="525">
        <v>90.13</v>
      </c>
      <c r="I42" s="591">
        <v>5.9665610720304872E-2</v>
      </c>
      <c r="J42" s="107">
        <f>I42*I$13</f>
        <v>1.4800214572476813</v>
      </c>
      <c r="K42" s="105">
        <f>D42+G42+J42</f>
        <v>23.900983507446803</v>
      </c>
      <c r="L42" s="592">
        <f>(J$11*C42)+(J$12*F42)+(J$13*I42)</f>
        <v>22.294431549988722</v>
      </c>
    </row>
    <row r="43" spans="1:12" s="35" customFormat="1" ht="13.5" thickBot="1" x14ac:dyDescent="0.25">
      <c r="A43" s="661" t="s">
        <v>15</v>
      </c>
      <c r="B43" s="657">
        <f t="shared" ref="B43:L43" si="5">SUM(B38:B42)</f>
        <v>458.87</v>
      </c>
      <c r="C43" s="662">
        <f t="shared" si="5"/>
        <v>1.000000000000218</v>
      </c>
      <c r="D43" s="663">
        <f t="shared" si="5"/>
        <v>237.87382592532518</v>
      </c>
      <c r="E43" s="657">
        <f t="shared" si="5"/>
        <v>705.75</v>
      </c>
      <c r="F43" s="662">
        <f t="shared" si="5"/>
        <v>0.99999999999909317</v>
      </c>
      <c r="G43" s="663">
        <f t="shared" si="5"/>
        <v>95.870216568845976</v>
      </c>
      <c r="H43" s="657">
        <f t="shared" si="5"/>
        <v>1510.5300000000002</v>
      </c>
      <c r="I43" s="662">
        <f t="shared" si="5"/>
        <v>1.0000000000018749</v>
      </c>
      <c r="J43" s="663">
        <f t="shared" si="5"/>
        <v>24.805267881835132</v>
      </c>
      <c r="K43" s="663">
        <f t="shared" si="5"/>
        <v>358.5493103760063</v>
      </c>
      <c r="L43" s="664">
        <f t="shared" si="5"/>
        <v>334.44870814554389</v>
      </c>
    </row>
    <row r="44" spans="1:12" s="35" customFormat="1" x14ac:dyDescent="0.2">
      <c r="A44" s="10"/>
      <c r="B44" s="51"/>
      <c r="C44" s="52"/>
      <c r="D44" s="51"/>
      <c r="E44" s="52"/>
      <c r="F44" s="51"/>
      <c r="G44" s="52"/>
      <c r="H44" s="58"/>
      <c r="I44" s="33"/>
      <c r="J44" s="33"/>
    </row>
    <row r="45" spans="1:12" ht="13.5" thickBot="1" x14ac:dyDescent="0.25">
      <c r="A45" s="6" t="s">
        <v>79</v>
      </c>
    </row>
    <row r="46" spans="1:12" ht="63.75" x14ac:dyDescent="0.2">
      <c r="A46" s="417" t="s">
        <v>69</v>
      </c>
      <c r="B46" s="595" t="s">
        <v>74</v>
      </c>
      <c r="C46" s="418" t="s">
        <v>206</v>
      </c>
      <c r="D46" s="596" t="s">
        <v>119</v>
      </c>
      <c r="E46" s="419" t="s">
        <v>229</v>
      </c>
      <c r="F46" s="420" t="s">
        <v>113</v>
      </c>
    </row>
    <row r="47" spans="1:12" x14ac:dyDescent="0.2">
      <c r="A47" s="36" t="s">
        <v>40</v>
      </c>
      <c r="B47" s="110">
        <f>K38</f>
        <v>119.16541382592153</v>
      </c>
      <c r="C47" s="597">
        <f>B47-E29</f>
        <v>73.159751278061549</v>
      </c>
      <c r="D47" s="151">
        <f>K29</f>
        <v>3.8411079754310222</v>
      </c>
      <c r="E47" s="588">
        <f t="shared" ref="E47:E52" si="6">B47+D47</f>
        <v>123.00652180135256</v>
      </c>
      <c r="F47" s="510">
        <f>L38+L29</f>
        <v>114.73839474630891</v>
      </c>
    </row>
    <row r="48" spans="1:12" x14ac:dyDescent="0.2">
      <c r="A48" s="36" t="s">
        <v>41</v>
      </c>
      <c r="B48" s="110">
        <f>K39</f>
        <v>23.539024630941167</v>
      </c>
      <c r="C48" s="597">
        <f>B48-E30</f>
        <v>17.094313346051468</v>
      </c>
      <c r="D48" s="598"/>
      <c r="E48" s="588">
        <f t="shared" si="6"/>
        <v>23.539024630941167</v>
      </c>
      <c r="F48" s="510">
        <f>L39</f>
        <v>21.956802456455758</v>
      </c>
    </row>
    <row r="49" spans="1:10" x14ac:dyDescent="0.2">
      <c r="A49" s="36" t="s">
        <v>36</v>
      </c>
      <c r="B49" s="110">
        <f>K40</f>
        <v>184.28359072037352</v>
      </c>
      <c r="C49" s="597">
        <f>B49-E31</f>
        <v>-36.530124243523233</v>
      </c>
      <c r="D49" s="151">
        <f>K30</f>
        <v>94.980124483385268</v>
      </c>
      <c r="E49" s="588">
        <f t="shared" si="6"/>
        <v>279.26371520375881</v>
      </c>
      <c r="F49" s="510">
        <f>L40+L30</f>
        <v>260.49245132803469</v>
      </c>
    </row>
    <row r="50" spans="1:10" x14ac:dyDescent="0.2">
      <c r="A50" s="36" t="s">
        <v>42</v>
      </c>
      <c r="B50" s="110">
        <f>K41</f>
        <v>7.660297691323259</v>
      </c>
      <c r="C50" s="597">
        <f>B50-E32</f>
        <v>-54.861560052492266</v>
      </c>
      <c r="D50" s="598"/>
      <c r="E50" s="588">
        <f t="shared" si="6"/>
        <v>7.660297691323259</v>
      </c>
      <c r="F50" s="510">
        <f>L41</f>
        <v>7.1453956059395107</v>
      </c>
    </row>
    <row r="51" spans="1:10" ht="13.5" thickBot="1" x14ac:dyDescent="0.25">
      <c r="A51" s="29" t="s">
        <v>43</v>
      </c>
      <c r="B51" s="599">
        <f>K42</f>
        <v>23.900983507446803</v>
      </c>
      <c r="C51" s="600">
        <f>B51-E33</f>
        <v>1.1376196719139671</v>
      </c>
      <c r="D51" s="601"/>
      <c r="E51" s="105">
        <f t="shared" si="6"/>
        <v>23.900983507446803</v>
      </c>
      <c r="F51" s="602">
        <f>L42</f>
        <v>22.294431549988722</v>
      </c>
    </row>
    <row r="52" spans="1:10" ht="13.5" thickBot="1" x14ac:dyDescent="0.25">
      <c r="A52" s="655" t="s">
        <v>98</v>
      </c>
      <c r="B52" s="656">
        <f>SUM(B47:B51)</f>
        <v>358.5493103760063</v>
      </c>
      <c r="C52" s="657"/>
      <c r="D52" s="658">
        <f>SUM(D47:D51)</f>
        <v>98.821232458816297</v>
      </c>
      <c r="E52" s="659">
        <f t="shared" si="6"/>
        <v>457.37054283482257</v>
      </c>
      <c r="F52" s="660">
        <f>SUM(F47:F51)</f>
        <v>426.62747568672756</v>
      </c>
    </row>
    <row r="53" spans="1:10" x14ac:dyDescent="0.2">
      <c r="A53" s="182" t="s">
        <v>378</v>
      </c>
    </row>
    <row r="54" spans="1:10" s="35" customFormat="1" x14ac:dyDescent="0.2">
      <c r="A54" s="7"/>
    </row>
    <row r="55" spans="1:10" ht="15.75" thickBot="1" x14ac:dyDescent="0.3">
      <c r="A55" s="442" t="s">
        <v>136</v>
      </c>
    </row>
    <row r="56" spans="1:10" ht="51" x14ac:dyDescent="0.2">
      <c r="A56" s="422" t="s">
        <v>135</v>
      </c>
      <c r="B56" s="423" t="s">
        <v>127</v>
      </c>
      <c r="C56" s="423" t="s">
        <v>126</v>
      </c>
      <c r="D56" s="423" t="s">
        <v>70</v>
      </c>
      <c r="E56" s="423" t="s">
        <v>128</v>
      </c>
      <c r="F56" s="423" t="s">
        <v>72</v>
      </c>
      <c r="G56" s="423" t="s">
        <v>129</v>
      </c>
      <c r="H56" s="594" t="s">
        <v>131</v>
      </c>
      <c r="I56" s="423" t="s">
        <v>196</v>
      </c>
      <c r="J56" s="426" t="s">
        <v>384</v>
      </c>
    </row>
    <row r="57" spans="1:10" x14ac:dyDescent="0.2">
      <c r="A57" s="36" t="s">
        <v>40</v>
      </c>
      <c r="B57" s="474">
        <v>0.42995400458275301</v>
      </c>
      <c r="C57" s="103">
        <f>B57*G$11</f>
        <v>197.67500451040669</v>
      </c>
      <c r="D57" s="474">
        <v>0.1719700278568235</v>
      </c>
      <c r="E57" s="103">
        <f>D57*G$12</f>
        <v>31.865414447104399</v>
      </c>
      <c r="F57" s="474">
        <v>1.6279040881752967E-2</v>
      </c>
      <c r="G57" s="103">
        <f>F57*G$13</f>
        <v>0.7804693215991062</v>
      </c>
      <c r="H57" s="593">
        <f>C57+E57+G57</f>
        <v>230.32088827911019</v>
      </c>
      <c r="I57" s="474">
        <v>0.06</v>
      </c>
      <c r="J57" s="477">
        <f>H57*I57</f>
        <v>13.819253296746611</v>
      </c>
    </row>
    <row r="58" spans="1:10" x14ac:dyDescent="0.2">
      <c r="A58" s="36" t="s">
        <v>41</v>
      </c>
      <c r="B58" s="474">
        <v>9.7524040815173504E-2</v>
      </c>
      <c r="C58" s="103">
        <f t="shared" ref="C58:C61" si="7">B58*G$11</f>
        <v>44.837505878613278</v>
      </c>
      <c r="D58" s="474">
        <v>3.3918061810537009E-3</v>
      </c>
      <c r="E58" s="103">
        <f t="shared" ref="E58:E61" si="8">D58*G$12</f>
        <v>0.62848922588714984</v>
      </c>
      <c r="F58" s="474">
        <v>6.2223594921162419E-4</v>
      </c>
      <c r="G58" s="103">
        <f t="shared" ref="G58:G61" si="9">F58*G$13</f>
        <v>2.9831982896493456E-2</v>
      </c>
      <c r="H58" s="593">
        <f t="shared" ref="H58:H62" si="10">C58+E58+G58</f>
        <v>45.495827087396925</v>
      </c>
      <c r="I58" s="474">
        <v>5.0000000000000001E-3</v>
      </c>
      <c r="J58" s="477">
        <f t="shared" ref="J58:J61" si="11">H58*I58</f>
        <v>0.22747913543698464</v>
      </c>
    </row>
    <row r="59" spans="1:10" x14ac:dyDescent="0.2">
      <c r="A59" s="36" t="s">
        <v>36</v>
      </c>
      <c r="B59" s="474">
        <v>0.40648119105647307</v>
      </c>
      <c r="C59" s="103">
        <f t="shared" si="7"/>
        <v>186.88317917508465</v>
      </c>
      <c r="D59" s="474">
        <v>0.75463109600009626</v>
      </c>
      <c r="E59" s="103">
        <f t="shared" si="8"/>
        <v>139.83037002666603</v>
      </c>
      <c r="F59" s="474">
        <v>0.61461573834164662</v>
      </c>
      <c r="G59" s="103">
        <f t="shared" si="9"/>
        <v>29.466645598594052</v>
      </c>
      <c r="H59" s="593">
        <f t="shared" si="10"/>
        <v>356.18019480034468</v>
      </c>
      <c r="I59" s="474">
        <v>0.05</v>
      </c>
      <c r="J59" s="477">
        <f t="shared" si="11"/>
        <v>17.809009740017235</v>
      </c>
    </row>
    <row r="60" spans="1:10" x14ac:dyDescent="0.2">
      <c r="A60" s="36" t="s">
        <v>42</v>
      </c>
      <c r="B60" s="474">
        <v>0</v>
      </c>
      <c r="C60" s="103">
        <f t="shared" si="7"/>
        <v>0</v>
      </c>
      <c r="D60" s="474">
        <v>0</v>
      </c>
      <c r="E60" s="103">
        <f t="shared" si="8"/>
        <v>0</v>
      </c>
      <c r="F60" s="474">
        <v>0.30881737410895888</v>
      </c>
      <c r="G60" s="103">
        <f t="shared" si="9"/>
        <v>14.805693297262771</v>
      </c>
      <c r="H60" s="593">
        <f t="shared" si="10"/>
        <v>14.805693297262771</v>
      </c>
      <c r="I60" s="474">
        <v>5.5E-2</v>
      </c>
      <c r="J60" s="477">
        <f t="shared" si="11"/>
        <v>0.81431313134945238</v>
      </c>
    </row>
    <row r="61" spans="1:10" ht="13.5" thickBot="1" x14ac:dyDescent="0.25">
      <c r="A61" s="36" t="s">
        <v>43</v>
      </c>
      <c r="B61" s="474">
        <v>6.6040763545818393E-2</v>
      </c>
      <c r="C61" s="103">
        <f t="shared" si="7"/>
        <v>30.362801817508693</v>
      </c>
      <c r="D61" s="474">
        <v>7.0007069961119661E-2</v>
      </c>
      <c r="E61" s="103">
        <f t="shared" si="8"/>
        <v>12.972052899798353</v>
      </c>
      <c r="F61" s="474">
        <v>5.9665610720304872E-2</v>
      </c>
      <c r="G61" s="103">
        <f t="shared" si="9"/>
        <v>2.86056034012848</v>
      </c>
      <c r="H61" s="593">
        <f t="shared" si="10"/>
        <v>46.195415057435525</v>
      </c>
      <c r="I61" s="474">
        <v>5.5E-2</v>
      </c>
      <c r="J61" s="477">
        <f t="shared" si="11"/>
        <v>2.5407478281589539</v>
      </c>
    </row>
    <row r="62" spans="1:10" ht="13.5" thickBot="1" x14ac:dyDescent="0.25">
      <c r="A62" s="655" t="s">
        <v>98</v>
      </c>
      <c r="B62" s="644"/>
      <c r="C62" s="636">
        <f>SUM(C57:C61)</f>
        <v>459.75849138161328</v>
      </c>
      <c r="D62" s="644"/>
      <c r="E62" s="636">
        <f>SUM(E57:E61)</f>
        <v>185.29632659945591</v>
      </c>
      <c r="F62" s="644"/>
      <c r="G62" s="636">
        <f>SUM(G57:G61)</f>
        <v>47.943200540480902</v>
      </c>
      <c r="H62" s="636">
        <f t="shared" si="10"/>
        <v>692.99801852155008</v>
      </c>
      <c r="I62" s="644"/>
      <c r="J62" s="647">
        <f>SUM(J57:J61)</f>
        <v>35.210803131709241</v>
      </c>
    </row>
    <row r="64" spans="1:10" ht="15.75" thickBot="1" x14ac:dyDescent="0.3">
      <c r="A64" s="442" t="s">
        <v>347</v>
      </c>
      <c r="B64" s="445"/>
    </row>
    <row r="65" spans="1:9" ht="80.25" customHeight="1" x14ac:dyDescent="0.2">
      <c r="A65" s="454" t="s">
        <v>395</v>
      </c>
      <c r="B65" s="454" t="s">
        <v>388</v>
      </c>
      <c r="C65" s="454" t="s">
        <v>366</v>
      </c>
      <c r="D65" s="455" t="s">
        <v>367</v>
      </c>
      <c r="E65" s="454" t="s">
        <v>387</v>
      </c>
      <c r="F65" s="456" t="s">
        <v>386</v>
      </c>
      <c r="G65" s="454" t="s">
        <v>385</v>
      </c>
      <c r="H65" s="454" t="s">
        <v>369</v>
      </c>
      <c r="I65" s="419" t="s">
        <v>370</v>
      </c>
    </row>
    <row r="66" spans="1:9" x14ac:dyDescent="0.2">
      <c r="A66" s="26" t="s">
        <v>40</v>
      </c>
      <c r="B66" s="335">
        <f t="shared" ref="B66:B71" si="12">E47</f>
        <v>123.00652180135256</v>
      </c>
      <c r="C66" s="103">
        <f>B66/2</f>
        <v>61.503260900676281</v>
      </c>
      <c r="D66" s="103">
        <f t="shared" ref="D66:D71" si="13">J57</f>
        <v>13.819253296746611</v>
      </c>
      <c r="E66" s="327">
        <f>'Project Summary'!Z6</f>
        <v>0</v>
      </c>
      <c r="F66" s="330">
        <f>C66-D66-E66</f>
        <v>47.684007603929672</v>
      </c>
      <c r="G66" s="103">
        <f>C66</f>
        <v>61.503260900676281</v>
      </c>
      <c r="H66" s="327"/>
      <c r="I66" s="477">
        <f>F66+G66</f>
        <v>109.18726850460595</v>
      </c>
    </row>
    <row r="67" spans="1:9" x14ac:dyDescent="0.2">
      <c r="A67" s="26" t="s">
        <v>41</v>
      </c>
      <c r="B67" s="335">
        <f t="shared" si="12"/>
        <v>23.539024630941167</v>
      </c>
      <c r="C67" s="103">
        <f t="shared" ref="C67:C70" si="14">B67/2</f>
        <v>11.769512315470584</v>
      </c>
      <c r="D67" s="103">
        <f t="shared" si="13"/>
        <v>0.22747913543698464</v>
      </c>
      <c r="E67" s="327">
        <f>'Project Summary'!Z7</f>
        <v>0</v>
      </c>
      <c r="F67" s="330">
        <f t="shared" ref="F67:F70" si="15">C67-D67-E67</f>
        <v>11.542033180033599</v>
      </c>
      <c r="G67" s="103">
        <v>11.7</v>
      </c>
      <c r="H67" s="327"/>
      <c r="I67" s="477">
        <f>F67+G67</f>
        <v>23.242033180033598</v>
      </c>
    </row>
    <row r="68" spans="1:9" x14ac:dyDescent="0.2">
      <c r="A68" s="26" t="s">
        <v>36</v>
      </c>
      <c r="B68" s="335">
        <f t="shared" si="12"/>
        <v>279.26371520375881</v>
      </c>
      <c r="C68" s="103">
        <f t="shared" si="14"/>
        <v>139.6318576018794</v>
      </c>
      <c r="D68" s="103">
        <f t="shared" si="13"/>
        <v>17.809009740017235</v>
      </c>
      <c r="E68" s="327">
        <f>'Project Summary'!Z11</f>
        <v>0</v>
      </c>
      <c r="F68" s="330">
        <f t="shared" si="15"/>
        <v>121.82284786186217</v>
      </c>
      <c r="G68" s="103">
        <v>139.69999999999999</v>
      </c>
      <c r="H68" s="327"/>
      <c r="I68" s="477">
        <f>F68+G68</f>
        <v>261.52284786186215</v>
      </c>
    </row>
    <row r="69" spans="1:9" x14ac:dyDescent="0.2">
      <c r="A69" s="26" t="s">
        <v>42</v>
      </c>
      <c r="B69" s="335">
        <f t="shared" si="12"/>
        <v>7.660297691323259</v>
      </c>
      <c r="C69" s="103">
        <f t="shared" si="14"/>
        <v>3.8301488456616295</v>
      </c>
      <c r="D69" s="103">
        <f t="shared" si="13"/>
        <v>0.81431313134945238</v>
      </c>
      <c r="E69" s="327">
        <f>'Project Summary'!Z15</f>
        <v>0</v>
      </c>
      <c r="F69" s="330">
        <f t="shared" si="15"/>
        <v>3.015835714312177</v>
      </c>
      <c r="G69" s="103">
        <v>3.9</v>
      </c>
      <c r="H69" s="327"/>
      <c r="I69" s="477">
        <f>F69+G69</f>
        <v>6.9158357143121769</v>
      </c>
    </row>
    <row r="70" spans="1:9" ht="13.5" thickBot="1" x14ac:dyDescent="0.25">
      <c r="A70" s="26" t="s">
        <v>43</v>
      </c>
      <c r="B70" s="335">
        <f t="shared" si="12"/>
        <v>23.900983507446803</v>
      </c>
      <c r="C70" s="103">
        <f t="shared" si="14"/>
        <v>11.950491753723401</v>
      </c>
      <c r="D70" s="103">
        <f t="shared" si="13"/>
        <v>2.5407478281589539</v>
      </c>
      <c r="E70" s="327">
        <f>'Project Summary'!Z23</f>
        <v>4</v>
      </c>
      <c r="F70" s="330">
        <f t="shared" si="15"/>
        <v>5.4097439255644471</v>
      </c>
      <c r="G70" s="103">
        <v>11.9</v>
      </c>
      <c r="H70" s="327"/>
      <c r="I70" s="477">
        <f>F70+G70</f>
        <v>17.309743925564447</v>
      </c>
    </row>
    <row r="71" spans="1:9" ht="13.5" thickBot="1" x14ac:dyDescent="0.25">
      <c r="A71" s="655" t="s">
        <v>98</v>
      </c>
      <c r="B71" s="354">
        <f t="shared" si="12"/>
        <v>457.37054283482257</v>
      </c>
      <c r="C71" s="354">
        <f>SUM(C66:C70)</f>
        <v>228.68527141741129</v>
      </c>
      <c r="D71" s="354">
        <f t="shared" si="13"/>
        <v>35.210803131709241</v>
      </c>
      <c r="E71" s="481">
        <f>SUM(E66:E70)</f>
        <v>4</v>
      </c>
      <c r="F71" s="355">
        <f>SUM(F66:F70)</f>
        <v>189.47446828570207</v>
      </c>
      <c r="G71" s="354">
        <f>SUM(G66:G70)</f>
        <v>228.7032609006763</v>
      </c>
      <c r="H71" s="481"/>
      <c r="I71" s="483">
        <f>SUM(I66:I70)</f>
        <v>418.17772918637831</v>
      </c>
    </row>
    <row r="73" spans="1:9" ht="15.75" thickBot="1" x14ac:dyDescent="0.3">
      <c r="A73" s="442" t="s">
        <v>355</v>
      </c>
      <c r="B73" s="35"/>
      <c r="C73" s="35"/>
      <c r="D73" s="35"/>
      <c r="E73" s="35"/>
      <c r="F73" s="35"/>
    </row>
    <row r="74" spans="1:9" ht="51" x14ac:dyDescent="0.2">
      <c r="A74" s="422" t="str">
        <f t="shared" ref="A74:A79" si="16">A56</f>
        <v>2009 Developed Stormwater  Loading by Jurisdiction for Lake Yale</v>
      </c>
      <c r="B74" s="423" t="str">
        <f t="shared" ref="B74:B80" si="17">C56</f>
        <v>Total Loading Developed-High lbs/yr TP</v>
      </c>
      <c r="C74" s="423" t="str">
        <f t="shared" ref="C74:C80" si="18">E56</f>
        <v>Total Loading Developed-Medium lbs/yr TP</v>
      </c>
      <c r="D74" s="423" t="str">
        <f t="shared" ref="D74:D80" si="19">G56</f>
        <v>Total Loading Developed-Low lbs/yr TP</v>
      </c>
      <c r="E74" s="424" t="str">
        <f t="shared" ref="E74:E80" si="20">H56</f>
        <v>Stormwater Total Loading lbs/yr TP</v>
      </c>
      <c r="F74" s="434" t="s">
        <v>354</v>
      </c>
    </row>
    <row r="75" spans="1:9" x14ac:dyDescent="0.2">
      <c r="A75" s="370" t="str">
        <f t="shared" si="16"/>
        <v>Eustis</v>
      </c>
      <c r="B75" s="356">
        <f t="shared" si="17"/>
        <v>197.67500451040669</v>
      </c>
      <c r="C75" s="356">
        <f t="shared" si="18"/>
        <v>31.865414447104399</v>
      </c>
      <c r="D75" s="356">
        <f t="shared" si="19"/>
        <v>0.7804693215991062</v>
      </c>
      <c r="E75" s="367">
        <f t="shared" si="20"/>
        <v>230.32088827911019</v>
      </c>
      <c r="F75" s="429">
        <f>E75/$E$80</f>
        <v>0.33235432443296076</v>
      </c>
    </row>
    <row r="76" spans="1:9" x14ac:dyDescent="0.2">
      <c r="A76" s="370" t="str">
        <f t="shared" si="16"/>
        <v>FDOT</v>
      </c>
      <c r="B76" s="356">
        <f t="shared" si="17"/>
        <v>44.837505878613278</v>
      </c>
      <c r="C76" s="356">
        <f t="shared" si="18"/>
        <v>0.62848922588714984</v>
      </c>
      <c r="D76" s="356">
        <f t="shared" si="19"/>
        <v>2.9831982896493456E-2</v>
      </c>
      <c r="E76" s="367">
        <f t="shared" si="20"/>
        <v>45.495827087396925</v>
      </c>
      <c r="F76" s="429">
        <f t="shared" ref="F76:F80" si="21">E76/$E$80</f>
        <v>6.5650731851237099E-2</v>
      </c>
    </row>
    <row r="77" spans="1:9" x14ac:dyDescent="0.2">
      <c r="A77" s="370" t="str">
        <f t="shared" si="16"/>
        <v>Lake County</v>
      </c>
      <c r="B77" s="356">
        <f t="shared" si="17"/>
        <v>186.88317917508465</v>
      </c>
      <c r="C77" s="356">
        <f t="shared" si="18"/>
        <v>139.83037002666603</v>
      </c>
      <c r="D77" s="356">
        <f t="shared" si="19"/>
        <v>29.466645598594052</v>
      </c>
      <c r="E77" s="367">
        <f t="shared" si="20"/>
        <v>356.18019480034468</v>
      </c>
      <c r="F77" s="429">
        <f t="shared" si="21"/>
        <v>0.5139700046476664</v>
      </c>
    </row>
    <row r="78" spans="1:9" x14ac:dyDescent="0.2">
      <c r="A78" s="370" t="str">
        <f t="shared" si="16"/>
        <v>Marion County</v>
      </c>
      <c r="B78" s="356">
        <f t="shared" si="17"/>
        <v>0</v>
      </c>
      <c r="C78" s="356">
        <f t="shared" si="18"/>
        <v>0</v>
      </c>
      <c r="D78" s="356">
        <f t="shared" si="19"/>
        <v>14.805693297262771</v>
      </c>
      <c r="E78" s="367">
        <f t="shared" si="20"/>
        <v>14.805693297262771</v>
      </c>
      <c r="F78" s="429">
        <f t="shared" si="21"/>
        <v>2.1364697880160474E-2</v>
      </c>
    </row>
    <row r="79" spans="1:9" ht="13.5" thickBot="1" x14ac:dyDescent="0.25">
      <c r="A79" s="370" t="str">
        <f t="shared" si="16"/>
        <v>Umatilla</v>
      </c>
      <c r="B79" s="356">
        <f t="shared" si="17"/>
        <v>30.362801817508693</v>
      </c>
      <c r="C79" s="356">
        <f t="shared" si="18"/>
        <v>12.972052899798353</v>
      </c>
      <c r="D79" s="356">
        <f t="shared" si="19"/>
        <v>2.86056034012848</v>
      </c>
      <c r="E79" s="367">
        <f t="shared" si="20"/>
        <v>46.195415057435525</v>
      </c>
      <c r="F79" s="429">
        <f t="shared" si="21"/>
        <v>6.6660241187975339E-2</v>
      </c>
    </row>
    <row r="80" spans="1:9" ht="13.5" thickBot="1" x14ac:dyDescent="0.25">
      <c r="A80" s="655" t="s">
        <v>98</v>
      </c>
      <c r="B80" s="665">
        <f t="shared" si="17"/>
        <v>459.75849138161328</v>
      </c>
      <c r="C80" s="665">
        <f t="shared" si="18"/>
        <v>185.29632659945591</v>
      </c>
      <c r="D80" s="665">
        <f t="shared" si="19"/>
        <v>47.943200540480902</v>
      </c>
      <c r="E80" s="640">
        <f t="shared" si="20"/>
        <v>692.99801852155008</v>
      </c>
      <c r="F80" s="666">
        <f t="shared" si="21"/>
        <v>1</v>
      </c>
    </row>
  </sheetData>
  <mergeCells count="1">
    <mergeCell ref="B2:F3"/>
  </mergeCells>
  <conditionalFormatting sqref="F75:F80">
    <cfRule type="cellIs" dxfId="1" priority="1" operator="between">
      <formula>0</formula>
      <formula>0.01</formula>
    </cfRule>
  </conditionalFormatting>
  <printOptions gridLines="1"/>
  <pageMargins left="0.45" right="0.45" top="0.5" bottom="0.85" header="0.3" footer="0.3"/>
  <pageSetup paperSize="5" scale="80" orientation="landscape" r:id="rId1"/>
  <headerFooter>
    <oddHeader>&amp;L&amp;"Arial,Bold"&amp;11&amp;KC00000DRAFT&amp;CLake Yale Allocation Calculations&amp;RFDEP, April 13, 2016</oddHeader>
    <oddFooter>&amp;RPage &amp;P of &amp;N</oddFooter>
  </headerFooter>
  <rowBreaks count="2" manualBreakCount="2">
    <brk id="34" max="11" man="1"/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Notes</vt:lpstr>
      <vt:lpstr>priority lake reduction summary</vt:lpstr>
      <vt:lpstr>prioritylake allocation summary</vt:lpstr>
      <vt:lpstr>Project Summary</vt:lpstr>
      <vt:lpstr>De minimis Summary</vt:lpstr>
      <vt:lpstr>Harris Allocate</vt:lpstr>
      <vt:lpstr>Trout Allocate</vt:lpstr>
      <vt:lpstr>Palatlakaha allocate</vt:lpstr>
      <vt:lpstr>Yale allocation</vt:lpstr>
      <vt:lpstr>Carlton Allocate</vt:lpstr>
      <vt:lpstr>Harris Chain education</vt:lpstr>
      <vt:lpstr>Education_summary</vt:lpstr>
      <vt:lpstr>education credit scheme</vt:lpstr>
      <vt:lpstr>Trout Expanded</vt:lpstr>
      <vt:lpstr>'Carlton Allocate'!Print_Area</vt:lpstr>
      <vt:lpstr>'Harris Allocate'!Print_Area</vt:lpstr>
      <vt:lpstr>'Palatlakaha allocate'!Print_Area</vt:lpstr>
      <vt:lpstr>'Trout Allocate'!Print_Area</vt:lpstr>
      <vt:lpstr>'Yale allocation'!Print_Area</vt:lpstr>
    </vt:vector>
  </TitlesOfParts>
  <Company>SJRWMD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dc:description>corrected 8/21/06 to reflect removal of GRIF12 project and 11 pounds reduction in TP</dc:description>
  <cp:lastModifiedBy>Mary Paulic</cp:lastModifiedBy>
  <cp:lastPrinted>2016-04-12T19:34:29Z</cp:lastPrinted>
  <dcterms:created xsi:type="dcterms:W3CDTF">2004-09-16T14:17:07Z</dcterms:created>
  <dcterms:modified xsi:type="dcterms:W3CDTF">2016-04-17T18:20:32Z</dcterms:modified>
</cp:coreProperties>
</file>